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NTABILIDAD-2\Desktop\"/>
    </mc:Choice>
  </mc:AlternateContent>
  <xr:revisionPtr revIDLastSave="0" documentId="13_ncr:1_{C0AF0C50-847F-4E32-AC21-1A7B0CAB318D}" xr6:coauthVersionLast="46" xr6:coauthVersionMax="46" xr10:uidLastSave="{00000000-0000-0000-0000-000000000000}"/>
  <bookViews>
    <workbookView xWindow="-120" yWindow="-120" windowWidth="29040" windowHeight="15840" tabRatio="903" activeTab="13" xr2:uid="{00000000-000D-0000-FFFF-FFFF00000000}"/>
  </bookViews>
  <sheets>
    <sheet name="Estructura" sheetId="56" r:id="rId1"/>
    <sheet name="Rubros" sheetId="57" r:id="rId2"/>
    <sheet name="Ingresos" sheetId="16" r:id="rId3"/>
    <sheet name="Egresos F.P. " sheetId="12" r:id="rId4"/>
    <sheet name="Egr. FODES 25%" sheetId="20" r:id="rId5"/>
    <sheet name="Egr.FODES 75%" sheetId="58" r:id="rId6"/>
    <sheet name="Deuda Pub 75%" sheetId="15" r:id="rId7"/>
    <sheet name="FISDL" sheetId="62" state="hidden" r:id="rId8"/>
    <sheet name="Dietas" sheetId="27" state="hidden" r:id="rId9"/>
    <sheet name="auxiliares" sheetId="61" state="hidden" r:id="rId10"/>
    <sheet name="Hoja1" sheetId="63" state="hidden" r:id="rId11"/>
    <sheet name="ANALISIS" sheetId="64" r:id="rId12"/>
    <sheet name="analisis deuda" sheetId="65" r:id="rId13"/>
    <sheet name="proyectos" sheetId="67" r:id="rId14"/>
  </sheets>
  <definedNames>
    <definedName name="_xlnm._FilterDatabase" localSheetId="4" hidden="1">'Egr. FODES 25%'!$A$7:$L$10</definedName>
    <definedName name="_xlnm._FilterDatabase" localSheetId="2" hidden="1">Ingresos!$A$1:$H$51</definedName>
    <definedName name="_xlnm.Print_Area" localSheetId="6">'Deuda Pub 75%'!$A$1:$H$19</definedName>
    <definedName name="_xlnm.Print_Area" localSheetId="4">'Egr. FODES 25%'!$A$1:$L$60</definedName>
    <definedName name="_xlnm.Print_Area" localSheetId="5">'Egr.FODES 75%'!$A$1:$I$69</definedName>
    <definedName name="_xlnm.Print_Area" localSheetId="3">'Egresos F.P. '!$A$1:$L$82</definedName>
    <definedName name="_xlnm.Print_Area" localSheetId="7">FISDL!$A$1:$H$27</definedName>
    <definedName name="_xlnm.Print_Area" localSheetId="2">Ingresos!$A$1:$H$51</definedName>
    <definedName name="_xlnm.Print_Area" localSheetId="13">proyectos!$A$1:$F$97</definedName>
    <definedName name="ESTRUCTURA" localSheetId="0">Estructura!$A$4</definedName>
    <definedName name="_xlnm.Print_Titles" localSheetId="11">ANALISIS!$5:$6</definedName>
    <definedName name="_xlnm.Print_Titles" localSheetId="4">'Egr. FODES 25%'!$1:$10</definedName>
    <definedName name="_xlnm.Print_Titles" localSheetId="5">'Egr.FODES 75%'!$8:$9</definedName>
    <definedName name="_xlnm.Print_Titles" localSheetId="3">'Egresos F.P. '!$1:$9</definedName>
    <definedName name="_xlnm.Print_Titles" localSheetId="2">Ingresos!$1:$8</definedName>
  </definedNames>
  <calcPr calcId="181029"/>
</workbook>
</file>

<file path=xl/calcChain.xml><?xml version="1.0" encoding="utf-8"?>
<calcChain xmlns="http://schemas.openxmlformats.org/spreadsheetml/2006/main">
  <c r="F79" i="12" l="1"/>
  <c r="H10" i="12"/>
  <c r="F57" i="20" l="1"/>
  <c r="F59" i="20"/>
  <c r="F81" i="12"/>
  <c r="F64" i="58"/>
  <c r="I64" i="58" s="1"/>
  <c r="H43" i="58"/>
  <c r="G43" i="58"/>
  <c r="G77" i="67"/>
  <c r="G76" i="67"/>
  <c r="G75" i="67"/>
  <c r="G74" i="67"/>
  <c r="G73" i="67"/>
  <c r="G72" i="67"/>
  <c r="G71" i="67"/>
  <c r="G68" i="67"/>
  <c r="G67" i="67"/>
  <c r="G66" i="67"/>
  <c r="G64" i="67"/>
  <c r="G63" i="67"/>
  <c r="F66" i="58"/>
  <c r="F43" i="58"/>
  <c r="H9" i="15"/>
  <c r="F65" i="58"/>
  <c r="I65" i="58" s="1"/>
  <c r="F58" i="58"/>
  <c r="F57" i="58"/>
  <c r="F54" i="58"/>
  <c r="F51" i="58"/>
  <c r="F36" i="58"/>
  <c r="F29" i="58"/>
  <c r="F28" i="58"/>
  <c r="F24" i="58"/>
  <c r="F23" i="58"/>
  <c r="E69" i="67"/>
  <c r="E70" i="67"/>
  <c r="F60" i="58" s="1"/>
  <c r="D26" i="67"/>
  <c r="D7" i="67"/>
  <c r="G10" i="12"/>
  <c r="L81" i="12" l="1"/>
  <c r="G51" i="58" l="1"/>
  <c r="G15" i="58" l="1"/>
  <c r="M47" i="67"/>
  <c r="BB47" i="67" s="1"/>
  <c r="H14" i="58"/>
  <c r="BB31" i="67"/>
  <c r="G41" i="58"/>
  <c r="I41" i="58" s="1"/>
  <c r="H36" i="58"/>
  <c r="G36" i="58"/>
  <c r="H23" i="58"/>
  <c r="H29" i="58"/>
  <c r="G29" i="58"/>
  <c r="H22" i="58"/>
  <c r="G22" i="58"/>
  <c r="F22" i="58"/>
  <c r="F14" i="58"/>
  <c r="I68" i="58"/>
  <c r="I63" i="58"/>
  <c r="I62" i="58"/>
  <c r="I61" i="58"/>
  <c r="I53" i="58"/>
  <c r="I51" i="58"/>
  <c r="I50" i="58"/>
  <c r="I45" i="58"/>
  <c r="I44" i="58"/>
  <c r="I42" i="58"/>
  <c r="I40" i="58"/>
  <c r="I39" i="58"/>
  <c r="I37" i="58"/>
  <c r="I35" i="58"/>
  <c r="I32" i="58"/>
  <c r="I31" i="58"/>
  <c r="I26" i="58"/>
  <c r="I21" i="58"/>
  <c r="I19" i="58"/>
  <c r="I18" i="58"/>
  <c r="I16" i="58"/>
  <c r="I57" i="58"/>
  <c r="BA78" i="67"/>
  <c r="AY78" i="67"/>
  <c r="AX78" i="67"/>
  <c r="AW78" i="67"/>
  <c r="AV78" i="67"/>
  <c r="AU78" i="67"/>
  <c r="AT78" i="67"/>
  <c r="AS78" i="67"/>
  <c r="AR78" i="67"/>
  <c r="AQ78" i="67"/>
  <c r="AP78" i="67"/>
  <c r="AO78" i="67"/>
  <c r="AN78" i="67"/>
  <c r="AM78" i="67"/>
  <c r="AL78" i="67"/>
  <c r="AK78" i="67"/>
  <c r="AJ78" i="67"/>
  <c r="AI78" i="67"/>
  <c r="AH78" i="67"/>
  <c r="AG78" i="67"/>
  <c r="AF78" i="67"/>
  <c r="AE78" i="67"/>
  <c r="AD78" i="67"/>
  <c r="AC78" i="67"/>
  <c r="AB78" i="67"/>
  <c r="AA78" i="67"/>
  <c r="Z78" i="67"/>
  <c r="X78" i="67"/>
  <c r="W78" i="67"/>
  <c r="V78" i="67"/>
  <c r="U78" i="67"/>
  <c r="T78" i="67"/>
  <c r="S78" i="67"/>
  <c r="R78" i="67"/>
  <c r="Q78" i="67"/>
  <c r="P78" i="67"/>
  <c r="O78" i="67"/>
  <c r="N78" i="67"/>
  <c r="G54" i="58"/>
  <c r="G52" i="58"/>
  <c r="I52" i="58" s="1"/>
  <c r="G30" i="58"/>
  <c r="I30" i="58" s="1"/>
  <c r="G20" i="58"/>
  <c r="I20" i="58" s="1"/>
  <c r="E66" i="67"/>
  <c r="E65" i="67"/>
  <c r="I60" i="58"/>
  <c r="H54" i="58"/>
  <c r="H28" i="58"/>
  <c r="H24" i="58"/>
  <c r="BB46" i="67"/>
  <c r="BB68" i="67"/>
  <c r="BB67" i="67"/>
  <c r="BB66" i="67"/>
  <c r="BB64" i="67"/>
  <c r="BB63" i="67"/>
  <c r="BB45" i="67"/>
  <c r="BB44" i="67"/>
  <c r="BB43" i="67"/>
  <c r="BB42" i="67"/>
  <c r="BB41" i="67"/>
  <c r="BB40" i="67"/>
  <c r="BB39" i="67"/>
  <c r="BB38" i="67"/>
  <c r="BB62" i="67"/>
  <c r="BB61" i="67"/>
  <c r="BB60" i="67"/>
  <c r="BB59" i="67"/>
  <c r="BB58" i="67"/>
  <c r="BB57" i="67"/>
  <c r="P16" i="12"/>
  <c r="H15" i="58"/>
  <c r="H11" i="58"/>
  <c r="H10" i="58"/>
  <c r="L78" i="67"/>
  <c r="K78" i="67"/>
  <c r="J78" i="67"/>
  <c r="I78" i="67"/>
  <c r="H78" i="67"/>
  <c r="BB50" i="67"/>
  <c r="BB49" i="67"/>
  <c r="BB48" i="67"/>
  <c r="BB37" i="67"/>
  <c r="BB36" i="67"/>
  <c r="BB35" i="67"/>
  <c r="BB34" i="67"/>
  <c r="BB33" i="67"/>
  <c r="BB32" i="67"/>
  <c r="BB30" i="67"/>
  <c r="BB29" i="67"/>
  <c r="BB28" i="67"/>
  <c r="BB27" i="67"/>
  <c r="BB26" i="67"/>
  <c r="BB25" i="67"/>
  <c r="BB22" i="67"/>
  <c r="BB21" i="67"/>
  <c r="BB20" i="67"/>
  <c r="BB19" i="67"/>
  <c r="BB18" i="67"/>
  <c r="BB17" i="67"/>
  <c r="N1" i="67"/>
  <c r="I56" i="58" l="1"/>
  <c r="F56" i="58"/>
  <c r="I36" i="58"/>
  <c r="Y65" i="67"/>
  <c r="Y78" i="67" s="1"/>
  <c r="F55" i="58"/>
  <c r="I55" i="58" s="1"/>
  <c r="E4" i="67"/>
  <c r="I14" i="58"/>
  <c r="I43" i="58"/>
  <c r="I54" i="58"/>
  <c r="I24" i="58"/>
  <c r="I28" i="58"/>
  <c r="M78" i="67"/>
  <c r="H59" i="58"/>
  <c r="I59" i="58" s="1"/>
  <c r="L14" i="58"/>
  <c r="I29" i="58"/>
  <c r="I15" i="58"/>
  <c r="I22" i="58"/>
  <c r="I23" i="58"/>
  <c r="BB65" i="67"/>
  <c r="E76" i="67"/>
  <c r="D48" i="16"/>
  <c r="H66" i="58" l="1"/>
  <c r="I66" i="58" s="1"/>
  <c r="E46" i="67"/>
  <c r="E5" i="67" s="1"/>
  <c r="E78" i="67" s="1"/>
  <c r="L17" i="58"/>
  <c r="L59" i="20"/>
  <c r="O16" i="20" s="1"/>
  <c r="C26" i="57" l="1"/>
  <c r="AZ70" i="67"/>
  <c r="BB70" i="67" s="1"/>
  <c r="D43" i="16"/>
  <c r="C42" i="16"/>
  <c r="C51" i="16" s="1"/>
  <c r="L64" i="20" s="1"/>
  <c r="AZ69" i="67" l="1"/>
  <c r="AZ78" i="67" s="1"/>
  <c r="D51" i="16"/>
  <c r="F9" i="64"/>
  <c r="E60" i="58"/>
  <c r="BB69" i="67" l="1"/>
  <c r="F43" i="64"/>
  <c r="F42" i="64"/>
  <c r="F41" i="64"/>
  <c r="F40" i="64"/>
  <c r="F39" i="64"/>
  <c r="F38" i="64"/>
  <c r="F36" i="64"/>
  <c r="F35" i="64"/>
  <c r="F34" i="64"/>
  <c r="F28" i="64"/>
  <c r="F25" i="64"/>
  <c r="F24" i="64"/>
  <c r="F18" i="64"/>
  <c r="F10" i="64"/>
  <c r="G10" i="64" l="1"/>
  <c r="G9" i="64"/>
  <c r="G43" i="64"/>
  <c r="G39" i="64"/>
  <c r="G38" i="64"/>
  <c r="G36" i="64"/>
  <c r="G35" i="64"/>
  <c r="G28" i="64"/>
  <c r="G42" i="64"/>
  <c r="G41" i="64"/>
  <c r="G40" i="64"/>
  <c r="G34" i="64"/>
  <c r="G25" i="64"/>
  <c r="G24" i="64"/>
  <c r="G18" i="64"/>
  <c r="I10" i="12" l="1"/>
  <c r="J10" i="12"/>
  <c r="K10" i="12"/>
  <c r="E45" i="64"/>
  <c r="L10" i="12" l="1"/>
  <c r="F18" i="12"/>
  <c r="F17" i="12"/>
  <c r="L30" i="12" l="1"/>
  <c r="L24" i="12"/>
  <c r="L23" i="12"/>
  <c r="L22" i="12"/>
  <c r="L21" i="12"/>
  <c r="L20" i="12"/>
  <c r="L19" i="12"/>
  <c r="L15" i="12"/>
  <c r="L16" i="12"/>
  <c r="H18" i="12"/>
  <c r="H17" i="12"/>
  <c r="F11" i="12"/>
  <c r="F82" i="12" s="1"/>
  <c r="K18" i="12"/>
  <c r="J18" i="12"/>
  <c r="I18" i="12"/>
  <c r="G18" i="12"/>
  <c r="K17" i="12"/>
  <c r="J17" i="12"/>
  <c r="I17" i="12"/>
  <c r="G17" i="12"/>
  <c r="L17" i="12" l="1"/>
  <c r="L18" i="12"/>
  <c r="E280" i="65"/>
  <c r="G280" i="65" s="1"/>
  <c r="D280" i="65"/>
  <c r="L266" i="65"/>
  <c r="N229" i="65" l="1"/>
  <c r="L229" i="65"/>
  <c r="F289" i="65" l="1"/>
  <c r="B289" i="65"/>
  <c r="L274" i="65"/>
  <c r="C267" i="65" s="1"/>
  <c r="H275" i="65" s="1"/>
  <c r="C276" i="65" s="1"/>
  <c r="D7" i="64" l="1"/>
  <c r="F7" i="64" l="1"/>
  <c r="G7" i="64" s="1"/>
  <c r="D276" i="65"/>
  <c r="E276" i="65" s="1"/>
  <c r="J67" i="58"/>
  <c r="J66" i="58"/>
  <c r="J63" i="58"/>
  <c r="J62" i="58"/>
  <c r="J61" i="58"/>
  <c r="J53" i="58"/>
  <c r="J50" i="58"/>
  <c r="J45" i="58"/>
  <c r="J44" i="58"/>
  <c r="J42" i="58"/>
  <c r="J40" i="58"/>
  <c r="J39" i="58"/>
  <c r="J37" i="58"/>
  <c r="J35" i="58"/>
  <c r="J32" i="58"/>
  <c r="J31" i="58"/>
  <c r="J26" i="58"/>
  <c r="J21" i="58"/>
  <c r="J19" i="58"/>
  <c r="J18" i="58"/>
  <c r="J16" i="58"/>
  <c r="J68" i="58"/>
  <c r="L63" i="58"/>
  <c r="J54" i="58"/>
  <c r="J55" i="58"/>
  <c r="J56" i="58"/>
  <c r="J57" i="58"/>
  <c r="J59" i="58"/>
  <c r="J65" i="58"/>
  <c r="J64" i="58"/>
  <c r="J24" i="58"/>
  <c r="F9" i="16" l="1"/>
  <c r="G276" i="65"/>
  <c r="H276" i="65"/>
  <c r="C277" i="65" s="1"/>
  <c r="J28" i="58"/>
  <c r="G38" i="58"/>
  <c r="G47" i="58"/>
  <c r="G46" i="58"/>
  <c r="J36" i="58"/>
  <c r="F34" i="58"/>
  <c r="F33" i="58"/>
  <c r="J30" i="58"/>
  <c r="J29" i="58"/>
  <c r="J23" i="58"/>
  <c r="J22" i="58"/>
  <c r="G17" i="58"/>
  <c r="J15" i="58"/>
  <c r="J14" i="58"/>
  <c r="J41" i="58"/>
  <c r="G27" i="58"/>
  <c r="H69" i="58"/>
  <c r="J34" i="58" l="1"/>
  <c r="I34" i="58"/>
  <c r="J38" i="58"/>
  <c r="I38" i="58"/>
  <c r="J27" i="58"/>
  <c r="I27" i="58"/>
  <c r="J17" i="58"/>
  <c r="I17" i="58"/>
  <c r="J46" i="58"/>
  <c r="I46" i="58"/>
  <c r="J33" i="58"/>
  <c r="I33" i="58"/>
  <c r="J47" i="58"/>
  <c r="I47" i="58"/>
  <c r="J43" i="58"/>
  <c r="D277" i="65"/>
  <c r="E277" i="65" s="1"/>
  <c r="J51" i="58"/>
  <c r="G277" i="65" l="1"/>
  <c r="H277" i="65"/>
  <c r="C278" i="65" s="1"/>
  <c r="J52" i="58"/>
  <c r="D278" i="65" l="1"/>
  <c r="H278" i="65" l="1"/>
  <c r="C279" i="65" s="1"/>
  <c r="D279" i="65" s="1"/>
  <c r="E278" i="65"/>
  <c r="E30" i="57"/>
  <c r="G278" i="65" l="1"/>
  <c r="G25" i="58"/>
  <c r="J20" i="58"/>
  <c r="BB75" i="67"/>
  <c r="BB74" i="67"/>
  <c r="BB73" i="67"/>
  <c r="BB72" i="67"/>
  <c r="BB71" i="67"/>
  <c r="BB56" i="67"/>
  <c r="BB55" i="67"/>
  <c r="BB54" i="67"/>
  <c r="BB53" i="67"/>
  <c r="BB52" i="67"/>
  <c r="BB51" i="67"/>
  <c r="BB24" i="67"/>
  <c r="BB23" i="67"/>
  <c r="BB16" i="67"/>
  <c r="BB15" i="67"/>
  <c r="BB14" i="67"/>
  <c r="BB13" i="67"/>
  <c r="BB12" i="67"/>
  <c r="BB11" i="67"/>
  <c r="BB10" i="67"/>
  <c r="BB9" i="67"/>
  <c r="J25" i="58" l="1"/>
  <c r="I25" i="58"/>
  <c r="L13" i="58" s="1"/>
  <c r="E279" i="65"/>
  <c r="BC37" i="67"/>
  <c r="BE12" i="67"/>
  <c r="L75" i="12"/>
  <c r="L76" i="12"/>
  <c r="L77" i="12"/>
  <c r="L79" i="12"/>
  <c r="G279" i="65" l="1"/>
  <c r="H279" i="65"/>
  <c r="C280" i="65" s="1"/>
  <c r="L80" i="12" l="1"/>
  <c r="G11" i="12" l="1"/>
  <c r="K11" i="12" l="1"/>
  <c r="J11" i="12"/>
  <c r="I11" i="12"/>
  <c r="H11" i="12"/>
  <c r="L11" i="12" l="1"/>
  <c r="J11" i="64"/>
  <c r="C289" i="65" l="1"/>
  <c r="H10" i="15" s="1"/>
  <c r="D8" i="64"/>
  <c r="D44" i="64"/>
  <c r="F44" i="64" l="1"/>
  <c r="G44" i="64"/>
  <c r="F50" i="16" s="1"/>
  <c r="H50" i="16" s="1"/>
  <c r="F8" i="64"/>
  <c r="G8" i="64" s="1"/>
  <c r="D289" i="65"/>
  <c r="H14" i="15" s="1"/>
  <c r="D37" i="64"/>
  <c r="D33" i="64"/>
  <c r="D32" i="64"/>
  <c r="D31" i="64"/>
  <c r="D30" i="64"/>
  <c r="D29" i="64"/>
  <c r="D27" i="64"/>
  <c r="C14" i="57" l="1"/>
  <c r="J18" i="16"/>
  <c r="F32" i="64"/>
  <c r="G32" i="64"/>
  <c r="F37" i="64"/>
  <c r="G37" i="64" s="1"/>
  <c r="F29" i="64"/>
  <c r="G29" i="64" s="1"/>
  <c r="F27" i="64"/>
  <c r="G27" i="64" s="1"/>
  <c r="F33" i="64"/>
  <c r="G33" i="64" s="1"/>
  <c r="F30" i="64"/>
  <c r="G30" i="64" s="1"/>
  <c r="F31" i="64"/>
  <c r="G31" i="64"/>
  <c r="G289" i="65"/>
  <c r="E289" i="65"/>
  <c r="D26" i="64"/>
  <c r="F26" i="64" l="1"/>
  <c r="G26" i="64" s="1"/>
  <c r="D23" i="64"/>
  <c r="D22" i="64"/>
  <c r="D21" i="64"/>
  <c r="D20" i="64"/>
  <c r="D19" i="64"/>
  <c r="D17" i="64"/>
  <c r="D16" i="64"/>
  <c r="D15" i="64"/>
  <c r="D14" i="64"/>
  <c r="D13" i="64"/>
  <c r="D12" i="64"/>
  <c r="D11" i="64"/>
  <c r="F19" i="64" l="1"/>
  <c r="G19" i="64" s="1"/>
  <c r="F20" i="64"/>
  <c r="G20" i="64"/>
  <c r="F21" i="64"/>
  <c r="G21" i="64" s="1"/>
  <c r="F22" i="64"/>
  <c r="G22" i="64"/>
  <c r="F23" i="64"/>
  <c r="G23" i="64" s="1"/>
  <c r="F12" i="64"/>
  <c r="G12" i="64" s="1"/>
  <c r="F17" i="64"/>
  <c r="G17" i="64" s="1"/>
  <c r="F11" i="64"/>
  <c r="G11" i="64" s="1"/>
  <c r="F13" i="64"/>
  <c r="G13" i="64" s="1"/>
  <c r="F14" i="64"/>
  <c r="G14" i="64"/>
  <c r="F15" i="64"/>
  <c r="G15" i="64" s="1"/>
  <c r="F16" i="64"/>
  <c r="G16" i="64" s="1"/>
  <c r="D45" i="64"/>
  <c r="C8" i="64"/>
  <c r="C45" i="64" s="1"/>
  <c r="G45" i="64" l="1"/>
  <c r="F45" i="64"/>
  <c r="J13" i="64"/>
  <c r="F15" i="16"/>
  <c r="F16" i="16"/>
  <c r="F18" i="16"/>
  <c r="J12" i="64" l="1"/>
  <c r="F17" i="16"/>
  <c r="J10" i="64"/>
  <c r="J9" i="64"/>
  <c r="F75" i="67" l="1"/>
  <c r="F74" i="67"/>
  <c r="F73" i="67"/>
  <c r="F72" i="67"/>
  <c r="F71" i="67"/>
  <c r="F69" i="67"/>
  <c r="F68" i="67"/>
  <c r="F67" i="67"/>
  <c r="F11" i="67"/>
  <c r="F82" i="67" l="1"/>
  <c r="F80" i="67"/>
  <c r="G58" i="58"/>
  <c r="G11" i="58"/>
  <c r="J11" i="58" s="1"/>
  <c r="J58" i="58" l="1"/>
  <c r="I58" i="58"/>
  <c r="L15" i="58" s="1"/>
  <c r="G12" i="58"/>
  <c r="J12" i="58" s="1"/>
  <c r="G13" i="58"/>
  <c r="J13" i="58" s="1"/>
  <c r="BC14" i="67"/>
  <c r="L69" i="12"/>
  <c r="C78" i="67" l="1"/>
  <c r="I13" i="58" l="1"/>
  <c r="I12" i="58"/>
  <c r="I11" i="58"/>
  <c r="F48" i="58"/>
  <c r="I48" i="58" s="1"/>
  <c r="F49" i="58"/>
  <c r="I49" i="58" s="1"/>
  <c r="J49" i="58" l="1"/>
  <c r="J48" i="58"/>
  <c r="F69" i="58"/>
  <c r="L31" i="58"/>
  <c r="L52" i="58"/>
  <c r="BC15" i="67"/>
  <c r="BC12" i="67" l="1"/>
  <c r="BC10" i="67"/>
  <c r="A11" i="12" l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71" i="12" s="1"/>
  <c r="A72" i="12" s="1"/>
  <c r="A73" i="12" s="1"/>
  <c r="A74" i="12" s="1"/>
  <c r="A75" i="12" s="1"/>
  <c r="A76" i="12" s="1"/>
  <c r="A79" i="12" s="1"/>
  <c r="A80" i="12" s="1"/>
  <c r="P314" i="65"/>
  <c r="L59" i="12" l="1"/>
  <c r="L78" i="12"/>
  <c r="L74" i="12"/>
  <c r="L73" i="12"/>
  <c r="P14" i="12" s="1"/>
  <c r="L72" i="12"/>
  <c r="L71" i="12"/>
  <c r="L70" i="12"/>
  <c r="L68" i="12"/>
  <c r="L67" i="12"/>
  <c r="L65" i="12"/>
  <c r="L64" i="12"/>
  <c r="L63" i="12"/>
  <c r="L62" i="12"/>
  <c r="L61" i="12"/>
  <c r="L60" i="12"/>
  <c r="L58" i="12"/>
  <c r="L57" i="12"/>
  <c r="L56" i="12"/>
  <c r="L55" i="12"/>
  <c r="L54" i="12"/>
  <c r="L53" i="12"/>
  <c r="L52" i="12"/>
  <c r="L51" i="12"/>
  <c r="L50" i="12"/>
  <c r="L49" i="12"/>
  <c r="L48" i="12"/>
  <c r="L47" i="12"/>
  <c r="L46" i="12"/>
  <c r="L45" i="12"/>
  <c r="L44" i="12"/>
  <c r="L43" i="12"/>
  <c r="L42" i="12"/>
  <c r="L41" i="12"/>
  <c r="L40" i="12"/>
  <c r="L39" i="12"/>
  <c r="L38" i="12"/>
  <c r="L37" i="12"/>
  <c r="L36" i="12"/>
  <c r="L35" i="12"/>
  <c r="L34" i="12"/>
  <c r="L33" i="12"/>
  <c r="L32" i="12"/>
  <c r="L31" i="12"/>
  <c r="L29" i="12"/>
  <c r="L28" i="12"/>
  <c r="L27" i="12"/>
  <c r="L26" i="12"/>
  <c r="L25" i="12"/>
  <c r="L14" i="12"/>
  <c r="L13" i="12"/>
  <c r="L12" i="12"/>
  <c r="P11" i="12" l="1"/>
  <c r="O7" i="12"/>
  <c r="P15" i="12"/>
  <c r="P13" i="12"/>
  <c r="O6" i="12"/>
  <c r="O5" i="12"/>
  <c r="G92" i="12" l="1"/>
  <c r="L66" i="12" l="1"/>
  <c r="P12" i="12" s="1"/>
  <c r="O4" i="12" l="1"/>
  <c r="L82" i="12"/>
  <c r="L85" i="12" s="1"/>
  <c r="F63" i="16" l="1"/>
  <c r="F77" i="58" l="1"/>
  <c r="K15" i="15"/>
  <c r="Q57" i="20"/>
  <c r="O54" i="16" l="1"/>
  <c r="K82" i="12"/>
  <c r="H82" i="12" l="1"/>
  <c r="I82" i="12"/>
  <c r="J82" i="12"/>
  <c r="G82" i="12"/>
  <c r="L58" i="20" l="1"/>
  <c r="L57" i="20"/>
  <c r="L56" i="20"/>
  <c r="L55" i="20"/>
  <c r="L54" i="20"/>
  <c r="L53" i="20"/>
  <c r="L52" i="20"/>
  <c r="L51" i="20"/>
  <c r="L50" i="20"/>
  <c r="L49" i="20"/>
  <c r="L48" i="20"/>
  <c r="L47" i="20"/>
  <c r="L46" i="20"/>
  <c r="L45" i="20"/>
  <c r="L44" i="20"/>
  <c r="L43" i="20"/>
  <c r="L42" i="20"/>
  <c r="L41" i="20"/>
  <c r="L40" i="20"/>
  <c r="L39" i="20"/>
  <c r="L38" i="20"/>
  <c r="L37" i="20"/>
  <c r="L36" i="20"/>
  <c r="L35" i="20"/>
  <c r="L34" i="20"/>
  <c r="L33" i="20"/>
  <c r="L32" i="20"/>
  <c r="L31" i="20"/>
  <c r="L30" i="20"/>
  <c r="L29" i="20"/>
  <c r="L28" i="20"/>
  <c r="L27" i="20"/>
  <c r="L26" i="20"/>
  <c r="L25" i="20"/>
  <c r="L24" i="20"/>
  <c r="L23" i="20"/>
  <c r="L22" i="20"/>
  <c r="L21" i="20"/>
  <c r="L20" i="20"/>
  <c r="L19" i="20"/>
  <c r="L18" i="20"/>
  <c r="L17" i="20"/>
  <c r="L16" i="20"/>
  <c r="L15" i="20"/>
  <c r="L14" i="20"/>
  <c r="L13" i="20"/>
  <c r="L12" i="20"/>
  <c r="L11" i="20"/>
  <c r="K60" i="20"/>
  <c r="Q21" i="20"/>
  <c r="P4" i="20"/>
  <c r="P5" i="20" s="1"/>
  <c r="O15" i="20" l="1"/>
  <c r="C23" i="57" s="1"/>
  <c r="L60" i="20"/>
  <c r="O11" i="20"/>
  <c r="O12" i="20"/>
  <c r="C20" i="57" s="1"/>
  <c r="O14" i="20"/>
  <c r="C22" i="57" s="1"/>
  <c r="O13" i="20"/>
  <c r="C21" i="57" s="1"/>
  <c r="P35" i="20"/>
  <c r="R11" i="20"/>
  <c r="R14" i="20"/>
  <c r="J41" i="16" l="1"/>
  <c r="O29" i="20"/>
  <c r="O23" i="20"/>
  <c r="F252" i="65" l="1"/>
  <c r="B252" i="65"/>
  <c r="L237" i="65"/>
  <c r="C230" i="65" l="1"/>
  <c r="H238" i="65" s="1"/>
  <c r="H60" i="20"/>
  <c r="H48" i="16"/>
  <c r="C12" i="57" s="1"/>
  <c r="L76" i="58"/>
  <c r="R101" i="12" l="1"/>
  <c r="R100" i="12"/>
  <c r="R93" i="12"/>
  <c r="R92" i="12"/>
  <c r="L172" i="65"/>
  <c r="L118" i="65"/>
  <c r="L63" i="65"/>
  <c r="L6" i="65"/>
  <c r="B18" i="16"/>
  <c r="B36" i="16"/>
  <c r="M46" i="16"/>
  <c r="B28" i="16"/>
  <c r="B17" i="16"/>
  <c r="F36" i="16"/>
  <c r="H36" i="16" s="1"/>
  <c r="E239" i="65" l="1"/>
  <c r="G239" i="65" s="1"/>
  <c r="H239" i="65"/>
  <c r="C6" i="63"/>
  <c r="R94" i="12"/>
  <c r="T94" i="12" s="1"/>
  <c r="BC9" i="67"/>
  <c r="O3" i="12" l="1"/>
  <c r="O10" i="12"/>
  <c r="O85" i="12" s="1"/>
  <c r="N18" i="12"/>
  <c r="S94" i="12"/>
  <c r="U94" i="12" s="1"/>
  <c r="D240" i="65"/>
  <c r="E58" i="58"/>
  <c r="E65" i="58"/>
  <c r="E64" i="58"/>
  <c r="E63" i="58"/>
  <c r="E62" i="58"/>
  <c r="E61" i="58"/>
  <c r="E59" i="58"/>
  <c r="E57" i="58"/>
  <c r="E56" i="58"/>
  <c r="E54" i="58"/>
  <c r="AK1" i="67" s="1"/>
  <c r="F195" i="65"/>
  <c r="B195" i="65"/>
  <c r="L180" i="65"/>
  <c r="C173" i="65" s="1"/>
  <c r="H181" i="65" s="1"/>
  <c r="F141" i="65"/>
  <c r="B141" i="65"/>
  <c r="L126" i="65"/>
  <c r="C119" i="65" s="1"/>
  <c r="H127" i="65" s="1"/>
  <c r="C128" i="65" s="1"/>
  <c r="F86" i="65"/>
  <c r="B86" i="65"/>
  <c r="L71" i="65"/>
  <c r="C64" i="65" s="1"/>
  <c r="H72" i="65" s="1"/>
  <c r="C73" i="65" s="1"/>
  <c r="O8" i="12" l="1"/>
  <c r="C182" i="65"/>
  <c r="H240" i="65"/>
  <c r="E240" i="65"/>
  <c r="D73" i="65"/>
  <c r="E73" i="65" s="1"/>
  <c r="S1" i="67"/>
  <c r="AJ1" i="67"/>
  <c r="AI1" i="67"/>
  <c r="U1" i="67"/>
  <c r="AH1" i="67"/>
  <c r="AG1" i="67"/>
  <c r="AF1" i="67"/>
  <c r="AD1" i="67"/>
  <c r="AC1" i="67"/>
  <c r="AB1" i="67"/>
  <c r="X1" i="67"/>
  <c r="T1" i="67"/>
  <c r="P1" i="67"/>
  <c r="M1" i="67"/>
  <c r="L1" i="67"/>
  <c r="K1" i="67"/>
  <c r="G1" i="67"/>
  <c r="L14" i="65"/>
  <c r="C7" i="65" s="1"/>
  <c r="H15" i="65" s="1"/>
  <c r="C16" i="65" s="1"/>
  <c r="F29" i="65"/>
  <c r="B29" i="65"/>
  <c r="H310" i="65" l="1"/>
  <c r="G240" i="65"/>
  <c r="D182" i="65"/>
  <c r="D128" i="65"/>
  <c r="G73" i="65"/>
  <c r="H73" i="65"/>
  <c r="C74" i="65" s="1"/>
  <c r="D16" i="65"/>
  <c r="H182" i="65" l="1"/>
  <c r="C183" i="65" s="1"/>
  <c r="E182" i="65"/>
  <c r="H128" i="65"/>
  <c r="C129" i="65" s="1"/>
  <c r="E128" i="65"/>
  <c r="H16" i="65"/>
  <c r="C17" i="65" s="1"/>
  <c r="E16" i="65"/>
  <c r="H241" i="65" l="1"/>
  <c r="E241" i="65"/>
  <c r="G182" i="65"/>
  <c r="G128" i="65"/>
  <c r="D74" i="65"/>
  <c r="G16" i="65"/>
  <c r="G241" i="65" l="1"/>
  <c r="D183" i="65"/>
  <c r="D129" i="65"/>
  <c r="H74" i="65"/>
  <c r="C75" i="65" s="1"/>
  <c r="E74" i="65"/>
  <c r="D17" i="65"/>
  <c r="E17" i="65" s="1"/>
  <c r="H183" i="65" l="1"/>
  <c r="C184" i="65" s="1"/>
  <c r="E183" i="65"/>
  <c r="H129" i="65"/>
  <c r="C130" i="65" s="1"/>
  <c r="E129" i="65"/>
  <c r="G74" i="65"/>
  <c r="G17" i="65"/>
  <c r="H17" i="65"/>
  <c r="C18" i="65" s="1"/>
  <c r="G183" i="65" l="1"/>
  <c r="G129" i="65"/>
  <c r="D75" i="65"/>
  <c r="D18" i="65"/>
  <c r="D184" i="65" l="1"/>
  <c r="D130" i="65"/>
  <c r="H75" i="65"/>
  <c r="C76" i="65" s="1"/>
  <c r="E75" i="65"/>
  <c r="H18" i="65"/>
  <c r="C19" i="65" s="1"/>
  <c r="E18" i="65"/>
  <c r="H184" i="65" l="1"/>
  <c r="C185" i="65" s="1"/>
  <c r="E184" i="65"/>
  <c r="H130" i="65"/>
  <c r="C131" i="65" s="1"/>
  <c r="E130" i="65"/>
  <c r="G75" i="65"/>
  <c r="G18" i="65"/>
  <c r="G184" i="65" l="1"/>
  <c r="G130" i="65"/>
  <c r="D76" i="65"/>
  <c r="E76" i="65" s="1"/>
  <c r="D19" i="65"/>
  <c r="D185" i="65" l="1"/>
  <c r="E185" i="65" s="1"/>
  <c r="D131" i="65"/>
  <c r="E131" i="65" s="1"/>
  <c r="G76" i="65"/>
  <c r="H76" i="65"/>
  <c r="C77" i="65" s="1"/>
  <c r="H19" i="65"/>
  <c r="C20" i="65" s="1"/>
  <c r="E19" i="65"/>
  <c r="G185" i="65" l="1"/>
  <c r="H185" i="65"/>
  <c r="C186" i="65" s="1"/>
  <c r="G131" i="65"/>
  <c r="H131" i="65"/>
  <c r="C132" i="65" s="1"/>
  <c r="G19" i="65"/>
  <c r="D77" i="65" l="1"/>
  <c r="E77" i="65" s="1"/>
  <c r="D20" i="65"/>
  <c r="D186" i="65" l="1"/>
  <c r="E186" i="65" s="1"/>
  <c r="D132" i="65"/>
  <c r="E132" i="65" s="1"/>
  <c r="G77" i="65"/>
  <c r="H77" i="65"/>
  <c r="C78" i="65" s="1"/>
  <c r="H20" i="65"/>
  <c r="C21" i="65" s="1"/>
  <c r="E20" i="65"/>
  <c r="G186" i="65" l="1"/>
  <c r="H186" i="65"/>
  <c r="C187" i="65" s="1"/>
  <c r="G132" i="65"/>
  <c r="H132" i="65"/>
  <c r="C133" i="65" s="1"/>
  <c r="G20" i="65"/>
  <c r="D78" i="65" l="1"/>
  <c r="H78" i="65" s="1"/>
  <c r="C79" i="65" s="1"/>
  <c r="D21" i="65"/>
  <c r="H21" i="65" s="1"/>
  <c r="C22" i="65" s="1"/>
  <c r="D187" i="65" l="1"/>
  <c r="H187" i="65" s="1"/>
  <c r="C188" i="65" s="1"/>
  <c r="D133" i="65"/>
  <c r="H133" i="65" s="1"/>
  <c r="C134" i="65" s="1"/>
  <c r="E78" i="65"/>
  <c r="G78" i="65" s="1"/>
  <c r="E21" i="65"/>
  <c r="G21" i="65" s="1"/>
  <c r="E187" i="65" l="1"/>
  <c r="G187" i="65" s="1"/>
  <c r="E133" i="65"/>
  <c r="G133" i="65" s="1"/>
  <c r="D79" i="65"/>
  <c r="H79" i="65" s="1"/>
  <c r="C80" i="65" s="1"/>
  <c r="D22" i="65"/>
  <c r="H22" i="65" s="1"/>
  <c r="C23" i="65" s="1"/>
  <c r="D188" i="65" l="1"/>
  <c r="H188" i="65" s="1"/>
  <c r="C189" i="65" s="1"/>
  <c r="D134" i="65"/>
  <c r="H134" i="65" s="1"/>
  <c r="C135" i="65" s="1"/>
  <c r="E79" i="65"/>
  <c r="G79" i="65" s="1"/>
  <c r="E22" i="65"/>
  <c r="G22" i="65" s="1"/>
  <c r="E188" i="65" l="1"/>
  <c r="G188" i="65" s="1"/>
  <c r="E134" i="65"/>
  <c r="G134" i="65" s="1"/>
  <c r="D80" i="65"/>
  <c r="H80" i="65" s="1"/>
  <c r="C81" i="65" s="1"/>
  <c r="D23" i="65"/>
  <c r="H23" i="65" s="1"/>
  <c r="C24" i="65" s="1"/>
  <c r="D189" i="65" l="1"/>
  <c r="H189" i="65" s="1"/>
  <c r="C190" i="65" s="1"/>
  <c r="D135" i="65"/>
  <c r="H135" i="65" s="1"/>
  <c r="C136" i="65" s="1"/>
  <c r="E80" i="65"/>
  <c r="G80" i="65" s="1"/>
  <c r="E23" i="65"/>
  <c r="G23" i="65" s="1"/>
  <c r="E189" i="65" l="1"/>
  <c r="G189" i="65" s="1"/>
  <c r="E135" i="65"/>
  <c r="G135" i="65" s="1"/>
  <c r="D81" i="65"/>
  <c r="H81" i="65" s="1"/>
  <c r="C82" i="65" s="1"/>
  <c r="D24" i="65"/>
  <c r="H24" i="65" s="1"/>
  <c r="C25" i="65" s="1"/>
  <c r="D190" i="65" l="1"/>
  <c r="H190" i="65" s="1"/>
  <c r="C191" i="65" s="1"/>
  <c r="D136" i="65"/>
  <c r="H136" i="65" s="1"/>
  <c r="C137" i="65" s="1"/>
  <c r="E81" i="65"/>
  <c r="G81" i="65" s="1"/>
  <c r="E24" i="65"/>
  <c r="G24" i="65" s="1"/>
  <c r="C252" i="65" l="1"/>
  <c r="H11" i="15" s="1"/>
  <c r="E190" i="65"/>
  <c r="G190" i="65" s="1"/>
  <c r="E136" i="65"/>
  <c r="G136" i="65" s="1"/>
  <c r="D82" i="65"/>
  <c r="H82" i="65" s="1"/>
  <c r="C83" i="65" s="1"/>
  <c r="D25" i="65"/>
  <c r="H25" i="65" s="1"/>
  <c r="C26" i="65" s="1"/>
  <c r="D252" i="65" l="1"/>
  <c r="H13" i="15" s="1"/>
  <c r="G252" i="65"/>
  <c r="E252" i="65"/>
  <c r="D191" i="65"/>
  <c r="H191" i="65" s="1"/>
  <c r="C192" i="65" s="1"/>
  <c r="D137" i="65"/>
  <c r="H137" i="65" s="1"/>
  <c r="C138" i="65" s="1"/>
  <c r="E82" i="65"/>
  <c r="G82" i="65" s="1"/>
  <c r="E25" i="65"/>
  <c r="G25" i="65" s="1"/>
  <c r="E191" i="65" l="1"/>
  <c r="G191" i="65" s="1"/>
  <c r="E137" i="65"/>
  <c r="G137" i="65" s="1"/>
  <c r="D83" i="65"/>
  <c r="H83" i="65" s="1"/>
  <c r="C84" i="65" s="1"/>
  <c r="D26" i="65"/>
  <c r="H26" i="65" s="1"/>
  <c r="C27" i="65" s="1"/>
  <c r="D192" i="65" l="1"/>
  <c r="H192" i="65" s="1"/>
  <c r="C193" i="65" s="1"/>
  <c r="D138" i="65"/>
  <c r="H138" i="65" s="1"/>
  <c r="C139" i="65" s="1"/>
  <c r="E83" i="65"/>
  <c r="G83" i="65" s="1"/>
  <c r="E26" i="65"/>
  <c r="G26" i="65" s="1"/>
  <c r="E192" i="65" l="1"/>
  <c r="G192" i="65" s="1"/>
  <c r="E138" i="65"/>
  <c r="G138" i="65" s="1"/>
  <c r="D84" i="65"/>
  <c r="E84" i="65" s="1"/>
  <c r="C86" i="65"/>
  <c r="D27" i="65"/>
  <c r="E27" i="65" s="1"/>
  <c r="E29" i="65" s="1"/>
  <c r="C29" i="65"/>
  <c r="J60" i="20"/>
  <c r="I60" i="20"/>
  <c r="G60" i="20"/>
  <c r="F60" i="20"/>
  <c r="F37" i="16"/>
  <c r="F29" i="16"/>
  <c r="F19" i="16"/>
  <c r="F41" i="16"/>
  <c r="F40" i="16"/>
  <c r="F39" i="16"/>
  <c r="H39" i="16" s="1"/>
  <c r="F38" i="16"/>
  <c r="F35" i="16"/>
  <c r="F34" i="16"/>
  <c r="F33" i="16"/>
  <c r="F32" i="16"/>
  <c r="F31" i="16"/>
  <c r="F30" i="16"/>
  <c r="F28" i="16"/>
  <c r="F27" i="16"/>
  <c r="F26" i="16"/>
  <c r="F25" i="16"/>
  <c r="F24" i="16"/>
  <c r="F23" i="16"/>
  <c r="F22" i="16"/>
  <c r="F21" i="16"/>
  <c r="F20" i="16"/>
  <c r="F12" i="16"/>
  <c r="F11" i="16"/>
  <c r="H11" i="16" s="1"/>
  <c r="F10" i="16"/>
  <c r="H7" i="63"/>
  <c r="H5" i="63"/>
  <c r="H4" i="63"/>
  <c r="H3" i="63"/>
  <c r="G7" i="63"/>
  <c r="G5" i="63"/>
  <c r="G4" i="63"/>
  <c r="E6" i="63"/>
  <c r="E5" i="63"/>
  <c r="E4" i="63"/>
  <c r="M33" i="61"/>
  <c r="N33" i="61"/>
  <c r="O33" i="61"/>
  <c r="P33" i="61"/>
  <c r="Q33" i="61"/>
  <c r="L33" i="61"/>
  <c r="C16" i="61"/>
  <c r="F51" i="16" l="1"/>
  <c r="M48" i="16"/>
  <c r="D5" i="63"/>
  <c r="C3" i="63"/>
  <c r="D193" i="65"/>
  <c r="C195" i="65"/>
  <c r="D139" i="65"/>
  <c r="C141" i="65"/>
  <c r="D86" i="65"/>
  <c r="H84" i="65"/>
  <c r="G84" i="65"/>
  <c r="G86" i="65" s="1"/>
  <c r="E86" i="65"/>
  <c r="G27" i="65"/>
  <c r="G29" i="65" s="1"/>
  <c r="D29" i="65"/>
  <c r="H27" i="65"/>
  <c r="C4" i="63"/>
  <c r="H10" i="63"/>
  <c r="H17" i="16"/>
  <c r="H19" i="16"/>
  <c r="H20" i="16"/>
  <c r="H18" i="16"/>
  <c r="H45" i="16"/>
  <c r="H46" i="16"/>
  <c r="I7" i="63"/>
  <c r="I10" i="63" s="1"/>
  <c r="J7" i="63"/>
  <c r="J10" i="63" s="1"/>
  <c r="G3" i="63"/>
  <c r="D6" i="63"/>
  <c r="K6" i="63" s="1"/>
  <c r="D4" i="63"/>
  <c r="D3" i="63"/>
  <c r="C7" i="63"/>
  <c r="C5" i="63"/>
  <c r="H27" i="62"/>
  <c r="H47" i="16"/>
  <c r="F15" i="27"/>
  <c r="D16" i="61"/>
  <c r="I16" i="61" s="1"/>
  <c r="C17" i="61" s="1"/>
  <c r="G29" i="61"/>
  <c r="F29" i="61"/>
  <c r="B29" i="61"/>
  <c r="H44" i="16"/>
  <c r="H33" i="16"/>
  <c r="H32" i="16"/>
  <c r="H29" i="16"/>
  <c r="H25" i="16"/>
  <c r="H23" i="16"/>
  <c r="H14" i="16"/>
  <c r="H15" i="16"/>
  <c r="H16" i="16"/>
  <c r="H10" i="16"/>
  <c r="H30" i="16"/>
  <c r="G8" i="27"/>
  <c r="H42" i="16"/>
  <c r="J15" i="16" s="1"/>
  <c r="C10" i="57" s="1"/>
  <c r="H43" i="16"/>
  <c r="H12" i="16"/>
  <c r="H13" i="16"/>
  <c r="H21" i="16"/>
  <c r="H22" i="16"/>
  <c r="H24" i="16"/>
  <c r="H26" i="16"/>
  <c r="H27" i="16"/>
  <c r="H28" i="16"/>
  <c r="H31" i="16"/>
  <c r="H34" i="16"/>
  <c r="H35" i="16"/>
  <c r="H37" i="16"/>
  <c r="H38" i="16"/>
  <c r="H40" i="16"/>
  <c r="H41" i="16"/>
  <c r="N88" i="12"/>
  <c r="G13" i="27"/>
  <c r="G9" i="27"/>
  <c r="G10" i="27"/>
  <c r="G11" i="27"/>
  <c r="G12" i="27"/>
  <c r="G14" i="27"/>
  <c r="C197" i="65" l="1"/>
  <c r="J16" i="16"/>
  <c r="C11" i="57" s="1"/>
  <c r="J12" i="16"/>
  <c r="J13" i="16"/>
  <c r="C13" i="57"/>
  <c r="J17" i="16"/>
  <c r="L67" i="20"/>
  <c r="F62" i="16"/>
  <c r="F64" i="16" s="1"/>
  <c r="H9" i="16"/>
  <c r="E16" i="61"/>
  <c r="H16" i="61" s="1"/>
  <c r="G51" i="16"/>
  <c r="D46" i="67" s="1"/>
  <c r="D5" i="67" s="1"/>
  <c r="C7" i="57"/>
  <c r="J14" i="16"/>
  <c r="C9" i="57" s="1"/>
  <c r="C8" i="57"/>
  <c r="D195" i="65"/>
  <c r="D197" i="65" s="1"/>
  <c r="H15" i="15" s="1"/>
  <c r="H193" i="65"/>
  <c r="E193" i="65"/>
  <c r="D141" i="65"/>
  <c r="H139" i="65"/>
  <c r="E139" i="65"/>
  <c r="H12" i="63"/>
  <c r="G16" i="27"/>
  <c r="E51" i="16"/>
  <c r="C10" i="63"/>
  <c r="G10" i="63"/>
  <c r="G15" i="27"/>
  <c r="D10" i="63"/>
  <c r="K4" i="63"/>
  <c r="J10" i="16" l="1"/>
  <c r="C6" i="57" s="1"/>
  <c r="C15" i="57" s="1"/>
  <c r="I71" i="58"/>
  <c r="D60" i="16"/>
  <c r="D61" i="16" s="1"/>
  <c r="H51" i="16"/>
  <c r="H53" i="16"/>
  <c r="L87" i="12"/>
  <c r="L89" i="12" s="1"/>
  <c r="C311" i="65"/>
  <c r="H12" i="15"/>
  <c r="G193" i="65"/>
  <c r="G195" i="65" s="1"/>
  <c r="E195" i="65"/>
  <c r="G139" i="65"/>
  <c r="G141" i="65" s="1"/>
  <c r="E141" i="65"/>
  <c r="D17" i="61"/>
  <c r="D3" i="67" l="1"/>
  <c r="E79" i="67" s="1"/>
  <c r="E80" i="67" s="1"/>
  <c r="K9" i="15"/>
  <c r="F5" i="63"/>
  <c r="K5" i="63" s="1"/>
  <c r="D311" i="65"/>
  <c r="H311" i="65" s="1"/>
  <c r="H312" i="65" s="1"/>
  <c r="K11" i="15"/>
  <c r="E311" i="65"/>
  <c r="I17" i="61"/>
  <c r="C18" i="61" s="1"/>
  <c r="E17" i="61"/>
  <c r="H19" i="15" l="1"/>
  <c r="C25" i="57" s="1"/>
  <c r="F8" i="63"/>
  <c r="K8" i="63" s="1"/>
  <c r="H17" i="61"/>
  <c r="I72" i="58" l="1"/>
  <c r="I73" i="58" s="1"/>
  <c r="D53" i="16"/>
  <c r="D4" i="67" s="1"/>
  <c r="K12" i="15"/>
  <c r="H22" i="15"/>
  <c r="F10" i="63"/>
  <c r="D18" i="61"/>
  <c r="I18" i="61" l="1"/>
  <c r="C19" i="61" s="1"/>
  <c r="E18" i="61"/>
  <c r="E9" i="63" l="1"/>
  <c r="K9" i="63" s="1"/>
  <c r="F72" i="58"/>
  <c r="H18" i="61"/>
  <c r="E7" i="63" l="1"/>
  <c r="D19" i="61"/>
  <c r="E19" i="61" s="1"/>
  <c r="K7" i="63" l="1"/>
  <c r="H19" i="61"/>
  <c r="I19" i="61"/>
  <c r="C20" i="61" s="1"/>
  <c r="D20" i="61" l="1"/>
  <c r="E20" i="61" s="1"/>
  <c r="H20" i="61" l="1"/>
  <c r="I20" i="61"/>
  <c r="C21" i="61" s="1"/>
  <c r="D21" i="61" l="1"/>
  <c r="E21" i="61" s="1"/>
  <c r="H21" i="61" l="1"/>
  <c r="I21" i="61"/>
  <c r="C22" i="61" s="1"/>
  <c r="D22" i="61" l="1"/>
  <c r="I22" i="61" s="1"/>
  <c r="C23" i="61" s="1"/>
  <c r="E22" i="61" l="1"/>
  <c r="H22" i="61" s="1"/>
  <c r="D23" i="61" l="1"/>
  <c r="I23" i="61" s="1"/>
  <c r="C24" i="61" s="1"/>
  <c r="E23" i="61" l="1"/>
  <c r="H23" i="61" s="1"/>
  <c r="D24" i="61" l="1"/>
  <c r="I24" i="61" s="1"/>
  <c r="C25" i="61" s="1"/>
  <c r="E24" i="61" l="1"/>
  <c r="H24" i="61" s="1"/>
  <c r="D25" i="61" l="1"/>
  <c r="I25" i="61" s="1"/>
  <c r="C26" i="61" s="1"/>
  <c r="E25" i="61" l="1"/>
  <c r="H25" i="61" s="1"/>
  <c r="D26" i="61" l="1"/>
  <c r="I26" i="61" s="1"/>
  <c r="C27" i="61" s="1"/>
  <c r="E26" i="61" l="1"/>
  <c r="H26" i="61" s="1"/>
  <c r="D27" i="61" l="1"/>
  <c r="E27" i="61" s="1"/>
  <c r="C29" i="61"/>
  <c r="H27" i="61" l="1"/>
  <c r="H29" i="61" s="1"/>
  <c r="E29" i="61"/>
  <c r="D29" i="61"/>
  <c r="I27" i="61"/>
  <c r="G78" i="67"/>
  <c r="G79" i="67" s="1"/>
  <c r="BB8" i="67"/>
  <c r="BB78" i="67" s="1"/>
  <c r="AY81" i="67" s="1"/>
  <c r="F77" i="67" l="1"/>
  <c r="G10" i="58"/>
  <c r="I10" i="58" l="1"/>
  <c r="G69" i="58"/>
  <c r="J69" i="58" s="1"/>
  <c r="J10" i="58"/>
  <c r="L12" i="58" l="1"/>
  <c r="E3" i="63"/>
  <c r="I69" i="58"/>
  <c r="I76" i="58" s="1"/>
  <c r="L10" i="58"/>
  <c r="E10" i="63" l="1"/>
  <c r="K3" i="63"/>
  <c r="C19" i="57"/>
  <c r="C27" i="57" s="1"/>
  <c r="D30" i="57" s="1"/>
  <c r="L18" i="58"/>
  <c r="E12" i="63" l="1"/>
  <c r="K10" i="6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P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<sst xmlns="http://schemas.openxmlformats.org/spreadsheetml/2006/main" count="1452" uniqueCount="610">
  <si>
    <t>ESTRUCTURA PRESUPUESTARIA</t>
  </si>
  <si>
    <t>3. HISTORIAL DE SALDOS BANCARIOS</t>
  </si>
  <si>
    <t>1. ESTRUCTURA PRESUPUESTARIA APROBADA</t>
  </si>
  <si>
    <t>1. BASE DE GENERACION DE AVISOS DE CONTRIBUYENTES</t>
  </si>
  <si>
    <t>2. HISTORIAL DE RECUPERACION DE MOROSIDAD</t>
  </si>
  <si>
    <t>4. TRANSFERENCIAS GOES</t>
  </si>
  <si>
    <t>5. INFORME DE CREDITOS SOLICITADOS</t>
  </si>
  <si>
    <t>6. DONACIONES</t>
  </si>
  <si>
    <t>2. NOMINA DE SALARIOS</t>
  </si>
  <si>
    <t>3. PLAN DE COMPRAS (BIENES Y SERVICIOS)</t>
  </si>
  <si>
    <t>2. AMORTIZACION DE LA DEUDA PUBLICA MUNICIPAL</t>
  </si>
  <si>
    <t>(En Dolares de los Estados Unidos de America)</t>
  </si>
  <si>
    <t>FORMULACION DEL PRESUPUESTO MUNICIPAL DE EGRESOS</t>
  </si>
  <si>
    <t>(En Dolares de los Estados Unidos de América)</t>
  </si>
  <si>
    <t>INSUMOS BASICOS:</t>
  </si>
  <si>
    <t>PRESUPUESTO MUNICIPAL DE FUNCIONAMIENTO POR ESTRUCTURA PRESUPUESTARIA</t>
  </si>
  <si>
    <t>DETALLE CONSOLIDADO DE INGRESOS POR ESPECIFICO Y FUENTE DE FINANCIAMIENTO</t>
  </si>
  <si>
    <t>11801</t>
  </si>
  <si>
    <t>De Comercio</t>
  </si>
  <si>
    <t>11802</t>
  </si>
  <si>
    <t>De Industria</t>
  </si>
  <si>
    <t>11804</t>
  </si>
  <si>
    <t>De Servicios</t>
  </si>
  <si>
    <t>12109</t>
  </si>
  <si>
    <t>Aseo Público</t>
  </si>
  <si>
    <t>Alumbrado Público</t>
  </si>
  <si>
    <t>12211</t>
  </si>
  <si>
    <t>Cotejo de Fierros</t>
  </si>
  <si>
    <t>14299</t>
  </si>
  <si>
    <t>Servicios Diversos</t>
  </si>
  <si>
    <t>15301</t>
  </si>
  <si>
    <t>Multa por Mora de Impuestos</t>
  </si>
  <si>
    <t>Intereses por Mora de Impuestos</t>
  </si>
  <si>
    <t>15302</t>
  </si>
  <si>
    <t>16201</t>
  </si>
  <si>
    <t>22201</t>
  </si>
  <si>
    <t>51101</t>
  </si>
  <si>
    <t>Sueldos</t>
  </si>
  <si>
    <t>Aguinaldos</t>
  </si>
  <si>
    <t>Por Remuneraciones Permanentes</t>
  </si>
  <si>
    <t>Productos Alimenticios para Personas</t>
  </si>
  <si>
    <t>Productos de papel y Carton</t>
  </si>
  <si>
    <t>Combustibles y Lubricantes</t>
  </si>
  <si>
    <t>Materiales de Oficina</t>
  </si>
  <si>
    <t>Servicios de Energia Electrica</t>
  </si>
  <si>
    <t>Servicios de Agua</t>
  </si>
  <si>
    <t>Servicios de Telecomunicaciones</t>
  </si>
  <si>
    <t>Miner. Metalicos y Prod. Der.</t>
  </si>
  <si>
    <t>Miner. No Metalicos y Prod. Der.</t>
  </si>
  <si>
    <t>01</t>
  </si>
  <si>
    <t>2</t>
  </si>
  <si>
    <t>1</t>
  </si>
  <si>
    <t>110</t>
  </si>
  <si>
    <t>03</t>
  </si>
  <si>
    <t>111</t>
  </si>
  <si>
    <t>FUENTE O SUBFUENTE DE FINANCIAMIENTO: Recursos Propios</t>
  </si>
  <si>
    <t>000</t>
  </si>
  <si>
    <t>05</t>
  </si>
  <si>
    <t>Vialidades</t>
  </si>
  <si>
    <t>12111</t>
  </si>
  <si>
    <t>Cementerios Municipales</t>
  </si>
  <si>
    <t>12114</t>
  </si>
  <si>
    <t>Fiestas Patronales</t>
  </si>
  <si>
    <t>12117</t>
  </si>
  <si>
    <t>Pavimentacion</t>
  </si>
  <si>
    <t>12118</t>
  </si>
  <si>
    <t>Postes, Torres y Antenas</t>
  </si>
  <si>
    <t>12119</t>
  </si>
  <si>
    <t>Rastro y Tiangue</t>
  </si>
  <si>
    <t>15703</t>
  </si>
  <si>
    <t>Rentabilidad de cuentas bancarias</t>
  </si>
  <si>
    <t>15799</t>
  </si>
  <si>
    <t>Ingresos Diversos</t>
  </si>
  <si>
    <t>FISDL/PFGL</t>
  </si>
  <si>
    <t>55302</t>
  </si>
  <si>
    <t>Dietas</t>
  </si>
  <si>
    <t>Transportes, Fletes y mantenimientos</t>
  </si>
  <si>
    <t>Servicios de Publicidad</t>
  </si>
  <si>
    <t>Servicios Generales y arrendamientos div</t>
  </si>
  <si>
    <t>Servicios Juridicos</t>
  </si>
  <si>
    <t>Materiales Informaticos</t>
  </si>
  <si>
    <t>Atenciones oficiales</t>
  </si>
  <si>
    <t>TOTAL FONDOS PROPIOS</t>
  </si>
  <si>
    <t>Especies Municipales Diversas</t>
  </si>
  <si>
    <t>Atenciones Oficiales</t>
  </si>
  <si>
    <t>Servicios de Contabilidad y Auditoria</t>
  </si>
  <si>
    <t>Derechos</t>
  </si>
  <si>
    <t>Comisiones y Gastos bancarios</t>
  </si>
  <si>
    <t>Multas y costas judiciales</t>
  </si>
  <si>
    <t>Transportes Fletes y almacenamientos</t>
  </si>
  <si>
    <t>32102</t>
  </si>
  <si>
    <t>Cuentas por cobrar de años anteriores</t>
  </si>
  <si>
    <t>0301</t>
  </si>
  <si>
    <t>0501</t>
  </si>
  <si>
    <t>Línea de Trabajo</t>
  </si>
  <si>
    <t>Nombre</t>
  </si>
  <si>
    <t>Cargo o Puesto</t>
  </si>
  <si>
    <t>Sistema de Remuneración</t>
  </si>
  <si>
    <t>Salarios</t>
  </si>
  <si>
    <t>Mesual</t>
  </si>
  <si>
    <t>Anual</t>
  </si>
  <si>
    <t>0101</t>
  </si>
  <si>
    <t>Sub-Total Línea de Trabajo 0101</t>
  </si>
  <si>
    <t>CONTRATOS</t>
  </si>
  <si>
    <t>Materiales Electricos</t>
  </si>
  <si>
    <t>15314</t>
  </si>
  <si>
    <t>Otras multas municipales</t>
  </si>
  <si>
    <t>Primas y gastos de seguro de personas</t>
  </si>
  <si>
    <t>0302</t>
  </si>
  <si>
    <t>CONCEPTO</t>
  </si>
  <si>
    <t>21</t>
  </si>
  <si>
    <t>GASTOS CORRIENTES</t>
  </si>
  <si>
    <t>22</t>
  </si>
  <si>
    <t>GASTOS DE CAPITAL</t>
  </si>
  <si>
    <t>23</t>
  </si>
  <si>
    <t>APLICACIONES FINANCIERAS</t>
  </si>
  <si>
    <t>12210</t>
  </si>
  <si>
    <t xml:space="preserve"> Objeto Específico</t>
  </si>
  <si>
    <t>DENOMINACION</t>
  </si>
  <si>
    <t xml:space="preserve"> FODES</t>
  </si>
  <si>
    <t xml:space="preserve"> Fondo General</t>
  </si>
  <si>
    <t>OTROS</t>
  </si>
  <si>
    <t>Fondos Propios</t>
  </si>
  <si>
    <t xml:space="preserve"> T O T A L  </t>
  </si>
  <si>
    <t>Funcionamiento 25%</t>
  </si>
  <si>
    <t>Inversión 75%</t>
  </si>
  <si>
    <t>11808</t>
  </si>
  <si>
    <t>Centros de Enseñanza</t>
  </si>
  <si>
    <t>11810</t>
  </si>
  <si>
    <t>11817</t>
  </si>
  <si>
    <t>Hoteles, Moteles y Similares</t>
  </si>
  <si>
    <t>Vallas Publicitarias</t>
  </si>
  <si>
    <t>12112</t>
  </si>
  <si>
    <t>Desechos</t>
  </si>
  <si>
    <t>12115</t>
  </si>
  <si>
    <t>Mercados</t>
  </si>
  <si>
    <t>Permisos y Licencias Municipales</t>
  </si>
  <si>
    <t>12122</t>
  </si>
  <si>
    <t>14201</t>
  </si>
  <si>
    <t>Servicios Básicos</t>
  </si>
  <si>
    <t>De Empresas Públicas Financieras</t>
  </si>
  <si>
    <t>Linea de Trabajo</t>
  </si>
  <si>
    <t>AREA DE GESTIÓN</t>
  </si>
  <si>
    <t>1 - CONDUCCION ADMINISTRATIVA</t>
  </si>
  <si>
    <t>3 - DESARROLLO SOCIAL</t>
  </si>
  <si>
    <t>SERVICIO DE LA DEUDA MUNICIPAL</t>
  </si>
  <si>
    <t>5- DEUDA PUBICA</t>
  </si>
  <si>
    <t>CLASIFICACION ECONOMICA DEL GASTO</t>
  </si>
  <si>
    <t>FUENTES DE FINANCIAM.</t>
  </si>
  <si>
    <t>1 FONDOS GENERAL</t>
  </si>
  <si>
    <t>2 FONDOS PROPIOS</t>
  </si>
  <si>
    <t>5 DONACIONES</t>
  </si>
  <si>
    <t>RUBRO DE AGRUPACION</t>
  </si>
  <si>
    <t>MONTO PRESUPUESTADO</t>
  </si>
  <si>
    <t>IMPUESTOS</t>
  </si>
  <si>
    <t>TASAS Y DERECHOS</t>
  </si>
  <si>
    <t>VENTA DE BIENES Y SERVICIOS</t>
  </si>
  <si>
    <t>INGRESOS FINANCIEROS Y OTROS</t>
  </si>
  <si>
    <t>TRANSFERENCIAS DE CAPITAL</t>
  </si>
  <si>
    <t>TRANSFERENCIAS CORRIENTES</t>
  </si>
  <si>
    <t>SALDO DE AÑOS ANTERIORES</t>
  </si>
  <si>
    <t>TOTAL INGRESOS</t>
  </si>
  <si>
    <t>TOTAL EGRESOS</t>
  </si>
  <si>
    <t>REMUNERACIONES</t>
  </si>
  <si>
    <t>ADQUISICION DE BIENES Y SERVICIOS</t>
  </si>
  <si>
    <t>GASTOS FINANCIEROS Y OTROS</t>
  </si>
  <si>
    <t>AMORTIZACION DE ENDEUDAMIENTO PUBLICO</t>
  </si>
  <si>
    <t>CUENTAS POR PAGAR DE AÑOS ANTERIORES.</t>
  </si>
  <si>
    <t>31304</t>
  </si>
  <si>
    <t xml:space="preserve"> Area de Gestión</t>
  </si>
  <si>
    <t xml:space="preserve"> Unidd Presupuestaria</t>
  </si>
  <si>
    <t xml:space="preserve"> Linea de Trabajo</t>
  </si>
  <si>
    <t xml:space="preserve"> Fuente de Financiamiento</t>
  </si>
  <si>
    <t xml:space="preserve"> Subfuente de Financiamiento</t>
  </si>
  <si>
    <t>Objeto Específico</t>
  </si>
  <si>
    <t>DENOMINACIÓN</t>
  </si>
  <si>
    <t>FONDOS 75%</t>
  </si>
  <si>
    <t>Fuente de Financiamiento</t>
  </si>
  <si>
    <t xml:space="preserve"> DENOMINACIÓN</t>
  </si>
  <si>
    <t xml:space="preserve"> MONTO</t>
  </si>
  <si>
    <t>Subfuente de Financiamiento</t>
  </si>
  <si>
    <t>Cálculo de intereses sobre saldo y distribución de cuota fija por prestamo bancario</t>
  </si>
  <si>
    <t xml:space="preserve">Capital </t>
  </si>
  <si>
    <t>$</t>
  </si>
  <si>
    <t>Saldo Inic</t>
  </si>
  <si>
    <t>Tasa de ints</t>
  </si>
  <si>
    <t>Comisión ISDEM</t>
  </si>
  <si>
    <t>Mensual</t>
  </si>
  <si>
    <t xml:space="preserve">Cuota fija </t>
  </si>
  <si>
    <t>Prestamo</t>
  </si>
  <si>
    <t>Retención ISDEM</t>
  </si>
  <si>
    <t>Caja de Crédito</t>
  </si>
  <si>
    <t xml:space="preserve">Cuota Fija </t>
  </si>
  <si>
    <t>Comisión por</t>
  </si>
  <si>
    <t xml:space="preserve">Otro </t>
  </si>
  <si>
    <t xml:space="preserve">Saldo Capital </t>
  </si>
  <si>
    <t xml:space="preserve">FECHA </t>
  </si>
  <si>
    <t xml:space="preserve">DIAS </t>
  </si>
  <si>
    <t xml:space="preserve">CAPITAL </t>
  </si>
  <si>
    <t>de Préstamo</t>
  </si>
  <si>
    <t xml:space="preserve">Ser Garante </t>
  </si>
  <si>
    <t>Descuento</t>
  </si>
  <si>
    <t>de Prestamo</t>
  </si>
  <si>
    <t>Departamento de Chalatenango</t>
  </si>
  <si>
    <t>INTS. 7.5%</t>
  </si>
  <si>
    <t>Total por Año</t>
  </si>
  <si>
    <t>Salarios por Jornal</t>
  </si>
  <si>
    <t>Productos Textiles y Vestuarios</t>
  </si>
  <si>
    <t>Productos de cuero y Caucho</t>
  </si>
  <si>
    <t>Productos Quimicos</t>
  </si>
  <si>
    <t>Llantas y Neumaticos</t>
  </si>
  <si>
    <t>Minerales no Metalicos y Prod. Derivados</t>
  </si>
  <si>
    <t>Minerales Metalicos y Prod. Derivados</t>
  </si>
  <si>
    <t>Herramientas, Rep. y Accesorios</t>
  </si>
  <si>
    <t>Bienes de Uso y Consumo Diversos</t>
  </si>
  <si>
    <t>Mant.  Reparaciones de Bienes Muebles</t>
  </si>
  <si>
    <t>Mant. Reparaciones de Vehiculos</t>
  </si>
  <si>
    <t>Mant. Reparaciones de Bienes Inmuebles</t>
  </si>
  <si>
    <t>Servicios de Alimentación</t>
  </si>
  <si>
    <t>Comisiones y Gastos Bancarios</t>
  </si>
  <si>
    <t>Multas y Costas Procesales</t>
  </si>
  <si>
    <t>Bienes Muebles Diversos</t>
  </si>
  <si>
    <t>Mobiliarios</t>
  </si>
  <si>
    <t>Remuneraciones Diversas</t>
  </si>
  <si>
    <t>51202</t>
  </si>
  <si>
    <t>PRESUPUESTO MUNICIPAL DE EGRESOS</t>
  </si>
  <si>
    <t>PRESUPUESTO MUNICIPAL DE INVERSION POR ESTRUCTURA PRESUPUESTARIA</t>
  </si>
  <si>
    <t>Productos Agropecuarios y Forestales</t>
  </si>
  <si>
    <t>Productos de Cuero y Caucho</t>
  </si>
  <si>
    <t>Servicios de públicidad</t>
  </si>
  <si>
    <t>Impresiones, Publicaciones y Reproducc.</t>
  </si>
  <si>
    <t>Arrendamiento de Bienes Muebles</t>
  </si>
  <si>
    <t>Servicios Generales y Arrendamientos Diversos</t>
  </si>
  <si>
    <t>Servicios de Capacitación</t>
  </si>
  <si>
    <t>Estudios e Investigaciones</t>
  </si>
  <si>
    <t>Consultorias, Estudios e Investigaciones</t>
  </si>
  <si>
    <t>Deposito de Desechos</t>
  </si>
  <si>
    <t>Moviliarios</t>
  </si>
  <si>
    <t>Maquinarias y Equipos</t>
  </si>
  <si>
    <t>Proy. Programas de Inversión Div.</t>
  </si>
  <si>
    <t>De Producción de Bienes y Servicios</t>
  </si>
  <si>
    <t>Supervisión de Infraestructura</t>
  </si>
  <si>
    <t>Obras de Infraestrutura Diversas</t>
  </si>
  <si>
    <t>Bienes de Consumo DiversoS</t>
  </si>
  <si>
    <t>112</t>
  </si>
  <si>
    <t>POR RUBROS</t>
  </si>
  <si>
    <t>FODES 25%</t>
  </si>
  <si>
    <t xml:space="preserve">DEUDA </t>
  </si>
  <si>
    <t>FODES 75%</t>
  </si>
  <si>
    <t>PRESTAMO</t>
  </si>
  <si>
    <t>DONACION</t>
  </si>
  <si>
    <t>TOTALES</t>
  </si>
  <si>
    <t>32101</t>
  </si>
  <si>
    <t>Saldo inicial en Caja</t>
  </si>
  <si>
    <t>32201</t>
  </si>
  <si>
    <t>ALCALDIA MUNICIPAL DE SAN JOSE CANCASQUE</t>
  </si>
  <si>
    <t>31308</t>
  </si>
  <si>
    <t>De Empresas Privadas Financieras</t>
  </si>
  <si>
    <t>Saldo Inicial en Bancos</t>
  </si>
  <si>
    <t>Transfer. Corrientes del Sector Publico</t>
  </si>
  <si>
    <t>Por Expedic. Documentos de Identif.</t>
  </si>
  <si>
    <t>Por Prestación de Servicios en el Pais</t>
  </si>
  <si>
    <t>Viaticos por comisión Interna</t>
  </si>
  <si>
    <t>A Personas Naturales</t>
  </si>
  <si>
    <t>Herramientas, Repuestos y Acces.</t>
  </si>
  <si>
    <t>Mtto. Reparación de Bienes</t>
  </si>
  <si>
    <t>Mtto. Reparación de Vehiculos</t>
  </si>
  <si>
    <t>Mtto. Reparación de Bienes Muebles</t>
  </si>
  <si>
    <t>Pasajes y Víaticos</t>
  </si>
  <si>
    <t>Bienes de Uso y Consumo Diverso</t>
  </si>
  <si>
    <t>Gastos Diversos</t>
  </si>
  <si>
    <t>55308</t>
  </si>
  <si>
    <t>71308</t>
  </si>
  <si>
    <t>De Empresas Privadas Finacieras</t>
  </si>
  <si>
    <t>51901</t>
  </si>
  <si>
    <t>Honorarios</t>
  </si>
  <si>
    <t>FUENTE O SUBFUENTE DE FINANCIAMIENTO: FONDO GENERAL, FISDL/KFWV</t>
  </si>
  <si>
    <t>ALCALDIA MUNICIPAL DE SAN JOSE CANCASQUE, CHALATENANGO</t>
  </si>
  <si>
    <t>PROYECCION  ANUAL DE DIETAS 2013</t>
  </si>
  <si>
    <t>FUENTE O SUBFUENTE DE FINANCIAMIENTO: FODES 25% FUNCIONAMIENTO</t>
  </si>
  <si>
    <t>FUENTE O SUBFUENTE DE FINANCIAMIENTO: FODES 75% INVERSION</t>
  </si>
  <si>
    <t>Ejercicio 2014</t>
  </si>
  <si>
    <t>CAJA DE CREDITO DE ZACATECOLUCA</t>
  </si>
  <si>
    <t>Fecha de Vencimiento</t>
  </si>
  <si>
    <t>Fecha de Contrato</t>
  </si>
  <si>
    <t>Total Cuota</t>
  </si>
  <si>
    <t xml:space="preserve">DISPONIBILIDADES INICIALES </t>
  </si>
  <si>
    <t>CUENTA</t>
  </si>
  <si>
    <t>FISDL/KFW</t>
  </si>
  <si>
    <t>Fondo Municipal</t>
  </si>
  <si>
    <t xml:space="preserve">FODES 5% Preinversión </t>
  </si>
  <si>
    <t>FODES 75% Ahorro</t>
  </si>
  <si>
    <t>Cta Ahorro FISDL/KFW</t>
  </si>
  <si>
    <t>Cta. Ahorro inversión Prestamo</t>
  </si>
  <si>
    <t>Disposicion final Des. Solidos</t>
  </si>
  <si>
    <t>Chapoda, Limpuieza Calle y Barrios</t>
  </si>
  <si>
    <t>Apoyo al Desarrollo Educ. Utiles escolares</t>
  </si>
  <si>
    <t>Recolección, Transporte Desechos Solidos</t>
  </si>
  <si>
    <t>Adquisición de Terreno</t>
  </si>
  <si>
    <t>Mejora alumb. Publico 2013</t>
  </si>
  <si>
    <t>FISDL Procumidad KFW</t>
  </si>
  <si>
    <t>Fomento al Des. Agicola</t>
  </si>
  <si>
    <t>Caminos Vecinales</t>
  </si>
  <si>
    <t>Tramo Calle Guillenes 13</t>
  </si>
  <si>
    <t>Compra Eq.Informatico</t>
  </si>
  <si>
    <t>Apoyo al Deporte 2013</t>
  </si>
  <si>
    <t>Cap. Asistencia Tec.25648</t>
  </si>
  <si>
    <t>Gestión de Riezgos</t>
  </si>
  <si>
    <t>Des. Act. Sociales y C.</t>
  </si>
  <si>
    <t>Cosntrucc. Muro C. Conc</t>
  </si>
  <si>
    <t>FISDL/PFGL C1</t>
  </si>
  <si>
    <t>FISDL/PFGL C2</t>
  </si>
  <si>
    <t>Mej. C. Salida Ctones Guillen</t>
  </si>
  <si>
    <t>Multas e Intereses Diversos</t>
  </si>
  <si>
    <t>Pasajes al Interior</t>
  </si>
  <si>
    <t>A organismos sin fines de lucro</t>
  </si>
  <si>
    <t>TOTAL   GASTOS POR EL SERVICIO DE LA DEUDA</t>
  </si>
  <si>
    <t>Herramientas, Repuestos y Accesorios</t>
  </si>
  <si>
    <t>Mantenimiento  y Repar. de Bienes  Muebles</t>
  </si>
  <si>
    <t>Mantenimiento y  Repararación de  Vehiculos</t>
  </si>
  <si>
    <t>Servicios de Limpieza y Fumigaciones</t>
  </si>
  <si>
    <t>Becas</t>
  </si>
  <si>
    <t>FP</t>
  </si>
  <si>
    <t>4 PRESTAMOS INTERNOS</t>
  </si>
  <si>
    <t>02</t>
  </si>
  <si>
    <t>TOTAL GASTOS FONDOS FISDL/KFW</t>
  </si>
  <si>
    <t>TOTAL GASTOS FODES INVERSION</t>
  </si>
  <si>
    <t>Objeto Especifico</t>
  </si>
  <si>
    <t>Baños y Lavaderos Públicos</t>
  </si>
  <si>
    <t>ESTIMACION PRESUPUESTARIA DE INGRESOS / FONDOS PROPIOS</t>
  </si>
  <si>
    <t>Multas por Registro Civil</t>
  </si>
  <si>
    <t>rubros</t>
  </si>
  <si>
    <t>montos</t>
  </si>
  <si>
    <t>TOTAL</t>
  </si>
  <si>
    <t>DIRECCION Y ADMINISTRACION MUNICIPAL</t>
  </si>
  <si>
    <t>0101 DIRECCION Y ADMINISTRACION SUPERIOR</t>
  </si>
  <si>
    <t>0102 ADMINISTRACION FINANCIERA Y TRIBUTARIA</t>
  </si>
  <si>
    <t>0201 SERVICIOS INTERNOS</t>
  </si>
  <si>
    <t>Servicios de Energía Electrica</t>
  </si>
  <si>
    <t>Al personal de servicios permanentes</t>
  </si>
  <si>
    <t>Beneficios Adicionales</t>
  </si>
  <si>
    <t>TOTALES POR LINEA DE TRABAJO</t>
  </si>
  <si>
    <t>TOTAL FODES 25%</t>
  </si>
  <si>
    <t>ADMINISTRACION FINANCIERA Y TRIBUTARIA</t>
  </si>
  <si>
    <t>0202 SERVICIOS EXTERNOS</t>
  </si>
  <si>
    <t>A Organismos sin fines de lucro</t>
  </si>
  <si>
    <t>Equipos Informáticos</t>
  </si>
  <si>
    <t>PRESUPUESTO MUNICIPAL SERVICIO DE LA DEUDA PUBLICA MUNICIPAL</t>
  </si>
  <si>
    <t>Total</t>
  </si>
  <si>
    <t>Fromula Factor Fijo</t>
  </si>
  <si>
    <t>0301 INFRAESTRUCTURA SOCIAL,         A.G. 3</t>
  </si>
  <si>
    <t>0302 PROGRAMAS DE DESARROLLO SOCIAL,       A.G. 3</t>
  </si>
  <si>
    <t>0102</t>
  </si>
  <si>
    <t>0201</t>
  </si>
  <si>
    <t>0202</t>
  </si>
  <si>
    <t>AMORTIZACION E INTERESES DE LA DEUDA PUBLICA MUNICIPAL</t>
  </si>
  <si>
    <t>INFRAESTRUCTURA SOCIAL</t>
  </si>
  <si>
    <t>SERVICIOS MUNICIPALES</t>
  </si>
  <si>
    <t>DIRECCION Y ADMINISTRACION SUPERIOR</t>
  </si>
  <si>
    <t>INVERSION E INFRAESTRUCTURA SOCIAL</t>
  </si>
  <si>
    <t>PROGRAMAS DE DESARROLLO SOCIAL</t>
  </si>
  <si>
    <t>TOTAL FODES</t>
  </si>
  <si>
    <t>DEUDA</t>
  </si>
  <si>
    <t>TOTAL FODES INVERSION</t>
  </si>
  <si>
    <t>Contribuciones patronales a Instit. Sector Publico</t>
  </si>
  <si>
    <t>Contrib. Patronales a institucionesl del Sector Priv.</t>
  </si>
  <si>
    <t>Servicios Energia Electrica</t>
  </si>
  <si>
    <t>INVERSIONES EN ACTIVOS FIJOS</t>
  </si>
  <si>
    <t>54303-mtto.rep.inmuebles</t>
  </si>
  <si>
    <t>deposito desechos</t>
  </si>
  <si>
    <t>matto.vehiculo</t>
  </si>
  <si>
    <t>llantas</t>
  </si>
  <si>
    <t>emergía eléctrica</t>
  </si>
  <si>
    <t>alumbrado público</t>
  </si>
  <si>
    <t>ser.publicidad</t>
  </si>
  <si>
    <t>fumigaciones</t>
  </si>
  <si>
    <t>Mantenimiento y  Rep. De Bienes Inmuebles</t>
  </si>
  <si>
    <t>prod.text.y vestuarios</t>
  </si>
  <si>
    <t>Produc.Quimicos</t>
  </si>
  <si>
    <t>Comis.Gastos Banc.</t>
  </si>
  <si>
    <t>Servicios Generales y Arrendam. Div.</t>
  </si>
  <si>
    <t xml:space="preserve">      </t>
  </si>
  <si>
    <t>Maquinaria y Equipos (61102)</t>
  </si>
  <si>
    <t>.</t>
  </si>
  <si>
    <t>aguinaldos</t>
  </si>
  <si>
    <t>Area de Gestion</t>
  </si>
  <si>
    <t xml:space="preserve"> Fuente de Recurso</t>
  </si>
  <si>
    <t>ALCALDIA MUNICIPAL DE ZARAGOZA</t>
  </si>
  <si>
    <t>DEPARTAMENTO DE  LA LIBERTAD</t>
  </si>
  <si>
    <t>Financieros</t>
  </si>
  <si>
    <t>Vialidad</t>
  </si>
  <si>
    <t>Por Serv. de Certif. o Visado de doc.</t>
  </si>
  <si>
    <t>Tasas Diversas</t>
  </si>
  <si>
    <t>Multas por Declaración Extemporanea</t>
  </si>
  <si>
    <t>0103</t>
  </si>
  <si>
    <t>UNIDADES ADMINISTRATIVAS DE APOYO</t>
  </si>
  <si>
    <t>0203</t>
  </si>
  <si>
    <t>ASEO PUBLICO</t>
  </si>
  <si>
    <t>SERVICIOS JURIDICOS</t>
  </si>
  <si>
    <t>SERVICIOS MUNICIPALES DIVERSOS</t>
  </si>
  <si>
    <t>Departamento de La Libertad</t>
  </si>
  <si>
    <t>BANCO IZALQUEÑO DE LOS TRABAJADORES</t>
  </si>
  <si>
    <t>CAJA DE CREDITO DE CONCEPCION BATRES</t>
  </si>
  <si>
    <t>CAJA DE CREDITO SANTIAGO NONUALCO</t>
  </si>
  <si>
    <t>ACACES DE R.L.</t>
  </si>
  <si>
    <t>0103 UNIDADES ADMINISTRATIVAS DE APOYO</t>
  </si>
  <si>
    <t>0203 SERVICIOS MUNICIPALES DIVERSOS</t>
  </si>
  <si>
    <t>0201 ASEO PUBLICO</t>
  </si>
  <si>
    <t>Horas Extraordinarias</t>
  </si>
  <si>
    <t>Por Prestación de Servicios en el Exterior</t>
  </si>
  <si>
    <t>Materiales de defensa y Seguridad Pública</t>
  </si>
  <si>
    <t>Servicios de Fumigaciones</t>
  </si>
  <si>
    <t>Servicios de Lavanderia y Planchado</t>
  </si>
  <si>
    <t>Arrendamientos de Bienes Muebles</t>
  </si>
  <si>
    <t>Limpieza de Calles</t>
  </si>
  <si>
    <t>Recoleccion de Desechos</t>
  </si>
  <si>
    <t>pfgl</t>
  </si>
  <si>
    <t>fc</t>
  </si>
  <si>
    <t>ejec.prest.</t>
  </si>
  <si>
    <t>0103 UNIDAD ADMINISTRATIVA DE APOYO</t>
  </si>
  <si>
    <t>Transf. Corrientes al Sector Publico</t>
  </si>
  <si>
    <t>DEPARTAMENTO DE LA LIBERTAD</t>
  </si>
  <si>
    <t>ALCALDIA MUNICIPAL ZARAGOZA</t>
  </si>
  <si>
    <t>Libros Textos, Utiles de Enseñanza y Publicac.</t>
  </si>
  <si>
    <t>libros, utiles de enseñanza y public.</t>
  </si>
  <si>
    <t>Recoleccion y transp basura</t>
  </si>
  <si>
    <t>Recoleccion y Transporte Desechos Solidos</t>
  </si>
  <si>
    <t>ALCALDIA MUNICIPAL DE ZARAGOZA, DEPARTAMENTO DE LA LIBERTAD</t>
  </si>
  <si>
    <t>isss</t>
  </si>
  <si>
    <t>afp</t>
  </si>
  <si>
    <t>Miner.meta. y prod.deriv</t>
  </si>
  <si>
    <t>Deudas años anteriores</t>
  </si>
  <si>
    <t>de educac y recreac</t>
  </si>
  <si>
    <t>Transferencias Corrientes al Sector Púb.</t>
  </si>
  <si>
    <t>ESTRUCT. PRESUPUEST.</t>
  </si>
  <si>
    <t>Libros, Textos, Utiles de Enseñanza y Publ.</t>
  </si>
  <si>
    <t>Impresiones, publicac. y reproducciones</t>
  </si>
  <si>
    <t xml:space="preserve">Amortiz. Estimada </t>
  </si>
  <si>
    <t>FIDEMUNI</t>
  </si>
  <si>
    <t>Mantto. Y Rep. De Vehículos</t>
  </si>
  <si>
    <t>56304-transf.personas naturales</t>
  </si>
  <si>
    <t>MOBILIARIOS (61101)</t>
  </si>
  <si>
    <t>Terrenos  (61201)</t>
  </si>
  <si>
    <t>Estudios de Preinversión (de Construcciones). (61501)</t>
  </si>
  <si>
    <t>Estudios de Preinversión  (proy.progr.divers). (61599)</t>
  </si>
  <si>
    <t>De Salud y Saneamiento Ambiental  (61602)</t>
  </si>
  <si>
    <t>De Educación y Recreación  (61603)</t>
  </si>
  <si>
    <t>Eléctricas y Comunicaciones  (61606)</t>
  </si>
  <si>
    <t>Supervición de Infraestructura (61608)</t>
  </si>
  <si>
    <t>Obras de Infraestructura Diversa  (11699)</t>
  </si>
  <si>
    <t>Vehículos de Transporte</t>
  </si>
  <si>
    <t>Primas y Gastos de Seguro de Bienes</t>
  </si>
  <si>
    <t>De Empresas Privadas no Financieras</t>
  </si>
  <si>
    <t>P R E S U P U E S T O   D E   I N G R E S O S</t>
  </si>
  <si>
    <t>P R E S U P U E S T O   D E   E G R E S O S</t>
  </si>
  <si>
    <t>55304</t>
  </si>
  <si>
    <t>71304</t>
  </si>
  <si>
    <t>5000</t>
  </si>
  <si>
    <t>140764.45</t>
  </si>
  <si>
    <t>8900</t>
  </si>
  <si>
    <t>3500</t>
  </si>
  <si>
    <t>Ctas. x cobrar de años anteriores</t>
  </si>
  <si>
    <t>(mora tributaria)</t>
  </si>
  <si>
    <t>Viaticos por comisión Externa</t>
  </si>
  <si>
    <t>Tasa de int.</t>
  </si>
  <si>
    <t xml:space="preserve"> Deuda Actual</t>
  </si>
  <si>
    <t>Intereses</t>
  </si>
  <si>
    <t>Capital</t>
  </si>
  <si>
    <t xml:space="preserve">Total </t>
  </si>
  <si>
    <t>P R O G R A M A S   D E   D E S A R R O L L O   S O C I A L</t>
  </si>
  <si>
    <t>AYUDA CON LAMINAS A FAMILIAS DE ESCASOS RECURSOS</t>
  </si>
  <si>
    <t>61105 veículos</t>
  </si>
  <si>
    <t>55602 seguros de bienes</t>
  </si>
  <si>
    <t>55307 intereses</t>
  </si>
  <si>
    <t>Primas y Gastos de Seguros de Bienes</t>
  </si>
  <si>
    <t>De empresas Privadas no Financieras (intereses)</t>
  </si>
  <si>
    <t>Cuentas por pagar de años anteriores</t>
  </si>
  <si>
    <t>Saldo estimado al 31/12/2018</t>
  </si>
  <si>
    <t>Saldo al 31/12/2019</t>
  </si>
  <si>
    <t>Amortización a Capital 2019 =</t>
  </si>
  <si>
    <t>Amortiz. Estimada 12/2018</t>
  </si>
  <si>
    <t>Por Remuneraciones Permanentes ISSS</t>
  </si>
  <si>
    <t>Por Remuneraciones Permanentes AFP</t>
  </si>
  <si>
    <t>PROGRAMA DE APOYO A LA CULTURA Y EL ARTE DEL MUNICIPIO DE ZARAGOZA</t>
  </si>
  <si>
    <t>Saldo al 26/12/2018</t>
  </si>
  <si>
    <t>Unidad Presupuestaria</t>
  </si>
  <si>
    <t xml:space="preserve"> </t>
  </si>
  <si>
    <t>Primas y Gastos de Seguro de Personas</t>
  </si>
  <si>
    <t>ISSS</t>
  </si>
  <si>
    <t>AFP</t>
  </si>
  <si>
    <t>61601 viales</t>
  </si>
  <si>
    <t>Preinversion</t>
  </si>
  <si>
    <t>PROGRAMA DE FOMENTO A LA EDUCACION EN EL MUN.DE ZARAGOZA</t>
  </si>
  <si>
    <t>presupuesto 2020</t>
  </si>
  <si>
    <t>PROGRAMA DE APOYO A LA AGRICULTURA DEL MUNICIPIO DE ZARAGOZA</t>
  </si>
  <si>
    <t>INGRESOS AÑOS ANTERIORES</t>
  </si>
  <si>
    <t>PROYECCION</t>
  </si>
  <si>
    <t xml:space="preserve">                                                                                                                                                 </t>
  </si>
  <si>
    <t>Contribucion Especial</t>
  </si>
  <si>
    <t>Saldo estimado al 31/11/2019</t>
  </si>
  <si>
    <t>EJERCICIO 2020</t>
  </si>
  <si>
    <t>Contribuciones Especiales</t>
  </si>
  <si>
    <t>DISPONIBILIDAD ANUAL FODES 75%</t>
  </si>
  <si>
    <t>Vehículos de Transporte (61105)</t>
  </si>
  <si>
    <t>PROGRAMA DE FORTALECIMIENTO A LOS DERECHOS DE LA MUJER</t>
  </si>
  <si>
    <t>ING. POR CONTRIB. ESPECIALES</t>
  </si>
  <si>
    <t>CUENTAS POR COBRAR DE AÑOS ANT.</t>
  </si>
  <si>
    <t>Amortiz. Estimada dic./2019</t>
  </si>
  <si>
    <t>PROYECTOS DE INFRAESTRUCTURA 75%</t>
  </si>
  <si>
    <t xml:space="preserve">  </t>
  </si>
  <si>
    <t>ESTRUCTURA PRESUPUESTARIA PARA EL EJERCICIO 2021</t>
  </si>
  <si>
    <t>PRESUPUESTO POR RUBROS DE AGRUPACION, EJERCICIO 2021</t>
  </si>
  <si>
    <t>PRESUPUESTO MUNICIPAL DE INGRESOS 2021</t>
  </si>
  <si>
    <t>EJERCICIO 2021</t>
  </si>
  <si>
    <t>Ejercicio 2021</t>
  </si>
  <si>
    <t>PRESUSPUESTO MUNICIPAL AÑO 2021   -   INVERSION FODES 75%</t>
  </si>
  <si>
    <t>CELEBRACION DIA DEL MAESTRO</t>
  </si>
  <si>
    <t>CELEBRACION DEL DIA DE LA MADRE</t>
  </si>
  <si>
    <t>CELEBRACION DE FIESTAS PATRONALES 2021</t>
  </si>
  <si>
    <t>PROGRAMA DE APOYO AL TURISMO LOCAL</t>
  </si>
  <si>
    <t>ASISTENCIA ALIMENTICIA PARA ADULTOS MAYORES DEL MUNICIPIO ZARAGOZA</t>
  </si>
  <si>
    <t>CELEBRACION DE FIESTAS NAVIDEÑAS Y COMPRA DE JUGUETES PARA LOS NIÑOS Y NIÑAS DEL MUNICIPIO DE ZARAGOZA</t>
  </si>
  <si>
    <t>CELEBRACION DEL DIA DEL ADULTO MAYOR</t>
  </si>
  <si>
    <t>RECOLECCION, TRANSPORTE Y DISPOSICION FINAL DESECHOS SOLIDOS 2021</t>
  </si>
  <si>
    <t>CELEBRACION, FIESTAS DE INDEPENDENCIA PATRIA 2021</t>
  </si>
  <si>
    <t>PROGRAMA DE PROTECCION AL MEDIO AMBIENTE Y SALUD PUBLICA DE LOS HABITANTES DE ZARAGOZA.</t>
  </si>
  <si>
    <t>PROGRAMA DE TALLERES VOCACIONALES Y CURSOS DE VERANO 2021</t>
  </si>
  <si>
    <t>CAMBIO DE PASTO SINTETICO EN CANCHAS DE FUTBOL DEL POLIDEPORTIVO DEL MUNICIPIO DE ZARAGOZA</t>
  </si>
  <si>
    <t>Saldo al 19/11/2020</t>
  </si>
  <si>
    <t>Saldo al 18/11/2020</t>
  </si>
  <si>
    <t>ISDEM</t>
  </si>
  <si>
    <t>Saldo al 08/12/2020</t>
  </si>
  <si>
    <t xml:space="preserve">  28/02/2021</t>
  </si>
  <si>
    <t>Amortiz. Estimada dic/2020</t>
  </si>
  <si>
    <t>Amortiz. Estimada dic./2020</t>
  </si>
  <si>
    <t>04</t>
  </si>
  <si>
    <t>71302</t>
  </si>
  <si>
    <t>De instituciones Descentralizadas no Financieras (cuota oip)</t>
  </si>
  <si>
    <t>De instituciones Descentralizadas no Financieras (préstamo isdem)</t>
  </si>
  <si>
    <t>Saldo al 01/01/2021</t>
  </si>
  <si>
    <t>Saldo nov./2020</t>
  </si>
  <si>
    <t>0202 - SERVICIOS JURIDICOS</t>
  </si>
  <si>
    <t>ALUMBRADO PUBLICO 2021</t>
  </si>
  <si>
    <t>Rec.Mora 3%</t>
  </si>
  <si>
    <t>PROGRAMA DE APOYO A LA NIÑEZ Y LA ADOLESCENCIA DEL MUNICIPIO DE ZARAAGOZA</t>
  </si>
  <si>
    <t>PAVIMENTACION DE 200 MTS CALLE PPAL DEL ZAITE #1, ZARAGOZA./2020</t>
  </si>
  <si>
    <t>PAVIMENTACION DE 200 MTS DE CALLE LOTIFICACION EL CORRALITO/2020</t>
  </si>
  <si>
    <t>PAVIMENTACION DE 300 MTS EN COLONIA QUINTA MIRAMAR, ZARAGOZA/2020</t>
  </si>
  <si>
    <t>PAVIMENTACION DEL PASAJE #4 COL LAS MARGARITAS, ZARAGOZA. /2020</t>
  </si>
  <si>
    <t>Viales  (61601) 2%</t>
  </si>
  <si>
    <t>PAVIMENTACION DEL FINAL DE LA CALLE PPAL DE LA COL ESMERALDITA#2, ZARAGOZA</t>
  </si>
  <si>
    <t>PAVIMENTACION VISTA HERMOSA #2</t>
  </si>
  <si>
    <t>PAVIMENTACION CALLE A BRISAS DE LAS MERCEDES</t>
  </si>
  <si>
    <t>CONSTRUCCION DE ALCANTARERA CANTON EL JIOTE, ZARAGOZA</t>
  </si>
  <si>
    <t>PAVIMENTACION DE PASAJES EN CORINTO #1, ZARAGOZA.</t>
  </si>
  <si>
    <t>CONSTRUCCION DE CORDON CUNETA EN CALLE AL RIO SAN ANTONIO, CANTON EL JIOTE, ZARAGOZA.</t>
  </si>
  <si>
    <t>PAVIMENTACION DE CALLE COL MIRARMAR/DANY</t>
  </si>
  <si>
    <t>VIALES (61601) 75%</t>
  </si>
  <si>
    <t>PARQUEO DE JARDINES</t>
  </si>
  <si>
    <t>PAVIMENTACION DE CALLE EN COL LA FUENTE, ZARAGOZA</t>
  </si>
  <si>
    <t>CARPETA PENDIENTE EL JIOTE</t>
  </si>
  <si>
    <t>PAVIMENTACION 147 MTS CALL PPAL SANTA TERESA</t>
  </si>
  <si>
    <t>PAVIMENTACION 399 MTS COL SANTA TERESA</t>
  </si>
  <si>
    <t>CONTRAPARTIDA DEL PROYECTO CONSTRUCCION DEL CENTRO DE FUNCIONAMIENTO DEL COMITÉ MUNICIPAL DE PREVENCION Y CONVIVENCIA, ZARAGOZA/2020</t>
  </si>
  <si>
    <t>CONTRAPARTIDA DEL PROYECTO CONSTRUCCION DE CANCHA Y CASA COMUNAL EN VILLAS DE ZARAGOZA, MUNICIPIO DE ZARAGOZA/2020</t>
  </si>
  <si>
    <t>BALASTREADO Y MANTENIMIENTO DE CALLES RURALES DEL MUNICIPIO/ 2020</t>
  </si>
  <si>
    <t>ALUMBRADO PUBLICO/ 2020</t>
  </si>
  <si>
    <t>PLAN BACHEO/ 2020</t>
  </si>
  <si>
    <t>PROYECTO DE PLAN BACHEO URBANO DEL MUNICIPIO DE ZARAGOZA 2021</t>
  </si>
  <si>
    <t>PROYECTO DE MANTENIMIENTO MEDIANTE BALASTREADO DE CALLES  EN LAS ZONAS RURALES DEL MUNICIPIO DE ZARAGOZA 2021</t>
  </si>
  <si>
    <t>(+2% INCREMENTO FODES $32,679.81  X  12 meses)</t>
  </si>
  <si>
    <t>PROYECCION DE INGRESOS 2021 TOMADA COMO BASE INGRESOS 2019; YA QUE LOS INGRESOS 2020 REFLEJAN UNA DISMINUCION CONSIDERABLE A CONSECUENCIA  DE LA PANDEMIA COVID-19</t>
  </si>
  <si>
    <t>PASAJE LOPEZ SANTA TERESA</t>
  </si>
  <si>
    <t>PAVIMENTACION DE 200 MTS DE CALLE DE ACCESO A LA VEGA #1 Y #2, ASUCHIO, ZARAGOZA</t>
  </si>
  <si>
    <t>PAVIMENTACION DE LA CALLE 3a AVENIDA EN COL SAN NICOLAS, ZARAGOZA.</t>
  </si>
  <si>
    <t>PAVIMENTACION DE PASAJES EN COL MALDONADO, ZARAGOZA</t>
  </si>
  <si>
    <t>PAVIMENTACION DE 100 MTS DEL POLIGONO "A", LOTIFICACION EL CORRALITO, ZARAGOZA</t>
  </si>
  <si>
    <t>CONSTRUCCION Y AMPLIACION DE MERCADO MUNICIPAL, ZARAGOZA</t>
  </si>
  <si>
    <t>PAVIMENTACION DE PSJE NUMERO #1 COL. LOS CEDROS, ZARAGOZA</t>
  </si>
  <si>
    <t>DISPONIBILIDADES2020-2021</t>
  </si>
  <si>
    <t>CUENTAS POR PAGAR DE AÑOS ANTERIORES</t>
  </si>
  <si>
    <t>72101</t>
  </si>
  <si>
    <t>CONSTRUCCION DE CASA COMUNAL EN COL BRISAS DE ZARAGOZA</t>
  </si>
  <si>
    <t>PAVIMENTACION DE CALLE EN COL VILLAS DE ZARAGOZA</t>
  </si>
  <si>
    <t>PAVIMENTACION DEL FINAL DE LA 2da CALLE PONIENTE, COL SAN NICOLAS</t>
  </si>
  <si>
    <t xml:space="preserve">PAVIMENTACION DE 75 MTS DE LA Av. #2 COL LOS CEDROS, ZARAGOZA </t>
  </si>
  <si>
    <t>REMODELACION DE PARQUE EN COL BRISAS DE ZARAGOZA</t>
  </si>
  <si>
    <t>PAVIMENTACION DE 200 MTS EN LA LOTIFICACION MONTIMAR, ZARAGOZA</t>
  </si>
  <si>
    <t>CONSTRUCCION DE PUENTE DE ACCESO A CORINTO HACIENDA, ZARAGOZA</t>
  </si>
  <si>
    <t>CALLE AL CHARCO</t>
  </si>
  <si>
    <t>CALLE PPAL SAN CRISTOBAL</t>
  </si>
  <si>
    <t>CALLE DEL TABERNACULO</t>
  </si>
  <si>
    <t>VIALES 2%</t>
  </si>
  <si>
    <t>AV. EL ZAITE</t>
  </si>
  <si>
    <t>CONSTRUCCION DE CORDON CUNETA Y PROTECCION DE LA CALLE PRINCIPAL DEL CANTON SAN FRANCISCO EL JIOTE Y CANTON GUADALUPE EL NANCE/2020</t>
  </si>
  <si>
    <t>AYUDA CON LAMINA, MADERA Y CLAVOS A FAMILIAS DE ESCASOS RECURSOS ECONOMICOS DEL MUNICIPIO DE ZARAGOZA</t>
  </si>
  <si>
    <t>Transfer. de Capital del Sector Públ. 2% 2021</t>
  </si>
  <si>
    <t xml:space="preserve">Transfer. de Capital del Sector Públ. </t>
  </si>
  <si>
    <t>FODES 2%</t>
  </si>
  <si>
    <t>TOTAL FODES 75% - 2%</t>
  </si>
  <si>
    <t xml:space="preserve">PROYECTOS FODES 2%        </t>
  </si>
  <si>
    <t>AMORTIZACION DE DEUDAS AÑOS ANTERIORES 2%</t>
  </si>
  <si>
    <t>AMORTIZACION DE DEUDAS AÑOS ANTERIORES 75%</t>
  </si>
  <si>
    <t xml:space="preserve"> INFRAESTRUCTURA PARA EL DESARROLLO ECONOMICO,                 2%</t>
  </si>
  <si>
    <t>TOTAL POR FODES INVERSIÓN</t>
  </si>
  <si>
    <t>PAVIMENTACION DE CALLE SANTA EMILIA EN COL SAN ANTONIO #2, ZARAGOZA</t>
  </si>
  <si>
    <t>CONSTRUCCION DE CALLE EN COL SAN ANTONIO #1, ZARAGOZA.</t>
  </si>
  <si>
    <t>T O T A L   D E   E G R E S O S   F O D E S    2 0 2 1</t>
  </si>
  <si>
    <t>PROGRAMA DE DEPORTE PARA UN SANO ESPARCIMIENTO EN EL MUNICIPIO DE  ZARAGOZA  2021</t>
  </si>
  <si>
    <t>29/2/2021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</si>
</sst>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;\-&quot;$&quot;#,##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\ * #,##0.00_);_(&quot;$&quot;\ * \(#,##0.00\);_(&quot;$&quot;\ * &quot;-&quot;??_);_(@_)"/>
    <numFmt numFmtId="167" formatCode="_ [$$-300A]\ * #,##0.00_ ;_ [$$-300A]\ * \-#,##0.00_ ;_ [$$-300A]\ * &quot;-&quot;??_ ;_ @_ "/>
    <numFmt numFmtId="168" formatCode="_-[$€-2]* #,##0.00_-;\-[$€-2]* #,##0.00_-;_-[$€-2]* &quot;-&quot;??_-"/>
    <numFmt numFmtId="169" formatCode="_-[$$-340A]\ * #,##0.00_-;\-[$$-340A]\ * #,##0.00_-;_-[$$-340A]\ * &quot;-&quot;??_-;_-@_-"/>
    <numFmt numFmtId="170" formatCode="_([$$-440A]* #,##0.00_);_([$$-440A]* \(#,##0.00\);_([$$-440A]* &quot;-&quot;??_);_(@_)"/>
    <numFmt numFmtId="171" formatCode="_-[$$-440A]* #,##0.00_ ;_-[$$-440A]* \-#,##0.00\ ;_-[$$-440A]* &quot;-&quot;??_ ;_-@_ "/>
    <numFmt numFmtId="172" formatCode="_-[$$-440A]* #,##0.00_-;\-[$$-440A]* #,##0.00_-;_-[$$-440A]* &quot;-&quot;??_-;_-@_-"/>
  </numFmts>
  <fonts count="10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57"/>
      <name val="Arial"/>
      <family val="2"/>
    </font>
    <font>
      <b/>
      <u val="doubleAccounting"/>
      <sz val="12"/>
      <name val="Arial"/>
      <family val="2"/>
    </font>
    <font>
      <sz val="11"/>
      <color theme="0"/>
      <name val="Calibri"/>
      <family val="2"/>
      <scheme val="minor"/>
    </font>
    <font>
      <sz val="10"/>
      <name val="Cambria"/>
      <family val="1"/>
      <scheme val="major"/>
    </font>
    <font>
      <sz val="8"/>
      <name val="Cambria"/>
      <family val="1"/>
      <scheme val="major"/>
    </font>
    <font>
      <b/>
      <sz val="10"/>
      <name val="Cambria"/>
      <family val="1"/>
      <scheme val="major"/>
    </font>
    <font>
      <b/>
      <u val="singleAccounting"/>
      <sz val="10"/>
      <name val="Cambria"/>
      <family val="1"/>
      <scheme val="major"/>
    </font>
    <font>
      <b/>
      <sz val="14"/>
      <name val="Cambria"/>
      <family val="1"/>
      <scheme val="major"/>
    </font>
    <font>
      <b/>
      <sz val="12"/>
      <name val="Cambria"/>
      <family val="1"/>
      <scheme val="major"/>
    </font>
    <font>
      <b/>
      <sz val="8"/>
      <name val="Arial"/>
      <family val="2"/>
    </font>
    <font>
      <b/>
      <u val="singleAccounting"/>
      <sz val="14"/>
      <name val="Arial"/>
      <family val="2"/>
    </font>
    <font>
      <sz val="10"/>
      <name val="Arial"/>
      <family val="2"/>
    </font>
    <font>
      <b/>
      <sz val="16"/>
      <name val="Cambria"/>
      <family val="1"/>
      <scheme val="major"/>
    </font>
    <font>
      <b/>
      <sz val="1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Cambria"/>
      <family val="1"/>
    </font>
    <font>
      <b/>
      <sz val="10"/>
      <name val="Cambria"/>
      <family val="1"/>
    </font>
    <font>
      <sz val="12"/>
      <name val="Cambria"/>
      <family val="1"/>
    </font>
    <font>
      <b/>
      <u val="doubleAccounting"/>
      <sz val="12"/>
      <name val="Cambria"/>
      <family val="1"/>
    </font>
    <font>
      <sz val="10"/>
      <name val="Cambria"/>
      <family val="1"/>
    </font>
    <font>
      <sz val="11"/>
      <name val="Cambria"/>
      <family val="1"/>
      <scheme val="major"/>
    </font>
    <font>
      <b/>
      <u val="singleAccounting"/>
      <sz val="12"/>
      <name val="Cambria"/>
      <family val="1"/>
      <scheme val="major"/>
    </font>
    <font>
      <b/>
      <u val="singleAccounting"/>
      <sz val="14"/>
      <name val="Cambria"/>
      <family val="1"/>
      <scheme val="major"/>
    </font>
    <font>
      <sz val="6"/>
      <name val="Arial"/>
      <family val="2"/>
    </font>
    <font>
      <sz val="10"/>
      <color theme="1"/>
      <name val="Cambria"/>
      <family val="1"/>
      <scheme val="major"/>
    </font>
    <font>
      <sz val="10"/>
      <color theme="1"/>
      <name val="Arial"/>
      <family val="2"/>
    </font>
    <font>
      <b/>
      <sz val="14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9"/>
      <name val="Cambria"/>
      <family val="1"/>
      <scheme val="major"/>
    </font>
    <font>
      <b/>
      <sz val="10"/>
      <color theme="1"/>
      <name val="Arial"/>
      <family val="2"/>
    </font>
    <font>
      <b/>
      <sz val="10"/>
      <color theme="1"/>
      <name val="Cambria"/>
      <family val="1"/>
      <scheme val="major"/>
    </font>
    <font>
      <b/>
      <u/>
      <sz val="10"/>
      <color theme="1"/>
      <name val="Cambria"/>
      <family val="1"/>
      <scheme val="major"/>
    </font>
    <font>
      <b/>
      <sz val="16"/>
      <color theme="1"/>
      <name val="Cambria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b/>
      <sz val="8"/>
      <color theme="1"/>
      <name val="Cambria"/>
      <family val="1"/>
      <scheme val="major"/>
    </font>
    <font>
      <b/>
      <sz val="6"/>
      <name val="Arial"/>
      <family val="2"/>
    </font>
    <font>
      <b/>
      <sz val="8"/>
      <name val="Cambria"/>
      <family val="1"/>
      <scheme val="major"/>
    </font>
    <font>
      <b/>
      <sz val="7"/>
      <name val="Arial"/>
      <family val="2"/>
    </font>
    <font>
      <sz val="9"/>
      <name val="Arial"/>
      <family val="2"/>
    </font>
    <font>
      <sz val="10"/>
      <color theme="0"/>
      <name val="Cambria"/>
      <family val="1"/>
      <scheme val="major"/>
    </font>
    <font>
      <b/>
      <sz val="10"/>
      <color theme="0"/>
      <name val="Cambria"/>
      <family val="1"/>
      <scheme val="major"/>
    </font>
    <font>
      <sz val="14"/>
      <name val="Cambria"/>
      <family val="1"/>
      <scheme val="major"/>
    </font>
    <font>
      <sz val="9"/>
      <color theme="1"/>
      <name val="Arial"/>
      <family val="2"/>
    </font>
    <font>
      <u/>
      <sz val="10"/>
      <color theme="10"/>
      <name val="Arial"/>
      <family val="2"/>
    </font>
    <font>
      <b/>
      <u/>
      <sz val="10"/>
      <color theme="1"/>
      <name val="Arial"/>
      <family val="2"/>
    </font>
    <font>
      <u val="doubleAccounting"/>
      <sz val="11"/>
      <name val="Arial"/>
      <family val="2"/>
    </font>
    <font>
      <u val="singleAccounting"/>
      <sz val="8"/>
      <name val="Cambria"/>
      <family val="1"/>
      <scheme val="major"/>
    </font>
    <font>
      <sz val="8"/>
      <color theme="0"/>
      <name val="Arial"/>
      <family val="2"/>
    </font>
    <font>
      <sz val="11"/>
      <color theme="0"/>
      <name val="Arial"/>
      <family val="2"/>
    </font>
    <font>
      <sz val="8"/>
      <color theme="1"/>
      <name val="Cambria"/>
      <family val="1"/>
      <scheme val="major"/>
    </font>
    <font>
      <sz val="8"/>
      <color rgb="FFFF0000"/>
      <name val="Cambria"/>
      <family val="1"/>
      <scheme val="maj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mbria"/>
      <family val="1"/>
      <scheme val="major"/>
    </font>
    <font>
      <sz val="8"/>
      <color theme="0"/>
      <name val="Cambria"/>
      <family val="1"/>
      <scheme val="major"/>
    </font>
    <font>
      <b/>
      <sz val="8"/>
      <color theme="0"/>
      <name val="Cambria"/>
      <family val="1"/>
      <scheme val="major"/>
    </font>
    <font>
      <sz val="10"/>
      <color theme="0" tint="-0.34998626667073579"/>
      <name val="Arial"/>
      <family val="2"/>
    </font>
    <font>
      <sz val="11"/>
      <color theme="0" tint="-0.34998626667073579"/>
      <name val="Arial"/>
      <family val="2"/>
    </font>
    <font>
      <b/>
      <sz val="12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10"/>
      <color theme="0"/>
      <name val="Arial"/>
      <family val="2"/>
    </font>
    <font>
      <u val="singleAccounting"/>
      <sz val="10"/>
      <color theme="0"/>
      <name val="Arial"/>
      <family val="2"/>
    </font>
    <font>
      <sz val="9"/>
      <color theme="0"/>
      <name val="Arial"/>
      <family val="2"/>
    </font>
    <font>
      <sz val="14"/>
      <color theme="0" tint="-0.34998626667073579"/>
      <name val="Arial"/>
      <family val="2"/>
    </font>
    <font>
      <sz val="8"/>
      <color theme="0" tint="-0.34998626667073579"/>
      <name val="Arial"/>
      <family val="2"/>
    </font>
    <font>
      <sz val="12"/>
      <color theme="0" tint="-0.34998626667073579"/>
      <name val="Arial"/>
      <family val="2"/>
    </font>
    <font>
      <sz val="8"/>
      <name val="Cambria"/>
      <family val="1"/>
    </font>
    <font>
      <b/>
      <sz val="8"/>
      <name val="Cambria"/>
      <family val="1"/>
    </font>
    <font>
      <sz val="11"/>
      <color theme="1"/>
      <name val="Arial"/>
      <family val="2"/>
    </font>
    <font>
      <b/>
      <u val="doubleAccounting"/>
      <sz val="8"/>
      <name val="Cambria"/>
      <family val="1"/>
      <scheme val="major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b/>
      <u val="doubleAccounting"/>
      <sz val="8"/>
      <color theme="0"/>
      <name val="Arial"/>
      <family val="2"/>
    </font>
    <font>
      <sz val="12"/>
      <color theme="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b/>
      <sz val="8"/>
      <color theme="0" tint="-0.34998626667073579"/>
      <name val="Arial"/>
      <family val="2"/>
    </font>
    <font>
      <b/>
      <sz val="11"/>
      <color theme="0" tint="-0.34998626667073579"/>
      <name val="Arial"/>
      <family val="2"/>
    </font>
    <font>
      <sz val="6"/>
      <color theme="0"/>
      <name val="Arial"/>
      <family val="2"/>
    </font>
    <font>
      <sz val="8"/>
      <color theme="0"/>
      <name val="Cambria"/>
      <family val="1"/>
    </font>
    <font>
      <b/>
      <sz val="8"/>
      <color theme="0"/>
      <name val="Cambria"/>
      <family val="1"/>
    </font>
    <font>
      <sz val="5"/>
      <color theme="0"/>
      <name val="Arial"/>
      <family val="2"/>
    </font>
    <font>
      <b/>
      <sz val="12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5" tint="0.40000610370189521"/>
        </stop>
      </gradientFill>
    </fill>
    <fill>
      <patternFill patternType="solid">
        <fgColor rgb="FFA6DE42"/>
        <bgColor indexed="64"/>
      </patternFill>
    </fill>
    <fill>
      <patternFill patternType="solid">
        <fgColor rgb="FF92D05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5"/>
      </right>
      <top/>
      <bottom/>
      <diagonal/>
    </border>
    <border>
      <left/>
      <right/>
      <top/>
      <bottom style="thick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0">
    <xf numFmtId="0" fontId="0" fillId="0" borderId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168" fontId="1" fillId="0" borderId="0" applyFont="0" applyFill="0" applyBorder="0" applyAlignment="0" applyProtection="0"/>
    <xf numFmtId="5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" fillId="0" borderId="0"/>
    <xf numFmtId="0" fontId="3" fillId="0" borderId="0"/>
    <xf numFmtId="165" fontId="26" fillId="0" borderId="0" applyFont="0" applyFill="0" applyBorder="0" applyAlignment="0" applyProtection="0"/>
    <xf numFmtId="0" fontId="67" fillId="0" borderId="0" applyNumberFormat="0" applyFill="0" applyBorder="0" applyAlignment="0" applyProtection="0"/>
  </cellStyleXfs>
  <cellXfs count="772">
    <xf numFmtId="0" fontId="0" fillId="0" borderId="0" xfId="0"/>
    <xf numFmtId="49" fontId="4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/>
    </xf>
    <xf numFmtId="0" fontId="8" fillId="2" borderId="0" xfId="0" applyFont="1" applyFill="1"/>
    <xf numFmtId="0" fontId="7" fillId="0" borderId="0" xfId="0" applyFont="1" applyAlignment="1">
      <alignment horizontal="center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167" fontId="4" fillId="2" borderId="9" xfId="5" applyNumberFormat="1" applyFont="1" applyFill="1" applyBorder="1" applyAlignment="1">
      <alignment horizontal="right"/>
    </xf>
    <xf numFmtId="167" fontId="4" fillId="2" borderId="2" xfId="5" applyNumberFormat="1" applyFont="1" applyFill="1" applyBorder="1" applyAlignment="1">
      <alignment horizontal="right"/>
    </xf>
    <xf numFmtId="49" fontId="4" fillId="2" borderId="11" xfId="0" applyNumberFormat="1" applyFont="1" applyFill="1" applyBorder="1" applyAlignment="1">
      <alignment horizontal="center"/>
    </xf>
    <xf numFmtId="167" fontId="4" fillId="2" borderId="3" xfId="5" applyNumberFormat="1" applyFont="1" applyFill="1" applyBorder="1" applyAlignment="1">
      <alignment horizontal="right"/>
    </xf>
    <xf numFmtId="0" fontId="4" fillId="2" borderId="12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1" fillId="2" borderId="0" xfId="0" applyFont="1" applyFill="1"/>
    <xf numFmtId="0" fontId="8" fillId="0" borderId="0" xfId="0" applyFont="1" applyAlignment="1">
      <alignment vertical="center"/>
    </xf>
    <xf numFmtId="0" fontId="1" fillId="0" borderId="0" xfId="0" applyFont="1"/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49" fontId="1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49" fontId="14" fillId="2" borderId="0" xfId="0" applyNumberFormat="1" applyFont="1" applyFill="1" applyAlignment="1">
      <alignment horizontal="center" vertical="center"/>
    </xf>
    <xf numFmtId="49" fontId="15" fillId="2" borderId="0" xfId="0" applyNumberFormat="1" applyFont="1" applyFill="1" applyAlignment="1">
      <alignment horizontal="center" vertical="center"/>
    </xf>
    <xf numFmtId="164" fontId="1" fillId="2" borderId="0" xfId="5" applyNumberFormat="1" applyFill="1" applyAlignment="1">
      <alignment horizontal="right"/>
    </xf>
    <xf numFmtId="0" fontId="6" fillId="2" borderId="0" xfId="0" applyFont="1" applyFill="1"/>
    <xf numFmtId="0" fontId="1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vertical="center" wrapText="1"/>
    </xf>
    <xf numFmtId="0" fontId="1" fillId="0" borderId="0" xfId="0" applyFont="1" applyAlignment="1">
      <alignment wrapText="1"/>
    </xf>
    <xf numFmtId="49" fontId="9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18" fillId="0" borderId="0" xfId="0" applyFont="1"/>
    <xf numFmtId="4" fontId="18" fillId="0" borderId="0" xfId="0" applyNumberFormat="1" applyFont="1"/>
    <xf numFmtId="0" fontId="18" fillId="0" borderId="7" xfId="0" applyFont="1" applyBorder="1"/>
    <xf numFmtId="0" fontId="18" fillId="0" borderId="8" xfId="0" applyFont="1" applyBorder="1"/>
    <xf numFmtId="0" fontId="18" fillId="0" borderId="6" xfId="0" applyFont="1" applyBorder="1"/>
    <xf numFmtId="0" fontId="18" fillId="0" borderId="1" xfId="0" applyFont="1" applyBorder="1"/>
    <xf numFmtId="4" fontId="18" fillId="0" borderId="8" xfId="0" applyNumberFormat="1" applyFont="1" applyBorder="1" applyAlignment="1">
      <alignment horizontal="center"/>
    </xf>
    <xf numFmtId="4" fontId="18" fillId="0" borderId="31" xfId="0" applyNumberFormat="1" applyFont="1" applyBorder="1" applyAlignment="1">
      <alignment horizontal="center"/>
    </xf>
    <xf numFmtId="4" fontId="18" fillId="0" borderId="1" xfId="0" applyNumberFormat="1" applyFont="1" applyBorder="1" applyAlignment="1">
      <alignment horizontal="center"/>
    </xf>
    <xf numFmtId="4" fontId="19" fillId="0" borderId="1" xfId="0" applyNumberFormat="1" applyFont="1" applyBorder="1" applyAlignment="1">
      <alignment horizontal="center"/>
    </xf>
    <xf numFmtId="4" fontId="18" fillId="0" borderId="28" xfId="0" applyNumberFormat="1" applyFont="1" applyBorder="1" applyAlignment="1">
      <alignment horizontal="center"/>
    </xf>
    <xf numFmtId="14" fontId="18" fillId="0" borderId="6" xfId="0" applyNumberFormat="1" applyFont="1" applyBorder="1"/>
    <xf numFmtId="170" fontId="18" fillId="0" borderId="1" xfId="5" applyNumberFormat="1" applyFont="1" applyBorder="1"/>
    <xf numFmtId="170" fontId="18" fillId="0" borderId="28" xfId="5" applyNumberFormat="1" applyFont="1" applyBorder="1"/>
    <xf numFmtId="170" fontId="20" fillId="0" borderId="1" xfId="5" applyNumberFormat="1" applyFont="1" applyBorder="1"/>
    <xf numFmtId="14" fontId="18" fillId="0" borderId="23" xfId="0" applyNumberFormat="1" applyFont="1" applyBorder="1"/>
    <xf numFmtId="0" fontId="20" fillId="0" borderId="13" xfId="0" applyFont="1" applyBorder="1"/>
    <xf numFmtId="170" fontId="21" fillId="0" borderId="13" xfId="5" applyNumberFormat="1" applyFont="1" applyBorder="1"/>
    <xf numFmtId="170" fontId="18" fillId="0" borderId="24" xfId="5" applyNumberFormat="1" applyFont="1" applyBorder="1"/>
    <xf numFmtId="0" fontId="18" fillId="0" borderId="0" xfId="0" applyFont="1" applyAlignment="1">
      <alignment horizontal="right"/>
    </xf>
    <xf numFmtId="0" fontId="18" fillId="0" borderId="25" xfId="0" applyFont="1" applyBorder="1"/>
    <xf numFmtId="0" fontId="18" fillId="0" borderId="26" xfId="0" applyFont="1" applyBorder="1"/>
    <xf numFmtId="4" fontId="18" fillId="0" borderId="27" xfId="0" applyNumberFormat="1" applyFont="1" applyBorder="1"/>
    <xf numFmtId="0" fontId="20" fillId="0" borderId="0" xfId="0" applyFont="1"/>
    <xf numFmtId="4" fontId="20" fillId="0" borderId="0" xfId="0" applyNumberFormat="1" applyFont="1"/>
    <xf numFmtId="10" fontId="20" fillId="0" borderId="0" xfId="0" quotePrefix="1" applyNumberFormat="1" applyFont="1" applyAlignment="1">
      <alignment horizontal="right"/>
    </xf>
    <xf numFmtId="170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164" fontId="10" fillId="0" borderId="1" xfId="5" applyNumberFormat="1" applyFont="1" applyBorder="1" applyAlignment="1">
      <alignment horizontal="center" vertical="center"/>
    </xf>
    <xf numFmtId="44" fontId="8" fillId="0" borderId="1" xfId="5" applyNumberFormat="1" applyFont="1" applyBorder="1" applyAlignment="1">
      <alignment horizontal="center" vertical="center"/>
    </xf>
    <xf numFmtId="44" fontId="8" fillId="6" borderId="14" xfId="5" applyNumberFormat="1" applyFont="1" applyFill="1" applyBorder="1" applyAlignment="1">
      <alignment horizontal="center" vertical="center"/>
    </xf>
    <xf numFmtId="44" fontId="8" fillId="6" borderId="16" xfId="5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166" fontId="0" fillId="0" borderId="0" xfId="5" applyFont="1"/>
    <xf numFmtId="0" fontId="6" fillId="0" borderId="0" xfId="0" applyFont="1" applyAlignment="1">
      <alignment vertical="center"/>
    </xf>
    <xf numFmtId="170" fontId="1" fillId="0" borderId="0" xfId="0" applyNumberFormat="1" applyFont="1" applyAlignment="1">
      <alignment vertical="center" wrapText="1"/>
    </xf>
    <xf numFmtId="16" fontId="18" fillId="0" borderId="6" xfId="0" applyNumberFormat="1" applyFont="1" applyBorder="1" applyAlignment="1">
      <alignment horizontal="center"/>
    </xf>
    <xf numFmtId="14" fontId="18" fillId="0" borderId="0" xfId="0" applyNumberFormat="1" applyFont="1"/>
    <xf numFmtId="49" fontId="9" fillId="0" borderId="0" xfId="0" applyNumberFormat="1" applyFont="1"/>
    <xf numFmtId="166" fontId="1" fillId="0" borderId="0" xfId="5"/>
    <xf numFmtId="166" fontId="8" fillId="0" borderId="0" xfId="5" applyFont="1" applyAlignment="1">
      <alignment horizontal="center"/>
    </xf>
    <xf numFmtId="0" fontId="8" fillId="0" borderId="0" xfId="0" applyFont="1" applyAlignment="1">
      <alignment horizontal="left" indent="7"/>
    </xf>
    <xf numFmtId="166" fontId="18" fillId="0" borderId="0" xfId="5" applyFont="1"/>
    <xf numFmtId="0" fontId="1" fillId="0" borderId="1" xfId="0" applyFont="1" applyBorder="1" applyAlignment="1">
      <alignment horizontal="left" indent="1"/>
    </xf>
    <xf numFmtId="0" fontId="1" fillId="0" borderId="1" xfId="0" applyFont="1" applyBorder="1"/>
    <xf numFmtId="166" fontId="1" fillId="0" borderId="1" xfId="5" applyBorder="1"/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1" fillId="0" borderId="0" xfId="0" applyFont="1" applyAlignment="1">
      <alignment horizontal="left" indent="1"/>
    </xf>
    <xf numFmtId="166" fontId="8" fillId="0" borderId="37" xfId="0" applyNumberFormat="1" applyFont="1" applyBorder="1"/>
    <xf numFmtId="166" fontId="8" fillId="0" borderId="38" xfId="0" applyNumberFormat="1" applyFont="1" applyBorder="1"/>
    <xf numFmtId="0" fontId="1" fillId="0" borderId="48" xfId="0" applyFont="1" applyBorder="1" applyAlignment="1">
      <alignment horizontal="left" indent="1"/>
    </xf>
    <xf numFmtId="166" fontId="8" fillId="2" borderId="0" xfId="5" applyFont="1" applyFill="1"/>
    <xf numFmtId="0" fontId="8" fillId="0" borderId="1" xfId="0" applyFont="1" applyBorder="1" applyAlignment="1">
      <alignment horizontal="center"/>
    </xf>
    <xf numFmtId="166" fontId="0" fillId="0" borderId="1" xfId="5" applyFont="1" applyBorder="1"/>
    <xf numFmtId="0" fontId="8" fillId="0" borderId="8" xfId="0" applyFont="1" applyBorder="1" applyAlignment="1">
      <alignment horizontal="center"/>
    </xf>
    <xf numFmtId="166" fontId="0" fillId="0" borderId="8" xfId="5" applyFont="1" applyBorder="1"/>
    <xf numFmtId="0" fontId="8" fillId="0" borderId="36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9" fontId="8" fillId="0" borderId="37" xfId="0" applyNumberFormat="1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6" fontId="0" fillId="0" borderId="11" xfId="5" applyFont="1" applyBorder="1"/>
    <xf numFmtId="0" fontId="1" fillId="0" borderId="36" xfId="0" applyFont="1" applyBorder="1"/>
    <xf numFmtId="166" fontId="8" fillId="0" borderId="37" xfId="5" applyFont="1" applyBorder="1"/>
    <xf numFmtId="166" fontId="8" fillId="0" borderId="38" xfId="5" applyFont="1" applyBorder="1"/>
    <xf numFmtId="0" fontId="10" fillId="0" borderId="0" xfId="0" applyFont="1"/>
    <xf numFmtId="166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166" fontId="18" fillId="0" borderId="54" xfId="5" applyFont="1" applyBorder="1"/>
    <xf numFmtId="166" fontId="1" fillId="2" borderId="0" xfId="5" applyFill="1" applyAlignment="1">
      <alignment vertical="center"/>
    </xf>
    <xf numFmtId="170" fontId="1" fillId="0" borderId="0" xfId="0" applyNumberFormat="1" applyFont="1"/>
    <xf numFmtId="166" fontId="0" fillId="0" borderId="0" xfId="0" applyNumberFormat="1"/>
    <xf numFmtId="170" fontId="1" fillId="0" borderId="0" xfId="0" applyNumberFormat="1" applyFont="1" applyAlignment="1">
      <alignment wrapText="1"/>
    </xf>
    <xf numFmtId="166" fontId="8" fillId="0" borderId="0" xfId="5" applyFont="1"/>
    <xf numFmtId="170" fontId="10" fillId="0" borderId="0" xfId="0" applyNumberFormat="1" applyFont="1" applyAlignment="1">
      <alignment vertical="center"/>
    </xf>
    <xf numFmtId="165" fontId="8" fillId="2" borderId="0" xfId="8" applyFont="1" applyFill="1"/>
    <xf numFmtId="0" fontId="18" fillId="0" borderId="23" xfId="0" applyFont="1" applyBorder="1"/>
    <xf numFmtId="0" fontId="18" fillId="0" borderId="13" xfId="0" applyFont="1" applyBorder="1"/>
    <xf numFmtId="4" fontId="18" fillId="0" borderId="13" xfId="0" applyNumberFormat="1" applyFont="1" applyBorder="1" applyAlignment="1">
      <alignment horizontal="center"/>
    </xf>
    <xf numFmtId="4" fontId="19" fillId="0" borderId="13" xfId="0" applyNumberFormat="1" applyFont="1" applyBorder="1" applyAlignment="1">
      <alignment horizontal="center"/>
    </xf>
    <xf numFmtId="4" fontId="18" fillId="0" borderId="24" xfId="0" applyNumberFormat="1" applyFont="1" applyBorder="1" applyAlignment="1">
      <alignment horizontal="center"/>
    </xf>
    <xf numFmtId="14" fontId="18" fillId="0" borderId="7" xfId="0" applyNumberFormat="1" applyFont="1" applyBorder="1"/>
    <xf numFmtId="170" fontId="18" fillId="0" borderId="8" xfId="5" applyNumberFormat="1" applyFont="1" applyBorder="1"/>
    <xf numFmtId="170" fontId="18" fillId="0" borderId="31" xfId="5" applyNumberFormat="1" applyFont="1" applyBorder="1"/>
    <xf numFmtId="165" fontId="1" fillId="0" borderId="0" xfId="8" applyFont="1" applyAlignment="1">
      <alignment vertical="center" wrapText="1"/>
    </xf>
    <xf numFmtId="0" fontId="8" fillId="0" borderId="59" xfId="0" applyFont="1" applyBorder="1" applyAlignment="1">
      <alignment horizontal="center"/>
    </xf>
    <xf numFmtId="166" fontId="0" fillId="0" borderId="60" xfId="5" applyFont="1" applyBorder="1"/>
    <xf numFmtId="166" fontId="1" fillId="0" borderId="0" xfId="5" applyAlignment="1">
      <alignment wrapText="1"/>
    </xf>
    <xf numFmtId="166" fontId="11" fillId="0" borderId="0" xfId="5" applyFont="1"/>
    <xf numFmtId="164" fontId="10" fillId="0" borderId="0" xfId="0" applyNumberFormat="1" applyFont="1"/>
    <xf numFmtId="166" fontId="20" fillId="0" borderId="0" xfId="5" applyFont="1"/>
    <xf numFmtId="0" fontId="37" fillId="0" borderId="0" xfId="0" applyFont="1" applyAlignment="1">
      <alignment wrapText="1"/>
    </xf>
    <xf numFmtId="171" fontId="1" fillId="0" borderId="0" xfId="0" applyNumberFormat="1" applyFont="1" applyAlignment="1">
      <alignment wrapText="1"/>
    </xf>
    <xf numFmtId="170" fontId="18" fillId="0" borderId="0" xfId="0" applyNumberFormat="1" applyFont="1"/>
    <xf numFmtId="0" fontId="11" fillId="9" borderId="36" xfId="2" applyFont="1" applyFill="1" applyBorder="1" applyAlignment="1">
      <alignment horizontal="center" vertical="center" textRotation="90" wrapText="1"/>
    </xf>
    <xf numFmtId="0" fontId="11" fillId="9" borderId="37" xfId="2" applyFont="1" applyFill="1" applyBorder="1" applyAlignment="1">
      <alignment horizontal="center" vertical="center" textRotation="90" wrapText="1"/>
    </xf>
    <xf numFmtId="0" fontId="11" fillId="9" borderId="39" xfId="2" applyFont="1" applyFill="1" applyBorder="1" applyAlignment="1">
      <alignment horizontal="center" vertical="center" textRotation="90" wrapText="1"/>
    </xf>
    <xf numFmtId="0" fontId="11" fillId="9" borderId="38" xfId="2" applyFont="1" applyFill="1" applyBorder="1" applyAlignment="1">
      <alignment horizontal="center" vertical="center" textRotation="90" wrapText="1"/>
    </xf>
    <xf numFmtId="167" fontId="25" fillId="9" borderId="14" xfId="2" applyNumberFormat="1" applyFont="1" applyFill="1" applyBorder="1" applyAlignment="1">
      <alignment horizontal="center" vertical="center"/>
    </xf>
    <xf numFmtId="166" fontId="41" fillId="0" borderId="0" xfId="5" applyFont="1"/>
    <xf numFmtId="0" fontId="42" fillId="0" borderId="0" xfId="0" applyFont="1"/>
    <xf numFmtId="4" fontId="42" fillId="0" borderId="0" xfId="0" applyNumberFormat="1" applyFont="1"/>
    <xf numFmtId="0" fontId="18" fillId="0" borderId="34" xfId="0" applyFont="1" applyBorder="1"/>
    <xf numFmtId="0" fontId="43" fillId="0" borderId="0" xfId="0" applyFont="1" applyAlignment="1">
      <alignment vertical="center" wrapText="1"/>
    </xf>
    <xf numFmtId="0" fontId="52" fillId="0" borderId="0" xfId="0" applyFont="1" applyAlignment="1">
      <alignment horizontal="center" vertical="center" wrapText="1"/>
    </xf>
    <xf numFmtId="49" fontId="53" fillId="0" borderId="15" xfId="0" applyNumberFormat="1" applyFont="1" applyBorder="1" applyAlignment="1">
      <alignment vertical="center" wrapText="1"/>
    </xf>
    <xf numFmtId="49" fontId="42" fillId="0" borderId="15" xfId="0" applyNumberFormat="1" applyFont="1" applyBorder="1" applyAlignment="1">
      <alignment horizontal="center" vertical="center" wrapText="1"/>
    </xf>
    <xf numFmtId="49" fontId="42" fillId="0" borderId="15" xfId="0" applyNumberFormat="1" applyFont="1" applyBorder="1" applyAlignment="1">
      <alignment vertical="center" wrapText="1"/>
    </xf>
    <xf numFmtId="0" fontId="43" fillId="0" borderId="62" xfId="0" applyFont="1" applyBorder="1" applyAlignment="1">
      <alignment vertical="center" wrapText="1"/>
    </xf>
    <xf numFmtId="49" fontId="53" fillId="0" borderId="15" xfId="0" applyNumberFormat="1" applyFont="1" applyBorder="1" applyAlignment="1">
      <alignment horizontal="center" vertical="center" wrapText="1"/>
    </xf>
    <xf numFmtId="49" fontId="42" fillId="0" borderId="9" xfId="0" applyNumberFormat="1" applyFont="1" applyBorder="1" applyAlignment="1">
      <alignment horizontal="center" vertical="center" wrapText="1"/>
    </xf>
    <xf numFmtId="49" fontId="42" fillId="0" borderId="9" xfId="0" applyNumberFormat="1" applyFont="1" applyBorder="1" applyAlignment="1">
      <alignment vertical="center" wrapText="1"/>
    </xf>
    <xf numFmtId="49" fontId="53" fillId="0" borderId="3" xfId="0" applyNumberFormat="1" applyFont="1" applyBorder="1" applyAlignment="1">
      <alignment horizontal="center" vertical="center" wrapText="1"/>
    </xf>
    <xf numFmtId="49" fontId="53" fillId="0" borderId="3" xfId="0" applyNumberFormat="1" applyFont="1" applyBorder="1" applyAlignment="1">
      <alignment vertical="center" wrapText="1"/>
    </xf>
    <xf numFmtId="49" fontId="42" fillId="0" borderId="3" xfId="0" applyNumberFormat="1" applyFont="1" applyBorder="1" applyAlignment="1">
      <alignment horizontal="center" vertical="center" wrapText="1"/>
    </xf>
    <xf numFmtId="0" fontId="52" fillId="0" borderId="0" xfId="0" applyFont="1" applyAlignment="1">
      <alignment vertical="center" wrapText="1"/>
    </xf>
    <xf numFmtId="49" fontId="42" fillId="0" borderId="16" xfId="0" applyNumberFormat="1" applyFont="1" applyBorder="1" applyAlignment="1">
      <alignment horizontal="center" vertical="center" wrapText="1"/>
    </xf>
    <xf numFmtId="49" fontId="42" fillId="0" borderId="16" xfId="0" applyNumberFormat="1" applyFont="1" applyBorder="1" applyAlignment="1">
      <alignment vertical="center" wrapText="1"/>
    </xf>
    <xf numFmtId="49" fontId="42" fillId="0" borderId="0" xfId="0" applyNumberFormat="1" applyFont="1" applyAlignment="1">
      <alignment horizontal="center" vertical="center" wrapText="1"/>
    </xf>
    <xf numFmtId="49" fontId="42" fillId="0" borderId="0" xfId="0" applyNumberFormat="1" applyFont="1" applyAlignment="1">
      <alignment vertical="center" wrapText="1"/>
    </xf>
    <xf numFmtId="49" fontId="42" fillId="0" borderId="0" xfId="0" applyNumberFormat="1" applyFont="1" applyAlignment="1">
      <alignment horizontal="left" vertical="center" wrapText="1"/>
    </xf>
    <xf numFmtId="49" fontId="54" fillId="0" borderId="0" xfId="0" applyNumberFormat="1" applyFont="1" applyAlignment="1">
      <alignment horizontal="left" vertical="center" wrapText="1"/>
    </xf>
    <xf numFmtId="49" fontId="42" fillId="0" borderId="0" xfId="0" applyNumberFormat="1" applyFont="1" applyAlignment="1">
      <alignment horizontal="right" vertical="center" wrapText="1"/>
    </xf>
    <xf numFmtId="166" fontId="2" fillId="0" borderId="0" xfId="5" applyFont="1"/>
    <xf numFmtId="166" fontId="2" fillId="0" borderId="0" xfId="0" applyNumberFormat="1" applyFont="1"/>
    <xf numFmtId="0" fontId="0" fillId="0" borderId="0" xfId="0" applyAlignment="1">
      <alignment vertical="center"/>
    </xf>
    <xf numFmtId="4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166" fontId="10" fillId="0" borderId="0" xfId="5" applyFont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170" fontId="68" fillId="0" borderId="13" xfId="9" applyNumberFormat="1" applyFont="1" applyFill="1" applyBorder="1"/>
    <xf numFmtId="0" fontId="0" fillId="0" borderId="0" xfId="0"/>
    <xf numFmtId="0" fontId="30" fillId="0" borderId="0" xfId="0" applyFont="1" applyFill="1" applyAlignment="1">
      <alignment horizontal="left" vertical="center"/>
    </xf>
    <xf numFmtId="0" fontId="65" fillId="0" borderId="46" xfId="0" applyFont="1" applyBorder="1" applyAlignment="1">
      <alignment horizontal="left"/>
    </xf>
    <xf numFmtId="0" fontId="0" fillId="0" borderId="0" xfId="0"/>
    <xf numFmtId="0" fontId="65" fillId="0" borderId="0" xfId="0" applyFont="1" applyBorder="1" applyAlignment="1">
      <alignment horizontal="left"/>
    </xf>
    <xf numFmtId="166" fontId="18" fillId="0" borderId="0" xfId="5" applyFont="1" applyBorder="1" applyAlignment="1">
      <alignment horizontal="left"/>
    </xf>
    <xf numFmtId="0" fontId="0" fillId="0" borderId="0" xfId="0"/>
    <xf numFmtId="0" fontId="10" fillId="0" borderId="4" xfId="0" applyFont="1" applyFill="1" applyBorder="1" applyAlignment="1">
      <alignment horizontal="left"/>
    </xf>
    <xf numFmtId="170" fontId="10" fillId="0" borderId="4" xfId="0" applyNumberFormat="1" applyFont="1" applyFill="1" applyBorder="1" applyAlignment="1">
      <alignment horizontal="left"/>
    </xf>
    <xf numFmtId="170" fontId="10" fillId="0" borderId="2" xfId="0" applyNumberFormat="1" applyFont="1" applyFill="1" applyBorder="1" applyAlignment="1">
      <alignment horizontal="left"/>
    </xf>
    <xf numFmtId="170" fontId="10" fillId="0" borderId="2" xfId="5" applyNumberFormat="1" applyFont="1" applyFill="1" applyBorder="1" applyAlignment="1">
      <alignment horizontal="right" wrapText="1"/>
    </xf>
    <xf numFmtId="0" fontId="28" fillId="0" borderId="37" xfId="2" applyFont="1" applyFill="1" applyBorder="1" applyAlignment="1">
      <alignment horizontal="center" vertical="center" textRotation="90" wrapText="1"/>
    </xf>
    <xf numFmtId="0" fontId="28" fillId="0" borderId="38" xfId="2" applyFont="1" applyFill="1" applyBorder="1" applyAlignment="1">
      <alignment horizontal="center" vertical="center" textRotation="90" wrapText="1"/>
    </xf>
    <xf numFmtId="170" fontId="10" fillId="0" borderId="5" xfId="0" applyNumberFormat="1" applyFont="1" applyFill="1" applyBorder="1" applyAlignment="1">
      <alignment horizontal="left"/>
    </xf>
    <xf numFmtId="0" fontId="20" fillId="0" borderId="9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justify" vertical="center" wrapText="1"/>
    </xf>
    <xf numFmtId="166" fontId="18" fillId="0" borderId="9" xfId="5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justify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wrapText="1"/>
    </xf>
    <xf numFmtId="166" fontId="18" fillId="0" borderId="2" xfId="5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justify" vertical="center" wrapText="1"/>
    </xf>
    <xf numFmtId="166" fontId="71" fillId="0" borderId="0" xfId="0" applyNumberFormat="1" applyFont="1"/>
    <xf numFmtId="164" fontId="72" fillId="0" borderId="0" xfId="0" applyNumberFormat="1" applyFont="1"/>
    <xf numFmtId="0" fontId="72" fillId="0" borderId="0" xfId="0" applyFont="1"/>
    <xf numFmtId="0" fontId="72" fillId="0" borderId="0" xfId="5" applyNumberFormat="1" applyFont="1" applyAlignment="1">
      <alignment horizontal="center"/>
    </xf>
    <xf numFmtId="172" fontId="72" fillId="0" borderId="0" xfId="0" applyNumberFormat="1" applyFont="1"/>
    <xf numFmtId="0" fontId="72" fillId="0" borderId="0" xfId="0" applyNumberFormat="1" applyFont="1" applyAlignment="1">
      <alignment horizontal="center"/>
    </xf>
    <xf numFmtId="166" fontId="72" fillId="0" borderId="0" xfId="0" applyNumberFormat="1" applyFont="1"/>
    <xf numFmtId="170" fontId="72" fillId="0" borderId="0" xfId="0" applyNumberFormat="1" applyFont="1"/>
    <xf numFmtId="0" fontId="72" fillId="0" borderId="0" xfId="0" applyNumberFormat="1" applyFont="1"/>
    <xf numFmtId="166" fontId="38" fillId="0" borderId="10" xfId="5" applyFont="1" applyFill="1" applyBorder="1" applyAlignment="1">
      <alignment horizontal="left"/>
    </xf>
    <xf numFmtId="167" fontId="38" fillId="0" borderId="9" xfId="5" applyNumberFormat="1" applyFont="1" applyFill="1" applyBorder="1" applyAlignment="1">
      <alignment horizontal="right"/>
    </xf>
    <xf numFmtId="0" fontId="30" fillId="0" borderId="7" xfId="0" applyFont="1" applyFill="1" applyBorder="1" applyAlignment="1">
      <alignment horizontal="center" vertical="center"/>
    </xf>
    <xf numFmtId="49" fontId="30" fillId="0" borderId="8" xfId="0" applyNumberFormat="1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/>
    </xf>
    <xf numFmtId="49" fontId="30" fillId="0" borderId="11" xfId="0" applyNumberFormat="1" applyFont="1" applyFill="1" applyBorder="1" applyAlignment="1">
      <alignment horizontal="center" vertical="center"/>
    </xf>
    <xf numFmtId="0" fontId="18" fillId="0" borderId="0" xfId="0" applyFont="1" applyFill="1"/>
    <xf numFmtId="0" fontId="1" fillId="0" borderId="0" xfId="0" applyFont="1" applyBorder="1" applyAlignment="1">
      <alignment vertical="center"/>
    </xf>
    <xf numFmtId="0" fontId="19" fillId="0" borderId="0" xfId="0" applyFont="1" applyBorder="1" applyAlignment="1">
      <alignment horizontal="left"/>
    </xf>
    <xf numFmtId="0" fontId="19" fillId="0" borderId="46" xfId="0" applyFont="1" applyBorder="1" applyAlignment="1">
      <alignment horizontal="left"/>
    </xf>
    <xf numFmtId="0" fontId="19" fillId="0" borderId="1" xfId="0" applyFont="1" applyFill="1" applyBorder="1" applyAlignment="1">
      <alignment horizontal="left"/>
    </xf>
    <xf numFmtId="166" fontId="19" fillId="0" borderId="1" xfId="5" applyFont="1" applyFill="1" applyBorder="1" applyAlignment="1">
      <alignment horizontal="left"/>
    </xf>
    <xf numFmtId="166" fontId="60" fillId="0" borderId="1" xfId="5" applyFont="1" applyFill="1" applyBorder="1" applyAlignment="1">
      <alignment horizontal="left"/>
    </xf>
    <xf numFmtId="166" fontId="19" fillId="0" borderId="1" xfId="0" applyNumberFormat="1" applyFont="1" applyFill="1" applyBorder="1" applyAlignment="1">
      <alignment horizontal="left"/>
    </xf>
    <xf numFmtId="0" fontId="60" fillId="1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166" fontId="60" fillId="0" borderId="1" xfId="5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/>
    </xf>
    <xf numFmtId="166" fontId="19" fillId="0" borderId="1" xfId="5" applyFont="1" applyBorder="1" applyAlignment="1">
      <alignment horizontal="left"/>
    </xf>
    <xf numFmtId="0" fontId="60" fillId="0" borderId="11" xfId="0" applyFont="1" applyBorder="1" applyAlignment="1">
      <alignment horizontal="left"/>
    </xf>
    <xf numFmtId="166" fontId="60" fillId="0" borderId="11" xfId="5" applyFont="1" applyFill="1" applyBorder="1" applyAlignment="1">
      <alignment horizontal="left"/>
    </xf>
    <xf numFmtId="166" fontId="19" fillId="0" borderId="11" xfId="5" applyFont="1" applyFill="1" applyBorder="1" applyAlignment="1">
      <alignment horizontal="left"/>
    </xf>
    <xf numFmtId="164" fontId="24" fillId="10" borderId="1" xfId="0" applyNumberFormat="1" applyFont="1" applyFill="1" applyBorder="1" applyAlignment="1">
      <alignment horizontal="left" vertical="center"/>
    </xf>
    <xf numFmtId="0" fontId="60" fillId="0" borderId="11" xfId="0" applyFont="1" applyFill="1" applyBorder="1" applyAlignment="1">
      <alignment horizontal="left" vertical="center"/>
    </xf>
    <xf numFmtId="0" fontId="60" fillId="0" borderId="11" xfId="0" applyFont="1" applyFill="1" applyBorder="1" applyAlignment="1">
      <alignment horizontal="left" vertical="center" wrapText="1"/>
    </xf>
    <xf numFmtId="166" fontId="19" fillId="0" borderId="8" xfId="5" applyFont="1" applyFill="1" applyBorder="1" applyAlignment="1">
      <alignment horizontal="left"/>
    </xf>
    <xf numFmtId="0" fontId="19" fillId="0" borderId="1" xfId="0" applyFont="1" applyBorder="1" applyAlignment="1">
      <alignment horizontal="left" vertical="center"/>
    </xf>
    <xf numFmtId="0" fontId="19" fillId="0" borderId="33" xfId="0" applyFont="1" applyFill="1" applyBorder="1" applyAlignment="1">
      <alignment horizontal="left" vertical="center"/>
    </xf>
    <xf numFmtId="0" fontId="2" fillId="10" borderId="1" xfId="0" applyFont="1" applyFill="1" applyBorder="1" applyAlignment="1">
      <alignment horizontal="left" vertical="center"/>
    </xf>
    <xf numFmtId="166" fontId="38" fillId="0" borderId="4" xfId="5" applyFont="1" applyFill="1" applyBorder="1" applyAlignment="1">
      <alignment horizontal="left"/>
    </xf>
    <xf numFmtId="0" fontId="42" fillId="0" borderId="0" xfId="0" applyFont="1" applyFill="1"/>
    <xf numFmtId="4" fontId="42" fillId="0" borderId="0" xfId="0" applyNumberFormat="1" applyFont="1" applyFill="1"/>
    <xf numFmtId="0" fontId="23" fillId="0" borderId="0" xfId="0" applyFont="1" applyFill="1" applyAlignment="1">
      <alignment horizontal="center"/>
    </xf>
    <xf numFmtId="4" fontId="18" fillId="0" borderId="0" xfId="0" applyNumberFormat="1" applyFont="1" applyFill="1"/>
    <xf numFmtId="0" fontId="20" fillId="0" borderId="0" xfId="0" applyFont="1" applyFill="1"/>
    <xf numFmtId="0" fontId="18" fillId="0" borderId="0" xfId="0" applyFont="1" applyFill="1" applyAlignment="1">
      <alignment horizontal="right"/>
    </xf>
    <xf numFmtId="4" fontId="20" fillId="0" borderId="0" xfId="0" applyNumberFormat="1" applyFont="1" applyFill="1"/>
    <xf numFmtId="10" fontId="20" fillId="0" borderId="0" xfId="0" quotePrefix="1" applyNumberFormat="1" applyFont="1" applyFill="1" applyAlignment="1">
      <alignment horizontal="right"/>
    </xf>
    <xf numFmtId="0" fontId="18" fillId="0" borderId="25" xfId="0" applyFont="1" applyFill="1" applyBorder="1"/>
    <xf numFmtId="0" fontId="18" fillId="0" borderId="26" xfId="0" applyFont="1" applyFill="1" applyBorder="1"/>
    <xf numFmtId="4" fontId="18" fillId="0" borderId="27" xfId="0" applyNumberFormat="1" applyFont="1" applyFill="1" applyBorder="1"/>
    <xf numFmtId="0" fontId="34" fillId="0" borderId="14" xfId="0" applyFont="1" applyFill="1" applyBorder="1" applyAlignment="1">
      <alignment horizontal="center" vertical="center" wrapText="1"/>
    </xf>
    <xf numFmtId="0" fontId="33" fillId="0" borderId="40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0" fontId="35" fillId="0" borderId="18" xfId="0" applyFont="1" applyFill="1" applyBorder="1" applyAlignment="1">
      <alignment horizontal="center" vertical="center" wrapText="1"/>
    </xf>
    <xf numFmtId="0" fontId="35" fillId="0" borderId="67" xfId="0" applyFont="1" applyFill="1" applyBorder="1" applyAlignment="1">
      <alignment vertical="center" wrapText="1"/>
    </xf>
    <xf numFmtId="170" fontId="35" fillId="0" borderId="18" xfId="0" applyNumberFormat="1" applyFont="1" applyFill="1" applyBorder="1" applyAlignment="1">
      <alignment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vertical="center" wrapText="1"/>
    </xf>
    <xf numFmtId="170" fontId="35" fillId="0" borderId="2" xfId="0" applyNumberFormat="1" applyFont="1" applyFill="1" applyBorder="1" applyAlignment="1">
      <alignment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35" fillId="0" borderId="66" xfId="0" applyFont="1" applyFill="1" applyBorder="1" applyAlignment="1">
      <alignment vertical="center" wrapText="1"/>
    </xf>
    <xf numFmtId="170" fontId="35" fillId="0" borderId="15" xfId="0" applyNumberFormat="1" applyFont="1" applyFill="1" applyBorder="1" applyAlignment="1">
      <alignment vertical="center" wrapText="1"/>
    </xf>
    <xf numFmtId="170" fontId="36" fillId="0" borderId="14" xfId="0" applyNumberFormat="1" applyFont="1" applyFill="1" applyBorder="1" applyAlignment="1">
      <alignment vertical="center" wrapText="1"/>
    </xf>
    <xf numFmtId="0" fontId="35" fillId="0" borderId="0" xfId="0" applyFont="1" applyFill="1" applyAlignment="1">
      <alignment horizontal="center" vertical="center" wrapText="1"/>
    </xf>
    <xf numFmtId="170" fontId="35" fillId="0" borderId="0" xfId="0" applyNumberFormat="1" applyFont="1" applyFill="1" applyAlignment="1">
      <alignment vertical="center" wrapText="1"/>
    </xf>
    <xf numFmtId="0" fontId="34" fillId="0" borderId="29" xfId="0" applyFont="1" applyFill="1" applyBorder="1" applyAlignment="1">
      <alignment horizontal="center" vertical="center" wrapText="1"/>
    </xf>
    <xf numFmtId="0" fontId="33" fillId="0" borderId="29" xfId="0" applyFont="1" applyFill="1" applyBorder="1" applyAlignment="1">
      <alignment horizontal="center" vertical="center" wrapText="1"/>
    </xf>
    <xf numFmtId="0" fontId="35" fillId="0" borderId="58" xfId="0" applyFont="1" applyFill="1" applyBorder="1" applyAlignment="1">
      <alignment horizontal="center" vertical="center" wrapText="1"/>
    </xf>
    <xf numFmtId="0" fontId="35" fillId="0" borderId="58" xfId="0" applyFont="1" applyFill="1" applyBorder="1" applyAlignment="1">
      <alignment vertical="center" wrapText="1"/>
    </xf>
    <xf numFmtId="0" fontId="35" fillId="0" borderId="57" xfId="0" applyFont="1" applyFill="1" applyBorder="1" applyAlignment="1">
      <alignment horizontal="center" vertical="center" wrapText="1"/>
    </xf>
    <xf numFmtId="0" fontId="35" fillId="0" borderId="57" xfId="0" applyFont="1" applyFill="1" applyBorder="1" applyAlignment="1">
      <alignment vertical="center" wrapText="1"/>
    </xf>
    <xf numFmtId="0" fontId="35" fillId="0" borderId="30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textRotation="90" wrapText="1"/>
    </xf>
    <xf numFmtId="166" fontId="23" fillId="0" borderId="16" xfId="5" applyFont="1" applyFill="1" applyBorder="1" applyAlignment="1">
      <alignment vertical="center" wrapText="1"/>
    </xf>
    <xf numFmtId="0" fontId="19" fillId="0" borderId="7" xfId="0" applyFont="1" applyFill="1" applyBorder="1" applyAlignment="1">
      <alignment horizontal="left" vertical="center"/>
    </xf>
    <xf numFmtId="49" fontId="19" fillId="0" borderId="1" xfId="0" applyNumberFormat="1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left" vertical="center"/>
    </xf>
    <xf numFmtId="0" fontId="58" fillId="0" borderId="36" xfId="2" applyFont="1" applyFill="1" applyBorder="1" applyAlignment="1">
      <alignment horizontal="center" vertical="center" textRotation="90" wrapText="1"/>
    </xf>
    <xf numFmtId="0" fontId="58" fillId="0" borderId="37" xfId="2" applyFont="1" applyFill="1" applyBorder="1" applyAlignment="1">
      <alignment horizontal="center" vertical="center" textRotation="90" wrapText="1"/>
    </xf>
    <xf numFmtId="0" fontId="58" fillId="0" borderId="39" xfId="2" applyFont="1" applyFill="1" applyBorder="1" applyAlignment="1">
      <alignment horizontal="center" vertical="center" textRotation="90" wrapText="1"/>
    </xf>
    <xf numFmtId="0" fontId="58" fillId="0" borderId="38" xfId="2" applyFont="1" applyFill="1" applyBorder="1" applyAlignment="1">
      <alignment horizontal="center" vertical="center" textRotation="90" wrapText="1"/>
    </xf>
    <xf numFmtId="49" fontId="19" fillId="0" borderId="8" xfId="0" applyNumberFormat="1" applyFont="1" applyFill="1" applyBorder="1" applyAlignment="1">
      <alignment horizontal="left" vertical="center"/>
    </xf>
    <xf numFmtId="170" fontId="70" fillId="0" borderId="14" xfId="2" applyNumberFormat="1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center" vertical="center" textRotation="90" wrapText="1"/>
    </xf>
    <xf numFmtId="0" fontId="11" fillId="0" borderId="37" xfId="2" applyFont="1" applyFill="1" applyBorder="1" applyAlignment="1">
      <alignment horizontal="center" vertical="center" textRotation="90" wrapText="1"/>
    </xf>
    <xf numFmtId="0" fontId="11" fillId="0" borderId="39" xfId="2" applyFont="1" applyFill="1" applyBorder="1" applyAlignment="1">
      <alignment horizontal="center" vertical="center" textRotation="90" wrapText="1"/>
    </xf>
    <xf numFmtId="0" fontId="11" fillId="0" borderId="38" xfId="2" applyFont="1" applyFill="1" applyBorder="1" applyAlignment="1">
      <alignment horizontal="center" vertical="center" textRotation="90" wrapText="1"/>
    </xf>
    <xf numFmtId="0" fontId="10" fillId="0" borderId="7" xfId="0" applyFont="1" applyFill="1" applyBorder="1" applyAlignment="1">
      <alignment horizontal="center" wrapText="1"/>
    </xf>
    <xf numFmtId="49" fontId="10" fillId="0" borderId="8" xfId="0" applyNumberFormat="1" applyFont="1" applyFill="1" applyBorder="1" applyAlignment="1">
      <alignment horizontal="center" wrapText="1"/>
    </xf>
    <xf numFmtId="49" fontId="10" fillId="0" borderId="32" xfId="0" applyNumberFormat="1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 wrapText="1"/>
    </xf>
    <xf numFmtId="49" fontId="10" fillId="0" borderId="1" xfId="0" applyNumberFormat="1" applyFont="1" applyFill="1" applyBorder="1" applyAlignment="1">
      <alignment horizontal="center" wrapText="1"/>
    </xf>
    <xf numFmtId="49" fontId="10" fillId="0" borderId="33" xfId="0" applyNumberFormat="1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49" fontId="10" fillId="0" borderId="32" xfId="0" applyNumberFormat="1" applyFont="1" applyFill="1" applyBorder="1" applyAlignment="1">
      <alignment horizontal="center"/>
    </xf>
    <xf numFmtId="49" fontId="10" fillId="0" borderId="33" xfId="0" applyNumberFormat="1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49" fontId="10" fillId="0" borderId="11" xfId="0" applyNumberFormat="1" applyFont="1" applyFill="1" applyBorder="1" applyAlignment="1">
      <alignment horizontal="center"/>
    </xf>
    <xf numFmtId="49" fontId="10" fillId="0" borderId="35" xfId="0" applyNumberFormat="1" applyFont="1" applyFill="1" applyBorder="1" applyAlignment="1">
      <alignment horizontal="center"/>
    </xf>
    <xf numFmtId="0" fontId="10" fillId="0" borderId="5" xfId="0" applyFont="1" applyFill="1" applyBorder="1" applyAlignment="1">
      <alignment horizontal="left"/>
    </xf>
    <xf numFmtId="170" fontId="10" fillId="0" borderId="56" xfId="0" applyNumberFormat="1" applyFont="1" applyFill="1" applyBorder="1" applyAlignment="1">
      <alignment horizontal="left"/>
    </xf>
    <xf numFmtId="170" fontId="10" fillId="0" borderId="3" xfId="5" applyNumberFormat="1" applyFont="1" applyFill="1" applyBorder="1" applyAlignment="1">
      <alignment horizontal="right"/>
    </xf>
    <xf numFmtId="170" fontId="69" fillId="0" borderId="14" xfId="0" applyNumberFormat="1" applyFont="1" applyFill="1" applyBorder="1" applyAlignment="1">
      <alignment vertical="center"/>
    </xf>
    <xf numFmtId="170" fontId="16" fillId="0" borderId="14" xfId="0" applyNumberFormat="1" applyFont="1" applyFill="1" applyBorder="1" applyAlignment="1">
      <alignment vertical="center"/>
    </xf>
    <xf numFmtId="0" fontId="38" fillId="0" borderId="7" xfId="0" applyFont="1" applyFill="1" applyBorder="1" applyAlignment="1">
      <alignment horizontal="center"/>
    </xf>
    <xf numFmtId="49" fontId="38" fillId="0" borderId="8" xfId="0" applyNumberFormat="1" applyFont="1" applyFill="1" applyBorder="1" applyAlignment="1">
      <alignment horizontal="center"/>
    </xf>
    <xf numFmtId="0" fontId="38" fillId="0" borderId="9" xfId="0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left"/>
    </xf>
    <xf numFmtId="49" fontId="38" fillId="0" borderId="1" xfId="0" applyNumberFormat="1" applyFont="1" applyFill="1" applyBorder="1" applyAlignment="1">
      <alignment horizontal="center"/>
    </xf>
    <xf numFmtId="0" fontId="38" fillId="0" borderId="2" xfId="0" applyFont="1" applyFill="1" applyBorder="1" applyAlignment="1">
      <alignment horizontal="center" vertical="center" wrapText="1"/>
    </xf>
    <xf numFmtId="0" fontId="38" fillId="0" borderId="4" xfId="0" applyFont="1" applyFill="1" applyBorder="1" applyAlignment="1">
      <alignment horizontal="left"/>
    </xf>
    <xf numFmtId="166" fontId="38" fillId="0" borderId="2" xfId="5" applyFont="1" applyFill="1" applyBorder="1" applyAlignment="1">
      <alignment horizontal="left"/>
    </xf>
    <xf numFmtId="0" fontId="38" fillId="0" borderId="2" xfId="0" applyFont="1" applyFill="1" applyBorder="1" applyAlignment="1">
      <alignment horizontal="left"/>
    </xf>
    <xf numFmtId="0" fontId="38" fillId="0" borderId="6" xfId="0" applyFont="1" applyFill="1" applyBorder="1" applyAlignment="1">
      <alignment horizontal="center"/>
    </xf>
    <xf numFmtId="0" fontId="38" fillId="0" borderId="12" xfId="0" applyFont="1" applyFill="1" applyBorder="1" applyAlignment="1">
      <alignment horizontal="center"/>
    </xf>
    <xf numFmtId="49" fontId="38" fillId="0" borderId="11" xfId="0" applyNumberFormat="1" applyFont="1" applyFill="1" applyBorder="1" applyAlignment="1">
      <alignment horizontal="center"/>
    </xf>
    <xf numFmtId="49" fontId="38" fillId="0" borderId="3" xfId="0" applyNumberFormat="1" applyFont="1" applyFill="1" applyBorder="1" applyAlignment="1">
      <alignment horizontal="center"/>
    </xf>
    <xf numFmtId="0" fontId="38" fillId="0" borderId="5" xfId="0" applyFont="1" applyFill="1" applyBorder="1" applyAlignment="1">
      <alignment horizontal="left"/>
    </xf>
    <xf numFmtId="166" fontId="38" fillId="0" borderId="5" xfId="5" applyFont="1" applyFill="1" applyBorder="1" applyAlignment="1">
      <alignment horizontal="left"/>
    </xf>
    <xf numFmtId="167" fontId="39" fillId="0" borderId="14" xfId="2" applyNumberFormat="1" applyFont="1" applyFill="1" applyBorder="1" applyAlignment="1">
      <alignment horizontal="center" vertical="center"/>
    </xf>
    <xf numFmtId="0" fontId="28" fillId="0" borderId="19" xfId="1" applyFont="1" applyFill="1" applyBorder="1" applyAlignment="1">
      <alignment horizontal="center" vertical="center" textRotation="90" wrapText="1"/>
    </xf>
    <xf numFmtId="0" fontId="28" fillId="0" borderId="20" xfId="1" applyFont="1" applyFill="1" applyBorder="1" applyAlignment="1">
      <alignment horizontal="center" vertical="center" textRotation="90" wrapText="1"/>
    </xf>
    <xf numFmtId="0" fontId="28" fillId="0" borderId="21" xfId="1" applyFont="1" applyFill="1" applyBorder="1" applyAlignment="1">
      <alignment horizontal="center" vertical="center" textRotation="90" wrapText="1"/>
    </xf>
    <xf numFmtId="0" fontId="28" fillId="0" borderId="22" xfId="1" applyFont="1" applyFill="1" applyBorder="1" applyAlignment="1">
      <alignment horizontal="center" vertical="center" textRotation="90" wrapText="1"/>
    </xf>
    <xf numFmtId="0" fontId="30" fillId="0" borderId="25" xfId="0" applyFont="1" applyFill="1" applyBorder="1" applyAlignment="1">
      <alignment horizontal="center" vertical="center"/>
    </xf>
    <xf numFmtId="49" fontId="30" fillId="0" borderId="26" xfId="0" applyNumberFormat="1" applyFont="1" applyFill="1" applyBorder="1" applyAlignment="1">
      <alignment horizontal="center" vertical="center"/>
    </xf>
    <xf numFmtId="49" fontId="30" fillId="0" borderId="27" xfId="0" applyNumberFormat="1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left" vertical="center" wrapText="1"/>
    </xf>
    <xf numFmtId="169" fontId="30" fillId="0" borderId="4" xfId="0" applyNumberFormat="1" applyFont="1" applyFill="1" applyBorder="1" applyAlignment="1">
      <alignment horizontal="left" vertical="center"/>
    </xf>
    <xf numFmtId="49" fontId="30" fillId="0" borderId="28" xfId="0" applyNumberFormat="1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justify" vertical="center" wrapText="1"/>
    </xf>
    <xf numFmtId="49" fontId="30" fillId="0" borderId="12" xfId="0" applyNumberFormat="1" applyFont="1" applyFill="1" applyBorder="1" applyAlignment="1">
      <alignment horizontal="center" vertical="center"/>
    </xf>
    <xf numFmtId="49" fontId="30" fillId="0" borderId="53" xfId="0" applyNumberFormat="1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vertical="center" wrapText="1"/>
    </xf>
    <xf numFmtId="169" fontId="30" fillId="0" borderId="5" xfId="0" applyNumberFormat="1" applyFont="1" applyFill="1" applyBorder="1" applyAlignment="1">
      <alignment horizontal="left" vertical="center"/>
    </xf>
    <xf numFmtId="0" fontId="60" fillId="0" borderId="1" xfId="5" applyNumberFormat="1" applyFont="1" applyFill="1" applyBorder="1" applyAlignment="1">
      <alignment horizontal="center" vertical="center"/>
    </xf>
    <xf numFmtId="166" fontId="78" fillId="0" borderId="0" xfId="0" applyNumberFormat="1" applyFont="1" applyBorder="1" applyAlignment="1">
      <alignment horizontal="left"/>
    </xf>
    <xf numFmtId="0" fontId="80" fillId="0" borderId="0" xfId="0" applyFont="1" applyAlignment="1">
      <alignment vertical="center"/>
    </xf>
    <xf numFmtId="0" fontId="80" fillId="0" borderId="0" xfId="0" applyFont="1" applyAlignment="1">
      <alignment horizontal="left" vertical="center"/>
    </xf>
    <xf numFmtId="170" fontId="81" fillId="0" borderId="0" xfId="0" applyNumberFormat="1" applyFont="1"/>
    <xf numFmtId="166" fontId="80" fillId="0" borderId="0" xfId="0" applyNumberFormat="1" applyFont="1" applyAlignment="1">
      <alignment vertical="center"/>
    </xf>
    <xf numFmtId="0" fontId="81" fillId="0" borderId="0" xfId="0" applyFont="1"/>
    <xf numFmtId="165" fontId="80" fillId="0" borderId="0" xfId="8" applyFont="1"/>
    <xf numFmtId="164" fontId="80" fillId="0" borderId="0" xfId="0" applyNumberFormat="1" applyFont="1" applyAlignment="1">
      <alignment vertical="center"/>
    </xf>
    <xf numFmtId="0" fontId="82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84" fillId="0" borderId="0" xfId="0" applyFont="1" applyAlignment="1">
      <alignment vertical="center"/>
    </xf>
    <xf numFmtId="170" fontId="84" fillId="0" borderId="0" xfId="0" applyNumberFormat="1" applyFont="1" applyAlignment="1">
      <alignment vertical="center"/>
    </xf>
    <xf numFmtId="170" fontId="85" fillId="0" borderId="0" xfId="0" applyNumberFormat="1" applyFont="1" applyAlignment="1">
      <alignment vertical="center"/>
    </xf>
    <xf numFmtId="0" fontId="72" fillId="0" borderId="0" xfId="0" applyFont="1" applyAlignment="1">
      <alignment vertical="center"/>
    </xf>
    <xf numFmtId="170" fontId="71" fillId="0" borderId="0" xfId="0" applyNumberFormat="1" applyFont="1" applyAlignment="1">
      <alignment vertical="center"/>
    </xf>
    <xf numFmtId="170" fontId="72" fillId="0" borderId="0" xfId="0" applyNumberFormat="1" applyFont="1" applyAlignment="1">
      <alignment vertical="center"/>
    </xf>
    <xf numFmtId="170" fontId="86" fillId="0" borderId="0" xfId="0" applyNumberFormat="1" applyFont="1" applyAlignment="1">
      <alignment vertical="center"/>
    </xf>
    <xf numFmtId="0" fontId="87" fillId="0" borderId="0" xfId="0" applyFont="1" applyAlignment="1">
      <alignment horizontal="center"/>
    </xf>
    <xf numFmtId="0" fontId="80" fillId="0" borderId="0" xfId="0" applyFont="1"/>
    <xf numFmtId="166" fontId="81" fillId="0" borderId="0" xfId="5" applyFont="1"/>
    <xf numFmtId="166" fontId="81" fillId="0" borderId="0" xfId="0" applyNumberFormat="1" applyFont="1"/>
    <xf numFmtId="167" fontId="81" fillId="0" borderId="0" xfId="0" applyNumberFormat="1" applyFont="1"/>
    <xf numFmtId="167" fontId="88" fillId="0" borderId="0" xfId="0" applyNumberFormat="1" applyFont="1"/>
    <xf numFmtId="166" fontId="80" fillId="0" borderId="0" xfId="0" applyNumberFormat="1" applyFont="1"/>
    <xf numFmtId="0" fontId="80" fillId="0" borderId="61" xfId="0" applyFont="1" applyBorder="1" applyAlignment="1">
      <alignment vertical="center"/>
    </xf>
    <xf numFmtId="169" fontId="80" fillId="0" borderId="0" xfId="0" applyNumberFormat="1" applyFont="1" applyAlignment="1">
      <alignment vertical="center"/>
    </xf>
    <xf numFmtId="0" fontId="89" fillId="0" borderId="0" xfId="0" applyFont="1" applyAlignment="1">
      <alignment vertical="center"/>
    </xf>
    <xf numFmtId="166" fontId="72" fillId="0" borderId="0" xfId="5" applyFont="1" applyAlignment="1">
      <alignment vertical="center"/>
    </xf>
    <xf numFmtId="0" fontId="84" fillId="0" borderId="0" xfId="0" applyFont="1" applyAlignment="1">
      <alignment wrapText="1"/>
    </xf>
    <xf numFmtId="172" fontId="84" fillId="0" borderId="0" xfId="0" applyNumberFormat="1" applyFont="1" applyAlignment="1">
      <alignment wrapText="1"/>
    </xf>
    <xf numFmtId="166" fontId="84" fillId="0" borderId="0" xfId="5" applyFont="1" applyAlignment="1">
      <alignment wrapText="1"/>
    </xf>
    <xf numFmtId="172" fontId="84" fillId="0" borderId="0" xfId="0" applyNumberFormat="1" applyFont="1" applyFill="1" applyAlignment="1">
      <alignment wrapText="1"/>
    </xf>
    <xf numFmtId="166" fontId="19" fillId="0" borderId="1" xfId="5" applyFont="1" applyFill="1" applyBorder="1" applyAlignment="1">
      <alignment horizontal="left" vertical="center"/>
    </xf>
    <xf numFmtId="166" fontId="2" fillId="0" borderId="1" xfId="5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 wrapText="1"/>
    </xf>
    <xf numFmtId="0" fontId="78" fillId="11" borderId="35" xfId="0" applyFont="1" applyFill="1" applyBorder="1" applyAlignment="1">
      <alignment horizontal="left" vertical="center"/>
    </xf>
    <xf numFmtId="166" fontId="79" fillId="11" borderId="1" xfId="5" applyFont="1" applyFill="1" applyBorder="1" applyAlignment="1">
      <alignment horizontal="left" vertical="center"/>
    </xf>
    <xf numFmtId="166" fontId="76" fillId="11" borderId="1" xfId="5" applyFont="1" applyFill="1" applyBorder="1" applyAlignment="1">
      <alignment horizontal="left" vertical="center"/>
    </xf>
    <xf numFmtId="0" fontId="19" fillId="11" borderId="1" xfId="0" applyFont="1" applyFill="1" applyBorder="1" applyAlignment="1">
      <alignment horizontal="left" vertical="center"/>
    </xf>
    <xf numFmtId="0" fontId="60" fillId="11" borderId="1" xfId="0" applyFont="1" applyFill="1" applyBorder="1" applyAlignment="1">
      <alignment horizontal="center" vertical="center"/>
    </xf>
    <xf numFmtId="0" fontId="60" fillId="11" borderId="47" xfId="0" applyFont="1" applyFill="1" applyBorder="1" applyAlignment="1">
      <alignment horizontal="left" vertical="center"/>
    </xf>
    <xf numFmtId="164" fontId="60" fillId="11" borderId="1" xfId="0" applyNumberFormat="1" applyFont="1" applyFill="1" applyBorder="1" applyAlignment="1">
      <alignment horizontal="left" vertical="center"/>
    </xf>
    <xf numFmtId="0" fontId="60" fillId="11" borderId="48" xfId="0" applyNumberFormat="1" applyFont="1" applyFill="1" applyBorder="1" applyAlignment="1">
      <alignment horizontal="left" vertical="center"/>
    </xf>
    <xf numFmtId="0" fontId="60" fillId="11" borderId="1" xfId="0" applyFont="1" applyFill="1" applyBorder="1" applyAlignment="1">
      <alignment horizontal="left" vertical="center"/>
    </xf>
    <xf numFmtId="0" fontId="60" fillId="11" borderId="1" xfId="0" applyFont="1" applyFill="1" applyBorder="1" applyAlignment="1">
      <alignment horizontal="left"/>
    </xf>
    <xf numFmtId="166" fontId="60" fillId="11" borderId="1" xfId="5" applyFont="1" applyFill="1" applyBorder="1" applyAlignment="1">
      <alignment horizontal="left"/>
    </xf>
    <xf numFmtId="166" fontId="60" fillId="11" borderId="48" xfId="5" applyFont="1" applyFill="1" applyBorder="1" applyAlignment="1">
      <alignment horizontal="left"/>
    </xf>
    <xf numFmtId="166" fontId="24" fillId="0" borderId="1" xfId="5" applyFont="1" applyFill="1" applyBorder="1" applyAlignment="1">
      <alignment horizontal="left" vertical="center"/>
    </xf>
    <xf numFmtId="0" fontId="0" fillId="0" borderId="0" xfId="0"/>
    <xf numFmtId="0" fontId="58" fillId="0" borderId="29" xfId="0" applyFont="1" applyFill="1" applyBorder="1" applyAlignment="1">
      <alignment horizontal="center" vertical="center" wrapText="1"/>
    </xf>
    <xf numFmtId="0" fontId="58" fillId="0" borderId="14" xfId="0" applyFont="1" applyFill="1" applyBorder="1" applyAlignment="1">
      <alignment horizontal="center" vertical="center" wrapText="1"/>
    </xf>
    <xf numFmtId="0" fontId="58" fillId="0" borderId="40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66" fontId="19" fillId="0" borderId="8" xfId="0" applyNumberFormat="1" applyFont="1" applyFill="1" applyBorder="1" applyAlignment="1">
      <alignment horizontal="left"/>
    </xf>
    <xf numFmtId="0" fontId="73" fillId="0" borderId="1" xfId="0" applyFont="1" applyFill="1" applyBorder="1" applyAlignment="1">
      <alignment horizontal="left" vertical="center"/>
    </xf>
    <xf numFmtId="0" fontId="74" fillId="0" borderId="1" xfId="0" applyFont="1" applyFill="1" applyBorder="1" applyAlignment="1">
      <alignment horizontal="left"/>
    </xf>
    <xf numFmtId="166" fontId="73" fillId="0" borderId="1" xfId="5" applyFont="1" applyFill="1" applyBorder="1" applyAlignment="1">
      <alignment horizontal="left"/>
    </xf>
    <xf numFmtId="0" fontId="19" fillId="0" borderId="0" xfId="0" applyFont="1" applyAlignment="1">
      <alignment vertical="center" wrapText="1"/>
    </xf>
    <xf numFmtId="0" fontId="23" fillId="0" borderId="0" xfId="0" applyFont="1" applyFill="1" applyAlignment="1">
      <alignment horizontal="center"/>
    </xf>
    <xf numFmtId="49" fontId="30" fillId="0" borderId="31" xfId="0" applyNumberFormat="1" applyFont="1" applyFill="1" applyBorder="1" applyAlignment="1">
      <alignment horizontal="center" vertical="center"/>
    </xf>
    <xf numFmtId="170" fontId="84" fillId="0" borderId="0" xfId="0" applyNumberFormat="1" applyFont="1" applyBorder="1" applyAlignment="1">
      <alignment vertical="center"/>
    </xf>
    <xf numFmtId="4" fontId="63" fillId="0" borderId="1" xfId="0" applyNumberFormat="1" applyFont="1" applyFill="1" applyBorder="1" applyAlignment="1">
      <alignment horizontal="center"/>
    </xf>
    <xf numFmtId="166" fontId="64" fillId="0" borderId="48" xfId="5" applyFont="1" applyFill="1" applyBorder="1"/>
    <xf numFmtId="4" fontId="20" fillId="0" borderId="11" xfId="0" applyNumberFormat="1" applyFont="1" applyFill="1" applyBorder="1"/>
    <xf numFmtId="0" fontId="18" fillId="0" borderId="8" xfId="0" applyFont="1" applyFill="1" applyBorder="1"/>
    <xf numFmtId="4" fontId="18" fillId="0" borderId="8" xfId="0" applyNumberFormat="1" applyFont="1" applyFill="1" applyBorder="1"/>
    <xf numFmtId="166" fontId="20" fillId="0" borderId="1" xfId="5" applyFont="1" applyFill="1" applyBorder="1"/>
    <xf numFmtId="4" fontId="18" fillId="0" borderId="1" xfId="0" applyNumberFormat="1" applyFont="1" applyFill="1" applyBorder="1"/>
    <xf numFmtId="4" fontId="18" fillId="0" borderId="47" xfId="0" applyNumberFormat="1" applyFont="1" applyFill="1" applyBorder="1"/>
    <xf numFmtId="4" fontId="64" fillId="0" borderId="1" xfId="0" applyNumberFormat="1" applyFont="1" applyFill="1" applyBorder="1"/>
    <xf numFmtId="166" fontId="64" fillId="0" borderId="1" xfId="5" applyFont="1" applyFill="1" applyBorder="1"/>
    <xf numFmtId="0" fontId="0" fillId="0" borderId="0" xfId="0"/>
    <xf numFmtId="0" fontId="0" fillId="0" borderId="0" xfId="0"/>
    <xf numFmtId="0" fontId="19" fillId="0" borderId="8" xfId="0" applyFont="1" applyBorder="1" applyAlignment="1">
      <alignment horizontal="center" vertical="center"/>
    </xf>
    <xf numFmtId="0" fontId="0" fillId="0" borderId="1" xfId="0" applyBorder="1"/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 wrapText="1"/>
    </xf>
    <xf numFmtId="44" fontId="76" fillId="11" borderId="1" xfId="5" applyNumberFormat="1" applyFont="1" applyFill="1" applyBorder="1" applyAlignment="1">
      <alignment horizontal="left" vertical="center"/>
    </xf>
    <xf numFmtId="166" fontId="2" fillId="0" borderId="1" xfId="5" applyFont="1" applyBorder="1" applyAlignment="1">
      <alignment vertical="center"/>
    </xf>
    <xf numFmtId="0" fontId="18" fillId="0" borderId="4" xfId="0" applyFont="1" applyFill="1" applyBorder="1" applyAlignment="1">
      <alignment horizontal="left"/>
    </xf>
    <xf numFmtId="0" fontId="51" fillId="0" borderId="4" xfId="0" applyFont="1" applyFill="1" applyBorder="1" applyAlignment="1">
      <alignment horizontal="left"/>
    </xf>
    <xf numFmtId="0" fontId="19" fillId="0" borderId="46" xfId="0" applyFont="1" applyFill="1" applyBorder="1" applyAlignment="1">
      <alignment horizontal="left" vertical="center" wrapText="1"/>
    </xf>
    <xf numFmtId="170" fontId="19" fillId="0" borderId="10" xfId="0" applyNumberFormat="1" applyFont="1" applyFill="1" applyBorder="1" applyAlignment="1">
      <alignment horizontal="left" vertical="center"/>
    </xf>
    <xf numFmtId="170" fontId="19" fillId="0" borderId="9" xfId="5" applyNumberFormat="1" applyFont="1" applyFill="1" applyBorder="1" applyAlignment="1">
      <alignment horizontal="left" vertical="center"/>
    </xf>
    <xf numFmtId="0" fontId="51" fillId="0" borderId="9" xfId="0" applyFont="1" applyFill="1" applyBorder="1" applyAlignment="1">
      <alignment horizontal="left" vertical="center"/>
    </xf>
    <xf numFmtId="0" fontId="19" fillId="0" borderId="47" xfId="0" applyFont="1" applyFill="1" applyBorder="1" applyAlignment="1">
      <alignment horizontal="left" vertical="center" wrapText="1"/>
    </xf>
    <xf numFmtId="0" fontId="51" fillId="0" borderId="2" xfId="0" applyFont="1" applyFill="1" applyBorder="1" applyAlignment="1">
      <alignment horizontal="left" vertical="center"/>
    </xf>
    <xf numFmtId="170" fontId="19" fillId="0" borderId="4" xfId="0" applyNumberFormat="1" applyFont="1" applyFill="1" applyBorder="1" applyAlignment="1">
      <alignment horizontal="left" vertical="center"/>
    </xf>
    <xf numFmtId="166" fontId="19" fillId="0" borderId="4" xfId="5" applyFont="1" applyFill="1" applyBorder="1" applyAlignment="1">
      <alignment horizontal="left" vertical="center"/>
    </xf>
    <xf numFmtId="166" fontId="19" fillId="0" borderId="10" xfId="5" applyFont="1" applyFill="1" applyBorder="1" applyAlignment="1">
      <alignment horizontal="left" vertical="center"/>
    </xf>
    <xf numFmtId="49" fontId="19" fillId="0" borderId="35" xfId="0" applyNumberFormat="1" applyFont="1" applyFill="1" applyBorder="1" applyAlignment="1">
      <alignment horizontal="left" vertical="center"/>
    </xf>
    <xf numFmtId="170" fontId="19" fillId="0" borderId="5" xfId="0" applyNumberFormat="1" applyFont="1" applyFill="1" applyBorder="1" applyAlignment="1">
      <alignment horizontal="left" vertical="center"/>
    </xf>
    <xf numFmtId="166" fontId="19" fillId="0" borderId="5" xfId="5" applyFont="1" applyFill="1" applyBorder="1" applyAlignment="1">
      <alignment horizontal="left" vertical="center"/>
    </xf>
    <xf numFmtId="49" fontId="10" fillId="0" borderId="18" xfId="0" applyNumberFormat="1" applyFont="1" applyFill="1" applyBorder="1" applyAlignment="1">
      <alignment horizontal="center" wrapText="1"/>
    </xf>
    <xf numFmtId="170" fontId="10" fillId="0" borderId="10" xfId="0" applyNumberFormat="1" applyFont="1" applyFill="1" applyBorder="1" applyAlignment="1">
      <alignment horizontal="left" wrapText="1"/>
    </xf>
    <xf numFmtId="170" fontId="10" fillId="0" borderId="18" xfId="0" applyNumberFormat="1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left" wrapText="1"/>
    </xf>
    <xf numFmtId="170" fontId="10" fillId="0" borderId="4" xfId="0" applyNumberFormat="1" applyFont="1" applyFill="1" applyBorder="1" applyAlignment="1">
      <alignment horizontal="left" wrapText="1"/>
    </xf>
    <xf numFmtId="170" fontId="10" fillId="0" borderId="2" xfId="0" applyNumberFormat="1" applyFont="1" applyFill="1" applyBorder="1" applyAlignment="1">
      <alignment horizontal="left" wrapText="1"/>
    </xf>
    <xf numFmtId="0" fontId="10" fillId="0" borderId="15" xfId="0" applyFont="1" applyFill="1" applyBorder="1"/>
    <xf numFmtId="0" fontId="10" fillId="0" borderId="3" xfId="0" applyFont="1" applyFill="1" applyBorder="1" applyAlignment="1">
      <alignment horizontal="center" vertical="center" wrapText="1"/>
    </xf>
    <xf numFmtId="170" fontId="10" fillId="0" borderId="3" xfId="0" applyNumberFormat="1" applyFont="1" applyFill="1" applyBorder="1" applyAlignment="1">
      <alignment horizontal="left"/>
    </xf>
    <xf numFmtId="0" fontId="0" fillId="0" borderId="0" xfId="0"/>
    <xf numFmtId="0" fontId="60" fillId="0" borderId="1" xfId="5" applyNumberFormat="1" applyFont="1" applyFill="1" applyBorder="1" applyAlignment="1">
      <alignment horizontal="center" vertical="center" wrapText="1"/>
    </xf>
    <xf numFmtId="166" fontId="19" fillId="0" borderId="8" xfId="5" applyFont="1" applyFill="1" applyBorder="1" applyAlignment="1">
      <alignment horizontal="left" vertical="center"/>
    </xf>
    <xf numFmtId="0" fontId="19" fillId="0" borderId="56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166" fontId="73" fillId="0" borderId="1" xfId="5" applyFont="1" applyFill="1" applyBorder="1" applyAlignment="1">
      <alignment horizontal="left" vertical="center"/>
    </xf>
    <xf numFmtId="166" fontId="60" fillId="0" borderId="8" xfId="5" applyFont="1" applyFill="1" applyBorder="1" applyAlignment="1">
      <alignment horizontal="left" vertical="center"/>
    </xf>
    <xf numFmtId="166" fontId="75" fillId="0" borderId="1" xfId="5" applyFont="1" applyFill="1" applyBorder="1" applyAlignment="1">
      <alignment horizontal="left" vertical="center"/>
    </xf>
    <xf numFmtId="0" fontId="90" fillId="2" borderId="0" xfId="0" applyFont="1" applyFill="1" applyAlignment="1">
      <alignment vertical="center" wrapText="1"/>
    </xf>
    <xf numFmtId="0" fontId="90" fillId="2" borderId="1" xfId="0" applyFont="1" applyFill="1" applyBorder="1" applyAlignment="1">
      <alignment vertical="center" wrapText="1"/>
    </xf>
    <xf numFmtId="166" fontId="90" fillId="2" borderId="1" xfId="5" applyFont="1" applyFill="1" applyBorder="1" applyAlignment="1">
      <alignment vertical="center" wrapText="1"/>
    </xf>
    <xf numFmtId="0" fontId="91" fillId="2" borderId="0" xfId="0" applyFont="1" applyFill="1" applyAlignment="1">
      <alignment wrapText="1"/>
    </xf>
    <xf numFmtId="0" fontId="90" fillId="2" borderId="1" xfId="0" applyFont="1" applyFill="1" applyBorder="1" applyAlignment="1">
      <alignment wrapText="1"/>
    </xf>
    <xf numFmtId="0" fontId="91" fillId="2" borderId="1" xfId="0" applyFont="1" applyFill="1" applyBorder="1" applyAlignment="1">
      <alignment wrapText="1"/>
    </xf>
    <xf numFmtId="0" fontId="20" fillId="0" borderId="1" xfId="0" applyFont="1" applyFill="1" applyBorder="1" applyAlignment="1">
      <alignment horizontal="center" vertical="center"/>
    </xf>
    <xf numFmtId="0" fontId="0" fillId="0" borderId="0" xfId="0"/>
    <xf numFmtId="0" fontId="58" fillId="11" borderId="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166" fontId="19" fillId="0" borderId="11" xfId="5" applyFont="1" applyBorder="1" applyAlignment="1">
      <alignment horizontal="left"/>
    </xf>
    <xf numFmtId="166" fontId="18" fillId="0" borderId="1" xfId="5" applyFont="1" applyFill="1" applyBorder="1" applyAlignment="1">
      <alignment horizontal="center" vertical="center"/>
    </xf>
    <xf numFmtId="0" fontId="20" fillId="0" borderId="57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justify" vertical="center" wrapText="1"/>
    </xf>
    <xf numFmtId="0" fontId="23" fillId="0" borderId="16" xfId="0" applyFont="1" applyFill="1" applyBorder="1" applyAlignment="1">
      <alignment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0" fillId="0" borderId="0" xfId="0"/>
    <xf numFmtId="0" fontId="92" fillId="0" borderId="0" xfId="0" applyFont="1" applyAlignment="1">
      <alignment vertical="center"/>
    </xf>
    <xf numFmtId="0" fontId="92" fillId="0" borderId="0" xfId="0" applyFont="1"/>
    <xf numFmtId="0" fontId="19" fillId="0" borderId="35" xfId="0" applyFont="1" applyFill="1" applyBorder="1" applyAlignment="1">
      <alignment horizontal="center" vertical="center"/>
    </xf>
    <xf numFmtId="166" fontId="60" fillId="0" borderId="16" xfId="5" applyFont="1" applyFill="1" applyBorder="1" applyAlignment="1">
      <alignment vertical="center" wrapText="1"/>
    </xf>
    <xf numFmtId="44" fontId="73" fillId="0" borderId="0" xfId="0" applyNumberFormat="1" applyFont="1" applyFill="1" applyBorder="1" applyAlignment="1">
      <alignment horizontal="left"/>
    </xf>
    <xf numFmtId="166" fontId="73" fillId="0" borderId="0" xfId="0" applyNumberFormat="1" applyFont="1" applyFill="1" applyBorder="1" applyAlignment="1">
      <alignment horizontal="left"/>
    </xf>
    <xf numFmtId="0" fontId="73" fillId="0" borderId="0" xfId="0" applyFont="1" applyFill="1" applyBorder="1" applyAlignment="1">
      <alignment horizontal="left"/>
    </xf>
    <xf numFmtId="0" fontId="78" fillId="0" borderId="0" xfId="0" applyFont="1" applyFill="1" applyBorder="1" applyAlignment="1">
      <alignment horizontal="left"/>
    </xf>
    <xf numFmtId="166" fontId="73" fillId="0" borderId="0" xfId="5" applyFont="1" applyFill="1" applyBorder="1" applyAlignment="1">
      <alignment horizontal="left"/>
    </xf>
    <xf numFmtId="166" fontId="93" fillId="10" borderId="14" xfId="5" applyFont="1" applyFill="1" applyBorder="1" applyAlignment="1">
      <alignment horizontal="left" vertical="center" wrapText="1"/>
    </xf>
    <xf numFmtId="170" fontId="93" fillId="10" borderId="14" xfId="0" applyNumberFormat="1" applyFont="1" applyFill="1" applyBorder="1" applyAlignment="1">
      <alignment horizontal="left" vertical="center" wrapText="1"/>
    </xf>
    <xf numFmtId="0" fontId="19" fillId="0" borderId="30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166" fontId="19" fillId="0" borderId="30" xfId="5" applyFont="1" applyFill="1" applyBorder="1" applyAlignment="1">
      <alignment horizontal="left" vertical="center" wrapText="1"/>
    </xf>
    <xf numFmtId="166" fontId="19" fillId="0" borderId="45" xfId="5" applyFont="1" applyBorder="1" applyAlignment="1">
      <alignment horizontal="left" vertical="center" wrapText="1"/>
    </xf>
    <xf numFmtId="166" fontId="2" fillId="0" borderId="0" xfId="5" applyFont="1" applyAlignment="1">
      <alignment horizontal="left" vertical="center" wrapText="1"/>
    </xf>
    <xf numFmtId="170" fontId="19" fillId="0" borderId="15" xfId="0" applyNumberFormat="1" applyFont="1" applyBorder="1" applyAlignment="1">
      <alignment horizontal="left" vertical="center" wrapText="1"/>
    </xf>
    <xf numFmtId="170" fontId="19" fillId="0" borderId="15" xfId="0" applyNumberFormat="1" applyFont="1" applyFill="1" applyBorder="1" applyAlignment="1">
      <alignment horizontal="left" vertical="center" wrapText="1"/>
    </xf>
    <xf numFmtId="166" fontId="19" fillId="0" borderId="15" xfId="5" applyFont="1" applyBorder="1" applyAlignment="1">
      <alignment horizontal="left" vertical="center" wrapText="1"/>
    </xf>
    <xf numFmtId="166" fontId="19" fillId="0" borderId="30" xfId="5" applyFont="1" applyBorder="1" applyAlignment="1">
      <alignment horizontal="left" vertical="center" wrapText="1"/>
    </xf>
    <xf numFmtId="166" fontId="19" fillId="0" borderId="0" xfId="5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166" fontId="2" fillId="0" borderId="16" xfId="5" applyFont="1" applyBorder="1" applyAlignment="1">
      <alignment horizontal="left" vertical="center" wrapText="1"/>
    </xf>
    <xf numFmtId="0" fontId="60" fillId="0" borderId="14" xfId="0" applyFont="1" applyFill="1" applyBorder="1" applyAlignment="1">
      <alignment horizontal="center" vertical="center" wrapText="1"/>
    </xf>
    <xf numFmtId="0" fontId="60" fillId="0" borderId="42" xfId="0" applyFont="1" applyFill="1" applyBorder="1" applyAlignment="1">
      <alignment horizontal="center" vertical="center" wrapText="1"/>
    </xf>
    <xf numFmtId="1" fontId="60" fillId="0" borderId="14" xfId="0" applyNumberFormat="1" applyFont="1" applyFill="1" applyBorder="1" applyAlignment="1">
      <alignment horizontal="center" vertical="center" wrapText="1"/>
    </xf>
    <xf numFmtId="0" fontId="60" fillId="0" borderId="14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left" wrapText="1"/>
    </xf>
    <xf numFmtId="0" fontId="51" fillId="0" borderId="18" xfId="0" applyFont="1" applyFill="1" applyBorder="1" applyAlignment="1">
      <alignment horizontal="left" vertical="center"/>
    </xf>
    <xf numFmtId="0" fontId="51" fillId="0" borderId="2" xfId="0" applyFont="1" applyFill="1" applyBorder="1" applyAlignment="1">
      <alignment horizontal="left"/>
    </xf>
    <xf numFmtId="14" fontId="18" fillId="0" borderId="7" xfId="0" applyNumberFormat="1" applyFont="1" applyBorder="1" applyAlignment="1">
      <alignment horizontal="right"/>
    </xf>
    <xf numFmtId="14" fontId="18" fillId="0" borderId="6" xfId="0" applyNumberFormat="1" applyFont="1" applyBorder="1" applyAlignment="1">
      <alignment horizontal="right"/>
    </xf>
    <xf numFmtId="49" fontId="53" fillId="0" borderId="5" xfId="0" applyNumberFormat="1" applyFont="1" applyBorder="1" applyAlignment="1">
      <alignment horizontal="left" vertical="center" wrapText="1" indent="1"/>
    </xf>
    <xf numFmtId="49" fontId="53" fillId="0" borderId="10" xfId="0" applyNumberFormat="1" applyFont="1" applyBorder="1" applyAlignment="1">
      <alignment horizontal="left" vertical="center" wrapText="1" indent="1"/>
    </xf>
    <xf numFmtId="49" fontId="42" fillId="0" borderId="3" xfId="0" applyNumberFormat="1" applyFont="1" applyBorder="1" applyAlignment="1">
      <alignment horizontal="center" vertical="center" wrapText="1"/>
    </xf>
    <xf numFmtId="49" fontId="42" fillId="0" borderId="9" xfId="0" applyNumberFormat="1" applyFont="1" applyBorder="1" applyAlignment="1">
      <alignment horizontal="center" vertical="center" wrapText="1"/>
    </xf>
    <xf numFmtId="49" fontId="42" fillId="0" borderId="15" xfId="0" applyNumberFormat="1" applyFont="1" applyBorder="1" applyAlignment="1">
      <alignment horizontal="center" vertical="center" wrapText="1"/>
    </xf>
    <xf numFmtId="49" fontId="42" fillId="0" borderId="16" xfId="0" applyNumberFormat="1" applyFont="1" applyBorder="1" applyAlignment="1">
      <alignment horizontal="center" vertical="center" wrapText="1"/>
    </xf>
    <xf numFmtId="49" fontId="53" fillId="0" borderId="3" xfId="0" applyNumberFormat="1" applyFont="1" applyBorder="1" applyAlignment="1">
      <alignment horizontal="left" vertical="center" wrapText="1"/>
    </xf>
    <xf numFmtId="49" fontId="53" fillId="0" borderId="15" xfId="0" applyNumberFormat="1" applyFont="1" applyBorder="1" applyAlignment="1">
      <alignment horizontal="left" vertical="center" wrapText="1"/>
    </xf>
    <xf numFmtId="49" fontId="53" fillId="0" borderId="9" xfId="0" applyNumberFormat="1" applyFont="1" applyBorder="1" applyAlignment="1">
      <alignment horizontal="left" vertical="center" wrapText="1"/>
    </xf>
    <xf numFmtId="49" fontId="29" fillId="0" borderId="0" xfId="0" applyNumberFormat="1" applyFont="1" applyAlignment="1">
      <alignment horizontal="center" vertical="center" wrapText="1"/>
    </xf>
    <xf numFmtId="49" fontId="29" fillId="0" borderId="0" xfId="0" applyNumberFormat="1" applyFont="1" applyFill="1" applyAlignment="1">
      <alignment horizontal="center" vertical="center" wrapText="1"/>
    </xf>
    <xf numFmtId="49" fontId="29" fillId="0" borderId="42" xfId="0" applyNumberFormat="1" applyFont="1" applyBorder="1" applyAlignment="1">
      <alignment horizontal="center" vertical="center" wrapText="1"/>
    </xf>
    <xf numFmtId="49" fontId="53" fillId="0" borderId="43" xfId="0" applyNumberFormat="1" applyFont="1" applyBorder="1" applyAlignment="1">
      <alignment horizontal="left" vertical="center" wrapText="1" indent="1"/>
    </xf>
    <xf numFmtId="49" fontId="54" fillId="0" borderId="0" xfId="0" applyNumberFormat="1" applyFont="1" applyAlignment="1">
      <alignment horizontal="left" vertical="center" wrapText="1"/>
    </xf>
    <xf numFmtId="49" fontId="42" fillId="0" borderId="0" xfId="0" applyNumberFormat="1" applyFont="1" applyAlignment="1">
      <alignment horizontal="left" vertical="center" wrapText="1" indent="1"/>
    </xf>
    <xf numFmtId="49" fontId="53" fillId="0" borderId="44" xfId="0" applyNumberFormat="1" applyFont="1" applyBorder="1" applyAlignment="1">
      <alignment horizontal="left" vertical="center" wrapText="1" indent="1"/>
    </xf>
    <xf numFmtId="49" fontId="33" fillId="0" borderId="0" xfId="0" applyNumberFormat="1" applyFont="1" applyFill="1" applyBorder="1" applyAlignment="1">
      <alignment horizontal="center" vertical="center" wrapText="1"/>
    </xf>
    <xf numFmtId="49" fontId="33" fillId="0" borderId="42" xfId="0" applyNumberFormat="1" applyFont="1" applyFill="1" applyBorder="1" applyAlignment="1">
      <alignment horizontal="center" vertical="center" wrapText="1"/>
    </xf>
    <xf numFmtId="0" fontId="33" fillId="0" borderId="29" xfId="0" applyFont="1" applyFill="1" applyBorder="1" applyAlignment="1">
      <alignment horizontal="center" vertical="center" wrapText="1"/>
    </xf>
    <xf numFmtId="0" fontId="33" fillId="0" borderId="41" xfId="0" applyFont="1" applyFill="1" applyBorder="1" applyAlignment="1">
      <alignment horizontal="center" vertical="center" wrapText="1"/>
    </xf>
    <xf numFmtId="49" fontId="33" fillId="0" borderId="0" xfId="0" applyNumberFormat="1" applyFont="1" applyFill="1" applyAlignment="1">
      <alignment horizontal="center" vertical="center" wrapText="1"/>
    </xf>
    <xf numFmtId="49" fontId="55" fillId="0" borderId="0" xfId="0" applyNumberFormat="1" applyFont="1" applyFill="1" applyAlignment="1">
      <alignment horizontal="center" vertical="center" wrapText="1"/>
    </xf>
    <xf numFmtId="49" fontId="56" fillId="0" borderId="0" xfId="0" applyNumberFormat="1" applyFont="1" applyFill="1" applyAlignment="1">
      <alignment horizontal="center" vertical="center" wrapText="1"/>
    </xf>
    <xf numFmtId="49" fontId="57" fillId="0" borderId="0" xfId="0" applyNumberFormat="1" applyFont="1" applyFill="1" applyAlignment="1">
      <alignment horizontal="center" vertical="center" wrapText="1"/>
    </xf>
    <xf numFmtId="0" fontId="44" fillId="0" borderId="0" xfId="0" applyFont="1" applyFill="1" applyAlignment="1">
      <alignment horizontal="center" vertical="center"/>
    </xf>
    <xf numFmtId="0" fontId="23" fillId="0" borderId="1" xfId="0" applyFont="1" applyFill="1" applyBorder="1" applyAlignment="1">
      <alignment horizontal="center" vertical="center" textRotation="90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 applyProtection="1">
      <alignment horizontal="center" vertical="center" textRotation="90" wrapText="1"/>
      <protection locked="0" hidden="1"/>
    </xf>
    <xf numFmtId="0" fontId="20" fillId="0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8" fillId="0" borderId="45" xfId="2" applyFont="1" applyFill="1" applyBorder="1" applyAlignment="1" applyProtection="1">
      <alignment horizontal="center" vertical="center" textRotation="90" wrapText="1"/>
      <protection locked="0" hidden="1"/>
    </xf>
    <xf numFmtId="0" fontId="58" fillId="0" borderId="16" xfId="2" applyFont="1" applyFill="1" applyBorder="1" applyAlignment="1" applyProtection="1">
      <alignment horizontal="center" vertical="center" textRotation="90" wrapText="1"/>
      <protection locked="0" hidden="1"/>
    </xf>
    <xf numFmtId="0" fontId="29" fillId="0" borderId="0" xfId="0" applyFont="1" applyFill="1" applyAlignment="1">
      <alignment horizontal="center" vertical="center"/>
    </xf>
    <xf numFmtId="0" fontId="58" fillId="0" borderId="45" xfId="2" quotePrefix="1" applyFont="1" applyFill="1" applyBorder="1" applyAlignment="1" applyProtection="1">
      <alignment horizontal="center" vertical="center" textRotation="90" wrapText="1"/>
      <protection locked="0" hidden="1"/>
    </xf>
    <xf numFmtId="0" fontId="45" fillId="0" borderId="0" xfId="0" applyFont="1" applyFill="1" applyAlignment="1">
      <alignment horizontal="center" vertical="center"/>
    </xf>
    <xf numFmtId="0" fontId="29" fillId="0" borderId="42" xfId="0" applyFont="1" applyFill="1" applyBorder="1" applyAlignment="1">
      <alignment horizontal="center" vertical="center"/>
    </xf>
    <xf numFmtId="0" fontId="58" fillId="0" borderId="29" xfId="2" applyFont="1" applyFill="1" applyBorder="1" applyAlignment="1">
      <alignment horizontal="center" vertical="center"/>
    </xf>
    <xf numFmtId="0" fontId="58" fillId="0" borderId="41" xfId="2" applyFont="1" applyFill="1" applyBorder="1" applyAlignment="1">
      <alignment horizontal="center" vertical="center"/>
    </xf>
    <xf numFmtId="0" fontId="58" fillId="0" borderId="45" xfId="2" applyFont="1" applyFill="1" applyBorder="1" applyAlignment="1">
      <alignment horizontal="center" vertical="center" wrapText="1"/>
    </xf>
    <xf numFmtId="0" fontId="58" fillId="0" borderId="16" xfId="2" applyFont="1" applyFill="1" applyBorder="1" applyAlignment="1">
      <alignment horizontal="center" vertical="center" wrapText="1"/>
    </xf>
    <xf numFmtId="164" fontId="60" fillId="0" borderId="29" xfId="2" applyNumberFormat="1" applyFont="1" applyFill="1" applyBorder="1" applyAlignment="1">
      <alignment horizontal="left" vertical="center"/>
    </xf>
    <xf numFmtId="164" fontId="60" fillId="0" borderId="41" xfId="2" applyNumberFormat="1" applyFont="1" applyFill="1" applyBorder="1" applyAlignment="1">
      <alignment horizontal="left" vertical="center"/>
    </xf>
    <xf numFmtId="164" fontId="60" fillId="0" borderId="40" xfId="2" applyNumberFormat="1" applyFont="1" applyFill="1" applyBorder="1" applyAlignment="1">
      <alignment horizontal="left" vertical="center"/>
    </xf>
    <xf numFmtId="0" fontId="6" fillId="0" borderId="45" xfId="2" applyFont="1" applyFill="1" applyBorder="1" applyAlignment="1" applyProtection="1">
      <alignment horizontal="center" vertical="center" textRotation="90" wrapText="1"/>
      <protection locked="0" hidden="1"/>
    </xf>
    <xf numFmtId="0" fontId="6" fillId="0" borderId="16" xfId="2" applyFont="1" applyFill="1" applyBorder="1" applyAlignment="1" applyProtection="1">
      <alignment horizontal="center" vertical="center" textRotation="90" wrapText="1"/>
      <protection locked="0" hidden="1"/>
    </xf>
    <xf numFmtId="49" fontId="6" fillId="0" borderId="29" xfId="0" applyNumberFormat="1" applyFont="1" applyFill="1" applyBorder="1" applyAlignment="1">
      <alignment horizontal="center" vertical="center"/>
    </xf>
    <xf numFmtId="49" fontId="6" fillId="0" borderId="41" xfId="0" applyNumberFormat="1" applyFont="1" applyFill="1" applyBorder="1" applyAlignment="1">
      <alignment horizontal="center" vertical="center"/>
    </xf>
    <xf numFmtId="49" fontId="6" fillId="0" borderId="40" xfId="0" applyNumberFormat="1" applyFont="1" applyFill="1" applyBorder="1" applyAlignment="1">
      <alignment horizontal="center" vertical="center"/>
    </xf>
    <xf numFmtId="0" fontId="50" fillId="0" borderId="42" xfId="0" applyFont="1" applyFill="1" applyBorder="1" applyAlignment="1">
      <alignment horizontal="center"/>
    </xf>
    <xf numFmtId="0" fontId="8" fillId="0" borderId="29" xfId="2" applyFont="1" applyFill="1" applyBorder="1" applyAlignment="1">
      <alignment horizontal="center" wrapText="1"/>
    </xf>
    <xf numFmtId="0" fontId="8" fillId="0" borderId="41" xfId="2" applyFont="1" applyFill="1" applyBorder="1" applyAlignment="1">
      <alignment horizontal="center" wrapText="1"/>
    </xf>
    <xf numFmtId="0" fontId="6" fillId="0" borderId="45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center" vertical="center" wrapText="1"/>
    </xf>
    <xf numFmtId="0" fontId="46" fillId="0" borderId="0" xfId="0" applyFont="1" applyFill="1" applyAlignment="1">
      <alignment horizontal="center" vertical="center"/>
    </xf>
    <xf numFmtId="0" fontId="48" fillId="0" borderId="0" xfId="0" applyFont="1" applyFill="1" applyAlignment="1">
      <alignment horizontal="center"/>
    </xf>
    <xf numFmtId="0" fontId="47" fillId="0" borderId="0" xfId="0" applyFont="1" applyFill="1" applyAlignment="1">
      <alignment horizontal="center" vertical="center"/>
    </xf>
    <xf numFmtId="0" fontId="9" fillId="0" borderId="45" xfId="2" applyFont="1" applyFill="1" applyBorder="1" applyAlignment="1" applyProtection="1">
      <alignment horizontal="center" vertical="center" textRotation="90" wrapText="1"/>
      <protection locked="0" hidden="1"/>
    </xf>
    <xf numFmtId="0" fontId="9" fillId="0" borderId="16" xfId="2" applyFont="1" applyFill="1" applyBorder="1" applyAlignment="1" applyProtection="1">
      <alignment horizontal="center" vertical="center" textRotation="90" wrapText="1"/>
      <protection locked="0" hidden="1"/>
    </xf>
    <xf numFmtId="0" fontId="49" fillId="0" borderId="0" xfId="0" applyFont="1" applyFill="1" applyAlignment="1">
      <alignment horizontal="left"/>
    </xf>
    <xf numFmtId="0" fontId="50" fillId="0" borderId="0" xfId="0" applyFont="1" applyFill="1" applyAlignment="1">
      <alignment horizontal="center"/>
    </xf>
    <xf numFmtId="49" fontId="1" fillId="2" borderId="0" xfId="0" applyNumberFormat="1" applyFont="1" applyFill="1" applyAlignment="1">
      <alignment horizontal="justify"/>
    </xf>
    <xf numFmtId="0" fontId="29" fillId="0" borderId="0" xfId="0" applyFont="1" applyFill="1" applyAlignment="1">
      <alignment horizontal="center"/>
    </xf>
    <xf numFmtId="0" fontId="29" fillId="0" borderId="42" xfId="0" applyFont="1" applyFill="1" applyBorder="1" applyAlignment="1">
      <alignment horizontal="center"/>
    </xf>
    <xf numFmtId="0" fontId="28" fillId="0" borderId="29" xfId="2" applyFont="1" applyFill="1" applyBorder="1" applyAlignment="1">
      <alignment horizontal="center"/>
    </xf>
    <xf numFmtId="0" fontId="28" fillId="0" borderId="41" xfId="2" applyFont="1" applyFill="1" applyBorder="1" applyAlignment="1">
      <alignment horizontal="center"/>
    </xf>
    <xf numFmtId="0" fontId="28" fillId="0" borderId="45" xfId="2" applyFont="1" applyFill="1" applyBorder="1" applyAlignment="1">
      <alignment horizontal="center" vertical="center" wrapText="1"/>
    </xf>
    <xf numFmtId="0" fontId="28" fillId="0" borderId="16" xfId="2" applyFont="1" applyFill="1" applyBorder="1" applyAlignment="1">
      <alignment horizontal="center" vertical="center" wrapText="1"/>
    </xf>
    <xf numFmtId="0" fontId="28" fillId="0" borderId="45" xfId="2" applyFont="1" applyFill="1" applyBorder="1" applyAlignment="1" applyProtection="1">
      <alignment horizontal="center" vertical="center" textRotation="90" wrapText="1"/>
      <protection locked="0" hidden="1"/>
    </xf>
    <xf numFmtId="0" fontId="28" fillId="0" borderId="16" xfId="2" applyFont="1" applyFill="1" applyBorder="1" applyAlignment="1" applyProtection="1">
      <alignment horizontal="center" vertical="center" textRotation="90" wrapText="1"/>
      <protection locked="0" hidden="1"/>
    </xf>
    <xf numFmtId="49" fontId="4" fillId="2" borderId="0" xfId="0" applyNumberFormat="1" applyFont="1" applyFill="1" applyAlignment="1">
      <alignment horizontal="left"/>
    </xf>
    <xf numFmtId="0" fontId="23" fillId="0" borderId="29" xfId="2" applyFont="1" applyFill="1" applyBorder="1" applyAlignment="1">
      <alignment horizontal="center" vertical="center"/>
    </xf>
    <xf numFmtId="0" fontId="23" fillId="0" borderId="41" xfId="2" applyFont="1" applyFill="1" applyBorder="1" applyAlignment="1">
      <alignment horizontal="center" vertical="center"/>
    </xf>
    <xf numFmtId="0" fontId="23" fillId="0" borderId="40" xfId="2" applyFont="1" applyFill="1" applyBorder="1" applyAlignment="1">
      <alignment horizontal="center" vertical="center"/>
    </xf>
    <xf numFmtId="0" fontId="45" fillId="0" borderId="0" xfId="0" applyFont="1" applyFill="1" applyAlignment="1">
      <alignment horizontal="center"/>
    </xf>
    <xf numFmtId="0" fontId="23" fillId="0" borderId="29" xfId="1" applyFont="1" applyFill="1" applyBorder="1" applyAlignment="1">
      <alignment horizontal="center" vertical="center"/>
    </xf>
    <xf numFmtId="0" fontId="23" fillId="0" borderId="41" xfId="1" applyFont="1" applyFill="1" applyBorder="1" applyAlignment="1">
      <alignment horizontal="center" vertical="center"/>
    </xf>
    <xf numFmtId="0" fontId="23" fillId="0" borderId="40" xfId="1" applyFont="1" applyFill="1" applyBorder="1" applyAlignment="1">
      <alignment horizontal="center" vertical="center"/>
    </xf>
    <xf numFmtId="0" fontId="23" fillId="0" borderId="45" xfId="1" applyFont="1" applyFill="1" applyBorder="1" applyAlignment="1">
      <alignment horizontal="center" vertical="center" wrapText="1"/>
    </xf>
    <xf numFmtId="0" fontId="23" fillId="0" borderId="16" xfId="1" applyFont="1" applyFill="1" applyBorder="1" applyAlignment="1">
      <alignment horizontal="center" vertical="center" wrapText="1"/>
    </xf>
    <xf numFmtId="0" fontId="23" fillId="0" borderId="45" xfId="1" applyFont="1" applyFill="1" applyBorder="1" applyAlignment="1" applyProtection="1">
      <alignment horizontal="center" vertical="center" textRotation="90" wrapText="1"/>
      <protection locked="0" hidden="1"/>
    </xf>
    <xf numFmtId="0" fontId="23" fillId="0" borderId="16" xfId="1" applyFont="1" applyFill="1" applyBorder="1" applyAlignment="1" applyProtection="1">
      <alignment horizontal="center" vertical="center" textRotation="90" wrapText="1"/>
      <protection locked="0" hidden="1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7" fillId="2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42" xfId="0" applyFont="1" applyFill="1" applyBorder="1" applyAlignment="1">
      <alignment horizontal="left"/>
    </xf>
    <xf numFmtId="0" fontId="8" fillId="9" borderId="29" xfId="2" applyFont="1" applyFill="1" applyBorder="1" applyAlignment="1">
      <alignment horizontal="center"/>
    </xf>
    <xf numFmtId="0" fontId="8" fillId="9" borderId="41" xfId="2" applyFont="1" applyFill="1" applyBorder="1" applyAlignment="1">
      <alignment horizontal="center"/>
    </xf>
    <xf numFmtId="0" fontId="11" fillId="9" borderId="45" xfId="2" applyFont="1" applyFill="1" applyBorder="1" applyAlignment="1">
      <alignment horizontal="center" vertical="center" wrapText="1"/>
    </xf>
    <xf numFmtId="0" fontId="11" fillId="9" borderId="16" xfId="2" applyFont="1" applyFill="1" applyBorder="1" applyAlignment="1">
      <alignment horizontal="center" vertical="center" wrapText="1"/>
    </xf>
    <xf numFmtId="0" fontId="11" fillId="9" borderId="45" xfId="2" applyFont="1" applyFill="1" applyBorder="1" applyAlignment="1" applyProtection="1">
      <alignment horizontal="center" vertical="center" textRotation="90" wrapText="1"/>
      <protection locked="0" hidden="1"/>
    </xf>
    <xf numFmtId="0" fontId="11" fillId="9" borderId="16" xfId="2" applyFont="1" applyFill="1" applyBorder="1" applyAlignment="1" applyProtection="1">
      <alignment horizontal="center" vertical="center" textRotation="90" wrapText="1"/>
      <protection locked="0" hidden="1"/>
    </xf>
    <xf numFmtId="0" fontId="9" fillId="9" borderId="29" xfId="2" applyFont="1" applyFill="1" applyBorder="1" applyAlignment="1">
      <alignment horizontal="center" vertical="center"/>
    </xf>
    <xf numFmtId="0" fontId="9" fillId="9" borderId="41" xfId="2" applyFont="1" applyFill="1" applyBorder="1" applyAlignment="1">
      <alignment horizontal="center" vertical="center"/>
    </xf>
    <xf numFmtId="0" fontId="9" fillId="9" borderId="40" xfId="2" applyFont="1" applyFill="1" applyBorder="1" applyAlignment="1">
      <alignment horizontal="center" vertical="center"/>
    </xf>
    <xf numFmtId="0" fontId="6" fillId="6" borderId="32" xfId="0" applyFont="1" applyFill="1" applyBorder="1" applyAlignment="1">
      <alignment horizontal="center" vertical="center" wrapText="1"/>
    </xf>
    <xf numFmtId="0" fontId="6" fillId="6" borderId="46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6" fillId="6" borderId="4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7" borderId="45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center"/>
    </xf>
    <xf numFmtId="0" fontId="8" fillId="0" borderId="52" xfId="0" applyFont="1" applyBorder="1" applyAlignment="1">
      <alignment horizontal="center"/>
    </xf>
    <xf numFmtId="4" fontId="20" fillId="0" borderId="33" xfId="0" applyNumberFormat="1" applyFont="1" applyBorder="1" applyAlignment="1">
      <alignment horizontal="center" vertical="center"/>
    </xf>
    <xf numFmtId="4" fontId="20" fillId="0" borderId="47" xfId="0" applyNumberFormat="1" applyFont="1" applyBorder="1" applyAlignment="1">
      <alignment horizontal="center" vertical="center"/>
    </xf>
    <xf numFmtId="4" fontId="20" fillId="0" borderId="48" xfId="0" applyNumberFormat="1" applyFont="1" applyBorder="1" applyAlignment="1">
      <alignment horizontal="center" vertical="center"/>
    </xf>
    <xf numFmtId="49" fontId="22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4" fontId="18" fillId="0" borderId="49" xfId="0" applyNumberFormat="1" applyFont="1" applyBorder="1" applyAlignment="1">
      <alignment horizontal="center"/>
    </xf>
    <xf numFmtId="4" fontId="18" fillId="0" borderId="50" xfId="0" applyNumberFormat="1" applyFont="1" applyBorder="1" applyAlignment="1">
      <alignment horizontal="center"/>
    </xf>
    <xf numFmtId="4" fontId="18" fillId="0" borderId="51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center"/>
    </xf>
    <xf numFmtId="4" fontId="18" fillId="0" borderId="33" xfId="0" applyNumberFormat="1" applyFont="1" applyBorder="1" applyAlignment="1">
      <alignment horizontal="center"/>
    </xf>
    <xf numFmtId="4" fontId="18" fillId="0" borderId="48" xfId="0" applyNumberFormat="1" applyFont="1" applyBorder="1" applyAlignment="1">
      <alignment horizontal="center"/>
    </xf>
    <xf numFmtId="4" fontId="19" fillId="0" borderId="11" xfId="0" applyNumberFormat="1" applyFont="1" applyBorder="1" applyAlignment="1">
      <alignment horizontal="center" vertical="center"/>
    </xf>
    <xf numFmtId="4" fontId="19" fillId="0" borderId="8" xfId="0" applyNumberFormat="1" applyFont="1" applyBorder="1" applyAlignment="1">
      <alignment horizontal="center" vertical="center"/>
    </xf>
    <xf numFmtId="166" fontId="0" fillId="0" borderId="0" xfId="5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0" fontId="20" fillId="0" borderId="0" xfId="0" applyNumberFormat="1" applyFont="1" applyBorder="1"/>
    <xf numFmtId="0" fontId="20" fillId="0" borderId="0" xfId="0" applyFont="1" applyBorder="1"/>
    <xf numFmtId="49" fontId="27" fillId="0" borderId="0" xfId="0" applyNumberFormat="1" applyFont="1" applyAlignment="1">
      <alignment horizontal="center" vertical="center" wrapText="1"/>
    </xf>
    <xf numFmtId="49" fontId="22" fillId="0" borderId="0" xfId="0" applyNumberFormat="1" applyFont="1" applyFill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wrapText="1"/>
    </xf>
    <xf numFmtId="49" fontId="23" fillId="0" borderId="42" xfId="0" applyNumberFormat="1" applyFont="1" applyBorder="1" applyAlignment="1">
      <alignment horizontal="center" vertical="center" wrapText="1"/>
    </xf>
    <xf numFmtId="0" fontId="60" fillId="10" borderId="29" xfId="0" applyFont="1" applyFill="1" applyBorder="1" applyAlignment="1">
      <alignment horizontal="left" wrapText="1"/>
    </xf>
    <xf numFmtId="0" fontId="60" fillId="10" borderId="41" xfId="0" applyFont="1" applyFill="1" applyBorder="1" applyAlignment="1">
      <alignment horizontal="left" wrapText="1"/>
    </xf>
    <xf numFmtId="0" fontId="60" fillId="0" borderId="25" xfId="0" applyFont="1" applyFill="1" applyBorder="1" applyAlignment="1">
      <alignment horizontal="center" vertical="center" wrapText="1"/>
    </xf>
    <xf numFmtId="0" fontId="60" fillId="0" borderId="23" xfId="0" applyFont="1" applyFill="1" applyBorder="1" applyAlignment="1">
      <alignment horizontal="center" vertical="center" wrapText="1"/>
    </xf>
    <xf numFmtId="0" fontId="60" fillId="0" borderId="49" xfId="0" applyFont="1" applyFill="1" applyBorder="1" applyAlignment="1">
      <alignment horizontal="center" vertical="center" wrapText="1"/>
    </xf>
    <xf numFmtId="0" fontId="60" fillId="0" borderId="65" xfId="0" applyFont="1" applyFill="1" applyBorder="1" applyAlignment="1">
      <alignment horizontal="center" vertical="center" wrapText="1"/>
    </xf>
    <xf numFmtId="0" fontId="60" fillId="0" borderId="29" xfId="0" applyFont="1" applyFill="1" applyBorder="1" applyAlignment="1">
      <alignment horizontal="center" vertical="center" wrapText="1"/>
    </xf>
    <xf numFmtId="0" fontId="60" fillId="0" borderId="41" xfId="0" applyFont="1" applyFill="1" applyBorder="1" applyAlignment="1">
      <alignment horizontal="center" vertical="center" wrapText="1"/>
    </xf>
    <xf numFmtId="0" fontId="60" fillId="0" borderId="40" xfId="0" applyFont="1" applyFill="1" applyBorder="1" applyAlignment="1">
      <alignment horizontal="center" vertical="center" wrapText="1"/>
    </xf>
    <xf numFmtId="0" fontId="60" fillId="0" borderId="63" xfId="0" applyFont="1" applyFill="1" applyBorder="1" applyAlignment="1">
      <alignment horizontal="center" vertical="center" wrapText="1"/>
    </xf>
    <xf numFmtId="0" fontId="60" fillId="0" borderId="64" xfId="0" applyFont="1" applyFill="1" applyBorder="1" applyAlignment="1">
      <alignment horizontal="center" vertical="center" wrapText="1"/>
    </xf>
    <xf numFmtId="4" fontId="63" fillId="0" borderId="33" xfId="0" applyNumberFormat="1" applyFont="1" applyFill="1" applyBorder="1"/>
    <xf numFmtId="4" fontId="63" fillId="0" borderId="48" xfId="0" applyNumberFormat="1" applyFont="1" applyFill="1" applyBorder="1"/>
    <xf numFmtId="4" fontId="19" fillId="0" borderId="55" xfId="0" applyNumberFormat="1" applyFont="1" applyBorder="1" applyAlignment="1">
      <alignment horizontal="center" vertical="center"/>
    </xf>
    <xf numFmtId="49" fontId="44" fillId="0" borderId="0" xfId="0" applyNumberFormat="1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4" fontId="18" fillId="0" borderId="0" xfId="0" applyNumberFormat="1" applyFont="1" applyAlignment="1">
      <alignment horizontal="center" vertical="center"/>
    </xf>
    <xf numFmtId="49" fontId="44" fillId="0" borderId="0" xfId="0" applyNumberFormat="1" applyFont="1" applyAlignment="1">
      <alignment horizontal="center"/>
    </xf>
    <xf numFmtId="4" fontId="20" fillId="0" borderId="0" xfId="0" applyNumberFormat="1" applyFont="1" applyFill="1" applyAlignment="1">
      <alignment horizontal="center"/>
    </xf>
    <xf numFmtId="4" fontId="18" fillId="0" borderId="49" xfId="0" applyNumberFormat="1" applyFont="1" applyFill="1" applyBorder="1" applyAlignment="1">
      <alignment horizontal="center"/>
    </xf>
    <xf numFmtId="4" fontId="18" fillId="0" borderId="50" xfId="0" applyNumberFormat="1" applyFont="1" applyFill="1" applyBorder="1" applyAlignment="1">
      <alignment horizontal="center"/>
    </xf>
    <xf numFmtId="4" fontId="18" fillId="0" borderId="51" xfId="0" applyNumberFormat="1" applyFont="1" applyFill="1" applyBorder="1" applyAlignment="1">
      <alignment horizontal="center"/>
    </xf>
    <xf numFmtId="0" fontId="0" fillId="0" borderId="0" xfId="0"/>
    <xf numFmtId="0" fontId="77" fillId="0" borderId="0" xfId="0" applyFont="1" applyFill="1" applyAlignment="1">
      <alignment horizontal="center" vertical="center"/>
    </xf>
    <xf numFmtId="0" fontId="19" fillId="11" borderId="46" xfId="0" applyFont="1" applyFill="1" applyBorder="1" applyAlignment="1">
      <alignment horizontal="center" vertical="center"/>
    </xf>
    <xf numFmtId="49" fontId="80" fillId="2" borderId="0" xfId="0" applyNumberFormat="1" applyFont="1" applyFill="1" applyAlignment="1">
      <alignment horizontal="center" vertical="center"/>
    </xf>
    <xf numFmtId="0" fontId="82" fillId="3" borderId="0" xfId="0" applyFont="1" applyFill="1" applyAlignment="1">
      <alignment vertical="center" wrapText="1"/>
    </xf>
    <xf numFmtId="9" fontId="80" fillId="2" borderId="0" xfId="0" applyNumberFormat="1" applyFont="1" applyFill="1" applyAlignment="1">
      <alignment horizontal="center" vertical="center"/>
    </xf>
    <xf numFmtId="0" fontId="80" fillId="2" borderId="0" xfId="0" applyFont="1" applyFill="1" applyAlignment="1">
      <alignment horizontal="center" vertical="center"/>
    </xf>
    <xf numFmtId="0" fontId="83" fillId="2" borderId="0" xfId="0" applyFont="1" applyFill="1" applyAlignment="1">
      <alignment vertical="center"/>
    </xf>
    <xf numFmtId="49" fontId="82" fillId="2" borderId="0" xfId="0" applyNumberFormat="1" applyFont="1" applyFill="1" applyAlignment="1">
      <alignment horizontal="left" vertical="center"/>
    </xf>
    <xf numFmtId="166" fontId="83" fillId="2" borderId="0" xfId="0" applyNumberFormat="1" applyFont="1" applyFill="1" applyAlignment="1">
      <alignment vertical="center"/>
    </xf>
    <xf numFmtId="49" fontId="80" fillId="2" borderId="0" xfId="0" applyNumberFormat="1" applyFont="1" applyFill="1" applyAlignment="1">
      <alignment horizontal="justify" vertical="center"/>
    </xf>
    <xf numFmtId="0" fontId="80" fillId="2" borderId="0" xfId="0" applyFont="1" applyFill="1" applyAlignment="1">
      <alignment vertical="center"/>
    </xf>
    <xf numFmtId="164" fontId="80" fillId="2" borderId="0" xfId="0" applyNumberFormat="1" applyFont="1" applyFill="1" applyAlignment="1">
      <alignment vertical="center"/>
    </xf>
    <xf numFmtId="164" fontId="80" fillId="8" borderId="0" xfId="0" applyNumberFormat="1" applyFont="1" applyFill="1" applyAlignment="1">
      <alignment vertical="center"/>
    </xf>
    <xf numFmtId="166" fontId="80" fillId="2" borderId="0" xfId="5" applyFont="1" applyFill="1" applyAlignment="1">
      <alignment vertical="center"/>
    </xf>
    <xf numFmtId="166" fontId="80" fillId="2" borderId="0" xfId="0" applyNumberFormat="1" applyFont="1" applyFill="1" applyAlignment="1">
      <alignment vertical="center"/>
    </xf>
    <xf numFmtId="166" fontId="80" fillId="8" borderId="0" xfId="0" applyNumberFormat="1" applyFont="1" applyFill="1" applyAlignment="1">
      <alignment vertical="center"/>
    </xf>
    <xf numFmtId="166" fontId="80" fillId="0" borderId="0" xfId="0" applyNumberFormat="1" applyFont="1" applyBorder="1" applyAlignment="1">
      <alignment vertical="center"/>
    </xf>
    <xf numFmtId="49" fontId="84" fillId="2" borderId="0" xfId="0" applyNumberFormat="1" applyFont="1" applyFill="1" applyAlignment="1">
      <alignment horizontal="center" vertical="center"/>
    </xf>
    <xf numFmtId="0" fontId="84" fillId="2" borderId="0" xfId="0" applyFont="1" applyFill="1" applyAlignment="1">
      <alignment vertical="center"/>
    </xf>
    <xf numFmtId="170" fontId="84" fillId="2" borderId="0" xfId="5" applyNumberFormat="1" applyFont="1" applyFill="1" applyAlignment="1">
      <alignment horizontal="right" vertical="center"/>
    </xf>
    <xf numFmtId="49" fontId="94" fillId="2" borderId="0" xfId="0" applyNumberFormat="1" applyFont="1" applyFill="1" applyAlignment="1">
      <alignment horizontal="center" vertical="center"/>
    </xf>
    <xf numFmtId="0" fontId="95" fillId="2" borderId="0" xfId="0" applyFont="1" applyFill="1" applyAlignment="1">
      <alignment vertical="center"/>
    </xf>
    <xf numFmtId="170" fontId="96" fillId="2" borderId="14" xfId="0" applyNumberFormat="1" applyFont="1" applyFill="1" applyBorder="1" applyAlignment="1">
      <alignment vertical="center"/>
    </xf>
    <xf numFmtId="165" fontId="84" fillId="0" borderId="0" xfId="8" applyFont="1" applyAlignment="1">
      <alignment vertical="center"/>
    </xf>
    <xf numFmtId="49" fontId="97" fillId="2" borderId="0" xfId="0" applyNumberFormat="1" applyFont="1" applyFill="1" applyAlignment="1">
      <alignment vertical="center"/>
    </xf>
    <xf numFmtId="170" fontId="98" fillId="2" borderId="0" xfId="0" applyNumberFormat="1" applyFont="1" applyFill="1" applyAlignment="1">
      <alignment vertical="center"/>
    </xf>
    <xf numFmtId="49" fontId="84" fillId="2" borderId="0" xfId="0" applyNumberFormat="1" applyFont="1" applyFill="1" applyAlignment="1">
      <alignment horizontal="justify" vertical="center"/>
    </xf>
    <xf numFmtId="49" fontId="84" fillId="2" borderId="0" xfId="0" applyNumberFormat="1" applyFont="1" applyFill="1" applyAlignment="1">
      <alignment horizontal="justify" vertical="center"/>
    </xf>
    <xf numFmtId="170" fontId="99" fillId="2" borderId="0" xfId="0" applyNumberFormat="1" applyFont="1" applyFill="1" applyAlignment="1">
      <alignment vertical="center"/>
    </xf>
    <xf numFmtId="0" fontId="99" fillId="2" borderId="0" xfId="0" applyFont="1" applyFill="1" applyAlignment="1">
      <alignment vertical="center"/>
    </xf>
    <xf numFmtId="0" fontId="84" fillId="2" borderId="0" xfId="0" applyFont="1" applyFill="1" applyAlignment="1">
      <alignment horizontal="center" vertical="center"/>
    </xf>
    <xf numFmtId="170" fontId="81" fillId="0" borderId="54" xfId="0" applyNumberFormat="1" applyFont="1" applyBorder="1"/>
    <xf numFmtId="0" fontId="80" fillId="2" borderId="0" xfId="0" applyFont="1" applyFill="1"/>
    <xf numFmtId="166" fontId="83" fillId="2" borderId="0" xfId="5" applyFont="1" applyFill="1"/>
    <xf numFmtId="166" fontId="100" fillId="2" borderId="46" xfId="5" applyFont="1" applyFill="1" applyBorder="1"/>
    <xf numFmtId="167" fontId="81" fillId="0" borderId="46" xfId="0" applyNumberFormat="1" applyFont="1" applyBorder="1"/>
    <xf numFmtId="167" fontId="81" fillId="0" borderId="54" xfId="0" applyNumberFormat="1" applyFont="1" applyBorder="1"/>
    <xf numFmtId="49" fontId="80" fillId="2" borderId="0" xfId="0" applyNumberFormat="1" applyFont="1" applyFill="1" applyAlignment="1">
      <alignment horizontal="center"/>
    </xf>
    <xf numFmtId="164" fontId="80" fillId="2" borderId="0" xfId="5" applyNumberFormat="1" applyFont="1" applyFill="1" applyAlignment="1">
      <alignment horizontal="right"/>
    </xf>
    <xf numFmtId="0" fontId="82" fillId="2" borderId="0" xfId="0" applyFont="1" applyFill="1"/>
    <xf numFmtId="166" fontId="101" fillId="2" borderId="46" xfId="5" applyFont="1" applyFill="1" applyBorder="1"/>
    <xf numFmtId="49" fontId="89" fillId="2" borderId="0" xfId="0" applyNumberFormat="1" applyFont="1" applyFill="1" applyAlignment="1">
      <alignment horizontal="left"/>
    </xf>
    <xf numFmtId="166" fontId="80" fillId="2" borderId="0" xfId="0" applyNumberFormat="1" applyFont="1" applyFill="1"/>
    <xf numFmtId="49" fontId="80" fillId="2" borderId="0" xfId="0" applyNumberFormat="1" applyFont="1" applyFill="1" applyAlignment="1">
      <alignment horizontal="justify"/>
    </xf>
    <xf numFmtId="166" fontId="80" fillId="2" borderId="0" xfId="5" applyFont="1" applyFill="1" applyAlignment="1">
      <alignment horizontal="justify"/>
    </xf>
    <xf numFmtId="49" fontId="80" fillId="2" borderId="0" xfId="0" applyNumberFormat="1" applyFont="1" applyFill="1" applyAlignment="1">
      <alignment horizontal="justify"/>
    </xf>
    <xf numFmtId="166" fontId="101" fillId="8" borderId="54" xfId="5" applyFont="1" applyFill="1" applyBorder="1"/>
    <xf numFmtId="0" fontId="80" fillId="2" borderId="0" xfId="0" applyFont="1" applyFill="1" applyAlignment="1">
      <alignment horizontal="center"/>
    </xf>
    <xf numFmtId="0" fontId="84" fillId="0" borderId="0" xfId="0" applyFont="1" applyFill="1"/>
    <xf numFmtId="44" fontId="84" fillId="0" borderId="0" xfId="0" applyNumberFormat="1" applyFont="1" applyFill="1"/>
    <xf numFmtId="166" fontId="102" fillId="0" borderId="0" xfId="5" applyFont="1" applyFill="1"/>
    <xf numFmtId="166" fontId="84" fillId="0" borderId="0" xfId="5" applyFont="1" applyFill="1"/>
    <xf numFmtId="0" fontId="61" fillId="0" borderId="33" xfId="0" applyFont="1" applyFill="1" applyBorder="1" applyAlignment="1">
      <alignment horizontal="center" vertical="center"/>
    </xf>
    <xf numFmtId="0" fontId="61" fillId="0" borderId="47" xfId="0" applyFont="1" applyFill="1" applyBorder="1"/>
    <xf numFmtId="166" fontId="62" fillId="0" borderId="33" xfId="5" applyFont="1" applyFill="1" applyBorder="1"/>
    <xf numFmtId="166" fontId="66" fillId="0" borderId="33" xfId="5" applyFont="1" applyFill="1" applyBorder="1"/>
    <xf numFmtId="166" fontId="62" fillId="0" borderId="47" xfId="5" applyFont="1" applyFill="1" applyBorder="1" applyAlignment="1">
      <alignment horizontal="center" vertical="center"/>
    </xf>
    <xf numFmtId="166" fontId="51" fillId="0" borderId="33" xfId="5" applyFont="1" applyFill="1" applyBorder="1"/>
    <xf numFmtId="0" fontId="62" fillId="0" borderId="33" xfId="0" applyFont="1" applyBorder="1" applyAlignment="1">
      <alignment horizontal="left"/>
    </xf>
    <xf numFmtId="166" fontId="1" fillId="0" borderId="33" xfId="5" applyFont="1" applyBorder="1" applyAlignment="1">
      <alignment horizontal="left"/>
    </xf>
    <xf numFmtId="166" fontId="59" fillId="0" borderId="47" xfId="5" applyFont="1" applyBorder="1" applyAlignment="1">
      <alignment horizontal="center" vertical="center"/>
    </xf>
    <xf numFmtId="0" fontId="71" fillId="0" borderId="0" xfId="0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center" vertical="center"/>
    </xf>
    <xf numFmtId="0" fontId="84" fillId="0" borderId="0" xfId="0" applyFont="1" applyFill="1" applyBorder="1" applyAlignment="1">
      <alignment horizontal="center" textRotation="90"/>
    </xf>
    <xf numFmtId="0" fontId="71" fillId="0" borderId="0" xfId="0" applyFont="1" applyFill="1" applyBorder="1" applyAlignment="1">
      <alignment horizontal="center" textRotation="90" wrapText="1"/>
    </xf>
    <xf numFmtId="0" fontId="71" fillId="0" borderId="0" xfId="0" applyFont="1" applyFill="1" applyBorder="1" applyAlignment="1">
      <alignment horizontal="center" textRotation="90"/>
    </xf>
    <xf numFmtId="0" fontId="84" fillId="0" borderId="0" xfId="0" applyFont="1" applyFill="1" applyBorder="1" applyAlignment="1">
      <alignment horizontal="center" textRotation="90"/>
    </xf>
    <xf numFmtId="0" fontId="71" fillId="0" borderId="0" xfId="0" applyFont="1" applyFill="1" applyBorder="1" applyAlignment="1">
      <alignment horizontal="center" wrapText="1"/>
    </xf>
    <xf numFmtId="0" fontId="84" fillId="0" borderId="0" xfId="0" applyFont="1" applyFill="1" applyBorder="1" applyAlignment="1">
      <alignment horizontal="center" textRotation="90" wrapText="1"/>
    </xf>
    <xf numFmtId="166" fontId="102" fillId="0" borderId="0" xfId="5" applyFont="1" applyFill="1" applyBorder="1" applyAlignment="1">
      <alignment horizontal="center" textRotation="90"/>
    </xf>
    <xf numFmtId="0" fontId="84" fillId="0" borderId="0" xfId="0" applyFont="1" applyFill="1" applyBorder="1"/>
    <xf numFmtId="44" fontId="84" fillId="0" borderId="0" xfId="0" applyNumberFormat="1" applyFont="1" applyFill="1" applyBorder="1"/>
    <xf numFmtId="166" fontId="102" fillId="0" borderId="0" xfId="5" applyFont="1" applyFill="1" applyBorder="1"/>
    <xf numFmtId="166" fontId="84" fillId="0" borderId="0" xfId="5" applyFont="1" applyFill="1" applyBorder="1"/>
    <xf numFmtId="0" fontId="71" fillId="0" borderId="0" xfId="0" applyFont="1" applyFill="1" applyBorder="1"/>
    <xf numFmtId="166" fontId="71" fillId="0" borderId="0" xfId="5" applyFont="1" applyFill="1" applyBorder="1" applyAlignment="1">
      <alignment vertical="center"/>
    </xf>
    <xf numFmtId="166" fontId="71" fillId="0" borderId="0" xfId="5" applyFont="1" applyFill="1" applyBorder="1"/>
    <xf numFmtId="0" fontId="103" fillId="0" borderId="0" xfId="0" applyFont="1" applyFill="1" applyBorder="1" applyAlignment="1">
      <alignment vertical="center" wrapText="1"/>
    </xf>
    <xf numFmtId="0" fontId="104" fillId="0" borderId="0" xfId="0" applyFont="1" applyFill="1" applyBorder="1" applyAlignment="1">
      <alignment wrapText="1"/>
    </xf>
    <xf numFmtId="166" fontId="71" fillId="0" borderId="0" xfId="0" applyNumberFormat="1" applyFont="1" applyFill="1" applyBorder="1"/>
    <xf numFmtId="166" fontId="105" fillId="0" borderId="0" xfId="5" applyFont="1" applyFill="1" applyBorder="1"/>
    <xf numFmtId="166" fontId="84" fillId="0" borderId="0" xfId="0" applyNumberFormat="1" applyFont="1" applyFill="1" applyBorder="1"/>
    <xf numFmtId="164" fontId="106" fillId="0" borderId="0" xfId="0" applyNumberFormat="1" applyFont="1" applyFill="1"/>
    <xf numFmtId="164" fontId="98" fillId="0" borderId="0" xfId="0" applyNumberFormat="1" applyFont="1" applyFill="1"/>
    <xf numFmtId="164" fontId="99" fillId="0" borderId="0" xfId="0" applyNumberFormat="1" applyFont="1" applyFill="1"/>
    <xf numFmtId="166" fontId="98" fillId="0" borderId="0" xfId="5" applyFont="1" applyFill="1"/>
    <xf numFmtId="0" fontId="22" fillId="0" borderId="63" xfId="1" applyFont="1" applyFill="1" applyBorder="1" applyAlignment="1">
      <alignment horizontal="center" vertical="center" wrapText="1"/>
    </xf>
    <xf numFmtId="0" fontId="22" fillId="0" borderId="68" xfId="1" applyFont="1" applyFill="1" applyBorder="1" applyAlignment="1">
      <alignment horizontal="center" vertical="center" wrapText="1"/>
    </xf>
    <xf numFmtId="0" fontId="22" fillId="0" borderId="64" xfId="1" applyFont="1" applyFill="1" applyBorder="1" applyAlignment="1">
      <alignment horizontal="center" vertical="center" wrapText="1"/>
    </xf>
    <xf numFmtId="169" fontId="40" fillId="0" borderId="64" xfId="1" applyNumberFormat="1" applyFont="1" applyFill="1" applyBorder="1" applyAlignment="1">
      <alignment horizontal="center" vertical="center" wrapText="1"/>
    </xf>
    <xf numFmtId="49" fontId="80" fillId="2" borderId="0" xfId="0" applyNumberFormat="1" applyFont="1" applyFill="1" applyBorder="1" applyAlignment="1">
      <alignment horizontal="center" vertical="center"/>
    </xf>
    <xf numFmtId="0" fontId="80" fillId="2" borderId="0" xfId="0" applyFont="1" applyFill="1" applyBorder="1" applyAlignment="1">
      <alignment vertical="center"/>
    </xf>
    <xf numFmtId="0" fontId="80" fillId="0" borderId="0" xfId="0" applyFont="1" applyBorder="1" applyAlignment="1">
      <alignment vertical="center"/>
    </xf>
    <xf numFmtId="49" fontId="89" fillId="2" borderId="0" xfId="0" applyNumberFormat="1" applyFont="1" applyFill="1" applyBorder="1" applyAlignment="1">
      <alignment horizontal="left" vertical="center"/>
    </xf>
    <xf numFmtId="166" fontId="80" fillId="2" borderId="0" xfId="5" applyFont="1" applyFill="1" applyBorder="1" applyAlignment="1">
      <alignment vertical="center"/>
    </xf>
    <xf numFmtId="49" fontId="80" fillId="2" borderId="0" xfId="0" applyNumberFormat="1" applyFont="1" applyFill="1" applyBorder="1" applyAlignment="1">
      <alignment horizontal="justify" vertical="center"/>
    </xf>
    <xf numFmtId="166" fontId="80" fillId="2" borderId="0" xfId="5" applyFont="1" applyFill="1" applyBorder="1" applyAlignment="1">
      <alignment horizontal="justify" vertical="center"/>
    </xf>
    <xf numFmtId="169" fontId="80" fillId="0" borderId="0" xfId="0" applyNumberFormat="1" applyFont="1" applyBorder="1" applyAlignment="1">
      <alignment vertical="center"/>
    </xf>
  </cellXfs>
  <cellStyles count="10">
    <cellStyle name="60% - Énfasis2" xfId="1" builtinId="36"/>
    <cellStyle name="Énfasis1" xfId="2" builtinId="29"/>
    <cellStyle name="Euro" xfId="3" xr:uid="{00000000-0005-0000-0000-000002000000}"/>
    <cellStyle name="Hipervínculo" xfId="9" builtinId="8"/>
    <cellStyle name="Millares" xfId="8" builtinId="3"/>
    <cellStyle name="Millares 4" xfId="4" xr:uid="{00000000-0005-0000-0000-000005000000}"/>
    <cellStyle name="Moneda" xfId="5" builtinId="4"/>
    <cellStyle name="Normal" xfId="0" builtinId="0"/>
    <cellStyle name="Normal 2" xfId="6" xr:uid="{00000000-0005-0000-0000-000008000000}"/>
    <cellStyle name="Normal 4" xfId="7" xr:uid="{00000000-0005-0000-0000-000009000000}"/>
  </cellStyles>
  <dxfs count="0"/>
  <tableStyles count="0" defaultTableStyle="TableStyleMedium9" defaultPivotStyle="PivotStyleLight16"/>
  <colors>
    <mruColors>
      <color rgb="FFA6DE42"/>
      <color rgb="FFCCCCFF"/>
      <color rgb="FF00CC00"/>
      <color rgb="FF666699"/>
      <color rgb="FF599FD9"/>
      <color rgb="FFFFFFCC"/>
      <color rgb="FF009900"/>
      <color rgb="FFF4B74A"/>
      <color rgb="FF0AD840"/>
      <color rgb="FF079D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42523</xdr:colOff>
      <xdr:row>0</xdr:row>
      <xdr:rowOff>43769</xdr:rowOff>
    </xdr:from>
    <xdr:to>
      <xdr:col>1</xdr:col>
      <xdr:colOff>25514</xdr:colOff>
      <xdr:row>2</xdr:row>
      <xdr:rowOff>221117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23" y="43769"/>
          <a:ext cx="629330" cy="6365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57151</xdr:rowOff>
    </xdr:from>
    <xdr:to>
      <xdr:col>0</xdr:col>
      <xdr:colOff>685801</xdr:colOff>
      <xdr:row>2</xdr:row>
      <xdr:rowOff>47626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57151"/>
          <a:ext cx="533400" cy="533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974866</xdr:colOff>
      <xdr:row>0</xdr:row>
      <xdr:rowOff>134327</xdr:rowOff>
    </xdr:from>
    <xdr:to>
      <xdr:col>1</xdr:col>
      <xdr:colOff>1746255</xdr:colOff>
      <xdr:row>3</xdr:row>
      <xdr:rowOff>195384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2174" y="134327"/>
          <a:ext cx="771389" cy="757115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37" name="Rectangle 3">
          <a:extLst>
            <a:ext uri="{FF2B5EF4-FFF2-40B4-BE49-F238E27FC236}">
              <a16:creationId xmlns:a16="http://schemas.microsoft.com/office/drawing/2014/main" id="{00000000-0008-0000-0200-0000D5040000}"/>
            </a:ext>
          </a:extLst>
        </xdr:cNvPr>
        <xdr:cNvSpPr>
          <a:spLocks noChangeArrowheads="1"/>
        </xdr:cNvSpPr>
      </xdr:nvSpPr>
      <xdr:spPr bwMode="auto">
        <a:xfrm>
          <a:off x="102298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052" name="Rectangle 4">
          <a:extLst>
            <a:ext uri="{FF2B5EF4-FFF2-40B4-BE49-F238E27FC236}">
              <a16:creationId xmlns:a16="http://schemas.microsoft.com/office/drawing/2014/main" id="{00000000-0008-0000-0200-000004080000}"/>
            </a:ext>
          </a:extLst>
        </xdr:cNvPr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4309" name="Rectangle 3">
          <a:extLst>
            <a:ext uri="{FF2B5EF4-FFF2-40B4-BE49-F238E27FC236}">
              <a16:creationId xmlns:a16="http://schemas.microsoft.com/office/drawing/2014/main" id="{00000000-0008-0000-0300-0000D5100000}"/>
            </a:ext>
          </a:extLst>
        </xdr:cNvPr>
        <xdr:cNvSpPr>
          <a:spLocks noChangeArrowheads="1"/>
        </xdr:cNvSpPr>
      </xdr:nvSpPr>
      <xdr:spPr bwMode="auto">
        <a:xfrm>
          <a:off x="72199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2052" name="Rectangle 4">
          <a:extLst>
            <a:ext uri="{FF2B5EF4-FFF2-40B4-BE49-F238E27FC236}">
              <a16:creationId xmlns:a16="http://schemas.microsoft.com/office/drawing/2014/main" id="{00000000-0008-0000-0300-000004080000}"/>
            </a:ext>
          </a:extLst>
        </xdr:cNvPr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996951</xdr:colOff>
      <xdr:row>0</xdr:row>
      <xdr:rowOff>223838</xdr:rowOff>
    </xdr:from>
    <xdr:to>
      <xdr:col>4</xdr:col>
      <xdr:colOff>1785938</xdr:colOff>
      <xdr:row>4</xdr:row>
      <xdr:rowOff>155575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826" y="223838"/>
          <a:ext cx="788987" cy="78898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662781</xdr:colOff>
      <xdr:row>0</xdr:row>
      <xdr:rowOff>110938</xdr:rowOff>
    </xdr:from>
    <xdr:to>
      <xdr:col>4</xdr:col>
      <xdr:colOff>1571625</xdr:colOff>
      <xdr:row>4</xdr:row>
      <xdr:rowOff>164315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3456" y="110938"/>
          <a:ext cx="908844" cy="9106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302467</xdr:colOff>
      <xdr:row>0</xdr:row>
      <xdr:rowOff>134517</xdr:rowOff>
    </xdr:from>
    <xdr:to>
      <xdr:col>4</xdr:col>
      <xdr:colOff>1162050</xdr:colOff>
      <xdr:row>4</xdr:row>
      <xdr:rowOff>120733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7442" y="134517"/>
          <a:ext cx="859583" cy="84346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6597" name="Rectangle 3">
          <a:extLst>
            <a:ext uri="{FF2B5EF4-FFF2-40B4-BE49-F238E27FC236}">
              <a16:creationId xmlns:a16="http://schemas.microsoft.com/office/drawing/2014/main" id="{00000000-0008-0000-0600-0000D5400000}"/>
            </a:ext>
          </a:extLst>
        </xdr:cNvPr>
        <xdr:cNvSpPr>
          <a:spLocks noChangeArrowheads="1"/>
        </xdr:cNvSpPr>
      </xdr:nvSpPr>
      <xdr:spPr bwMode="auto">
        <a:xfrm>
          <a:off x="834390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052" name="Rectangle 4">
          <a:extLst>
            <a:ext uri="{FF2B5EF4-FFF2-40B4-BE49-F238E27FC236}">
              <a16:creationId xmlns:a16="http://schemas.microsoft.com/office/drawing/2014/main" id="{00000000-0008-0000-0600-000004080000}"/>
            </a:ext>
          </a:extLst>
        </xdr:cNvPr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168275</xdr:colOff>
      <xdr:row>0</xdr:row>
      <xdr:rowOff>177800</xdr:rowOff>
    </xdr:from>
    <xdr:to>
      <xdr:col>2</xdr:col>
      <xdr:colOff>38100</xdr:colOff>
      <xdr:row>4</xdr:row>
      <xdr:rowOff>96491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" y="177800"/>
          <a:ext cx="784225" cy="77594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454684</xdr:colOff>
      <xdr:row>0</xdr:row>
      <xdr:rowOff>28575</xdr:rowOff>
    </xdr:from>
    <xdr:to>
      <xdr:col>1</xdr:col>
      <xdr:colOff>490067</xdr:colOff>
      <xdr:row>2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84" y="28575"/>
          <a:ext cx="521158" cy="4953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309</xdr:row>
      <xdr:rowOff>276225</xdr:rowOff>
    </xdr:from>
    <xdr:to>
      <xdr:col>6</xdr:col>
      <xdr:colOff>800100</xdr:colOff>
      <xdr:row>309</xdr:row>
      <xdr:rowOff>276225</xdr:rowOff>
    </xdr:to>
    <xdr:cxnSp macro="">
      <xdr:nvCxnSpPr>
        <xdr:cNvPr id="3" name="2 Conector recto de flecha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CxnSpPr/>
      </xdr:nvCxnSpPr>
      <xdr:spPr bwMode="auto">
        <a:xfrm>
          <a:off x="4838700" y="43100625"/>
          <a:ext cx="704850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6</xdr:col>
      <xdr:colOff>476250</xdr:colOff>
      <xdr:row>311</xdr:row>
      <xdr:rowOff>247650</xdr:rowOff>
    </xdr:from>
    <xdr:to>
      <xdr:col>6</xdr:col>
      <xdr:colOff>771525</xdr:colOff>
      <xdr:row>311</xdr:row>
      <xdr:rowOff>247650</xdr:rowOff>
    </xdr:to>
    <xdr:cxnSp macro="">
      <xdr:nvCxnSpPr>
        <xdr:cNvPr id="7" name="6 Conector recto de flecha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CxnSpPr/>
      </xdr:nvCxnSpPr>
      <xdr:spPr bwMode="auto">
        <a:xfrm>
          <a:off x="5219700" y="43776900"/>
          <a:ext cx="29527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 editAs="oneCell">
    <xdr:from>
      <xdr:col>0</xdr:col>
      <xdr:colOff>514350</xdr:colOff>
      <xdr:row>0</xdr:row>
      <xdr:rowOff>171450</xdr:rowOff>
    </xdr:from>
    <xdr:to>
      <xdr:col>1</xdr:col>
      <xdr:colOff>316359</xdr:colOff>
      <xdr:row>3</xdr:row>
      <xdr:rowOff>123825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171450"/>
          <a:ext cx="638175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585788</xdr:colOff>
      <xdr:row>56</xdr:row>
      <xdr:rowOff>138112</xdr:rowOff>
    </xdr:from>
    <xdr:to>
      <xdr:col>2</xdr:col>
      <xdr:colOff>45325</xdr:colOff>
      <xdr:row>59</xdr:row>
      <xdr:rowOff>82550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8" y="9353550"/>
          <a:ext cx="642225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720725</xdr:colOff>
      <xdr:row>111</xdr:row>
      <xdr:rowOff>119063</xdr:rowOff>
    </xdr:from>
    <xdr:to>
      <xdr:col>2</xdr:col>
      <xdr:colOff>180262</xdr:colOff>
      <xdr:row>114</xdr:row>
      <xdr:rowOff>63501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18430876"/>
          <a:ext cx="642225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703263</xdr:colOff>
      <xdr:row>165</xdr:row>
      <xdr:rowOff>130175</xdr:rowOff>
    </xdr:from>
    <xdr:to>
      <xdr:col>2</xdr:col>
      <xdr:colOff>162800</xdr:colOff>
      <xdr:row>168</xdr:row>
      <xdr:rowOff>74613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263" y="27379613"/>
          <a:ext cx="642225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817563</xdr:colOff>
      <xdr:row>222</xdr:row>
      <xdr:rowOff>42862</xdr:rowOff>
    </xdr:from>
    <xdr:to>
      <xdr:col>2</xdr:col>
      <xdr:colOff>277100</xdr:colOff>
      <xdr:row>224</xdr:row>
      <xdr:rowOff>217487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563" y="36706175"/>
          <a:ext cx="642225" cy="635000"/>
        </a:xfrm>
        <a:prstGeom prst="rect">
          <a:avLst/>
        </a:prstGeom>
      </xdr:spPr>
    </xdr:pic>
    <xdr:clientData/>
  </xdr:twoCellAnchor>
  <xdr:oneCellAnchor>
    <xdr:from>
      <xdr:col>1</xdr:col>
      <xdr:colOff>127000</xdr:colOff>
      <xdr:row>259</xdr:row>
      <xdr:rowOff>74614</xdr:rowOff>
    </xdr:from>
    <xdr:ext cx="626658" cy="615950"/>
    <xdr:pic>
      <xdr:nvPicPr>
        <xdr:cNvPr id="10" name="Imagen 8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375" y="43206989"/>
          <a:ext cx="626658" cy="6159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Equidad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50"/>
  <sheetViews>
    <sheetView view="pageBreakPreview" zoomScale="112" zoomScaleSheetLayoutView="112" workbookViewId="0">
      <selection activeCell="E4" sqref="E4"/>
    </sheetView>
  </sheetViews>
  <sheetFormatPr baseColWidth="10" defaultColWidth="11.42578125" defaultRowHeight="12.75" x14ac:dyDescent="0.2"/>
  <cols>
    <col min="1" max="1" width="9.7109375" style="43" customWidth="1"/>
    <col min="2" max="2" width="10.5703125" style="43" customWidth="1"/>
    <col min="3" max="3" width="39.5703125" style="43" customWidth="1"/>
    <col min="4" max="4" width="23" style="43" customWidth="1"/>
    <col min="5" max="16384" width="11.42578125" style="43"/>
  </cols>
  <sheetData>
    <row r="1" spans="1:7" ht="18.75" customHeight="1" x14ac:dyDescent="0.2">
      <c r="A1" s="525" t="s">
        <v>388</v>
      </c>
      <c r="B1" s="525"/>
      <c r="C1" s="525"/>
      <c r="D1" s="525"/>
      <c r="E1" s="158"/>
      <c r="F1" s="158"/>
    </row>
    <row r="2" spans="1:7" ht="17.25" customHeight="1" x14ac:dyDescent="0.2">
      <c r="A2" s="526" t="s">
        <v>387</v>
      </c>
      <c r="B2" s="526"/>
      <c r="C2" s="526"/>
      <c r="D2" s="526"/>
      <c r="E2" s="158"/>
      <c r="F2" s="158"/>
    </row>
    <row r="3" spans="1:7" ht="20.25" customHeight="1" thickBot="1" x14ac:dyDescent="0.25">
      <c r="A3" s="527" t="s">
        <v>510</v>
      </c>
      <c r="B3" s="527"/>
      <c r="C3" s="527"/>
      <c r="D3" s="527"/>
      <c r="E3" s="158"/>
      <c r="F3" s="158"/>
    </row>
    <row r="4" spans="1:7" s="38" customFormat="1" ht="45" customHeight="1" thickBot="1" x14ac:dyDescent="0.25">
      <c r="A4" s="405" t="s">
        <v>485</v>
      </c>
      <c r="B4" s="406" t="s">
        <v>141</v>
      </c>
      <c r="C4" s="406" t="s">
        <v>109</v>
      </c>
      <c r="D4" s="407" t="s">
        <v>142</v>
      </c>
      <c r="E4" s="159"/>
      <c r="F4" s="159"/>
      <c r="G4"/>
    </row>
    <row r="5" spans="1:7" ht="33" customHeight="1" x14ac:dyDescent="0.2">
      <c r="A5" s="520" t="s">
        <v>49</v>
      </c>
      <c r="B5" s="164"/>
      <c r="C5" s="160" t="s">
        <v>334</v>
      </c>
      <c r="D5" s="523" t="s">
        <v>143</v>
      </c>
      <c r="E5" s="158"/>
      <c r="F5" s="158"/>
    </row>
    <row r="6" spans="1:7" ht="27.75" customHeight="1" x14ac:dyDescent="0.2">
      <c r="A6" s="520"/>
      <c r="B6" s="161" t="s">
        <v>101</v>
      </c>
      <c r="C6" s="162" t="s">
        <v>358</v>
      </c>
      <c r="D6" s="523"/>
      <c r="E6" s="158"/>
      <c r="F6" s="158"/>
    </row>
    <row r="7" spans="1:7" ht="27" customHeight="1" thickBot="1" x14ac:dyDescent="0.25">
      <c r="A7" s="520"/>
      <c r="B7" s="161" t="s">
        <v>352</v>
      </c>
      <c r="C7" s="162" t="s">
        <v>343</v>
      </c>
      <c r="D7" s="523"/>
      <c r="E7" s="158"/>
      <c r="F7" s="163"/>
    </row>
    <row r="8" spans="1:7" ht="22.5" customHeight="1" thickTop="1" x14ac:dyDescent="0.2">
      <c r="A8" s="164"/>
      <c r="B8" s="161" t="s">
        <v>394</v>
      </c>
      <c r="C8" s="162" t="s">
        <v>395</v>
      </c>
      <c r="D8" s="523"/>
      <c r="E8" s="158"/>
      <c r="F8" s="158"/>
    </row>
    <row r="9" spans="1:7" ht="18" customHeight="1" x14ac:dyDescent="0.2">
      <c r="A9" s="520" t="s">
        <v>324</v>
      </c>
      <c r="B9" s="161"/>
      <c r="C9" s="160" t="s">
        <v>357</v>
      </c>
      <c r="D9" s="523"/>
      <c r="E9" s="158"/>
      <c r="F9" s="158"/>
    </row>
    <row r="10" spans="1:7" ht="18" customHeight="1" x14ac:dyDescent="0.2">
      <c r="A10" s="520"/>
      <c r="B10" s="161" t="s">
        <v>353</v>
      </c>
      <c r="C10" s="162" t="s">
        <v>397</v>
      </c>
      <c r="D10" s="523"/>
      <c r="E10" s="158"/>
      <c r="F10" s="158"/>
    </row>
    <row r="11" spans="1:7" ht="18" customHeight="1" x14ac:dyDescent="0.2">
      <c r="A11" s="520"/>
      <c r="B11" s="161" t="s">
        <v>354</v>
      </c>
      <c r="C11" s="162" t="s">
        <v>398</v>
      </c>
      <c r="D11" s="523"/>
      <c r="E11" s="158"/>
      <c r="F11" s="158"/>
    </row>
    <row r="12" spans="1:7" ht="18" customHeight="1" x14ac:dyDescent="0.2">
      <c r="A12" s="519"/>
      <c r="B12" s="165" t="s">
        <v>396</v>
      </c>
      <c r="C12" s="166" t="s">
        <v>399</v>
      </c>
      <c r="D12" s="524"/>
      <c r="E12" s="158"/>
      <c r="F12" s="158"/>
    </row>
    <row r="13" spans="1:7" ht="45" customHeight="1" x14ac:dyDescent="0.2">
      <c r="A13" s="518" t="s">
        <v>53</v>
      </c>
      <c r="B13" s="167"/>
      <c r="C13" s="168" t="s">
        <v>359</v>
      </c>
      <c r="D13" s="516" t="s">
        <v>144</v>
      </c>
      <c r="E13" s="158"/>
      <c r="F13" s="158"/>
    </row>
    <row r="14" spans="1:7" ht="18" customHeight="1" x14ac:dyDescent="0.2">
      <c r="A14" s="520"/>
      <c r="B14" s="161" t="s">
        <v>92</v>
      </c>
      <c r="C14" s="162" t="s">
        <v>356</v>
      </c>
      <c r="D14" s="528"/>
      <c r="E14" s="158"/>
      <c r="F14" s="158"/>
    </row>
    <row r="15" spans="1:7" ht="18" customHeight="1" x14ac:dyDescent="0.2">
      <c r="A15" s="520"/>
      <c r="B15" s="161" t="s">
        <v>108</v>
      </c>
      <c r="C15" s="162" t="s">
        <v>360</v>
      </c>
      <c r="D15" s="528"/>
      <c r="E15" s="158"/>
      <c r="F15" s="158"/>
    </row>
    <row r="16" spans="1:7" ht="18" customHeight="1" x14ac:dyDescent="0.2">
      <c r="A16" s="519"/>
      <c r="B16" s="165"/>
      <c r="C16" s="166"/>
      <c r="D16" s="517"/>
      <c r="E16" s="158"/>
      <c r="F16" s="158"/>
    </row>
    <row r="17" spans="1:6" ht="21.75" customHeight="1" x14ac:dyDescent="0.2">
      <c r="A17" s="518" t="s">
        <v>57</v>
      </c>
      <c r="B17" s="169"/>
      <c r="C17" s="168" t="s">
        <v>145</v>
      </c>
      <c r="D17" s="522" t="s">
        <v>146</v>
      </c>
      <c r="E17" s="158"/>
      <c r="F17" s="158"/>
    </row>
    <row r="18" spans="1:6" ht="25.5" customHeight="1" x14ac:dyDescent="0.2">
      <c r="A18" s="520"/>
      <c r="B18" s="161" t="s">
        <v>93</v>
      </c>
      <c r="C18" s="162" t="s">
        <v>355</v>
      </c>
      <c r="D18" s="523"/>
      <c r="E18" s="158"/>
      <c r="F18" s="158"/>
    </row>
    <row r="19" spans="1:6" ht="19.5" customHeight="1" x14ac:dyDescent="0.2">
      <c r="A19" s="519"/>
      <c r="B19" s="165"/>
      <c r="C19" s="166"/>
      <c r="D19" s="524"/>
      <c r="E19" s="158"/>
      <c r="F19" s="158"/>
    </row>
    <row r="20" spans="1:6" s="44" customFormat="1" ht="34.5" hidden="1" customHeight="1" x14ac:dyDescent="0.2">
      <c r="A20" s="518"/>
      <c r="B20" s="167"/>
      <c r="C20" s="168"/>
      <c r="D20" s="516"/>
      <c r="E20" s="170"/>
      <c r="F20" s="170"/>
    </row>
    <row r="21" spans="1:6" ht="29.25" hidden="1" customHeight="1" x14ac:dyDescent="0.2">
      <c r="A21" s="519"/>
      <c r="B21" s="165"/>
      <c r="C21" s="166"/>
      <c r="D21" s="517"/>
      <c r="E21" s="158"/>
      <c r="F21" s="158"/>
    </row>
    <row r="22" spans="1:6" s="44" customFormat="1" ht="30" hidden="1" customHeight="1" x14ac:dyDescent="0.2">
      <c r="A22" s="520"/>
      <c r="B22" s="164"/>
      <c r="C22" s="160"/>
      <c r="D22" s="528"/>
      <c r="E22" s="170"/>
      <c r="F22" s="170"/>
    </row>
    <row r="23" spans="1:6" s="44" customFormat="1" ht="18" hidden="1" customHeight="1" x14ac:dyDescent="0.2">
      <c r="A23" s="520"/>
      <c r="B23" s="161"/>
      <c r="C23" s="162"/>
      <c r="D23" s="528"/>
      <c r="E23" s="170"/>
      <c r="F23" s="170"/>
    </row>
    <row r="24" spans="1:6" ht="10.5" hidden="1" customHeight="1" thickBot="1" x14ac:dyDescent="0.25">
      <c r="A24" s="521"/>
      <c r="B24" s="171"/>
      <c r="C24" s="172"/>
      <c r="D24" s="531"/>
      <c r="E24" s="158"/>
      <c r="F24" s="158"/>
    </row>
    <row r="25" spans="1:6" ht="6.75" customHeight="1" x14ac:dyDescent="0.2">
      <c r="A25" s="173"/>
      <c r="B25" s="173"/>
      <c r="C25" s="174"/>
      <c r="D25" s="175"/>
      <c r="E25" s="158"/>
      <c r="F25" s="158"/>
    </row>
    <row r="26" spans="1:6" s="44" customFormat="1" ht="15" customHeight="1" x14ac:dyDescent="0.2">
      <c r="A26" s="529" t="s">
        <v>147</v>
      </c>
      <c r="B26" s="529"/>
      <c r="C26" s="529"/>
      <c r="D26" s="176" t="s">
        <v>148</v>
      </c>
      <c r="E26" s="170"/>
      <c r="F26" s="170"/>
    </row>
    <row r="27" spans="1:6" ht="15" customHeight="1" x14ac:dyDescent="0.2">
      <c r="A27" s="174"/>
      <c r="B27" s="174"/>
      <c r="C27" s="174"/>
      <c r="D27" s="175"/>
      <c r="E27" s="158"/>
      <c r="F27" s="158"/>
    </row>
    <row r="28" spans="1:6" ht="15" customHeight="1" x14ac:dyDescent="0.2">
      <c r="A28" s="177" t="s">
        <v>110</v>
      </c>
      <c r="B28" s="530" t="s">
        <v>111</v>
      </c>
      <c r="C28" s="530"/>
      <c r="D28" s="175" t="s">
        <v>149</v>
      </c>
      <c r="E28" s="158"/>
      <c r="F28" s="158"/>
    </row>
    <row r="29" spans="1:6" ht="15" customHeight="1" x14ac:dyDescent="0.2">
      <c r="A29" s="177" t="s">
        <v>112</v>
      </c>
      <c r="B29" s="530" t="s">
        <v>113</v>
      </c>
      <c r="C29" s="530"/>
      <c r="D29" s="175" t="s">
        <v>150</v>
      </c>
      <c r="E29" s="158"/>
      <c r="F29" s="158"/>
    </row>
    <row r="30" spans="1:6" ht="15" customHeight="1" x14ac:dyDescent="0.2">
      <c r="A30" s="177" t="s">
        <v>114</v>
      </c>
      <c r="B30" s="530" t="s">
        <v>115</v>
      </c>
      <c r="C30" s="530"/>
      <c r="D30" s="175" t="s">
        <v>323</v>
      </c>
      <c r="E30" s="158"/>
      <c r="F30" s="158"/>
    </row>
    <row r="31" spans="1:6" ht="15" customHeight="1" x14ac:dyDescent="0.2">
      <c r="A31" s="174"/>
      <c r="B31" s="174"/>
      <c r="C31" s="174"/>
      <c r="D31" s="175" t="s">
        <v>151</v>
      </c>
      <c r="E31" s="158"/>
      <c r="F31" s="158"/>
    </row>
    <row r="32" spans="1:6" ht="15" customHeight="1" x14ac:dyDescent="0.2">
      <c r="A32" s="45"/>
      <c r="B32" s="45"/>
      <c r="C32" s="45"/>
      <c r="D32" s="45"/>
    </row>
    <row r="33" spans="1:4" ht="15" customHeight="1" x14ac:dyDescent="0.2">
      <c r="A33" s="45"/>
      <c r="B33" s="45"/>
      <c r="C33" s="45"/>
      <c r="D33" s="45"/>
    </row>
    <row r="34" spans="1:4" ht="15" customHeight="1" x14ac:dyDescent="0.2">
      <c r="A34" s="45"/>
      <c r="B34" s="45"/>
      <c r="C34" s="45"/>
      <c r="D34" s="45"/>
    </row>
    <row r="35" spans="1:4" ht="15" customHeight="1" x14ac:dyDescent="0.2">
      <c r="A35" s="45"/>
      <c r="B35" s="45"/>
      <c r="C35" s="45"/>
      <c r="D35" s="45"/>
    </row>
    <row r="36" spans="1:4" ht="15" customHeight="1" x14ac:dyDescent="0.2">
      <c r="A36" s="45"/>
      <c r="B36" s="45"/>
      <c r="C36" s="45"/>
      <c r="D36" s="45"/>
    </row>
    <row r="37" spans="1:4" ht="15" customHeight="1" x14ac:dyDescent="0.2">
      <c r="A37" s="45"/>
      <c r="B37" s="45"/>
      <c r="C37" s="45"/>
      <c r="D37" s="45"/>
    </row>
    <row r="38" spans="1:4" ht="15" customHeight="1" x14ac:dyDescent="0.2">
      <c r="A38" s="45"/>
      <c r="B38" s="45"/>
      <c r="C38" s="45"/>
      <c r="D38" s="45"/>
    </row>
    <row r="39" spans="1:4" ht="15" customHeight="1" x14ac:dyDescent="0.2">
      <c r="A39" s="45"/>
      <c r="B39" s="45"/>
      <c r="C39" s="45"/>
      <c r="D39" s="45"/>
    </row>
    <row r="40" spans="1:4" ht="15" customHeight="1" x14ac:dyDescent="0.2">
      <c r="A40" s="45"/>
      <c r="B40" s="45"/>
      <c r="C40" s="45"/>
      <c r="D40" s="45"/>
    </row>
    <row r="41" spans="1:4" ht="15" customHeight="1" x14ac:dyDescent="0.2">
      <c r="A41" s="45"/>
      <c r="B41" s="45"/>
      <c r="C41" s="45"/>
      <c r="D41" s="45"/>
    </row>
    <row r="42" spans="1:4" ht="15" customHeight="1" x14ac:dyDescent="0.2">
      <c r="A42" s="45"/>
      <c r="B42" s="45"/>
      <c r="C42" s="45"/>
      <c r="D42" s="45"/>
    </row>
    <row r="43" spans="1:4" ht="15" customHeight="1" x14ac:dyDescent="0.2">
      <c r="A43" s="45"/>
      <c r="B43" s="45"/>
      <c r="C43" s="45"/>
      <c r="D43" s="45"/>
    </row>
    <row r="44" spans="1:4" ht="15" customHeight="1" x14ac:dyDescent="0.2">
      <c r="A44" s="45"/>
      <c r="B44" s="45"/>
      <c r="C44" s="45"/>
      <c r="D44" s="45"/>
    </row>
    <row r="45" spans="1:4" ht="15" customHeight="1" x14ac:dyDescent="0.2">
      <c r="A45" s="45"/>
      <c r="B45" s="45"/>
      <c r="C45" s="45"/>
      <c r="D45" s="45"/>
    </row>
    <row r="46" spans="1:4" ht="15" customHeight="1" x14ac:dyDescent="0.2">
      <c r="A46" s="45"/>
      <c r="B46" s="45"/>
      <c r="C46" s="45"/>
      <c r="D46" s="45"/>
    </row>
    <row r="47" spans="1:4" ht="15" customHeight="1" x14ac:dyDescent="0.2"/>
    <row r="48" spans="1:4" ht="15" customHeight="1" x14ac:dyDescent="0.2"/>
    <row r="49" ht="15" customHeight="1" x14ac:dyDescent="0.2"/>
    <row r="50" ht="15" customHeight="1" x14ac:dyDescent="0.2"/>
  </sheetData>
  <sheetProtection algorithmName="SHA-512" hashValue="XuqNdIQBsPVYa07yxd3wpxQIbrrdtXYfSHmx0Kbjfnt+3+LHMP2OOZbL8fHBAV+L7lbhSL4dnTMjM3m0+cppHQ==" saltValue="amju1tROPXcL90j54DztDw==" spinCount="100000" sheet="1" formatCells="0" formatColumns="0" formatRows="0" insertColumns="0" insertRows="0" insertHyperlinks="0" deleteColumns="0" deleteRows="0" sort="0" autoFilter="0" pivotTables="0"/>
  <mergeCells count="18">
    <mergeCell ref="A26:C26"/>
    <mergeCell ref="B28:C28"/>
    <mergeCell ref="B29:C29"/>
    <mergeCell ref="B30:C30"/>
    <mergeCell ref="D22:D24"/>
    <mergeCell ref="A1:D1"/>
    <mergeCell ref="A2:D2"/>
    <mergeCell ref="A3:D3"/>
    <mergeCell ref="D5:D12"/>
    <mergeCell ref="D13:D16"/>
    <mergeCell ref="A5:A7"/>
    <mergeCell ref="A9:A12"/>
    <mergeCell ref="D20:D21"/>
    <mergeCell ref="A20:A21"/>
    <mergeCell ref="A22:A24"/>
    <mergeCell ref="A13:A16"/>
    <mergeCell ref="A17:A19"/>
    <mergeCell ref="D17:D19"/>
  </mergeCells>
  <printOptions horizontalCentered="1"/>
  <pageMargins left="0.59055118110236227" right="0.27559055118110237" top="0.78740157480314965" bottom="0.74803149606299213" header="0.31496062992125984" footer="0.31496062992125984"/>
  <pageSetup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-0.249977111117893"/>
  </sheetPr>
  <dimension ref="A1:R36"/>
  <sheetViews>
    <sheetView topLeftCell="A10" workbookViewId="0">
      <selection activeCell="K39" sqref="K39"/>
    </sheetView>
  </sheetViews>
  <sheetFormatPr baseColWidth="10" defaultColWidth="11.42578125" defaultRowHeight="12.75" x14ac:dyDescent="0.2"/>
  <cols>
    <col min="1" max="1" width="10.7109375" style="46" customWidth="1"/>
    <col min="2" max="2" width="5.140625" style="46" customWidth="1"/>
    <col min="3" max="3" width="12.7109375" style="47" customWidth="1"/>
    <col min="4" max="4" width="14.140625" style="47" customWidth="1"/>
    <col min="5" max="5" width="14.5703125" style="47" customWidth="1"/>
    <col min="6" max="6" width="12" style="47" customWidth="1"/>
    <col min="7" max="7" width="8" style="47" customWidth="1"/>
    <col min="8" max="8" width="13.7109375" style="47" customWidth="1"/>
    <col min="9" max="9" width="12.7109375" style="47" customWidth="1"/>
    <col min="10" max="10" width="10.85546875" style="46" customWidth="1"/>
    <col min="11" max="11" width="21.140625" style="46" customWidth="1"/>
    <col min="12" max="12" width="12.28515625" style="46" customWidth="1"/>
    <col min="13" max="13" width="11.5703125" style="46" customWidth="1"/>
    <col min="14" max="14" width="14.5703125" style="46" customWidth="1"/>
    <col min="15" max="15" width="11.7109375" style="46" customWidth="1"/>
    <col min="16" max="17" width="12.5703125" style="46" customWidth="1"/>
    <col min="18" max="16384" width="11.42578125" style="46"/>
  </cols>
  <sheetData>
    <row r="1" spans="1:18" ht="18" x14ac:dyDescent="0.25">
      <c r="A1" s="632" t="s">
        <v>255</v>
      </c>
      <c r="B1" s="632"/>
      <c r="C1" s="632"/>
      <c r="D1" s="632"/>
      <c r="E1" s="632"/>
      <c r="F1" s="632"/>
      <c r="G1" s="632"/>
      <c r="H1" s="632"/>
      <c r="I1" s="632"/>
      <c r="J1" s="637" t="s">
        <v>255</v>
      </c>
      <c r="K1" s="637"/>
      <c r="L1" s="637"/>
      <c r="M1" s="637"/>
      <c r="N1" s="637"/>
      <c r="O1" s="637"/>
      <c r="P1" s="637"/>
      <c r="Q1" s="88"/>
      <c r="R1" s="88"/>
    </row>
    <row r="2" spans="1:18" ht="18" x14ac:dyDescent="0.25">
      <c r="A2" s="632" t="s">
        <v>203</v>
      </c>
      <c r="B2" s="632"/>
      <c r="C2" s="632"/>
      <c r="D2" s="632"/>
      <c r="E2" s="632"/>
      <c r="F2" s="632"/>
      <c r="G2" s="632"/>
      <c r="H2" s="632"/>
      <c r="I2" s="632"/>
      <c r="J2" s="637" t="s">
        <v>203</v>
      </c>
      <c r="K2" s="637"/>
      <c r="L2" s="637"/>
      <c r="M2" s="637"/>
      <c r="N2" s="637"/>
      <c r="O2" s="637"/>
      <c r="P2" s="637"/>
      <c r="Q2" s="88"/>
      <c r="R2" s="88"/>
    </row>
    <row r="3" spans="1:18" ht="18" x14ac:dyDescent="0.25">
      <c r="A3" s="632" t="s">
        <v>281</v>
      </c>
      <c r="B3" s="632"/>
      <c r="C3" s="632"/>
      <c r="D3" s="632"/>
      <c r="E3" s="632"/>
      <c r="F3" s="632"/>
      <c r="G3" s="632"/>
      <c r="H3" s="632"/>
      <c r="I3" s="632"/>
      <c r="J3" s="637" t="s">
        <v>281</v>
      </c>
      <c r="K3" s="637"/>
      <c r="L3" s="637"/>
      <c r="M3" s="637"/>
      <c r="N3" s="637"/>
      <c r="O3" s="637"/>
      <c r="P3" s="637"/>
      <c r="Q3" s="88"/>
      <c r="R3" s="88"/>
    </row>
    <row r="4" spans="1:18" ht="13.5" thickBot="1" x14ac:dyDescent="0.25">
      <c r="J4" s="91" t="s">
        <v>286</v>
      </c>
      <c r="K4" s="21"/>
      <c r="L4" s="21"/>
      <c r="M4" s="21"/>
      <c r="N4" s="21"/>
      <c r="O4" s="21"/>
      <c r="P4" s="21"/>
      <c r="Q4" s="21"/>
      <c r="R4" s="21"/>
    </row>
    <row r="5" spans="1:18" ht="16.5" thickBot="1" x14ac:dyDescent="0.3">
      <c r="A5" s="633" t="s">
        <v>181</v>
      </c>
      <c r="B5" s="633"/>
      <c r="C5" s="633"/>
      <c r="D5" s="633"/>
      <c r="E5" s="633"/>
      <c r="F5" s="633"/>
      <c r="G5" s="633"/>
      <c r="H5" s="633"/>
      <c r="I5" s="633"/>
      <c r="J5" s="96" t="s">
        <v>287</v>
      </c>
      <c r="K5" s="97" t="s">
        <v>109</v>
      </c>
      <c r="L5" s="98" t="s">
        <v>122</v>
      </c>
      <c r="M5" s="97" t="s">
        <v>246</v>
      </c>
      <c r="N5" s="97" t="s">
        <v>248</v>
      </c>
      <c r="O5" s="97" t="s">
        <v>288</v>
      </c>
      <c r="P5" s="97" t="s">
        <v>73</v>
      </c>
      <c r="Q5" s="99" t="s">
        <v>189</v>
      </c>
      <c r="R5" s="21"/>
    </row>
    <row r="6" spans="1:18" x14ac:dyDescent="0.2">
      <c r="J6" s="21"/>
      <c r="K6" s="21"/>
      <c r="L6" s="21"/>
      <c r="M6" s="21"/>
      <c r="N6" s="21"/>
      <c r="O6" s="21"/>
      <c r="P6" s="21"/>
      <c r="Q6" s="89"/>
      <c r="R6" s="21"/>
    </row>
    <row r="7" spans="1:18" x14ac:dyDescent="0.2">
      <c r="A7" s="69" t="s">
        <v>182</v>
      </c>
      <c r="B7" s="65" t="s">
        <v>183</v>
      </c>
      <c r="C7" s="70">
        <v>497124.78</v>
      </c>
      <c r="D7" s="47" t="s">
        <v>184</v>
      </c>
      <c r="F7" s="47" t="s">
        <v>284</v>
      </c>
      <c r="H7" s="87">
        <v>40845</v>
      </c>
      <c r="J7" s="93">
        <v>21109001</v>
      </c>
      <c r="K7" s="94" t="s">
        <v>289</v>
      </c>
      <c r="L7" s="95">
        <v>919.17</v>
      </c>
      <c r="M7" s="95"/>
      <c r="N7" s="95"/>
      <c r="O7" s="95"/>
      <c r="P7" s="95"/>
      <c r="Q7" s="95"/>
      <c r="R7" s="21"/>
    </row>
    <row r="8" spans="1:18" x14ac:dyDescent="0.2">
      <c r="A8" s="70" t="s">
        <v>185</v>
      </c>
      <c r="C8" s="71">
        <v>0.1</v>
      </c>
      <c r="D8" s="47" t="s">
        <v>100</v>
      </c>
      <c r="F8" s="47" t="s">
        <v>283</v>
      </c>
      <c r="H8" s="87">
        <v>46326</v>
      </c>
      <c r="J8" s="93">
        <v>21109002</v>
      </c>
      <c r="K8" s="94" t="s">
        <v>246</v>
      </c>
      <c r="L8" s="95"/>
      <c r="M8" s="95">
        <v>2363.0100000000002</v>
      </c>
      <c r="N8" s="95"/>
      <c r="O8" s="95"/>
      <c r="P8" s="95"/>
      <c r="Q8" s="95"/>
      <c r="R8" s="21"/>
    </row>
    <row r="9" spans="1:18" x14ac:dyDescent="0.2">
      <c r="A9" s="70" t="s">
        <v>186</v>
      </c>
      <c r="C9" s="70">
        <v>46.25</v>
      </c>
      <c r="D9" s="47" t="s">
        <v>187</v>
      </c>
      <c r="J9" s="93">
        <v>21109003</v>
      </c>
      <c r="K9" s="94" t="s">
        <v>290</v>
      </c>
      <c r="L9" s="95"/>
      <c r="M9" s="95"/>
      <c r="N9" s="95">
        <v>761.8</v>
      </c>
      <c r="O9" s="95"/>
      <c r="P9" s="95"/>
      <c r="Q9" s="95"/>
      <c r="R9" s="21"/>
    </row>
    <row r="10" spans="1:18" x14ac:dyDescent="0.2">
      <c r="A10" s="70" t="s">
        <v>188</v>
      </c>
      <c r="B10" s="65" t="s">
        <v>183</v>
      </c>
      <c r="C10" s="70">
        <v>6023.33</v>
      </c>
      <c r="D10" s="47" t="s">
        <v>187</v>
      </c>
      <c r="J10" s="93">
        <v>21109004</v>
      </c>
      <c r="K10" s="94" t="s">
        <v>291</v>
      </c>
      <c r="L10" s="95"/>
      <c r="M10" s="95"/>
      <c r="N10" s="95">
        <v>39359.339999999997</v>
      </c>
      <c r="O10" s="95"/>
      <c r="P10" s="95"/>
      <c r="Q10" s="95"/>
      <c r="R10" s="21"/>
    </row>
    <row r="11" spans="1:18" ht="13.5" thickBot="1" x14ac:dyDescent="0.25">
      <c r="B11" s="47"/>
      <c r="J11" s="93">
        <v>21109068</v>
      </c>
      <c r="K11" s="94" t="s">
        <v>292</v>
      </c>
      <c r="L11" s="95"/>
      <c r="M11" s="95"/>
      <c r="N11" s="95"/>
      <c r="O11" s="95">
        <v>28.05</v>
      </c>
      <c r="P11" s="95"/>
      <c r="Q11" s="95"/>
      <c r="R11" s="21"/>
    </row>
    <row r="12" spans="1:18" x14ac:dyDescent="0.2">
      <c r="A12" s="66"/>
      <c r="B12" s="67"/>
      <c r="C12" s="634" t="s">
        <v>189</v>
      </c>
      <c r="D12" s="635"/>
      <c r="E12" s="634" t="s">
        <v>190</v>
      </c>
      <c r="F12" s="636"/>
      <c r="G12" s="636"/>
      <c r="H12" s="635"/>
      <c r="I12" s="68"/>
      <c r="J12" s="103">
        <v>21109084</v>
      </c>
      <c r="K12" s="94" t="s">
        <v>293</v>
      </c>
      <c r="L12" s="95"/>
      <c r="M12" s="95"/>
      <c r="N12" s="95"/>
      <c r="O12" s="95"/>
      <c r="P12" s="95"/>
      <c r="Q12" s="95">
        <v>67099.22</v>
      </c>
      <c r="R12" s="21"/>
    </row>
    <row r="13" spans="1:18" x14ac:dyDescent="0.2">
      <c r="A13" s="48"/>
      <c r="B13" s="49"/>
      <c r="C13" s="638" t="s">
        <v>191</v>
      </c>
      <c r="D13" s="639"/>
      <c r="E13" s="52" t="s">
        <v>192</v>
      </c>
      <c r="F13" s="52" t="s">
        <v>193</v>
      </c>
      <c r="G13" s="52" t="s">
        <v>194</v>
      </c>
      <c r="H13" s="640" t="s">
        <v>285</v>
      </c>
      <c r="I13" s="53" t="s">
        <v>195</v>
      </c>
      <c r="J13" s="103">
        <v>21109101</v>
      </c>
      <c r="K13" s="94" t="s">
        <v>294</v>
      </c>
      <c r="L13" s="95"/>
      <c r="M13" s="95"/>
      <c r="N13" s="95">
        <v>2.2599999999999998</v>
      </c>
      <c r="O13" s="95"/>
      <c r="P13" s="95"/>
      <c r="Q13" s="95"/>
      <c r="R13" s="21"/>
    </row>
    <row r="14" spans="1:18" x14ac:dyDescent="0.2">
      <c r="A14" s="50" t="s">
        <v>196</v>
      </c>
      <c r="B14" s="51" t="s">
        <v>197</v>
      </c>
      <c r="C14" s="54" t="s">
        <v>204</v>
      </c>
      <c r="D14" s="54" t="s">
        <v>198</v>
      </c>
      <c r="E14" s="55" t="s">
        <v>199</v>
      </c>
      <c r="F14" s="54" t="s">
        <v>200</v>
      </c>
      <c r="G14" s="55" t="s">
        <v>201</v>
      </c>
      <c r="H14" s="641"/>
      <c r="I14" s="56" t="s">
        <v>202</v>
      </c>
      <c r="J14" s="103">
        <v>21109111</v>
      </c>
      <c r="K14" s="94" t="s">
        <v>295</v>
      </c>
      <c r="L14" s="95"/>
      <c r="M14" s="95"/>
      <c r="N14" s="95">
        <v>24.91</v>
      </c>
      <c r="O14" s="95"/>
      <c r="P14" s="95"/>
      <c r="Q14" s="95"/>
      <c r="R14" s="21"/>
    </row>
    <row r="15" spans="1:18" x14ac:dyDescent="0.2">
      <c r="A15" s="86">
        <v>39814</v>
      </c>
      <c r="B15" s="51">
        <v>0</v>
      </c>
      <c r="C15" s="58">
        <v>0</v>
      </c>
      <c r="D15" s="58">
        <v>0</v>
      </c>
      <c r="E15" s="58">
        <v>0</v>
      </c>
      <c r="F15" s="58">
        <v>0</v>
      </c>
      <c r="G15" s="58"/>
      <c r="H15" s="58"/>
      <c r="I15" s="59">
        <v>497124.78</v>
      </c>
      <c r="J15" s="103">
        <v>21109112</v>
      </c>
      <c r="K15" s="94" t="s">
        <v>296</v>
      </c>
      <c r="L15" s="95"/>
      <c r="M15" s="95"/>
      <c r="N15" s="95">
        <v>59.84</v>
      </c>
      <c r="O15" s="95"/>
      <c r="P15" s="95"/>
      <c r="Q15" s="95"/>
      <c r="R15" s="21"/>
    </row>
    <row r="16" spans="1:18" x14ac:dyDescent="0.2">
      <c r="A16" s="86">
        <v>39844</v>
      </c>
      <c r="B16" s="51">
        <v>31</v>
      </c>
      <c r="C16" s="58">
        <f>SUM(I15*31/3600)</f>
        <v>4280.7967166666667</v>
      </c>
      <c r="D16" s="58">
        <f>SUM(C10-C16)</f>
        <v>1742.5332833333332</v>
      </c>
      <c r="E16" s="60">
        <f>SUM(C16:D16)</f>
        <v>6023.33</v>
      </c>
      <c r="F16" s="58">
        <v>46.25</v>
      </c>
      <c r="G16" s="58">
        <v>0</v>
      </c>
      <c r="H16" s="58">
        <f>SUM(E16:G16)</f>
        <v>6069.58</v>
      </c>
      <c r="I16" s="59">
        <f>+I15-D16</f>
        <v>495382.24671666668</v>
      </c>
      <c r="J16" s="103">
        <v>21109114</v>
      </c>
      <c r="K16" s="94" t="s">
        <v>297</v>
      </c>
      <c r="L16" s="95"/>
      <c r="M16" s="95"/>
      <c r="N16" s="95">
        <v>2021.02</v>
      </c>
      <c r="O16" s="95"/>
      <c r="P16" s="95"/>
      <c r="Q16" s="95"/>
      <c r="R16" s="21"/>
    </row>
    <row r="17" spans="1:18" x14ac:dyDescent="0.2">
      <c r="A17" s="86">
        <v>39872</v>
      </c>
      <c r="B17" s="51">
        <v>28</v>
      </c>
      <c r="C17" s="58">
        <f>SUM(I16*28/3600)</f>
        <v>3852.9730300185188</v>
      </c>
      <c r="D17" s="58">
        <f>SUM(C10-C17)</f>
        <v>2170.3569699814811</v>
      </c>
      <c r="E17" s="60">
        <f>SUM(C17:D17)</f>
        <v>6023.33</v>
      </c>
      <c r="F17" s="58">
        <v>46.25</v>
      </c>
      <c r="G17" s="58"/>
      <c r="H17" s="58">
        <f>SUM(E17:G17)</f>
        <v>6069.58</v>
      </c>
      <c r="I17" s="59">
        <f t="shared" ref="I17:I27" si="0">+I16-D17</f>
        <v>493211.88974668522</v>
      </c>
      <c r="J17" s="103">
        <v>21109116</v>
      </c>
      <c r="K17" s="94" t="s">
        <v>298</v>
      </c>
      <c r="L17" s="95"/>
      <c r="M17" s="95"/>
      <c r="N17" s="95">
        <v>14997.17</v>
      </c>
      <c r="O17" s="95"/>
      <c r="P17" s="95"/>
      <c r="Q17" s="95"/>
      <c r="R17" s="21"/>
    </row>
    <row r="18" spans="1:18" x14ac:dyDescent="0.2">
      <c r="A18" s="86">
        <v>39903</v>
      </c>
      <c r="B18" s="51">
        <v>31</v>
      </c>
      <c r="C18" s="58">
        <f>SUM(I17*31/3600)</f>
        <v>4247.1023839297895</v>
      </c>
      <c r="D18" s="58">
        <f>SUM(C10-C18)</f>
        <v>1776.2276160702104</v>
      </c>
      <c r="E18" s="60">
        <f t="shared" ref="E18:E27" si="1">SUM(C18:D18)</f>
        <v>6023.33</v>
      </c>
      <c r="F18" s="58">
        <v>46.25</v>
      </c>
      <c r="G18" s="58"/>
      <c r="H18" s="58">
        <f t="shared" ref="H18:H27" si="2">SUM(E18:G18)</f>
        <v>6069.58</v>
      </c>
      <c r="I18" s="59">
        <f t="shared" si="0"/>
        <v>491435.66213061503</v>
      </c>
      <c r="J18" s="103">
        <v>21109117</v>
      </c>
      <c r="K18" s="94" t="s">
        <v>299</v>
      </c>
      <c r="L18" s="95"/>
      <c r="M18" s="95"/>
      <c r="N18" s="95">
        <v>2191.12</v>
      </c>
      <c r="O18" s="95"/>
      <c r="P18" s="95"/>
      <c r="Q18" s="95"/>
      <c r="R18" s="21"/>
    </row>
    <row r="19" spans="1:18" x14ac:dyDescent="0.2">
      <c r="A19" s="86">
        <v>39933</v>
      </c>
      <c r="B19" s="51">
        <v>30</v>
      </c>
      <c r="C19" s="58">
        <f>SUM(I18*30/3600)</f>
        <v>4095.2971844217923</v>
      </c>
      <c r="D19" s="58">
        <f>SUM(C10-C19)</f>
        <v>1928.0328155782076</v>
      </c>
      <c r="E19" s="60">
        <f t="shared" si="1"/>
        <v>6023.33</v>
      </c>
      <c r="F19" s="58">
        <v>46.25</v>
      </c>
      <c r="G19" s="58"/>
      <c r="H19" s="58">
        <f t="shared" si="2"/>
        <v>6069.58</v>
      </c>
      <c r="I19" s="59">
        <f t="shared" si="0"/>
        <v>489507.62931503681</v>
      </c>
      <c r="J19" s="103">
        <v>21109121</v>
      </c>
      <c r="K19" s="94" t="s">
        <v>300</v>
      </c>
      <c r="L19" s="95"/>
      <c r="M19" s="95"/>
      <c r="N19" s="95"/>
      <c r="O19" s="95">
        <v>2344.64</v>
      </c>
      <c r="P19" s="95"/>
      <c r="Q19" s="95"/>
      <c r="R19" s="21"/>
    </row>
    <row r="20" spans="1:18" x14ac:dyDescent="0.2">
      <c r="A20" s="86">
        <v>39964</v>
      </c>
      <c r="B20" s="51">
        <v>31</v>
      </c>
      <c r="C20" s="58">
        <f>SUM(I19*31/3600)</f>
        <v>4215.2045857683725</v>
      </c>
      <c r="D20" s="58">
        <f>SUM(C10-C20)</f>
        <v>1808.1254142316275</v>
      </c>
      <c r="E20" s="60">
        <f t="shared" si="1"/>
        <v>6023.33</v>
      </c>
      <c r="F20" s="58">
        <v>46.25</v>
      </c>
      <c r="G20" s="58"/>
      <c r="H20" s="58">
        <f t="shared" si="2"/>
        <v>6069.58</v>
      </c>
      <c r="I20" s="59">
        <f t="shared" si="0"/>
        <v>487699.5039008052</v>
      </c>
      <c r="J20" s="103">
        <v>21109123</v>
      </c>
      <c r="K20" s="94" t="s">
        <v>301</v>
      </c>
      <c r="L20" s="95"/>
      <c r="M20" s="95"/>
      <c r="N20" s="95">
        <v>4118.5600000000004</v>
      </c>
      <c r="O20" s="95"/>
      <c r="P20" s="95"/>
      <c r="Q20" s="95"/>
      <c r="R20" s="21"/>
    </row>
    <row r="21" spans="1:18" x14ac:dyDescent="0.2">
      <c r="A21" s="86">
        <v>39994</v>
      </c>
      <c r="B21" s="51">
        <v>30</v>
      </c>
      <c r="C21" s="58">
        <f>SUM(I20*30/3600)</f>
        <v>4064.1625325067098</v>
      </c>
      <c r="D21" s="58">
        <f>SUM(C10-C21)</f>
        <v>1959.1674674932901</v>
      </c>
      <c r="E21" s="60">
        <f t="shared" si="1"/>
        <v>6023.33</v>
      </c>
      <c r="F21" s="58">
        <v>46.25</v>
      </c>
      <c r="G21" s="58"/>
      <c r="H21" s="58">
        <f t="shared" si="2"/>
        <v>6069.58</v>
      </c>
      <c r="I21" s="59">
        <f t="shared" si="0"/>
        <v>485740.33643331192</v>
      </c>
      <c r="J21" s="103">
        <v>21109124</v>
      </c>
      <c r="K21" s="94" t="s">
        <v>302</v>
      </c>
      <c r="L21" s="95"/>
      <c r="M21" s="95"/>
      <c r="N21" s="95">
        <v>24692.04</v>
      </c>
      <c r="O21" s="95"/>
      <c r="P21" s="95"/>
      <c r="Q21" s="95"/>
      <c r="R21" s="21"/>
    </row>
    <row r="22" spans="1:18" x14ac:dyDescent="0.2">
      <c r="A22" s="86">
        <v>40025</v>
      </c>
      <c r="B22" s="51">
        <v>31</v>
      </c>
      <c r="C22" s="58">
        <f>SUM(I21*31/3600)</f>
        <v>4182.7640081757418</v>
      </c>
      <c r="D22" s="58">
        <f>SUM(C10-C22)</f>
        <v>1840.5659918242582</v>
      </c>
      <c r="E22" s="60">
        <f t="shared" si="1"/>
        <v>6023.33</v>
      </c>
      <c r="F22" s="58">
        <v>46.25</v>
      </c>
      <c r="G22" s="58"/>
      <c r="H22" s="58">
        <f t="shared" si="2"/>
        <v>6069.58</v>
      </c>
      <c r="I22" s="59">
        <f t="shared" si="0"/>
        <v>483899.77044148766</v>
      </c>
      <c r="J22" s="103">
        <v>21109125</v>
      </c>
      <c r="K22" s="94" t="s">
        <v>303</v>
      </c>
      <c r="L22" s="95"/>
      <c r="M22" s="95"/>
      <c r="N22" s="95">
        <v>1350</v>
      </c>
      <c r="O22" s="95"/>
      <c r="P22" s="95"/>
      <c r="Q22" s="95"/>
      <c r="R22" s="21"/>
    </row>
    <row r="23" spans="1:18" x14ac:dyDescent="0.2">
      <c r="A23" s="86">
        <v>40056</v>
      </c>
      <c r="B23" s="51">
        <v>31</v>
      </c>
      <c r="C23" s="58">
        <f>SUM(I22*31/3600)</f>
        <v>4166.9146899128109</v>
      </c>
      <c r="D23" s="58">
        <f>SUM(C10-C23)</f>
        <v>1856.415310087189</v>
      </c>
      <c r="E23" s="60">
        <f t="shared" si="1"/>
        <v>6023.33</v>
      </c>
      <c r="F23" s="58">
        <v>46.25</v>
      </c>
      <c r="G23" s="58"/>
      <c r="H23" s="58">
        <f t="shared" si="2"/>
        <v>6069.58</v>
      </c>
      <c r="I23" s="59">
        <f t="shared" si="0"/>
        <v>482043.35513140046</v>
      </c>
      <c r="J23" s="103">
        <v>21109127</v>
      </c>
      <c r="K23" s="94" t="s">
        <v>304</v>
      </c>
      <c r="L23" s="95"/>
      <c r="M23" s="95"/>
      <c r="N23" s="95">
        <v>5497.17</v>
      </c>
      <c r="O23" s="95"/>
      <c r="P23" s="95"/>
      <c r="Q23" s="95"/>
      <c r="R23" s="21"/>
    </row>
    <row r="24" spans="1:18" x14ac:dyDescent="0.2">
      <c r="A24" s="86">
        <v>40086</v>
      </c>
      <c r="B24" s="51">
        <v>30</v>
      </c>
      <c r="C24" s="58">
        <f>SUM(I23*30/3600)</f>
        <v>4017.027959428337</v>
      </c>
      <c r="D24" s="58">
        <f>SUM(C10-C24)</f>
        <v>2006.3020405716629</v>
      </c>
      <c r="E24" s="60">
        <f t="shared" si="1"/>
        <v>6023.33</v>
      </c>
      <c r="F24" s="58">
        <v>46.25</v>
      </c>
      <c r="G24" s="58"/>
      <c r="H24" s="58">
        <f t="shared" si="2"/>
        <v>6069.58</v>
      </c>
      <c r="I24" s="59">
        <f t="shared" si="0"/>
        <v>480037.05309082882</v>
      </c>
      <c r="J24" s="103">
        <v>21109128</v>
      </c>
      <c r="K24" s="94" t="s">
        <v>305</v>
      </c>
      <c r="L24" s="95"/>
      <c r="M24" s="95"/>
      <c r="N24" s="95">
        <v>440.91</v>
      </c>
      <c r="O24" s="95"/>
      <c r="P24" s="95"/>
      <c r="Q24" s="95"/>
      <c r="R24" s="21"/>
    </row>
    <row r="25" spans="1:18" x14ac:dyDescent="0.2">
      <c r="A25" s="86">
        <v>40117</v>
      </c>
      <c r="B25" s="51">
        <v>31</v>
      </c>
      <c r="C25" s="58">
        <f>SUM(I24*31/3600)</f>
        <v>4133.6524016154699</v>
      </c>
      <c r="D25" s="58">
        <f>SUM(C10-C25)</f>
        <v>1889.67759838453</v>
      </c>
      <c r="E25" s="60">
        <f t="shared" si="1"/>
        <v>6023.33</v>
      </c>
      <c r="F25" s="58">
        <v>46.25</v>
      </c>
      <c r="G25" s="58"/>
      <c r="H25" s="58">
        <f t="shared" si="2"/>
        <v>6069.58</v>
      </c>
      <c r="I25" s="59">
        <f t="shared" si="0"/>
        <v>478147.37549244426</v>
      </c>
      <c r="J25" s="103">
        <v>21109129</v>
      </c>
      <c r="K25" s="94" t="s">
        <v>306</v>
      </c>
      <c r="L25" s="95"/>
      <c r="M25" s="95"/>
      <c r="N25" s="95"/>
      <c r="O25" s="95">
        <v>1</v>
      </c>
      <c r="P25" s="95"/>
      <c r="Q25" s="95"/>
      <c r="R25" s="21"/>
    </row>
    <row r="26" spans="1:18" x14ac:dyDescent="0.2">
      <c r="A26" s="86">
        <v>40147</v>
      </c>
      <c r="B26" s="51">
        <v>30</v>
      </c>
      <c r="C26" s="58">
        <f>SUM(I25*30/3600)</f>
        <v>3984.5614624370355</v>
      </c>
      <c r="D26" s="58">
        <f>SUM(C10-C26)</f>
        <v>2038.7685375629644</v>
      </c>
      <c r="E26" s="60">
        <f t="shared" si="1"/>
        <v>6023.33</v>
      </c>
      <c r="F26" s="58">
        <v>46.25</v>
      </c>
      <c r="G26" s="58"/>
      <c r="H26" s="58">
        <f t="shared" si="2"/>
        <v>6069.58</v>
      </c>
      <c r="I26" s="59">
        <f t="shared" si="0"/>
        <v>476108.60695488128</v>
      </c>
      <c r="J26" s="103">
        <v>21109130</v>
      </c>
      <c r="K26" s="94" t="s">
        <v>307</v>
      </c>
      <c r="L26" s="95"/>
      <c r="M26" s="95"/>
      <c r="N26" s="95"/>
      <c r="O26" s="95">
        <v>1</v>
      </c>
      <c r="P26" s="95"/>
      <c r="Q26" s="95"/>
      <c r="R26" s="21"/>
    </row>
    <row r="27" spans="1:18" x14ac:dyDescent="0.2">
      <c r="A27" s="86">
        <v>40178</v>
      </c>
      <c r="B27" s="51">
        <v>31</v>
      </c>
      <c r="C27" s="58">
        <f>SUM(I26*31/3600)</f>
        <v>4099.8241154448106</v>
      </c>
      <c r="D27" s="58">
        <f>SUM(C10-C27)</f>
        <v>1923.5058845551894</v>
      </c>
      <c r="E27" s="60">
        <f t="shared" si="1"/>
        <v>6023.33</v>
      </c>
      <c r="F27" s="58">
        <v>46.25</v>
      </c>
      <c r="G27" s="58"/>
      <c r="H27" s="58">
        <f t="shared" si="2"/>
        <v>6069.58</v>
      </c>
      <c r="I27" s="59">
        <f t="shared" si="0"/>
        <v>474185.10107032611</v>
      </c>
      <c r="J27" s="103">
        <v>21109131</v>
      </c>
      <c r="K27" s="94" t="s">
        <v>308</v>
      </c>
      <c r="L27" s="95"/>
      <c r="M27" s="95"/>
      <c r="N27" s="95">
        <v>658.72</v>
      </c>
      <c r="O27" s="95"/>
      <c r="P27" s="95"/>
      <c r="Q27" s="95"/>
      <c r="R27" s="21"/>
    </row>
    <row r="28" spans="1:18" x14ac:dyDescent="0.2">
      <c r="A28" s="57"/>
      <c r="B28" s="51"/>
      <c r="C28" s="58"/>
      <c r="D28" s="58"/>
      <c r="E28" s="60"/>
      <c r="F28" s="58"/>
      <c r="G28" s="58"/>
      <c r="H28" s="58"/>
      <c r="I28" s="59"/>
      <c r="J28" s="103">
        <v>21109132</v>
      </c>
      <c r="K28" s="94" t="s">
        <v>309</v>
      </c>
      <c r="L28" s="95"/>
      <c r="M28" s="95"/>
      <c r="N28" s="95">
        <v>26711.17</v>
      </c>
      <c r="O28" s="95"/>
      <c r="P28" s="95"/>
      <c r="Q28" s="95"/>
      <c r="R28" s="21"/>
    </row>
    <row r="29" spans="1:18" ht="15.75" thickBot="1" x14ac:dyDescent="0.4">
      <c r="A29" s="61"/>
      <c r="B29" s="62">
        <f t="shared" ref="B29:H29" si="3">SUM(B15:B28)</f>
        <v>365</v>
      </c>
      <c r="C29" s="63">
        <f t="shared" si="3"/>
        <v>49340.281070326062</v>
      </c>
      <c r="D29" s="63">
        <f t="shared" si="3"/>
        <v>22939.678929673944</v>
      </c>
      <c r="E29" s="63">
        <f t="shared" si="3"/>
        <v>72279.960000000006</v>
      </c>
      <c r="F29" s="63">
        <f t="shared" si="3"/>
        <v>555</v>
      </c>
      <c r="G29" s="63">
        <f t="shared" si="3"/>
        <v>0</v>
      </c>
      <c r="H29" s="63">
        <f t="shared" si="3"/>
        <v>72834.960000000006</v>
      </c>
      <c r="I29" s="64"/>
      <c r="J29" s="103">
        <v>21117001</v>
      </c>
      <c r="K29" s="94" t="s">
        <v>310</v>
      </c>
      <c r="L29" s="94"/>
      <c r="M29" s="94"/>
      <c r="N29" s="94"/>
      <c r="O29" s="94"/>
      <c r="P29" s="94">
        <v>270.88</v>
      </c>
      <c r="Q29" s="95"/>
      <c r="R29" s="21"/>
    </row>
    <row r="30" spans="1:18" x14ac:dyDescent="0.2">
      <c r="J30" s="93">
        <v>21117002</v>
      </c>
      <c r="K30" s="94" t="s">
        <v>311</v>
      </c>
      <c r="L30" s="95"/>
      <c r="M30" s="95"/>
      <c r="N30" s="95"/>
      <c r="O30" s="95"/>
      <c r="P30" s="95">
        <v>15646.03</v>
      </c>
      <c r="Q30" s="95"/>
    </row>
    <row r="31" spans="1:18" x14ac:dyDescent="0.2">
      <c r="J31" s="93">
        <v>21117003</v>
      </c>
      <c r="K31" s="94" t="s">
        <v>312</v>
      </c>
      <c r="L31" s="95"/>
      <c r="M31" s="95"/>
      <c r="N31" s="95"/>
      <c r="O31" s="95"/>
      <c r="P31" s="95">
        <v>1</v>
      </c>
      <c r="Q31" s="95"/>
    </row>
    <row r="32" spans="1:18" ht="13.5" thickBot="1" x14ac:dyDescent="0.25">
      <c r="D32" s="629" t="s">
        <v>282</v>
      </c>
      <c r="E32" s="630"/>
      <c r="F32" s="631"/>
      <c r="J32" s="100"/>
      <c r="K32" s="21"/>
      <c r="L32" s="21"/>
      <c r="M32" s="21"/>
      <c r="N32" s="21"/>
      <c r="O32" s="21"/>
      <c r="P32" s="21"/>
      <c r="Q32" s="89"/>
    </row>
    <row r="33" spans="10:17" ht="13.5" thickBot="1" x14ac:dyDescent="0.25">
      <c r="J33" s="627" t="s">
        <v>251</v>
      </c>
      <c r="K33" s="628"/>
      <c r="L33" s="101">
        <f>SUM(L7:L32)</f>
        <v>919.17</v>
      </c>
      <c r="M33" s="101">
        <f t="shared" ref="M33:Q33" si="4">SUM(M7:M32)</f>
        <v>2363.0100000000002</v>
      </c>
      <c r="N33" s="101">
        <f t="shared" si="4"/>
        <v>122886.03</v>
      </c>
      <c r="O33" s="101">
        <f t="shared" si="4"/>
        <v>2374.69</v>
      </c>
      <c r="P33" s="101">
        <f t="shared" si="4"/>
        <v>15917.91</v>
      </c>
      <c r="Q33" s="102">
        <f t="shared" si="4"/>
        <v>67099.22</v>
      </c>
    </row>
    <row r="34" spans="10:17" x14ac:dyDescent="0.2">
      <c r="Q34" s="92"/>
    </row>
    <row r="35" spans="10:17" x14ac:dyDescent="0.2">
      <c r="Q35" s="92"/>
    </row>
    <row r="36" spans="10:17" x14ac:dyDescent="0.2">
      <c r="Q36" s="92"/>
    </row>
  </sheetData>
  <mergeCells count="13">
    <mergeCell ref="J33:K33"/>
    <mergeCell ref="D32:F32"/>
    <mergeCell ref="A1:I1"/>
    <mergeCell ref="A2:I2"/>
    <mergeCell ref="A3:I3"/>
    <mergeCell ref="A5:I5"/>
    <mergeCell ref="C12:D12"/>
    <mergeCell ref="E12:H12"/>
    <mergeCell ref="J1:P1"/>
    <mergeCell ref="J2:P2"/>
    <mergeCell ref="J3:P3"/>
    <mergeCell ref="C13:D13"/>
    <mergeCell ref="H13:H14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K18"/>
  <sheetViews>
    <sheetView workbookViewId="0">
      <selection activeCell="I17" sqref="I17"/>
    </sheetView>
  </sheetViews>
  <sheetFormatPr baseColWidth="10" defaultColWidth="11.42578125" defaultRowHeight="12.75" x14ac:dyDescent="0.2"/>
  <cols>
    <col min="2" max="2" width="12.85546875" customWidth="1"/>
    <col min="3" max="3" width="13.5703125" customWidth="1"/>
    <col min="4" max="4" width="13.42578125" customWidth="1"/>
    <col min="5" max="7" width="12.85546875" bestFit="1" customWidth="1"/>
    <col min="8" max="9" width="12.85546875" customWidth="1"/>
    <col min="11" max="11" width="16.140625" customWidth="1"/>
  </cols>
  <sheetData>
    <row r="1" spans="2:11" ht="13.5" thickBot="1" x14ac:dyDescent="0.25"/>
    <row r="2" spans="2:11" ht="13.5" thickBot="1" x14ac:dyDescent="0.25">
      <c r="B2" s="109" t="s">
        <v>245</v>
      </c>
      <c r="C2" s="110" t="s">
        <v>322</v>
      </c>
      <c r="D2" s="110" t="s">
        <v>246</v>
      </c>
      <c r="E2" s="111" t="s">
        <v>248</v>
      </c>
      <c r="F2" s="110" t="s">
        <v>247</v>
      </c>
      <c r="G2" s="110" t="s">
        <v>249</v>
      </c>
      <c r="H2" s="110" t="s">
        <v>288</v>
      </c>
      <c r="I2" s="110" t="s">
        <v>73</v>
      </c>
      <c r="J2" s="110" t="s">
        <v>250</v>
      </c>
      <c r="K2" s="112" t="s">
        <v>251</v>
      </c>
    </row>
    <row r="3" spans="2:11" x14ac:dyDescent="0.2">
      <c r="B3" s="107">
        <v>51</v>
      </c>
      <c r="C3" s="108">
        <f>SUM('Egresos F.P. '!L10:L19)</f>
        <v>1005799.6754999999</v>
      </c>
      <c r="D3" s="108">
        <f>SUM('Egr. FODES 25%'!L11:L20)</f>
        <v>206600</v>
      </c>
      <c r="E3" s="108">
        <f>SUM('Egr.FODES 75%'!I10:I15)</f>
        <v>274042.25</v>
      </c>
      <c r="F3" s="108"/>
      <c r="G3" s="108" t="e">
        <f>SUM(#REF!)</f>
        <v>#REF!</v>
      </c>
      <c r="H3" s="108">
        <f>SUM(FISDL!H11)</f>
        <v>0</v>
      </c>
      <c r="I3" s="108"/>
      <c r="J3" s="108"/>
      <c r="K3" s="108" t="e">
        <f t="shared" ref="K3:K10" si="0">SUM(C3:J3)</f>
        <v>#REF!</v>
      </c>
    </row>
    <row r="4" spans="2:11" x14ac:dyDescent="0.2">
      <c r="B4" s="105">
        <v>54</v>
      </c>
      <c r="C4" s="106">
        <f>SUM('Egresos F.P. '!L24:L63)</f>
        <v>159650</v>
      </c>
      <c r="D4" s="106">
        <f>SUM('Egr. FODES 25%'!L21:L48)</f>
        <v>310367.34999999998</v>
      </c>
      <c r="E4" s="106">
        <f>SUM('Egr.FODES 75%'!I16:I46)</f>
        <v>967008.44000000006</v>
      </c>
      <c r="F4" s="106"/>
      <c r="G4" s="106" t="e">
        <f>SUM(#REF!)</f>
        <v>#REF!</v>
      </c>
      <c r="H4" s="106">
        <f>SUM(FISDL!H12:H17)</f>
        <v>0</v>
      </c>
      <c r="I4" s="106"/>
      <c r="J4" s="106"/>
      <c r="K4" s="106" t="e">
        <f t="shared" si="0"/>
        <v>#REF!</v>
      </c>
    </row>
    <row r="5" spans="2:11" x14ac:dyDescent="0.2">
      <c r="B5" s="105">
        <v>55</v>
      </c>
      <c r="C5" s="106">
        <f>SUM('Egresos F.P. '!L68:L72)</f>
        <v>9800</v>
      </c>
      <c r="D5" s="106">
        <f>SUM('Egr. FODES 25%'!L49:L53)</f>
        <v>22500</v>
      </c>
      <c r="E5" s="106">
        <f>SUM('Egr.FODES 75%'!I49:I50)</f>
        <v>0</v>
      </c>
      <c r="F5" s="106">
        <f>SUM('Deuda Pub 75%'!H9:H12)</f>
        <v>113480.68908562533</v>
      </c>
      <c r="G5" s="106" t="e">
        <f>SUM(#REF!)</f>
        <v>#REF!</v>
      </c>
      <c r="H5" s="106">
        <f>SUM(FISDL!H18:H19)</f>
        <v>0</v>
      </c>
      <c r="I5" s="106"/>
      <c r="J5" s="106"/>
      <c r="K5" s="106" t="e">
        <f t="shared" si="0"/>
        <v>#REF!</v>
      </c>
    </row>
    <row r="6" spans="2:11" x14ac:dyDescent="0.2">
      <c r="B6" s="105">
        <v>56</v>
      </c>
      <c r="C6" s="106">
        <f>'Egresos F.P. '!O6</f>
        <v>35000</v>
      </c>
      <c r="D6" s="106">
        <f>SUM('Egr. FODES 25%'!L54:L56)</f>
        <v>30176.1</v>
      </c>
      <c r="E6" s="106">
        <f>SUM('Egr.FODES 75%'!I51:I52)</f>
        <v>92813.08</v>
      </c>
      <c r="F6" s="106"/>
      <c r="G6" s="106"/>
      <c r="H6" s="106"/>
      <c r="I6" s="106"/>
      <c r="J6" s="106"/>
      <c r="K6" s="106">
        <f>SUM(C6:J6)</f>
        <v>157989.18</v>
      </c>
    </row>
    <row r="7" spans="2:11" x14ac:dyDescent="0.2">
      <c r="B7" s="105">
        <v>61</v>
      </c>
      <c r="C7" s="106">
        <f>SUM('Egresos F.P. '!L76:L80)</f>
        <v>4866.7</v>
      </c>
      <c r="D7" s="106"/>
      <c r="E7" s="106">
        <f>SUM('Egr.FODES 75%'!I54:I67)</f>
        <v>939840.40000000014</v>
      </c>
      <c r="F7" s="106"/>
      <c r="G7" s="106" t="e">
        <f>SUM(#REF!)</f>
        <v>#REF!</v>
      </c>
      <c r="H7" s="106">
        <f>SUM(FISDL!H20:H25)</f>
        <v>0</v>
      </c>
      <c r="I7" s="106" t="e">
        <f>SUM(#REF!)</f>
        <v>#REF!</v>
      </c>
      <c r="J7" s="106">
        <f>SUM(FISDL!H23)</f>
        <v>0</v>
      </c>
      <c r="K7" s="106" t="e">
        <f t="shared" si="0"/>
        <v>#REF!</v>
      </c>
    </row>
    <row r="8" spans="2:11" x14ac:dyDescent="0.2">
      <c r="B8" s="113">
        <v>71</v>
      </c>
      <c r="C8" s="114"/>
      <c r="D8" s="114"/>
      <c r="E8" s="114"/>
      <c r="F8" s="114">
        <f>SUM('Deuda Pub 75%'!H15)</f>
        <v>129772.82369373614</v>
      </c>
      <c r="G8" s="114"/>
      <c r="H8" s="114"/>
      <c r="I8" s="114"/>
      <c r="J8" s="114"/>
      <c r="K8" s="114">
        <f t="shared" si="0"/>
        <v>129772.82369373614</v>
      </c>
    </row>
    <row r="9" spans="2:11" ht="13.5" thickBot="1" x14ac:dyDescent="0.25">
      <c r="B9" s="140">
        <v>72</v>
      </c>
      <c r="C9" s="141"/>
      <c r="D9" s="141"/>
      <c r="E9" s="141">
        <f>'Egr.FODES 75%'!L17</f>
        <v>163576.54999999999</v>
      </c>
      <c r="F9" s="141"/>
      <c r="G9" s="141"/>
      <c r="H9" s="141"/>
      <c r="I9" s="141"/>
      <c r="J9" s="141"/>
      <c r="K9" s="114">
        <f t="shared" si="0"/>
        <v>163576.54999999999</v>
      </c>
    </row>
    <row r="10" spans="2:11" ht="13.5" thickBot="1" x14ac:dyDescent="0.25">
      <c r="B10" s="115" t="s">
        <v>251</v>
      </c>
      <c r="C10" s="116">
        <f t="shared" ref="C10:J10" si="1">SUM(C3:C8)</f>
        <v>1215116.3754999998</v>
      </c>
      <c r="D10" s="116">
        <f t="shared" si="1"/>
        <v>569643.44999999995</v>
      </c>
      <c r="E10" s="116">
        <f>SUM(E3:E8)</f>
        <v>2273704.17</v>
      </c>
      <c r="F10" s="116">
        <f t="shared" si="1"/>
        <v>243253.51277936145</v>
      </c>
      <c r="G10" s="116" t="e">
        <f t="shared" si="1"/>
        <v>#REF!</v>
      </c>
      <c r="H10" s="116">
        <f t="shared" si="1"/>
        <v>0</v>
      </c>
      <c r="I10" s="116" t="e">
        <f t="shared" si="1"/>
        <v>#REF!</v>
      </c>
      <c r="J10" s="116">
        <f t="shared" si="1"/>
        <v>0</v>
      </c>
      <c r="K10" s="117" t="e">
        <f t="shared" si="0"/>
        <v>#REF!</v>
      </c>
    </row>
    <row r="11" spans="2:11" x14ac:dyDescent="0.2">
      <c r="C11" s="90"/>
      <c r="D11" s="90"/>
      <c r="E11" s="83"/>
      <c r="F11" s="83"/>
      <c r="G11" s="83"/>
      <c r="H11" s="83"/>
      <c r="I11" s="83"/>
      <c r="J11" s="83"/>
      <c r="K11" s="83"/>
    </row>
    <row r="12" spans="2:11" x14ac:dyDescent="0.2">
      <c r="C12" s="83"/>
      <c r="D12" s="83"/>
      <c r="E12" s="642">
        <f>SUM(E10:F10)</f>
        <v>2516957.6827793615</v>
      </c>
      <c r="F12" s="642"/>
      <c r="G12" s="83"/>
      <c r="H12" s="642" t="e">
        <f>SUM(H10:I10)</f>
        <v>#REF!</v>
      </c>
      <c r="I12" s="642"/>
      <c r="J12" s="83"/>
      <c r="K12" s="83"/>
    </row>
    <row r="13" spans="2:11" x14ac:dyDescent="0.2">
      <c r="C13" s="83"/>
      <c r="D13" s="83"/>
      <c r="E13" s="83"/>
      <c r="F13" s="83"/>
      <c r="G13" s="83"/>
      <c r="H13" s="83"/>
      <c r="I13" s="83"/>
      <c r="J13" s="83"/>
      <c r="K13" s="83"/>
    </row>
    <row r="14" spans="2:11" x14ac:dyDescent="0.2">
      <c r="C14" s="83"/>
      <c r="D14" s="83"/>
      <c r="E14" s="83"/>
      <c r="F14" s="83"/>
      <c r="G14" s="83"/>
      <c r="H14" s="83"/>
      <c r="I14" s="83"/>
      <c r="J14" s="83"/>
      <c r="K14" s="83"/>
    </row>
    <row r="15" spans="2:11" x14ac:dyDescent="0.2">
      <c r="C15" s="83"/>
      <c r="D15" s="83"/>
      <c r="E15" s="83"/>
      <c r="F15" s="83"/>
      <c r="G15" s="83"/>
      <c r="H15" s="83"/>
      <c r="I15" s="83"/>
      <c r="J15" s="83"/>
      <c r="K15" s="83"/>
    </row>
    <row r="16" spans="2:11" x14ac:dyDescent="0.2">
      <c r="C16" s="83"/>
      <c r="D16" s="83"/>
      <c r="E16" s="83"/>
      <c r="F16" s="83"/>
      <c r="G16" s="83"/>
      <c r="H16" s="83"/>
      <c r="I16" s="83"/>
      <c r="J16" s="83"/>
      <c r="K16" s="83"/>
    </row>
    <row r="17" spans="3:11" x14ac:dyDescent="0.2">
      <c r="C17" s="83"/>
      <c r="D17" s="83"/>
      <c r="E17" s="83"/>
      <c r="F17" s="83"/>
      <c r="G17" s="83"/>
      <c r="H17" s="83"/>
      <c r="I17" s="83"/>
      <c r="J17" s="83"/>
      <c r="K17" s="83"/>
    </row>
    <row r="18" spans="3:11" x14ac:dyDescent="0.2">
      <c r="C18" s="83"/>
      <c r="D18" s="83"/>
      <c r="E18" s="83"/>
      <c r="F18" s="83"/>
      <c r="G18" s="83"/>
      <c r="H18" s="83"/>
      <c r="I18" s="83"/>
      <c r="J18" s="83"/>
      <c r="K18" s="83"/>
    </row>
  </sheetData>
  <mergeCells count="2">
    <mergeCell ref="H12:I12"/>
    <mergeCell ref="E12:F12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J50"/>
  <sheetViews>
    <sheetView zoomScaleNormal="100" workbookViewId="0">
      <selection activeCell="K39" sqref="K39"/>
    </sheetView>
  </sheetViews>
  <sheetFormatPr baseColWidth="10" defaultColWidth="11.42578125" defaultRowHeight="12.75" x14ac:dyDescent="0.2"/>
  <cols>
    <col min="1" max="1" width="7.28515625" customWidth="1"/>
    <col min="2" max="2" width="16.7109375" customWidth="1"/>
    <col min="3" max="3" width="12.7109375" customWidth="1"/>
    <col min="4" max="4" width="12.85546875" customWidth="1"/>
    <col min="5" max="5" width="12" style="188" customWidth="1"/>
    <col min="6" max="6" width="10.140625" customWidth="1"/>
    <col min="7" max="7" width="13" customWidth="1"/>
    <col min="8" max="8" width="14.42578125" bestFit="1" customWidth="1"/>
    <col min="9" max="9" width="12" customWidth="1"/>
    <col min="10" max="10" width="19.42578125" customWidth="1"/>
  </cols>
  <sheetData>
    <row r="1" spans="1:10" ht="20.25" x14ac:dyDescent="0.2">
      <c r="A1" s="647" t="s">
        <v>388</v>
      </c>
      <c r="B1" s="647"/>
      <c r="C1" s="647"/>
      <c r="D1" s="647"/>
      <c r="E1" s="647"/>
      <c r="F1" s="647"/>
      <c r="G1" s="647"/>
    </row>
    <row r="2" spans="1:10" ht="18" x14ac:dyDescent="0.2">
      <c r="A2" s="648" t="s">
        <v>387</v>
      </c>
      <c r="B2" s="648"/>
      <c r="C2" s="648"/>
      <c r="D2" s="648"/>
      <c r="E2" s="648"/>
      <c r="F2" s="648"/>
      <c r="G2" s="648"/>
    </row>
    <row r="3" spans="1:10" ht="15.75" x14ac:dyDescent="0.2">
      <c r="A3" s="649" t="s">
        <v>329</v>
      </c>
      <c r="B3" s="649"/>
      <c r="C3" s="649"/>
      <c r="D3" s="649"/>
      <c r="E3" s="649"/>
      <c r="F3" s="649"/>
      <c r="G3" s="649"/>
    </row>
    <row r="4" spans="1:10" ht="16.5" customHeight="1" thickBot="1" x14ac:dyDescent="0.25">
      <c r="A4" s="650" t="s">
        <v>513</v>
      </c>
      <c r="B4" s="650"/>
      <c r="C4" s="650"/>
      <c r="D4" s="650"/>
      <c r="E4" s="650"/>
      <c r="F4" s="650"/>
      <c r="G4" s="650"/>
    </row>
    <row r="5" spans="1:10" ht="28.5" customHeight="1" thickBot="1" x14ac:dyDescent="0.25">
      <c r="A5" s="653" t="s">
        <v>327</v>
      </c>
      <c r="B5" s="655" t="s">
        <v>109</v>
      </c>
      <c r="C5" s="657" t="s">
        <v>495</v>
      </c>
      <c r="D5" s="658"/>
      <c r="E5" s="659"/>
      <c r="F5" s="660" t="s">
        <v>496</v>
      </c>
      <c r="G5" s="661"/>
    </row>
    <row r="6" spans="1:10" ht="19.5" customHeight="1" thickBot="1" x14ac:dyDescent="0.25">
      <c r="A6" s="654"/>
      <c r="B6" s="656"/>
      <c r="C6" s="507">
        <v>2018</v>
      </c>
      <c r="D6" s="508">
        <v>2019</v>
      </c>
      <c r="E6" s="507">
        <v>2020</v>
      </c>
      <c r="F6" s="509" t="s">
        <v>543</v>
      </c>
      <c r="G6" s="510">
        <v>2021</v>
      </c>
    </row>
    <row r="7" spans="1:10" s="118" customFormat="1" ht="15.95" customHeight="1" x14ac:dyDescent="0.2">
      <c r="A7" s="495" t="s">
        <v>17</v>
      </c>
      <c r="B7" s="496" t="s">
        <v>18</v>
      </c>
      <c r="C7" s="497">
        <v>33878.15</v>
      </c>
      <c r="D7" s="498">
        <f>957.1+1441.23+959.29+1071.21+1007.91+665.69+1155.13+1192.12+1357.77+1486.27+1642.13+3664.31</f>
        <v>16600.160000000003</v>
      </c>
      <c r="E7" s="499">
        <v>17429.96</v>
      </c>
      <c r="F7" s="500">
        <f>D7*3%</f>
        <v>498.0048000000001</v>
      </c>
      <c r="G7" s="501">
        <f t="shared" ref="G7:G13" si="0">SUM(D7+F7)</f>
        <v>17098.164800000002</v>
      </c>
      <c r="H7" s="215">
        <v>17430.169999999998</v>
      </c>
      <c r="I7" s="216"/>
      <c r="J7" s="217"/>
    </row>
    <row r="8" spans="1:10" s="118" customFormat="1" ht="15.95" customHeight="1" x14ac:dyDescent="0.2">
      <c r="A8" s="495" t="s">
        <v>19</v>
      </c>
      <c r="B8" s="496" t="s">
        <v>20</v>
      </c>
      <c r="C8" s="497">
        <f>265334.24-9128.86</f>
        <v>256205.38</v>
      </c>
      <c r="D8" s="502">
        <f>(17263.78+21613.91+22954.78+17420.14+29349.59+29365.22+112211.56+14307.12+20512.96+5976.92+23263.7+17689.24)-11171.9</f>
        <v>320757.01999999996</v>
      </c>
      <c r="E8" s="499">
        <v>274811.40000000002</v>
      </c>
      <c r="F8" s="500">
        <f>D8*3%</f>
        <v>9622.7105999999985</v>
      </c>
      <c r="G8" s="501">
        <f t="shared" si="0"/>
        <v>330379.73059999995</v>
      </c>
      <c r="H8" s="215">
        <v>336794.87</v>
      </c>
      <c r="I8" s="216"/>
      <c r="J8" s="217"/>
    </row>
    <row r="9" spans="1:10" s="118" customFormat="1" ht="15.95" customHeight="1" x14ac:dyDescent="0.2">
      <c r="A9" s="495">
        <v>11803</v>
      </c>
      <c r="B9" s="496" t="s">
        <v>389</v>
      </c>
      <c r="C9" s="497">
        <v>5155.66</v>
      </c>
      <c r="D9" s="502">
        <v>6151.9</v>
      </c>
      <c r="E9" s="499"/>
      <c r="F9" s="500">
        <f>D9*3%</f>
        <v>184.55699999999999</v>
      </c>
      <c r="G9" s="501">
        <f t="shared" si="0"/>
        <v>6336.4569999999994</v>
      </c>
      <c r="H9" s="215">
        <v>6459.5</v>
      </c>
      <c r="I9" s="218">
        <v>11</v>
      </c>
      <c r="J9" s="219">
        <f>G7+G8+G9+G10+G11+G12</f>
        <v>373708.7920999999</v>
      </c>
    </row>
    <row r="10" spans="1:10" s="118" customFormat="1" ht="15.95" customHeight="1" x14ac:dyDescent="0.2">
      <c r="A10" s="495">
        <v>11804</v>
      </c>
      <c r="B10" s="496" t="s">
        <v>22</v>
      </c>
      <c r="C10" s="497">
        <v>3973.2</v>
      </c>
      <c r="D10" s="502">
        <v>5020</v>
      </c>
      <c r="E10" s="499"/>
      <c r="F10" s="500">
        <f t="shared" ref="F10:F44" si="1">D10*3%</f>
        <v>150.6</v>
      </c>
      <c r="G10" s="501">
        <f t="shared" si="0"/>
        <v>5170.6000000000004</v>
      </c>
      <c r="H10" s="215">
        <v>5271</v>
      </c>
      <c r="I10" s="220">
        <v>12</v>
      </c>
      <c r="J10" s="219">
        <f>G13+G14+G15+G16+G17+G19+G20+G21+G22+G23+G26+G27</f>
        <v>860173.71329999994</v>
      </c>
    </row>
    <row r="11" spans="1:10" s="118" customFormat="1" ht="15.95" customHeight="1" x14ac:dyDescent="0.2">
      <c r="A11" s="495">
        <v>11817</v>
      </c>
      <c r="B11" s="496" t="s">
        <v>131</v>
      </c>
      <c r="C11" s="497">
        <v>13164.56</v>
      </c>
      <c r="D11" s="502">
        <f>1757+203+1998+2325+363+2016.5+847+533.7+124+586</f>
        <v>10753.2</v>
      </c>
      <c r="E11" s="499">
        <v>6275.29</v>
      </c>
      <c r="F11" s="500">
        <f t="shared" si="1"/>
        <v>322.596</v>
      </c>
      <c r="G11" s="501">
        <f t="shared" si="0"/>
        <v>11075.796</v>
      </c>
      <c r="H11" s="215">
        <v>11290.86</v>
      </c>
      <c r="I11" s="220">
        <v>14</v>
      </c>
      <c r="J11" s="221">
        <f>H29</f>
        <v>7374.83</v>
      </c>
    </row>
    <row r="12" spans="1:10" s="118" customFormat="1" ht="15.95" customHeight="1" x14ac:dyDescent="0.2">
      <c r="A12" s="495">
        <v>11818</v>
      </c>
      <c r="B12" s="496" t="s">
        <v>390</v>
      </c>
      <c r="C12" s="497">
        <v>2719.99</v>
      </c>
      <c r="D12" s="502">
        <f>171.5+164.64+514.5+298.41+209.23+393.16+709.9+13.72+490.49+466.48+3.43+106.33</f>
        <v>3541.79</v>
      </c>
      <c r="E12" s="499">
        <v>3063.56</v>
      </c>
      <c r="F12" s="500">
        <f t="shared" si="1"/>
        <v>106.25369999999999</v>
      </c>
      <c r="G12" s="501">
        <f t="shared" si="0"/>
        <v>3648.0437000000002</v>
      </c>
      <c r="H12" s="215">
        <v>3718.88</v>
      </c>
      <c r="I12" s="220">
        <v>15</v>
      </c>
      <c r="J12" s="219">
        <f>G30+G31+G32+G33+G37</f>
        <v>46440.382499999992</v>
      </c>
    </row>
    <row r="13" spans="1:10" s="118" customFormat="1" ht="20.25" customHeight="1" x14ac:dyDescent="0.2">
      <c r="A13" s="495">
        <v>12105</v>
      </c>
      <c r="B13" s="496" t="s">
        <v>391</v>
      </c>
      <c r="C13" s="497">
        <v>14834.18</v>
      </c>
      <c r="D13" s="502">
        <f>1413.5+1254+1109.5+919.11+1153.5+932.75+1172.25+912+1016.25+782.75+2074.51+1418.48</f>
        <v>14158.6</v>
      </c>
      <c r="E13" s="499">
        <v>10596.75</v>
      </c>
      <c r="F13" s="500">
        <f t="shared" si="1"/>
        <v>424.75799999999998</v>
      </c>
      <c r="G13" s="501">
        <f t="shared" si="0"/>
        <v>14583.358</v>
      </c>
      <c r="H13" s="215">
        <v>14866.53</v>
      </c>
      <c r="I13" s="220">
        <v>41</v>
      </c>
      <c r="J13" s="222">
        <f>G44</f>
        <v>118800.8695</v>
      </c>
    </row>
    <row r="14" spans="1:10" s="118" customFormat="1" ht="19.5" customHeight="1" x14ac:dyDescent="0.2">
      <c r="A14" s="495">
        <v>12106</v>
      </c>
      <c r="B14" s="496" t="s">
        <v>260</v>
      </c>
      <c r="C14" s="497">
        <v>445.58</v>
      </c>
      <c r="D14" s="502">
        <f>51+37+13.71+18.5+38.25+18+70.5+38+26.25+34+60+36</f>
        <v>441.21000000000004</v>
      </c>
      <c r="E14" s="499">
        <v>302.58999999999997</v>
      </c>
      <c r="F14" s="500">
        <f t="shared" si="1"/>
        <v>13.2363</v>
      </c>
      <c r="G14" s="501">
        <f t="shared" ref="G14:G44" si="2">SUM(D14+F14)</f>
        <v>454.44630000000006</v>
      </c>
      <c r="H14" s="215">
        <v>463.27</v>
      </c>
      <c r="I14" s="223"/>
      <c r="J14" s="217"/>
    </row>
    <row r="15" spans="1:10" s="118" customFormat="1" ht="15.95" customHeight="1" x14ac:dyDescent="0.2">
      <c r="A15" s="495">
        <v>12108</v>
      </c>
      <c r="B15" s="496" t="s">
        <v>25</v>
      </c>
      <c r="C15" s="497">
        <v>164669.43</v>
      </c>
      <c r="D15" s="502">
        <f>10876.54+8841.29+10401.16+9466.67+9521.37+10118.95+14664.83+9115.23+18464.74+5237.39+18115.52+15017.08</f>
        <v>139840.77000000002</v>
      </c>
      <c r="E15" s="499">
        <v>111965.31</v>
      </c>
      <c r="F15" s="500">
        <f t="shared" si="1"/>
        <v>4195.2231000000002</v>
      </c>
      <c r="G15" s="501">
        <f>SUM(D15+F15)</f>
        <v>144035.99310000002</v>
      </c>
      <c r="H15" s="215">
        <v>146832.81</v>
      </c>
      <c r="I15" s="223"/>
      <c r="J15" s="217"/>
    </row>
    <row r="16" spans="1:10" s="118" customFormat="1" ht="15.95" customHeight="1" x14ac:dyDescent="0.2">
      <c r="A16" s="495" t="s">
        <v>23</v>
      </c>
      <c r="B16" s="496" t="s">
        <v>24</v>
      </c>
      <c r="C16" s="497">
        <v>129641.87</v>
      </c>
      <c r="D16" s="502">
        <f>13137.56+12281.64+11750.54+11060.18+14149.54+12172.85+14826.12+9884.35+15840.11+5906.67+14521.89+9630.87</f>
        <v>145162.32</v>
      </c>
      <c r="E16" s="499">
        <v>140942.76</v>
      </c>
      <c r="F16" s="500">
        <f t="shared" si="1"/>
        <v>4354.8696</v>
      </c>
      <c r="G16" s="501">
        <f>SUM(D16+F16)</f>
        <v>149517.18960000001</v>
      </c>
      <c r="H16" s="215">
        <v>152420.44</v>
      </c>
      <c r="I16" s="216"/>
      <c r="J16" s="217"/>
    </row>
    <row r="17" spans="1:10" s="118" customFormat="1" ht="15.95" customHeight="1" x14ac:dyDescent="0.2">
      <c r="A17" s="495" t="s">
        <v>59</v>
      </c>
      <c r="B17" s="496" t="s">
        <v>60</v>
      </c>
      <c r="C17" s="497">
        <v>1577.68</v>
      </c>
      <c r="D17" s="502">
        <f>169.69+55.88+96.94+99.88+242.08+202.64+237.34+133.7+129.86+123+117.48+76.88</f>
        <v>1685.3700000000003</v>
      </c>
      <c r="E17" s="499">
        <v>1272.3699999999999</v>
      </c>
      <c r="F17" s="500">
        <f t="shared" si="1"/>
        <v>50.56110000000001</v>
      </c>
      <c r="G17" s="501">
        <f>SUM(D17+F17)</f>
        <v>1735.9311000000002</v>
      </c>
      <c r="H17" s="215">
        <v>1769.64</v>
      </c>
      <c r="I17" s="216"/>
      <c r="J17" s="217"/>
    </row>
    <row r="18" spans="1:10" s="118" customFormat="1" ht="15.95" customHeight="1" x14ac:dyDescent="0.2">
      <c r="A18" s="495" t="s">
        <v>132</v>
      </c>
      <c r="B18" s="496" t="s">
        <v>133</v>
      </c>
      <c r="C18" s="503"/>
      <c r="D18" s="502"/>
      <c r="E18" s="499"/>
      <c r="F18" s="500">
        <f t="shared" si="1"/>
        <v>0</v>
      </c>
      <c r="G18" s="501">
        <f t="shared" si="2"/>
        <v>0</v>
      </c>
      <c r="H18" s="215"/>
      <c r="I18" s="216"/>
      <c r="J18" s="217"/>
    </row>
    <row r="19" spans="1:10" s="118" customFormat="1" ht="15.95" customHeight="1" x14ac:dyDescent="0.2">
      <c r="A19" s="495" t="s">
        <v>61</v>
      </c>
      <c r="B19" s="496" t="s">
        <v>62</v>
      </c>
      <c r="C19" s="497">
        <v>47750.3</v>
      </c>
      <c r="D19" s="502">
        <f>3365.55+3918.76+4673.09+2738.83+3722.57+3965.17+8475.19+2866.49+8558.94+2134.95+4029.91+3540.87</f>
        <v>51990.32</v>
      </c>
      <c r="E19" s="499">
        <v>40619.86</v>
      </c>
      <c r="F19" s="500">
        <f t="shared" si="1"/>
        <v>1559.7095999999999</v>
      </c>
      <c r="G19" s="501">
        <f>SUM(D19+F19)</f>
        <v>53550.029600000002</v>
      </c>
      <c r="H19" s="215">
        <v>54589.84</v>
      </c>
      <c r="I19" s="216"/>
      <c r="J19" s="217"/>
    </row>
    <row r="20" spans="1:10" s="118" customFormat="1" ht="15.95" customHeight="1" x14ac:dyDescent="0.2">
      <c r="A20" s="495" t="s">
        <v>134</v>
      </c>
      <c r="B20" s="496" t="s">
        <v>135</v>
      </c>
      <c r="C20" s="497">
        <v>8656.6299999999992</v>
      </c>
      <c r="D20" s="502">
        <f>545.2+704.43+429.05+417.75+595.19+376.01+1614.49+333.76+1111.34+165.85+8656.63+2251.17</f>
        <v>17200.870000000003</v>
      </c>
      <c r="E20" s="499">
        <v>6441.95</v>
      </c>
      <c r="F20" s="500">
        <f t="shared" si="1"/>
        <v>516.02610000000004</v>
      </c>
      <c r="G20" s="501">
        <f>SUM(D20+F20)</f>
        <v>17716.896100000002</v>
      </c>
      <c r="H20" s="215">
        <v>18060.91</v>
      </c>
      <c r="I20" s="216"/>
      <c r="J20" s="217"/>
    </row>
    <row r="21" spans="1:10" s="118" customFormat="1" ht="15.95" customHeight="1" x14ac:dyDescent="0.2">
      <c r="A21" s="495" t="s">
        <v>63</v>
      </c>
      <c r="B21" s="496" t="s">
        <v>64</v>
      </c>
      <c r="C21" s="497">
        <v>33902.089999999997</v>
      </c>
      <c r="D21" s="502">
        <f>3592.76+2828.75+3252.32+2387.49+2029.1+3909.23+4241.97+3287.76+5075.76+998.08+4642.57+33902.09</f>
        <v>70147.88</v>
      </c>
      <c r="E21" s="499">
        <v>34571.99</v>
      </c>
      <c r="F21" s="500">
        <f t="shared" si="1"/>
        <v>2104.4364</v>
      </c>
      <c r="G21" s="501">
        <f>SUM(D21+F21)</f>
        <v>72252.316400000011</v>
      </c>
      <c r="H21" s="215">
        <v>73655.27</v>
      </c>
      <c r="I21" s="216"/>
      <c r="J21" s="217"/>
    </row>
    <row r="22" spans="1:10" s="118" customFormat="1" ht="15.95" customHeight="1" x14ac:dyDescent="0.2">
      <c r="A22" s="495" t="s">
        <v>65</v>
      </c>
      <c r="B22" s="496" t="s">
        <v>66</v>
      </c>
      <c r="C22" s="497">
        <v>74016.98</v>
      </c>
      <c r="D22" s="502">
        <f>14106+600+1200+7440+7866+4540.84+6240+7878.24+1200+14720+74016.98</f>
        <v>139808.06</v>
      </c>
      <c r="E22" s="499">
        <v>67215.73</v>
      </c>
      <c r="F22" s="500">
        <f t="shared" si="1"/>
        <v>4194.2417999999998</v>
      </c>
      <c r="G22" s="501">
        <f>SUM(D22+F22)</f>
        <v>144002.30179999999</v>
      </c>
      <c r="H22" s="215">
        <v>146798.46</v>
      </c>
      <c r="I22" s="216"/>
      <c r="J22" s="217"/>
    </row>
    <row r="23" spans="1:10" s="118" customFormat="1" ht="15.95" customHeight="1" x14ac:dyDescent="0.2">
      <c r="A23" s="495" t="s">
        <v>67</v>
      </c>
      <c r="B23" s="496" t="s">
        <v>68</v>
      </c>
      <c r="C23" s="497">
        <v>127.38</v>
      </c>
      <c r="D23" s="502">
        <f>22.72+36.92+21.88+5.68+10.52+2+8.52+11.36+19.04+19.88+127.38</f>
        <v>285.89999999999998</v>
      </c>
      <c r="E23" s="499">
        <v>87.2</v>
      </c>
      <c r="F23" s="500">
        <f t="shared" si="1"/>
        <v>8.5769999999999982</v>
      </c>
      <c r="G23" s="501">
        <f t="shared" si="2"/>
        <v>294.47699999999998</v>
      </c>
      <c r="H23" s="215">
        <v>300.2</v>
      </c>
      <c r="I23" s="216"/>
      <c r="J23" s="217"/>
    </row>
    <row r="24" spans="1:10" s="118" customFormat="1" ht="15.95" customHeight="1" x14ac:dyDescent="0.2">
      <c r="A24" s="495">
        <v>12199</v>
      </c>
      <c r="B24" s="496" t="s">
        <v>392</v>
      </c>
      <c r="C24" s="503">
        <v>0</v>
      </c>
      <c r="D24" s="502"/>
      <c r="E24" s="499"/>
      <c r="F24" s="500">
        <f t="shared" si="1"/>
        <v>0</v>
      </c>
      <c r="G24" s="501">
        <f t="shared" si="2"/>
        <v>0</v>
      </c>
      <c r="H24" s="215"/>
      <c r="I24" s="216"/>
      <c r="J24" s="217"/>
    </row>
    <row r="25" spans="1:10" s="118" customFormat="1" ht="15.95" customHeight="1" x14ac:dyDescent="0.2">
      <c r="A25" s="495">
        <v>12123</v>
      </c>
      <c r="B25" s="496" t="s">
        <v>328</v>
      </c>
      <c r="C25" s="503"/>
      <c r="D25" s="502"/>
      <c r="E25" s="499"/>
      <c r="F25" s="500">
        <f t="shared" si="1"/>
        <v>0</v>
      </c>
      <c r="G25" s="501">
        <f t="shared" si="2"/>
        <v>0</v>
      </c>
      <c r="H25" s="215"/>
      <c r="I25" s="216"/>
      <c r="J25" s="217"/>
    </row>
    <row r="26" spans="1:10" s="118" customFormat="1" ht="23.25" customHeight="1" x14ac:dyDescent="0.2">
      <c r="A26" s="495" t="s">
        <v>116</v>
      </c>
      <c r="B26" s="496" t="s">
        <v>136</v>
      </c>
      <c r="C26" s="497">
        <v>203270.59</v>
      </c>
      <c r="D26" s="502">
        <f>8310.2+16087.83+42662.27+3657.45+2261.43+5312.55+13087.6+8203.92+4829.85+18449.51+6516.18+125000</f>
        <v>254378.78999999998</v>
      </c>
      <c r="E26" s="499">
        <v>64107.65</v>
      </c>
      <c r="F26" s="500">
        <f t="shared" si="1"/>
        <v>7631.363699999999</v>
      </c>
      <c r="G26" s="501">
        <f>SUM(D26+F26)</f>
        <v>262010.15369999997</v>
      </c>
      <c r="H26" s="215">
        <v>267097.73</v>
      </c>
      <c r="I26" s="216"/>
      <c r="J26" s="217"/>
    </row>
    <row r="27" spans="1:10" s="118" customFormat="1" ht="15.95" customHeight="1" x14ac:dyDescent="0.2">
      <c r="A27" s="495" t="s">
        <v>26</v>
      </c>
      <c r="B27" s="496" t="s">
        <v>27</v>
      </c>
      <c r="C27" s="497">
        <v>33.14</v>
      </c>
      <c r="D27" s="502">
        <f>0.48+0.78+0.42+0.12+0.18+0.18+0.24+16.36+0.42+0.42+0.42</f>
        <v>20.020000000000003</v>
      </c>
      <c r="E27" s="499">
        <v>1.8</v>
      </c>
      <c r="F27" s="500">
        <f t="shared" si="1"/>
        <v>0.60060000000000002</v>
      </c>
      <c r="G27" s="501">
        <f t="shared" si="2"/>
        <v>20.620600000000003</v>
      </c>
      <c r="H27" s="215">
        <v>21.02</v>
      </c>
      <c r="I27" s="216"/>
      <c r="J27" s="217"/>
    </row>
    <row r="28" spans="1:10" s="118" customFormat="1" ht="15.95" customHeight="1" x14ac:dyDescent="0.2">
      <c r="A28" s="495" t="s">
        <v>138</v>
      </c>
      <c r="B28" s="496" t="s">
        <v>139</v>
      </c>
      <c r="C28" s="503"/>
      <c r="D28" s="502"/>
      <c r="E28" s="499"/>
      <c r="F28" s="500">
        <f t="shared" si="1"/>
        <v>0</v>
      </c>
      <c r="G28" s="501">
        <f t="shared" si="2"/>
        <v>0</v>
      </c>
      <c r="H28" s="215"/>
      <c r="I28" s="216"/>
      <c r="J28" s="217"/>
    </row>
    <row r="29" spans="1:10" s="118" customFormat="1" ht="15.95" customHeight="1" x14ac:dyDescent="0.2">
      <c r="A29" s="495" t="s">
        <v>28</v>
      </c>
      <c r="B29" s="496" t="s">
        <v>29</v>
      </c>
      <c r="C29" s="497">
        <v>3369.67</v>
      </c>
      <c r="D29" s="502">
        <f>232.88+325.44+288.84+242.22+308.33+318.01+460.33+348.44+454.66+188.77+486.06+3369.67</f>
        <v>7023.65</v>
      </c>
      <c r="E29" s="499">
        <v>3852.77</v>
      </c>
      <c r="F29" s="500">
        <f t="shared" si="1"/>
        <v>210.70949999999999</v>
      </c>
      <c r="G29" s="501">
        <f>SUM(D29+F29)</f>
        <v>7234.3594999999996</v>
      </c>
      <c r="H29" s="215">
        <v>7374.83</v>
      </c>
      <c r="I29" s="216"/>
      <c r="J29" s="217"/>
    </row>
    <row r="30" spans="1:10" s="118" customFormat="1" ht="15.95" customHeight="1" x14ac:dyDescent="0.2">
      <c r="A30" s="495" t="s">
        <v>30</v>
      </c>
      <c r="B30" s="496" t="s">
        <v>31</v>
      </c>
      <c r="C30" s="497">
        <v>10539.95</v>
      </c>
      <c r="D30" s="502">
        <f>1031.32+867.22+892.84+1052.46+1384.55+1130.55+1550.94+139.58+284.38+646.36+156.34+10539.95</f>
        <v>19676.490000000002</v>
      </c>
      <c r="E30" s="499">
        <v>10086.11</v>
      </c>
      <c r="F30" s="500">
        <f t="shared" si="1"/>
        <v>590.29470000000003</v>
      </c>
      <c r="G30" s="501">
        <f>SUM(D30+F30)</f>
        <v>20266.7847</v>
      </c>
      <c r="H30" s="215">
        <v>20660.310000000001</v>
      </c>
      <c r="I30" s="216"/>
      <c r="J30" s="217"/>
    </row>
    <row r="31" spans="1:10" s="118" customFormat="1" ht="24" customHeight="1" x14ac:dyDescent="0.2">
      <c r="A31" s="495" t="s">
        <v>33</v>
      </c>
      <c r="B31" s="496" t="s">
        <v>32</v>
      </c>
      <c r="C31" s="497">
        <v>10149.68</v>
      </c>
      <c r="D31" s="502">
        <f>784.22+761.16+772.09+899.27+1245.14+870+1087.34+78.8+190.21+501.33+125.4+10149.68</f>
        <v>17464.64</v>
      </c>
      <c r="E31" s="499">
        <v>7053.98</v>
      </c>
      <c r="F31" s="500">
        <f t="shared" si="1"/>
        <v>523.93919999999991</v>
      </c>
      <c r="G31" s="501">
        <f>SUM(D31+F31)</f>
        <v>17988.5792</v>
      </c>
      <c r="H31" s="215">
        <v>18337.87</v>
      </c>
      <c r="I31" s="216"/>
      <c r="J31" s="217"/>
    </row>
    <row r="32" spans="1:10" s="118" customFormat="1" ht="29.25" customHeight="1" x14ac:dyDescent="0.2">
      <c r="A32" s="495">
        <v>15310</v>
      </c>
      <c r="B32" s="496" t="s">
        <v>393</v>
      </c>
      <c r="C32" s="497">
        <v>22287.15</v>
      </c>
      <c r="D32" s="502">
        <f>114.29+262.21+114.29+346.08+500</f>
        <v>1336.87</v>
      </c>
      <c r="E32" s="499">
        <v>1085.71</v>
      </c>
      <c r="F32" s="500">
        <f t="shared" si="1"/>
        <v>40.106099999999998</v>
      </c>
      <c r="G32" s="501">
        <f>SUM(D32+F32)</f>
        <v>1376.9760999999999</v>
      </c>
      <c r="H32" s="215">
        <v>1403.71</v>
      </c>
      <c r="I32" s="216"/>
      <c r="J32" s="217"/>
    </row>
    <row r="33" spans="1:10" s="118" customFormat="1" ht="15.95" customHeight="1" x14ac:dyDescent="0.2">
      <c r="A33" s="495">
        <v>15312</v>
      </c>
      <c r="B33" s="496" t="s">
        <v>330</v>
      </c>
      <c r="C33" s="497">
        <v>215.55</v>
      </c>
      <c r="D33" s="502">
        <f>22.86+31.43+47.64+5.71+34.47+17.13+17.13+44.81+27.23+55.8+22.84+215.55</f>
        <v>542.59999999999991</v>
      </c>
      <c r="E33" s="499">
        <v>336.44</v>
      </c>
      <c r="F33" s="500">
        <f t="shared" si="1"/>
        <v>16.277999999999995</v>
      </c>
      <c r="G33" s="501">
        <f>SUM(D33+F33)</f>
        <v>558.87799999999993</v>
      </c>
      <c r="H33" s="215">
        <v>569.73</v>
      </c>
      <c r="I33" s="216"/>
      <c r="J33" s="217"/>
    </row>
    <row r="34" spans="1:10" s="118" customFormat="1" ht="15.95" customHeight="1" x14ac:dyDescent="0.2">
      <c r="A34" s="495" t="s">
        <v>105</v>
      </c>
      <c r="B34" s="496" t="s">
        <v>106</v>
      </c>
      <c r="C34" s="503"/>
      <c r="D34" s="502"/>
      <c r="E34" s="499"/>
      <c r="F34" s="500">
        <f t="shared" si="1"/>
        <v>0</v>
      </c>
      <c r="G34" s="501">
        <f t="shared" si="2"/>
        <v>0</v>
      </c>
      <c r="H34" s="215"/>
      <c r="I34" s="216"/>
      <c r="J34" s="217"/>
    </row>
    <row r="35" spans="1:10" s="118" customFormat="1" ht="18.75" customHeight="1" x14ac:dyDescent="0.2">
      <c r="A35" s="495">
        <v>15399</v>
      </c>
      <c r="B35" s="496" t="s">
        <v>313</v>
      </c>
      <c r="C35" s="503"/>
      <c r="D35" s="502"/>
      <c r="E35" s="499"/>
      <c r="F35" s="500">
        <f t="shared" si="1"/>
        <v>0</v>
      </c>
      <c r="G35" s="501">
        <f t="shared" si="2"/>
        <v>0</v>
      </c>
      <c r="H35" s="215"/>
      <c r="I35" s="216"/>
      <c r="J35" s="217"/>
    </row>
    <row r="36" spans="1:10" s="118" customFormat="1" ht="25.5" customHeight="1" x14ac:dyDescent="0.2">
      <c r="A36" s="495" t="s">
        <v>69</v>
      </c>
      <c r="B36" s="496" t="s">
        <v>70</v>
      </c>
      <c r="C36" s="503"/>
      <c r="D36" s="502"/>
      <c r="E36" s="499"/>
      <c r="F36" s="500">
        <f t="shared" si="1"/>
        <v>0</v>
      </c>
      <c r="G36" s="501">
        <f t="shared" si="2"/>
        <v>0</v>
      </c>
      <c r="H36" s="215"/>
      <c r="I36" s="216"/>
      <c r="J36" s="217"/>
    </row>
    <row r="37" spans="1:10" s="118" customFormat="1" ht="21" customHeight="1" x14ac:dyDescent="0.2">
      <c r="A37" s="495" t="s">
        <v>71</v>
      </c>
      <c r="B37" s="496" t="s">
        <v>72</v>
      </c>
      <c r="C37" s="497">
        <v>5887.95</v>
      </c>
      <c r="D37" s="502">
        <f>53.91+80.96+99.41+590.87+670.3+110.77+167.32+277.84+106.96+53.08+486.06+3369.67</f>
        <v>6067.15</v>
      </c>
      <c r="E37" s="499">
        <v>1962.95</v>
      </c>
      <c r="F37" s="500">
        <f t="shared" si="1"/>
        <v>182.01449999999997</v>
      </c>
      <c r="G37" s="501">
        <f>SUM(D37+F37)</f>
        <v>6249.1644999999999</v>
      </c>
      <c r="H37" s="215">
        <v>6370.51</v>
      </c>
      <c r="I37" s="216"/>
      <c r="J37" s="217"/>
    </row>
    <row r="38" spans="1:10" s="118" customFormat="1" ht="29.25" customHeight="1" x14ac:dyDescent="0.2">
      <c r="A38" s="495" t="s">
        <v>168</v>
      </c>
      <c r="B38" s="496" t="s">
        <v>140</v>
      </c>
      <c r="C38" s="503"/>
      <c r="D38" s="502"/>
      <c r="E38" s="499"/>
      <c r="F38" s="500">
        <f t="shared" si="1"/>
        <v>0</v>
      </c>
      <c r="G38" s="501">
        <f t="shared" si="2"/>
        <v>0</v>
      </c>
      <c r="H38" s="179"/>
      <c r="I38" s="144"/>
    </row>
    <row r="39" spans="1:10" s="118" customFormat="1" ht="30" customHeight="1" x14ac:dyDescent="0.2">
      <c r="A39" s="495" t="s">
        <v>256</v>
      </c>
      <c r="B39" s="496" t="s">
        <v>257</v>
      </c>
      <c r="C39" s="503"/>
      <c r="D39" s="502"/>
      <c r="E39" s="499"/>
      <c r="F39" s="500">
        <f t="shared" si="1"/>
        <v>0</v>
      </c>
      <c r="G39" s="501">
        <f t="shared" si="2"/>
        <v>0</v>
      </c>
      <c r="H39" s="179"/>
      <c r="I39" s="144"/>
    </row>
    <row r="40" spans="1:10" s="118" customFormat="1" ht="15.95" customHeight="1" x14ac:dyDescent="0.2">
      <c r="A40" s="495" t="s">
        <v>252</v>
      </c>
      <c r="B40" s="496" t="s">
        <v>253</v>
      </c>
      <c r="C40" s="503"/>
      <c r="D40" s="502"/>
      <c r="E40" s="499"/>
      <c r="F40" s="500">
        <f t="shared" si="1"/>
        <v>0</v>
      </c>
      <c r="G40" s="501">
        <f t="shared" si="2"/>
        <v>0</v>
      </c>
      <c r="H40" s="179"/>
      <c r="I40" s="144"/>
    </row>
    <row r="41" spans="1:10" s="118" customFormat="1" ht="15.95" customHeight="1" x14ac:dyDescent="0.2">
      <c r="A41" s="495" t="s">
        <v>90</v>
      </c>
      <c r="B41" s="496" t="s">
        <v>258</v>
      </c>
      <c r="C41" s="503"/>
      <c r="D41" s="502"/>
      <c r="E41" s="499"/>
      <c r="F41" s="500">
        <f t="shared" si="1"/>
        <v>0</v>
      </c>
      <c r="G41" s="501">
        <f t="shared" si="2"/>
        <v>0</v>
      </c>
      <c r="H41" s="179"/>
      <c r="I41" s="144"/>
    </row>
    <row r="42" spans="1:10" s="118" customFormat="1" ht="21.75" customHeight="1" x14ac:dyDescent="0.2">
      <c r="A42" s="495" t="s">
        <v>254</v>
      </c>
      <c r="B42" s="496" t="s">
        <v>461</v>
      </c>
      <c r="C42" s="503"/>
      <c r="D42" s="502"/>
      <c r="E42" s="499"/>
      <c r="F42" s="500">
        <f t="shared" si="1"/>
        <v>0</v>
      </c>
      <c r="G42" s="501">
        <f t="shared" si="2"/>
        <v>0</v>
      </c>
      <c r="H42" s="179"/>
      <c r="I42" s="144"/>
    </row>
    <row r="43" spans="1:10" s="118" customFormat="1" ht="17.25" customHeight="1" x14ac:dyDescent="0.2">
      <c r="A43" s="495"/>
      <c r="B43" s="496" t="s">
        <v>462</v>
      </c>
      <c r="C43" s="504"/>
      <c r="D43" s="502"/>
      <c r="E43" s="499"/>
      <c r="F43" s="500">
        <f t="shared" si="1"/>
        <v>0</v>
      </c>
      <c r="G43" s="501">
        <f t="shared" si="2"/>
        <v>0</v>
      </c>
      <c r="H43" s="179"/>
      <c r="I43" s="144"/>
    </row>
    <row r="44" spans="1:10" s="118" customFormat="1" ht="15.95" customHeight="1" thickBot="1" x14ac:dyDescent="0.25">
      <c r="A44" s="495">
        <v>41201</v>
      </c>
      <c r="B44" s="505" t="s">
        <v>498</v>
      </c>
      <c r="C44" s="499">
        <v>22629.5</v>
      </c>
      <c r="D44" s="506">
        <f>13372.67+6101.6+6938.17+10348.62+13100.13+11809.47+12422.41+5141.32+12423.55+4459.29+9611.71+9611.71</f>
        <v>115340.65</v>
      </c>
      <c r="E44" s="499">
        <v>115889.49</v>
      </c>
      <c r="F44" s="500">
        <f t="shared" si="1"/>
        <v>3460.2194999999997</v>
      </c>
      <c r="G44" s="501">
        <f t="shared" si="2"/>
        <v>118800.8695</v>
      </c>
      <c r="H44" s="215">
        <v>121107.68</v>
      </c>
      <c r="I44" s="144"/>
    </row>
    <row r="45" spans="1:10" ht="21.75" customHeight="1" thickBot="1" x14ac:dyDescent="0.3">
      <c r="A45" s="651" t="s">
        <v>251</v>
      </c>
      <c r="B45" s="652"/>
      <c r="C45" s="493">
        <f>SUM(C7:C44)</f>
        <v>1069102.2400000002</v>
      </c>
      <c r="D45" s="494">
        <f>SUM(D7:D44)</f>
        <v>1365396.2299999997</v>
      </c>
      <c r="E45" s="494">
        <f>SUM(E7:E44)</f>
        <v>919973.61999999988</v>
      </c>
      <c r="F45" s="494">
        <f>SUM(F7:F44)</f>
        <v>40961.886899999983</v>
      </c>
      <c r="G45" s="494">
        <f>SUM(G7:G44)</f>
        <v>1406358.1169000003</v>
      </c>
      <c r="H45" s="180"/>
      <c r="I45" s="143"/>
    </row>
    <row r="46" spans="1:10" x14ac:dyDescent="0.2">
      <c r="A46" s="46"/>
      <c r="B46" s="46"/>
      <c r="C46" s="46"/>
      <c r="D46" s="645"/>
      <c r="E46" s="645"/>
      <c r="F46" s="646"/>
      <c r="G46" s="46"/>
    </row>
    <row r="47" spans="1:10" x14ac:dyDescent="0.2">
      <c r="A47" s="46"/>
      <c r="B47" s="46"/>
      <c r="C47" s="46"/>
      <c r="D47" s="46"/>
      <c r="E47" s="46"/>
      <c r="F47" s="148"/>
      <c r="G47" s="46"/>
    </row>
    <row r="48" spans="1:10" ht="40.5" customHeight="1" x14ac:dyDescent="0.2">
      <c r="B48" s="643" t="s">
        <v>571</v>
      </c>
      <c r="C48" s="644"/>
      <c r="D48" s="644"/>
      <c r="E48" s="644"/>
      <c r="F48" s="644"/>
      <c r="G48" s="644"/>
    </row>
    <row r="49" spans="4:7" x14ac:dyDescent="0.2">
      <c r="D49" t="s">
        <v>497</v>
      </c>
    </row>
    <row r="50" spans="4:7" x14ac:dyDescent="0.2">
      <c r="G50" s="83"/>
    </row>
  </sheetData>
  <sheetProtection algorithmName="SHA-512" hashValue="1GDYtJqoEXp3/Q851nBtgnCX5/7mwXyMfm54Y160Xm+Bnp+wRuMPbY37ez7eDq6WhsnX1gBtzHQFime8sF67KA==" saltValue="wuWHjKkjB1M4XO/yexzFQg==" spinCount="100000" sheet="1" formatCells="0" formatColumns="0" formatRows="0" insertColumns="0" insertRows="0" insertHyperlinks="0" deleteColumns="0" deleteRows="0" sort="0" autoFilter="0" pivotTables="0"/>
  <mergeCells count="11">
    <mergeCell ref="B48:G48"/>
    <mergeCell ref="D46:F46"/>
    <mergeCell ref="A1:G1"/>
    <mergeCell ref="A2:G2"/>
    <mergeCell ref="A3:G3"/>
    <mergeCell ref="A4:G4"/>
    <mergeCell ref="A45:B45"/>
    <mergeCell ref="A5:A6"/>
    <mergeCell ref="B5:B6"/>
    <mergeCell ref="C5:E5"/>
    <mergeCell ref="F5:G5"/>
  </mergeCells>
  <printOptions horizontalCentered="1"/>
  <pageMargins left="0.23622047244094491" right="7.874015748031496E-2" top="0.62992125984251968" bottom="0.74803149606299213" header="0.31496062992125984" footer="0.31496062992125984"/>
  <pageSetup scale="95" orientation="portrait" horizontalDpi="4294967293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14"/>
  <sheetViews>
    <sheetView zoomScale="120" zoomScaleNormal="120" workbookViewId="0">
      <selection activeCell="M10" sqref="M10"/>
    </sheetView>
  </sheetViews>
  <sheetFormatPr baseColWidth="10" defaultColWidth="11.42578125" defaultRowHeight="12.75" x14ac:dyDescent="0.2"/>
  <cols>
    <col min="1" max="1" width="12.5703125" style="46" customWidth="1"/>
    <col min="2" max="2" width="5.140625" style="46" customWidth="1"/>
    <col min="3" max="3" width="14.7109375" style="47" customWidth="1"/>
    <col min="4" max="4" width="14.42578125" style="47" customWidth="1"/>
    <col min="5" max="5" width="14.5703125" style="47" customWidth="1"/>
    <col min="6" max="6" width="11.140625" style="47" customWidth="1"/>
    <col min="7" max="7" width="14.140625" style="47" customWidth="1"/>
    <col min="8" max="8" width="16.28515625" style="47" customWidth="1"/>
    <col min="9" max="10" width="11.42578125" style="46"/>
    <col min="11" max="11" width="15" style="46" customWidth="1"/>
    <col min="12" max="12" width="14.140625" style="46" customWidth="1"/>
    <col min="13" max="16384" width="11.42578125" style="46"/>
  </cols>
  <sheetData>
    <row r="1" spans="1:16" ht="18" x14ac:dyDescent="0.25">
      <c r="A1" s="668" t="s">
        <v>387</v>
      </c>
      <c r="B1" s="668"/>
      <c r="C1" s="668"/>
      <c r="D1" s="668"/>
      <c r="E1" s="668"/>
      <c r="F1" s="668"/>
      <c r="G1" s="668"/>
      <c r="H1" s="668"/>
    </row>
    <row r="2" spans="1:16" ht="18" x14ac:dyDescent="0.25">
      <c r="A2" s="668" t="s">
        <v>400</v>
      </c>
      <c r="B2" s="668"/>
      <c r="C2" s="668"/>
      <c r="D2" s="668"/>
      <c r="E2" s="668"/>
      <c r="F2" s="668"/>
      <c r="G2" s="668"/>
      <c r="H2" s="668"/>
    </row>
    <row r="3" spans="1:16" ht="18" x14ac:dyDescent="0.25">
      <c r="A3" s="668" t="s">
        <v>514</v>
      </c>
      <c r="B3" s="668"/>
      <c r="C3" s="668"/>
      <c r="D3" s="668"/>
      <c r="E3" s="668"/>
      <c r="F3" s="668"/>
      <c r="G3" s="668"/>
      <c r="H3" s="668"/>
    </row>
    <row r="5" spans="1:16" ht="15.75" x14ac:dyDescent="0.25">
      <c r="A5" s="633" t="s">
        <v>181</v>
      </c>
      <c r="B5" s="633"/>
      <c r="C5" s="633"/>
      <c r="D5" s="633"/>
      <c r="E5" s="633"/>
      <c r="F5" s="633"/>
      <c r="G5" s="633"/>
      <c r="H5" s="633"/>
    </row>
    <row r="6" spans="1:16" x14ac:dyDescent="0.2">
      <c r="C6" s="669" t="s">
        <v>401</v>
      </c>
      <c r="D6" s="669"/>
      <c r="E6" s="669"/>
      <c r="J6" s="46" t="s">
        <v>349</v>
      </c>
      <c r="L6" s="46">
        <f>360*100/12.5</f>
        <v>2880</v>
      </c>
      <c r="P6" s="157"/>
    </row>
    <row r="7" spans="1:16" x14ac:dyDescent="0.2">
      <c r="A7" s="69" t="s">
        <v>182</v>
      </c>
      <c r="B7" s="65" t="s">
        <v>183</v>
      </c>
      <c r="C7" s="70">
        <f>L14</f>
        <v>298297.23000000004</v>
      </c>
      <c r="D7" s="47" t="s">
        <v>184</v>
      </c>
    </row>
    <row r="8" spans="1:16" x14ac:dyDescent="0.2">
      <c r="A8" s="70" t="s">
        <v>185</v>
      </c>
      <c r="C8" s="71">
        <v>0.125</v>
      </c>
      <c r="D8" s="47" t="s">
        <v>100</v>
      </c>
    </row>
    <row r="9" spans="1:16" x14ac:dyDescent="0.2">
      <c r="A9" s="70" t="s">
        <v>186</v>
      </c>
      <c r="C9" s="70">
        <v>0</v>
      </c>
      <c r="D9" s="47" t="s">
        <v>187</v>
      </c>
    </row>
    <row r="10" spans="1:16" x14ac:dyDescent="0.2">
      <c r="A10" s="70" t="s">
        <v>188</v>
      </c>
      <c r="B10" s="65" t="s">
        <v>183</v>
      </c>
      <c r="C10" s="70">
        <v>4289.8999999999996</v>
      </c>
      <c r="D10" s="47" t="s">
        <v>187</v>
      </c>
    </row>
    <row r="11" spans="1:16" ht="13.5" thickBot="1" x14ac:dyDescent="0.25">
      <c r="B11" s="47"/>
    </row>
    <row r="12" spans="1:16" x14ac:dyDescent="0.2">
      <c r="A12" s="66"/>
      <c r="B12" s="67"/>
      <c r="C12" s="634" t="s">
        <v>189</v>
      </c>
      <c r="D12" s="635"/>
      <c r="E12" s="634" t="s">
        <v>190</v>
      </c>
      <c r="F12" s="636"/>
      <c r="G12" s="635"/>
      <c r="H12" s="68"/>
      <c r="J12" s="46" t="s">
        <v>528</v>
      </c>
      <c r="L12" s="92">
        <v>299405.46000000002</v>
      </c>
    </row>
    <row r="13" spans="1:16" x14ac:dyDescent="0.2">
      <c r="A13" s="48"/>
      <c r="B13" s="49"/>
      <c r="C13" s="638" t="s">
        <v>191</v>
      </c>
      <c r="D13" s="639"/>
      <c r="E13" s="52" t="s">
        <v>192</v>
      </c>
      <c r="F13" s="52" t="s">
        <v>193</v>
      </c>
      <c r="G13" s="640" t="s">
        <v>348</v>
      </c>
      <c r="H13" s="53" t="s">
        <v>195</v>
      </c>
      <c r="J13" s="46" t="s">
        <v>533</v>
      </c>
      <c r="L13" s="92">
        <v>1108.23</v>
      </c>
    </row>
    <row r="14" spans="1:16" ht="13.5" thickBot="1" x14ac:dyDescent="0.25">
      <c r="A14" s="131" t="s">
        <v>196</v>
      </c>
      <c r="B14" s="132" t="s">
        <v>197</v>
      </c>
      <c r="C14" s="133" t="s">
        <v>204</v>
      </c>
      <c r="D14" s="133" t="s">
        <v>198</v>
      </c>
      <c r="E14" s="134" t="s">
        <v>199</v>
      </c>
      <c r="F14" s="133" t="s">
        <v>200</v>
      </c>
      <c r="G14" s="664"/>
      <c r="H14" s="135" t="s">
        <v>202</v>
      </c>
      <c r="J14" s="46" t="s">
        <v>477</v>
      </c>
      <c r="L14" s="123">
        <f>SUM(L12-L13)</f>
        <v>298297.23000000004</v>
      </c>
      <c r="P14" s="46">
        <v>342727.83</v>
      </c>
    </row>
    <row r="15" spans="1:16" x14ac:dyDescent="0.2">
      <c r="A15" s="136">
        <v>44197</v>
      </c>
      <c r="B15" s="49">
        <v>0</v>
      </c>
      <c r="C15" s="137">
        <v>0</v>
      </c>
      <c r="D15" s="137">
        <v>0</v>
      </c>
      <c r="E15" s="137">
        <v>0</v>
      </c>
      <c r="F15" s="137"/>
      <c r="G15" s="137"/>
      <c r="H15" s="138">
        <f>C7</f>
        <v>298297.23000000004</v>
      </c>
      <c r="L15" s="92"/>
    </row>
    <row r="16" spans="1:16" x14ac:dyDescent="0.2">
      <c r="A16" s="57">
        <v>44227</v>
      </c>
      <c r="B16" s="51">
        <v>31</v>
      </c>
      <c r="C16" s="58">
        <f>SUM(H15*31/2880)</f>
        <v>3210.8382395833337</v>
      </c>
      <c r="D16" s="58">
        <f>SUM(C10-C16)</f>
        <v>1079.0617604166659</v>
      </c>
      <c r="E16" s="60">
        <f>SUM(C16:D16)</f>
        <v>4289.8999999999996</v>
      </c>
      <c r="F16" s="58"/>
      <c r="G16" s="58">
        <f t="shared" ref="G16:G27" si="0">SUM(E16:F16)</f>
        <v>4289.8999999999996</v>
      </c>
      <c r="H16" s="59">
        <f t="shared" ref="H16:H27" si="1">+H15-D16</f>
        <v>297218.16823958338</v>
      </c>
      <c r="L16" s="92"/>
    </row>
    <row r="17" spans="1:12" x14ac:dyDescent="0.2">
      <c r="A17" s="57">
        <v>44255</v>
      </c>
      <c r="B17" s="51">
        <v>29</v>
      </c>
      <c r="C17" s="58">
        <f t="shared" ref="C17:C27" si="2">SUM(H16*31/2880)</f>
        <v>3199.2233386899597</v>
      </c>
      <c r="D17" s="58">
        <f>SUM(C10-C17)</f>
        <v>1090.6766613100399</v>
      </c>
      <c r="E17" s="60">
        <f>SUM(C17:D17)</f>
        <v>4289.8999999999996</v>
      </c>
      <c r="F17" s="58"/>
      <c r="G17" s="58">
        <f t="shared" si="0"/>
        <v>4289.8999999999996</v>
      </c>
      <c r="H17" s="59">
        <f t="shared" si="1"/>
        <v>296127.49157827336</v>
      </c>
      <c r="L17" s="92"/>
    </row>
    <row r="18" spans="1:12" x14ac:dyDescent="0.2">
      <c r="A18" s="57">
        <v>44286</v>
      </c>
      <c r="B18" s="51">
        <v>31</v>
      </c>
      <c r="C18" s="58">
        <f t="shared" si="2"/>
        <v>3187.4834162939146</v>
      </c>
      <c r="D18" s="58">
        <f>SUM(C10-C18)</f>
        <v>1102.416583706085</v>
      </c>
      <c r="E18" s="60">
        <f t="shared" ref="E18:E27" si="3">SUM(C18:D18)</f>
        <v>4289.8999999999996</v>
      </c>
      <c r="F18" s="58"/>
      <c r="G18" s="58">
        <f t="shared" si="0"/>
        <v>4289.8999999999996</v>
      </c>
      <c r="H18" s="59">
        <f t="shared" si="1"/>
        <v>295025.07499456726</v>
      </c>
      <c r="L18" s="92"/>
    </row>
    <row r="19" spans="1:12" x14ac:dyDescent="0.2">
      <c r="A19" s="57">
        <v>44316</v>
      </c>
      <c r="B19" s="51">
        <v>30</v>
      </c>
      <c r="C19" s="58">
        <f t="shared" si="2"/>
        <v>3175.6171266776337</v>
      </c>
      <c r="D19" s="58">
        <f>SUM(C10-C19)</f>
        <v>1114.282873322366</v>
      </c>
      <c r="E19" s="60">
        <f t="shared" si="3"/>
        <v>4289.8999999999996</v>
      </c>
      <c r="F19" s="58"/>
      <c r="G19" s="58">
        <f t="shared" si="0"/>
        <v>4289.8999999999996</v>
      </c>
      <c r="H19" s="59">
        <f t="shared" si="1"/>
        <v>293910.79212124489</v>
      </c>
      <c r="L19" s="92"/>
    </row>
    <row r="20" spans="1:12" x14ac:dyDescent="0.2">
      <c r="A20" s="57">
        <v>44347</v>
      </c>
      <c r="B20" s="51">
        <v>31</v>
      </c>
      <c r="C20" s="58">
        <f t="shared" si="2"/>
        <v>3163.6231096383999</v>
      </c>
      <c r="D20" s="58">
        <f>SUM(C10-C20)</f>
        <v>1126.2768903615997</v>
      </c>
      <c r="E20" s="60">
        <f t="shared" si="3"/>
        <v>4289.8999999999996</v>
      </c>
      <c r="F20" s="58"/>
      <c r="G20" s="58">
        <f t="shared" si="0"/>
        <v>4289.8999999999996</v>
      </c>
      <c r="H20" s="59">
        <f t="shared" si="1"/>
        <v>292784.51523088326</v>
      </c>
      <c r="L20" s="92"/>
    </row>
    <row r="21" spans="1:12" x14ac:dyDescent="0.2">
      <c r="A21" s="57">
        <v>44377</v>
      </c>
      <c r="B21" s="51">
        <v>30</v>
      </c>
      <c r="C21" s="58">
        <f t="shared" si="2"/>
        <v>3151.4999903324242</v>
      </c>
      <c r="D21" s="58">
        <f>SUM(C10-C21)</f>
        <v>1138.4000096675754</v>
      </c>
      <c r="E21" s="60">
        <f t="shared" si="3"/>
        <v>4289.8999999999996</v>
      </c>
      <c r="F21" s="58"/>
      <c r="G21" s="58">
        <f t="shared" si="0"/>
        <v>4289.8999999999996</v>
      </c>
      <c r="H21" s="59">
        <f t="shared" si="1"/>
        <v>291646.1152212157</v>
      </c>
      <c r="L21" s="92"/>
    </row>
    <row r="22" spans="1:12" x14ac:dyDescent="0.2">
      <c r="A22" s="57">
        <v>44408</v>
      </c>
      <c r="B22" s="51">
        <v>31</v>
      </c>
      <c r="C22" s="58">
        <f t="shared" si="2"/>
        <v>3139.2463791172527</v>
      </c>
      <c r="D22" s="58">
        <f>SUM(C10-C22)</f>
        <v>1150.653620882747</v>
      </c>
      <c r="E22" s="60">
        <f t="shared" si="3"/>
        <v>4289.8999999999996</v>
      </c>
      <c r="F22" s="58"/>
      <c r="G22" s="58">
        <f t="shared" si="0"/>
        <v>4289.8999999999996</v>
      </c>
      <c r="H22" s="59">
        <f t="shared" si="1"/>
        <v>290495.46160033293</v>
      </c>
      <c r="L22" s="92"/>
    </row>
    <row r="23" spans="1:12" x14ac:dyDescent="0.2">
      <c r="A23" s="57">
        <v>44439</v>
      </c>
      <c r="B23" s="51">
        <v>31</v>
      </c>
      <c r="C23" s="58">
        <f t="shared" si="2"/>
        <v>3126.8608713924723</v>
      </c>
      <c r="D23" s="58">
        <f>SUM(C10-C23)</f>
        <v>1163.0391286075273</v>
      </c>
      <c r="E23" s="60">
        <f t="shared" si="3"/>
        <v>4289.8999999999996</v>
      </c>
      <c r="F23" s="58"/>
      <c r="G23" s="58">
        <f t="shared" si="0"/>
        <v>4289.8999999999996</v>
      </c>
      <c r="H23" s="59">
        <f t="shared" si="1"/>
        <v>289332.42247172538</v>
      </c>
      <c r="L23" s="92"/>
    </row>
    <row r="24" spans="1:12" x14ac:dyDescent="0.2">
      <c r="A24" s="57">
        <v>44469</v>
      </c>
      <c r="B24" s="51">
        <v>30</v>
      </c>
      <c r="C24" s="58">
        <f t="shared" si="2"/>
        <v>3114.3420474387112</v>
      </c>
      <c r="D24" s="58">
        <f>SUM(C10-C24)</f>
        <v>1175.5579525612884</v>
      </c>
      <c r="E24" s="60">
        <f t="shared" si="3"/>
        <v>4289.8999999999996</v>
      </c>
      <c r="F24" s="58"/>
      <c r="G24" s="58">
        <f t="shared" si="0"/>
        <v>4289.8999999999996</v>
      </c>
      <c r="H24" s="59">
        <f t="shared" si="1"/>
        <v>288156.86451916408</v>
      </c>
      <c r="L24" s="92"/>
    </row>
    <row r="25" spans="1:12" x14ac:dyDescent="0.2">
      <c r="A25" s="57">
        <v>44500</v>
      </c>
      <c r="B25" s="51">
        <v>31</v>
      </c>
      <c r="C25" s="58">
        <f t="shared" si="2"/>
        <v>3101.6884722548912</v>
      </c>
      <c r="D25" s="58">
        <f>SUM(C10-C25)</f>
        <v>1188.2115277451085</v>
      </c>
      <c r="E25" s="60">
        <f t="shared" si="3"/>
        <v>4289.8999999999996</v>
      </c>
      <c r="F25" s="58"/>
      <c r="G25" s="58">
        <f t="shared" si="0"/>
        <v>4289.8999999999996</v>
      </c>
      <c r="H25" s="59">
        <f t="shared" si="1"/>
        <v>286968.65299141896</v>
      </c>
      <c r="L25" s="92"/>
    </row>
    <row r="26" spans="1:12" x14ac:dyDescent="0.2">
      <c r="A26" s="57">
        <v>44530</v>
      </c>
      <c r="B26" s="51">
        <v>30</v>
      </c>
      <c r="C26" s="58">
        <f t="shared" si="2"/>
        <v>3088.8986953937456</v>
      </c>
      <c r="D26" s="58">
        <f>SUM(C10-C26)</f>
        <v>1201.0013046062541</v>
      </c>
      <c r="E26" s="60">
        <f t="shared" si="3"/>
        <v>4289.8999999999996</v>
      </c>
      <c r="F26" s="58"/>
      <c r="G26" s="58">
        <f t="shared" si="0"/>
        <v>4289.8999999999996</v>
      </c>
      <c r="H26" s="59">
        <f t="shared" si="1"/>
        <v>285767.65168681269</v>
      </c>
      <c r="L26" s="92"/>
    </row>
    <row r="27" spans="1:12" x14ac:dyDescent="0.2">
      <c r="A27" s="57">
        <v>44561</v>
      </c>
      <c r="B27" s="51">
        <v>31</v>
      </c>
      <c r="C27" s="58">
        <f t="shared" si="2"/>
        <v>3075.9712507955537</v>
      </c>
      <c r="D27" s="58">
        <f>SUM(C10-C27)</f>
        <v>1213.9287492044459</v>
      </c>
      <c r="E27" s="60">
        <f t="shared" si="3"/>
        <v>4289.8999999999996</v>
      </c>
      <c r="F27" s="58"/>
      <c r="G27" s="58">
        <f t="shared" si="0"/>
        <v>4289.8999999999996</v>
      </c>
      <c r="H27" s="59">
        <f t="shared" si="1"/>
        <v>284553.72293760825</v>
      </c>
      <c r="L27" s="92"/>
    </row>
    <row r="28" spans="1:12" x14ac:dyDescent="0.2">
      <c r="A28" s="57"/>
      <c r="B28" s="51"/>
      <c r="C28" s="58"/>
      <c r="D28" s="58"/>
      <c r="E28" s="60"/>
      <c r="F28" s="58"/>
      <c r="G28" s="58"/>
      <c r="H28" s="59"/>
      <c r="L28" s="92"/>
    </row>
    <row r="29" spans="1:12" ht="15.75" thickBot="1" x14ac:dyDescent="0.4">
      <c r="A29" s="61"/>
      <c r="B29" s="62">
        <f t="shared" ref="B29:G29" si="4">SUM(B15:B28)</f>
        <v>366</v>
      </c>
      <c r="C29" s="63">
        <f t="shared" si="4"/>
        <v>37735.29293760829</v>
      </c>
      <c r="D29" s="63">
        <f t="shared" si="4"/>
        <v>13743.507062391704</v>
      </c>
      <c r="E29" s="189">
        <f>SUM(E15:E27)</f>
        <v>51478.80000000001</v>
      </c>
      <c r="F29" s="63">
        <f t="shared" si="4"/>
        <v>0</v>
      </c>
      <c r="G29" s="63">
        <f t="shared" si="4"/>
        <v>51478.80000000001</v>
      </c>
      <c r="H29" s="64"/>
      <c r="L29" s="92"/>
    </row>
    <row r="30" spans="1:12" x14ac:dyDescent="0.2">
      <c r="L30" s="92"/>
    </row>
    <row r="31" spans="1:12" x14ac:dyDescent="0.2">
      <c r="L31" s="92"/>
    </row>
    <row r="32" spans="1:12" x14ac:dyDescent="0.2">
      <c r="L32" s="92"/>
    </row>
    <row r="33" spans="12:12" x14ac:dyDescent="0.2">
      <c r="L33" s="92"/>
    </row>
    <row r="34" spans="12:12" x14ac:dyDescent="0.2">
      <c r="L34" s="92"/>
    </row>
    <row r="35" spans="12:12" x14ac:dyDescent="0.2">
      <c r="L35" s="92"/>
    </row>
    <row r="36" spans="12:12" x14ac:dyDescent="0.2">
      <c r="L36" s="92"/>
    </row>
    <row r="37" spans="12:12" x14ac:dyDescent="0.2">
      <c r="L37" s="92"/>
    </row>
    <row r="38" spans="12:12" x14ac:dyDescent="0.2">
      <c r="L38" s="92"/>
    </row>
    <row r="39" spans="12:12" x14ac:dyDescent="0.2">
      <c r="L39" s="92"/>
    </row>
    <row r="40" spans="12:12" x14ac:dyDescent="0.2">
      <c r="L40" s="92"/>
    </row>
    <row r="41" spans="12:12" x14ac:dyDescent="0.2">
      <c r="L41" s="92"/>
    </row>
    <row r="42" spans="12:12" x14ac:dyDescent="0.2">
      <c r="L42" s="92"/>
    </row>
    <row r="43" spans="12:12" x14ac:dyDescent="0.2">
      <c r="L43" s="92"/>
    </row>
    <row r="44" spans="12:12" x14ac:dyDescent="0.2">
      <c r="L44" s="92"/>
    </row>
    <row r="45" spans="12:12" x14ac:dyDescent="0.2">
      <c r="L45" s="92"/>
    </row>
    <row r="46" spans="12:12" x14ac:dyDescent="0.2">
      <c r="L46" s="92"/>
    </row>
    <row r="47" spans="12:12" x14ac:dyDescent="0.2">
      <c r="L47" s="92"/>
    </row>
    <row r="48" spans="12:12" x14ac:dyDescent="0.2">
      <c r="L48" s="92"/>
    </row>
    <row r="49" spans="1:12" x14ac:dyDescent="0.2">
      <c r="L49" s="92"/>
    </row>
    <row r="50" spans="1:12" x14ac:dyDescent="0.2">
      <c r="L50" s="92"/>
    </row>
    <row r="51" spans="1:12" x14ac:dyDescent="0.2">
      <c r="L51" s="92"/>
    </row>
    <row r="52" spans="1:12" x14ac:dyDescent="0.2">
      <c r="L52" s="92"/>
    </row>
    <row r="53" spans="1:12" x14ac:dyDescent="0.2">
      <c r="D53" s="667"/>
      <c r="E53" s="667"/>
      <c r="F53" s="667"/>
    </row>
    <row r="57" spans="1:12" ht="18" x14ac:dyDescent="0.25">
      <c r="A57" s="665" t="s">
        <v>387</v>
      </c>
      <c r="B57" s="665"/>
      <c r="C57" s="665"/>
      <c r="D57" s="665"/>
      <c r="E57" s="665"/>
      <c r="F57" s="665"/>
      <c r="G57" s="665"/>
      <c r="H57" s="665"/>
    </row>
    <row r="58" spans="1:12" ht="18" x14ac:dyDescent="0.25">
      <c r="A58" s="665" t="s">
        <v>400</v>
      </c>
      <c r="B58" s="665"/>
      <c r="C58" s="665"/>
      <c r="D58" s="665"/>
      <c r="E58" s="665"/>
      <c r="F58" s="665"/>
      <c r="G58" s="665"/>
      <c r="H58" s="665"/>
    </row>
    <row r="59" spans="1:12" ht="18" x14ac:dyDescent="0.25">
      <c r="A59" s="665" t="s">
        <v>514</v>
      </c>
      <c r="B59" s="665"/>
      <c r="C59" s="665"/>
      <c r="D59" s="665"/>
      <c r="E59" s="665"/>
      <c r="F59" s="665"/>
      <c r="G59" s="665"/>
      <c r="H59" s="665"/>
    </row>
    <row r="60" spans="1:12" x14ac:dyDescent="0.2">
      <c r="A60" s="255"/>
      <c r="B60" s="255"/>
      <c r="C60" s="256"/>
      <c r="D60" s="256"/>
      <c r="E60" s="256"/>
      <c r="F60" s="256"/>
      <c r="G60" s="256"/>
      <c r="H60" s="256"/>
    </row>
    <row r="61" spans="1:12" ht="15.75" x14ac:dyDescent="0.25">
      <c r="A61" s="666" t="s">
        <v>181</v>
      </c>
      <c r="B61" s="666"/>
      <c r="C61" s="666"/>
      <c r="D61" s="666"/>
      <c r="E61" s="666"/>
      <c r="F61" s="666"/>
      <c r="G61" s="666"/>
      <c r="H61" s="666"/>
    </row>
    <row r="62" spans="1:12" ht="15.75" x14ac:dyDescent="0.25">
      <c r="A62" s="257" t="s">
        <v>381</v>
      </c>
      <c r="B62" s="257"/>
      <c r="C62" s="666" t="s">
        <v>402</v>
      </c>
      <c r="D62" s="666"/>
      <c r="E62" s="666"/>
      <c r="F62" s="666"/>
      <c r="G62" s="257"/>
      <c r="H62" s="257"/>
    </row>
    <row r="63" spans="1:12" x14ac:dyDescent="0.2">
      <c r="A63" s="231"/>
      <c r="B63" s="231"/>
      <c r="C63" s="258"/>
      <c r="D63" s="258"/>
      <c r="E63" s="258"/>
      <c r="F63" s="258"/>
      <c r="G63" s="258"/>
      <c r="H63" s="258"/>
      <c r="J63" s="46" t="s">
        <v>349</v>
      </c>
      <c r="L63" s="46">
        <f>360*100/9.95</f>
        <v>3618.0904522613068</v>
      </c>
    </row>
    <row r="64" spans="1:12" x14ac:dyDescent="0.2">
      <c r="A64" s="259" t="s">
        <v>182</v>
      </c>
      <c r="B64" s="260" t="s">
        <v>183</v>
      </c>
      <c r="C64" s="261">
        <f>L71</f>
        <v>170615.3</v>
      </c>
      <c r="D64" s="258" t="s">
        <v>184</v>
      </c>
      <c r="E64" s="258"/>
      <c r="F64" s="258"/>
      <c r="G64" s="258"/>
      <c r="H64" s="258"/>
    </row>
    <row r="65" spans="1:16" x14ac:dyDescent="0.2">
      <c r="A65" s="261" t="s">
        <v>185</v>
      </c>
      <c r="B65" s="231"/>
      <c r="C65" s="262">
        <v>9.9500000000000005E-2</v>
      </c>
      <c r="D65" s="258" t="s">
        <v>100</v>
      </c>
      <c r="E65" s="258"/>
      <c r="F65" s="258"/>
      <c r="G65" s="258"/>
      <c r="H65" s="258"/>
    </row>
    <row r="66" spans="1:16" x14ac:dyDescent="0.2">
      <c r="A66" s="261" t="s">
        <v>186</v>
      </c>
      <c r="B66" s="231"/>
      <c r="C66" s="261">
        <v>0</v>
      </c>
      <c r="D66" s="258" t="s">
        <v>187</v>
      </c>
      <c r="E66" s="258"/>
      <c r="F66" s="258"/>
      <c r="G66" s="258"/>
      <c r="H66" s="258"/>
    </row>
    <row r="67" spans="1:16" x14ac:dyDescent="0.2">
      <c r="A67" s="70" t="s">
        <v>188</v>
      </c>
      <c r="B67" s="65" t="s">
        <v>183</v>
      </c>
      <c r="C67" s="70">
        <v>3482.53</v>
      </c>
      <c r="D67" s="47" t="s">
        <v>187</v>
      </c>
    </row>
    <row r="68" spans="1:16" ht="13.5" thickBot="1" x14ac:dyDescent="0.25">
      <c r="B68" s="47"/>
    </row>
    <row r="69" spans="1:16" x14ac:dyDescent="0.2">
      <c r="A69" s="66"/>
      <c r="B69" s="67"/>
      <c r="C69" s="634" t="s">
        <v>189</v>
      </c>
      <c r="D69" s="635"/>
      <c r="E69" s="634" t="s">
        <v>190</v>
      </c>
      <c r="F69" s="636"/>
      <c r="G69" s="635"/>
      <c r="H69" s="68"/>
      <c r="J69" s="46" t="s">
        <v>531</v>
      </c>
      <c r="L69" s="92">
        <v>170615.3</v>
      </c>
    </row>
    <row r="70" spans="1:16" x14ac:dyDescent="0.2">
      <c r="A70" s="48"/>
      <c r="B70" s="49"/>
      <c r="C70" s="638" t="s">
        <v>191</v>
      </c>
      <c r="D70" s="639"/>
      <c r="E70" s="52" t="s">
        <v>192</v>
      </c>
      <c r="F70" s="52" t="s">
        <v>193</v>
      </c>
      <c r="G70" s="640" t="s">
        <v>348</v>
      </c>
      <c r="H70" s="53" t="s">
        <v>195</v>
      </c>
      <c r="J70" s="46" t="s">
        <v>437</v>
      </c>
      <c r="L70" s="92">
        <v>0</v>
      </c>
    </row>
    <row r="71" spans="1:16" ht="13.5" thickBot="1" x14ac:dyDescent="0.25">
      <c r="A71" s="131" t="s">
        <v>196</v>
      </c>
      <c r="B71" s="132" t="s">
        <v>197</v>
      </c>
      <c r="C71" s="133" t="s">
        <v>204</v>
      </c>
      <c r="D71" s="133" t="s">
        <v>198</v>
      </c>
      <c r="E71" s="134" t="s">
        <v>199</v>
      </c>
      <c r="F71" s="133" t="s">
        <v>200</v>
      </c>
      <c r="G71" s="664"/>
      <c r="H71" s="135" t="s">
        <v>202</v>
      </c>
      <c r="J71" s="46" t="s">
        <v>477</v>
      </c>
      <c r="L71" s="123">
        <f>SUM(L69-L70)</f>
        <v>170615.3</v>
      </c>
      <c r="P71" s="46">
        <v>234749.16</v>
      </c>
    </row>
    <row r="72" spans="1:16" x14ac:dyDescent="0.2">
      <c r="A72" s="136">
        <v>44197</v>
      </c>
      <c r="B72" s="49">
        <v>0</v>
      </c>
      <c r="C72" s="137">
        <v>0</v>
      </c>
      <c r="D72" s="137">
        <v>0</v>
      </c>
      <c r="E72" s="137">
        <v>0</v>
      </c>
      <c r="F72" s="137"/>
      <c r="G72" s="137"/>
      <c r="H72" s="138">
        <f>C64</f>
        <v>170615.3</v>
      </c>
      <c r="L72" s="92"/>
    </row>
    <row r="73" spans="1:16" x14ac:dyDescent="0.2">
      <c r="A73" s="57">
        <v>44227</v>
      </c>
      <c r="B73" s="51">
        <v>31</v>
      </c>
      <c r="C73" s="58">
        <f>SUM(H72*31/3618.09)</f>
        <v>1461.8415517579717</v>
      </c>
      <c r="D73" s="58">
        <f>SUM(C67-C73)</f>
        <v>2020.6884482420285</v>
      </c>
      <c r="E73" s="60">
        <f>SUM(C73:D73)</f>
        <v>3482.53</v>
      </c>
      <c r="F73" s="58"/>
      <c r="G73" s="58">
        <f t="shared" ref="G73:G84" si="5">SUM(E73:F73)</f>
        <v>3482.53</v>
      </c>
      <c r="H73" s="59">
        <f t="shared" ref="H73:H84" si="6">+H72-D73</f>
        <v>168594.61155175796</v>
      </c>
      <c r="L73" s="92"/>
    </row>
    <row r="74" spans="1:16" x14ac:dyDescent="0.2">
      <c r="A74" s="57" t="s">
        <v>532</v>
      </c>
      <c r="B74" s="51">
        <v>28</v>
      </c>
      <c r="C74" s="58">
        <f t="shared" ref="C74:C84" si="7">SUM(H73*31/3618.09)</f>
        <v>1444.5281787087929</v>
      </c>
      <c r="D74" s="58">
        <f>SUM(C67-C74)</f>
        <v>2038.0018212912073</v>
      </c>
      <c r="E74" s="60">
        <f>SUM(C74:D74)</f>
        <v>3482.53</v>
      </c>
      <c r="F74" s="58"/>
      <c r="G74" s="58">
        <f t="shared" si="5"/>
        <v>3482.53</v>
      </c>
      <c r="H74" s="59">
        <f t="shared" si="6"/>
        <v>166556.60973046676</v>
      </c>
      <c r="L74" s="92"/>
    </row>
    <row r="75" spans="1:16" x14ac:dyDescent="0.2">
      <c r="A75" s="57">
        <v>44286</v>
      </c>
      <c r="B75" s="51">
        <v>31</v>
      </c>
      <c r="C75" s="58">
        <f t="shared" si="7"/>
        <v>1427.066463698932</v>
      </c>
      <c r="D75" s="58">
        <f>SUM(C67-C75)</f>
        <v>2055.4635363010684</v>
      </c>
      <c r="E75" s="60">
        <f t="shared" ref="E75:E84" si="8">SUM(C75:D75)</f>
        <v>3482.5300000000007</v>
      </c>
      <c r="F75" s="58"/>
      <c r="G75" s="58">
        <f t="shared" si="5"/>
        <v>3482.5300000000007</v>
      </c>
      <c r="H75" s="59">
        <f t="shared" si="6"/>
        <v>164501.14619416569</v>
      </c>
      <c r="L75" s="92"/>
    </row>
    <row r="76" spans="1:16" x14ac:dyDescent="0.2">
      <c r="A76" s="57">
        <v>44316</v>
      </c>
      <c r="B76" s="51">
        <v>30</v>
      </c>
      <c r="C76" s="58">
        <f t="shared" si="7"/>
        <v>1409.45513572607</v>
      </c>
      <c r="D76" s="58">
        <f>SUM(C67-C76)</f>
        <v>2073.07486427393</v>
      </c>
      <c r="E76" s="60">
        <f t="shared" si="8"/>
        <v>3482.5299999999997</v>
      </c>
      <c r="F76" s="58"/>
      <c r="G76" s="58">
        <f t="shared" si="5"/>
        <v>3482.5299999999997</v>
      </c>
      <c r="H76" s="59">
        <f t="shared" si="6"/>
        <v>162428.07132989177</v>
      </c>
      <c r="L76" s="92"/>
    </row>
    <row r="77" spans="1:16" x14ac:dyDescent="0.2">
      <c r="A77" s="57">
        <v>44347</v>
      </c>
      <c r="B77" s="51">
        <v>31</v>
      </c>
      <c r="C77" s="58">
        <f t="shared" si="7"/>
        <v>1391.6929128978672</v>
      </c>
      <c r="D77" s="58">
        <f>SUM(C67-C77)</f>
        <v>2090.837087102133</v>
      </c>
      <c r="E77" s="60">
        <f t="shared" si="8"/>
        <v>3482.53</v>
      </c>
      <c r="F77" s="58"/>
      <c r="G77" s="58">
        <f t="shared" si="5"/>
        <v>3482.53</v>
      </c>
      <c r="H77" s="59">
        <f t="shared" si="6"/>
        <v>160337.23424278962</v>
      </c>
      <c r="L77" s="92"/>
    </row>
    <row r="78" spans="1:16" x14ac:dyDescent="0.2">
      <c r="A78" s="57">
        <v>44377</v>
      </c>
      <c r="B78" s="51">
        <v>30</v>
      </c>
      <c r="C78" s="58">
        <f t="shared" si="7"/>
        <v>1373.7785023386589</v>
      </c>
      <c r="D78" s="58">
        <f>SUM(C67-C78)</f>
        <v>2108.7514976613411</v>
      </c>
      <c r="E78" s="60">
        <f t="shared" si="8"/>
        <v>3482.5299999999997</v>
      </c>
      <c r="F78" s="58"/>
      <c r="G78" s="58">
        <f t="shared" si="5"/>
        <v>3482.5299999999997</v>
      </c>
      <c r="H78" s="59">
        <f t="shared" si="6"/>
        <v>158228.48274512828</v>
      </c>
      <c r="L78" s="92"/>
    </row>
    <row r="79" spans="1:16" x14ac:dyDescent="0.2">
      <c r="A79" s="57">
        <v>44408</v>
      </c>
      <c r="B79" s="51">
        <v>31</v>
      </c>
      <c r="C79" s="58">
        <f t="shared" si="7"/>
        <v>1355.7106000953474</v>
      </c>
      <c r="D79" s="58">
        <f>SUM(C67-C79)</f>
        <v>2126.8193999046525</v>
      </c>
      <c r="E79" s="60">
        <f t="shared" si="8"/>
        <v>3482.5299999999997</v>
      </c>
      <c r="F79" s="58"/>
      <c r="G79" s="58">
        <f t="shared" si="5"/>
        <v>3482.5299999999997</v>
      </c>
      <c r="H79" s="59">
        <f t="shared" si="6"/>
        <v>156101.66334522361</v>
      </c>
      <c r="L79" s="92"/>
    </row>
    <row r="80" spans="1:16" x14ac:dyDescent="0.2">
      <c r="A80" s="57">
        <v>44439</v>
      </c>
      <c r="B80" s="51">
        <v>31</v>
      </c>
      <c r="C80" s="58">
        <f t="shared" si="7"/>
        <v>1337.4878910424927</v>
      </c>
      <c r="D80" s="58">
        <f>SUM(C67-C80)</f>
        <v>2145.0421089575075</v>
      </c>
      <c r="E80" s="60">
        <f t="shared" si="8"/>
        <v>3482.53</v>
      </c>
      <c r="F80" s="58"/>
      <c r="G80" s="58">
        <f t="shared" si="5"/>
        <v>3482.53</v>
      </c>
      <c r="H80" s="59">
        <f t="shared" si="6"/>
        <v>153956.6212362661</v>
      </c>
      <c r="L80" s="92"/>
    </row>
    <row r="81" spans="1:12" x14ac:dyDescent="0.2">
      <c r="A81" s="57">
        <v>44469</v>
      </c>
      <c r="B81" s="51">
        <v>30</v>
      </c>
      <c r="C81" s="58">
        <f t="shared" si="7"/>
        <v>1319.1090487865831</v>
      </c>
      <c r="D81" s="58">
        <f>SUM(C67-C81)</f>
        <v>2163.4209512134171</v>
      </c>
      <c r="E81" s="60">
        <f t="shared" si="8"/>
        <v>3482.53</v>
      </c>
      <c r="F81" s="58"/>
      <c r="G81" s="58">
        <f t="shared" si="5"/>
        <v>3482.53</v>
      </c>
      <c r="H81" s="59">
        <f t="shared" si="6"/>
        <v>151793.20028505268</v>
      </c>
      <c r="L81" s="92"/>
    </row>
    <row r="82" spans="1:12" x14ac:dyDescent="0.2">
      <c r="A82" s="57">
        <v>44500</v>
      </c>
      <c r="B82" s="51">
        <v>31</v>
      </c>
      <c r="C82" s="58">
        <f t="shared" si="7"/>
        <v>1300.5727355694946</v>
      </c>
      <c r="D82" s="58">
        <f>SUM(C67-C82)</f>
        <v>2181.9572644305053</v>
      </c>
      <c r="E82" s="60">
        <f t="shared" si="8"/>
        <v>3482.5299999999997</v>
      </c>
      <c r="F82" s="58"/>
      <c r="G82" s="58">
        <f t="shared" si="5"/>
        <v>3482.5299999999997</v>
      </c>
      <c r="H82" s="59">
        <f t="shared" si="6"/>
        <v>149611.24302062218</v>
      </c>
      <c r="L82" s="92"/>
    </row>
    <row r="83" spans="1:12" x14ac:dyDescent="0.2">
      <c r="A83" s="57">
        <v>44530</v>
      </c>
      <c r="B83" s="51">
        <v>30</v>
      </c>
      <c r="C83" s="58">
        <f t="shared" si="7"/>
        <v>1281.8776021711144</v>
      </c>
      <c r="D83" s="58">
        <f>SUM(C67-C83)</f>
        <v>2200.652397828886</v>
      </c>
      <c r="E83" s="60">
        <f t="shared" si="8"/>
        <v>3482.5300000000007</v>
      </c>
      <c r="F83" s="58"/>
      <c r="G83" s="58">
        <f t="shared" si="5"/>
        <v>3482.5300000000007</v>
      </c>
      <c r="H83" s="59">
        <f t="shared" si="6"/>
        <v>147410.5906227933</v>
      </c>
      <c r="L83" s="92"/>
    </row>
    <row r="84" spans="1:12" x14ac:dyDescent="0.2">
      <c r="A84" s="57">
        <v>44561</v>
      </c>
      <c r="B84" s="51">
        <v>31</v>
      </c>
      <c r="C84" s="58">
        <f t="shared" si="7"/>
        <v>1263.0222878111358</v>
      </c>
      <c r="D84" s="58">
        <f>SUM(C67-C84)</f>
        <v>2219.5077121888644</v>
      </c>
      <c r="E84" s="60">
        <f t="shared" si="8"/>
        <v>3482.53</v>
      </c>
      <c r="F84" s="58"/>
      <c r="G84" s="58">
        <f t="shared" si="5"/>
        <v>3482.53</v>
      </c>
      <c r="H84" s="59">
        <f t="shared" si="6"/>
        <v>145191.08291060443</v>
      </c>
      <c r="L84" s="92"/>
    </row>
    <row r="85" spans="1:12" x14ac:dyDescent="0.2">
      <c r="A85" s="57"/>
      <c r="B85" s="51"/>
      <c r="C85" s="58"/>
      <c r="D85" s="58"/>
      <c r="E85" s="60"/>
      <c r="F85" s="58"/>
      <c r="G85" s="58"/>
      <c r="H85" s="59"/>
      <c r="L85" s="92"/>
    </row>
    <row r="86" spans="1:12" ht="15.75" thickBot="1" x14ac:dyDescent="0.4">
      <c r="A86" s="61"/>
      <c r="B86" s="62">
        <f t="shared" ref="B86:G86" si="9">SUM(B72:B85)</f>
        <v>365</v>
      </c>
      <c r="C86" s="63">
        <f t="shared" si="9"/>
        <v>16366.142910604463</v>
      </c>
      <c r="D86" s="63">
        <f t="shared" si="9"/>
        <v>25424.217089395541</v>
      </c>
      <c r="E86" s="63">
        <f t="shared" si="9"/>
        <v>41790.359999999993</v>
      </c>
      <c r="F86" s="63">
        <f t="shared" si="9"/>
        <v>0</v>
      </c>
      <c r="G86" s="63">
        <f t="shared" si="9"/>
        <v>41790.359999999993</v>
      </c>
      <c r="H86" s="64"/>
      <c r="L86" s="92"/>
    </row>
    <row r="87" spans="1:12" x14ac:dyDescent="0.2">
      <c r="L87" s="92"/>
    </row>
    <row r="88" spans="1:12" x14ac:dyDescent="0.2">
      <c r="D88" s="667"/>
      <c r="E88" s="667"/>
      <c r="F88" s="667"/>
    </row>
    <row r="112" spans="1:8" ht="18" x14ac:dyDescent="0.25">
      <c r="A112" s="665" t="s">
        <v>387</v>
      </c>
      <c r="B112" s="665"/>
      <c r="C112" s="665"/>
      <c r="D112" s="665"/>
      <c r="E112" s="665"/>
      <c r="F112" s="665"/>
      <c r="G112" s="665"/>
      <c r="H112" s="665"/>
    </row>
    <row r="113" spans="1:16" ht="18" x14ac:dyDescent="0.25">
      <c r="A113" s="665" t="s">
        <v>400</v>
      </c>
      <c r="B113" s="665"/>
      <c r="C113" s="665"/>
      <c r="D113" s="665"/>
      <c r="E113" s="665"/>
      <c r="F113" s="665"/>
      <c r="G113" s="665"/>
      <c r="H113" s="665"/>
    </row>
    <row r="114" spans="1:16" ht="18" x14ac:dyDescent="0.25">
      <c r="A114" s="665" t="s">
        <v>514</v>
      </c>
      <c r="B114" s="665"/>
      <c r="C114" s="665"/>
      <c r="D114" s="665"/>
      <c r="E114" s="665"/>
      <c r="F114" s="665"/>
      <c r="G114" s="665"/>
      <c r="H114" s="665"/>
    </row>
    <row r="115" spans="1:16" x14ac:dyDescent="0.2">
      <c r="A115" s="255"/>
      <c r="B115" s="255"/>
      <c r="C115" s="256"/>
      <c r="D115" s="256"/>
      <c r="E115" s="256"/>
      <c r="F115" s="256"/>
      <c r="G115" s="256"/>
      <c r="H115" s="256"/>
    </row>
    <row r="116" spans="1:16" ht="15.75" x14ac:dyDescent="0.25">
      <c r="A116" s="666" t="s">
        <v>181</v>
      </c>
      <c r="B116" s="666"/>
      <c r="C116" s="666"/>
      <c r="D116" s="666"/>
      <c r="E116" s="666"/>
      <c r="F116" s="666"/>
      <c r="G116" s="666"/>
      <c r="H116" s="666"/>
    </row>
    <row r="117" spans="1:16" ht="15.75" x14ac:dyDescent="0.25">
      <c r="A117" s="257" t="s">
        <v>381</v>
      </c>
      <c r="B117" s="257"/>
      <c r="C117" s="666" t="s">
        <v>403</v>
      </c>
      <c r="D117" s="666"/>
      <c r="E117" s="666"/>
      <c r="F117" s="666"/>
      <c r="G117" s="257"/>
      <c r="H117" s="257"/>
    </row>
    <row r="118" spans="1:16" x14ac:dyDescent="0.2">
      <c r="A118" s="231"/>
      <c r="B118" s="231"/>
      <c r="C118" s="258"/>
      <c r="D118" s="258"/>
      <c r="E118" s="258"/>
      <c r="F118" s="258"/>
      <c r="G118" s="258"/>
      <c r="H118" s="258"/>
      <c r="J118" s="46" t="s">
        <v>349</v>
      </c>
      <c r="L118" s="46">
        <f>360*100/9.95</f>
        <v>3618.0904522613068</v>
      </c>
    </row>
    <row r="119" spans="1:16" x14ac:dyDescent="0.2">
      <c r="A119" s="259" t="s">
        <v>182</v>
      </c>
      <c r="B119" s="260" t="s">
        <v>183</v>
      </c>
      <c r="C119" s="261">
        <f>L126</f>
        <v>333157.87</v>
      </c>
      <c r="D119" s="258" t="s">
        <v>184</v>
      </c>
      <c r="E119" s="258"/>
      <c r="F119" s="258"/>
      <c r="G119" s="258"/>
      <c r="H119" s="258"/>
    </row>
    <row r="120" spans="1:16" x14ac:dyDescent="0.2">
      <c r="A120" s="261" t="s">
        <v>185</v>
      </c>
      <c r="B120" s="231"/>
      <c r="C120" s="262">
        <v>9.9500000000000005E-2</v>
      </c>
      <c r="D120" s="258" t="s">
        <v>100</v>
      </c>
      <c r="E120" s="258"/>
      <c r="F120" s="258"/>
      <c r="G120" s="258"/>
      <c r="H120" s="258"/>
    </row>
    <row r="121" spans="1:16" x14ac:dyDescent="0.2">
      <c r="A121" s="261" t="s">
        <v>186</v>
      </c>
      <c r="B121" s="231"/>
      <c r="C121" s="261">
        <v>0</v>
      </c>
      <c r="D121" s="258" t="s">
        <v>187</v>
      </c>
      <c r="E121" s="258"/>
      <c r="F121" s="258"/>
      <c r="G121" s="258"/>
      <c r="H121" s="258"/>
    </row>
    <row r="122" spans="1:16" x14ac:dyDescent="0.2">
      <c r="A122" s="261" t="s">
        <v>188</v>
      </c>
      <c r="B122" s="260" t="s">
        <v>183</v>
      </c>
      <c r="C122" s="261">
        <v>6802</v>
      </c>
      <c r="D122" s="258" t="s">
        <v>187</v>
      </c>
      <c r="E122" s="258"/>
      <c r="F122" s="258"/>
      <c r="G122" s="258"/>
      <c r="H122" s="258"/>
    </row>
    <row r="123" spans="1:16" ht="13.5" thickBot="1" x14ac:dyDescent="0.25">
      <c r="A123" s="231"/>
      <c r="B123" s="258"/>
      <c r="C123" s="258"/>
      <c r="D123" s="258"/>
      <c r="E123" s="258"/>
      <c r="F123" s="258"/>
      <c r="G123" s="258"/>
      <c r="H123" s="258"/>
    </row>
    <row r="124" spans="1:16" x14ac:dyDescent="0.2">
      <c r="A124" s="263"/>
      <c r="B124" s="264"/>
      <c r="C124" s="670" t="s">
        <v>189</v>
      </c>
      <c r="D124" s="671"/>
      <c r="E124" s="670" t="s">
        <v>190</v>
      </c>
      <c r="F124" s="672"/>
      <c r="G124" s="671"/>
      <c r="H124" s="265"/>
      <c r="J124" s="46" t="s">
        <v>529</v>
      </c>
      <c r="L124" s="92">
        <v>337085.94</v>
      </c>
    </row>
    <row r="125" spans="1:16" x14ac:dyDescent="0.2">
      <c r="A125" s="48"/>
      <c r="B125" s="49"/>
      <c r="C125" s="638" t="s">
        <v>191</v>
      </c>
      <c r="D125" s="639"/>
      <c r="E125" s="52" t="s">
        <v>192</v>
      </c>
      <c r="F125" s="52" t="s">
        <v>193</v>
      </c>
      <c r="G125" s="640" t="s">
        <v>348</v>
      </c>
      <c r="H125" s="53" t="s">
        <v>195</v>
      </c>
      <c r="J125" s="46" t="s">
        <v>533</v>
      </c>
      <c r="L125" s="92">
        <v>3928.07</v>
      </c>
    </row>
    <row r="126" spans="1:16" ht="13.5" thickBot="1" x14ac:dyDescent="0.25">
      <c r="A126" s="131" t="s">
        <v>196</v>
      </c>
      <c r="B126" s="132" t="s">
        <v>197</v>
      </c>
      <c r="C126" s="133" t="s">
        <v>204</v>
      </c>
      <c r="D126" s="133" t="s">
        <v>198</v>
      </c>
      <c r="E126" s="134" t="s">
        <v>199</v>
      </c>
      <c r="F126" s="133" t="s">
        <v>200</v>
      </c>
      <c r="G126" s="664"/>
      <c r="H126" s="135" t="s">
        <v>202</v>
      </c>
      <c r="J126" s="46" t="s">
        <v>477</v>
      </c>
      <c r="L126" s="123">
        <f>SUM(L124-L125)</f>
        <v>333157.87</v>
      </c>
      <c r="P126" s="46">
        <v>458351.67</v>
      </c>
    </row>
    <row r="127" spans="1:16" x14ac:dyDescent="0.2">
      <c r="A127" s="136">
        <v>44197</v>
      </c>
      <c r="B127" s="49">
        <v>0</v>
      </c>
      <c r="C127" s="137">
        <v>0</v>
      </c>
      <c r="D127" s="137">
        <v>0</v>
      </c>
      <c r="E127" s="137">
        <v>0</v>
      </c>
      <c r="F127" s="137"/>
      <c r="G127" s="137"/>
      <c r="H127" s="138">
        <f>C119</f>
        <v>333157.87</v>
      </c>
      <c r="L127" s="92"/>
    </row>
    <row r="128" spans="1:16" x14ac:dyDescent="0.2">
      <c r="A128" s="57">
        <v>44227</v>
      </c>
      <c r="B128" s="51">
        <v>31</v>
      </c>
      <c r="C128" s="58">
        <f>SUM(H127*31/3618.09)</f>
        <v>2854.5154957449927</v>
      </c>
      <c r="D128" s="58">
        <f>SUM(C122-C128)</f>
        <v>3947.4845042550073</v>
      </c>
      <c r="E128" s="60">
        <f>SUM(C128:D128)</f>
        <v>6802</v>
      </c>
      <c r="F128" s="58"/>
      <c r="G128" s="58">
        <f t="shared" ref="G128:G139" si="10">SUM(E128:F128)</f>
        <v>6802</v>
      </c>
      <c r="H128" s="59">
        <f t="shared" ref="H128:H139" si="11">+H127-D128</f>
        <v>329210.38549574499</v>
      </c>
      <c r="L128" s="92"/>
    </row>
    <row r="129" spans="1:12" x14ac:dyDescent="0.2">
      <c r="A129" s="57">
        <v>44255</v>
      </c>
      <c r="B129" s="51">
        <v>28</v>
      </c>
      <c r="C129" s="58">
        <f t="shared" ref="C129:C139" si="12">SUM(H128*31/3618.09)</f>
        <v>2820.693224980057</v>
      </c>
      <c r="D129" s="58">
        <f>SUM(C122-C129)</f>
        <v>3981.306775019943</v>
      </c>
      <c r="E129" s="60">
        <f>SUM(C129:D129)</f>
        <v>6802</v>
      </c>
      <c r="F129" s="58"/>
      <c r="G129" s="58">
        <f t="shared" si="10"/>
        <v>6802</v>
      </c>
      <c r="H129" s="59">
        <f t="shared" si="11"/>
        <v>325229.07872072503</v>
      </c>
      <c r="L129" s="92"/>
    </row>
    <row r="130" spans="1:12" x14ac:dyDescent="0.2">
      <c r="A130" s="57">
        <v>44286</v>
      </c>
      <c r="B130" s="51">
        <v>31</v>
      </c>
      <c r="C130" s="58">
        <f t="shared" si="12"/>
        <v>2786.5811630839685</v>
      </c>
      <c r="D130" s="58">
        <f>SUM(C122-C130)</f>
        <v>4015.4188369160315</v>
      </c>
      <c r="E130" s="60">
        <f t="shared" ref="E130:E139" si="13">SUM(C130:D130)</f>
        <v>6802</v>
      </c>
      <c r="F130" s="58"/>
      <c r="G130" s="58">
        <f t="shared" si="10"/>
        <v>6802</v>
      </c>
      <c r="H130" s="59">
        <f t="shared" si="11"/>
        <v>321213.65988380898</v>
      </c>
      <c r="L130" s="92"/>
    </row>
    <row r="131" spans="1:12" x14ac:dyDescent="0.2">
      <c r="A131" s="57">
        <v>44316</v>
      </c>
      <c r="B131" s="51">
        <v>30</v>
      </c>
      <c r="C131" s="58">
        <f t="shared" si="12"/>
        <v>2752.1768271099058</v>
      </c>
      <c r="D131" s="58">
        <f>SUM(C122-C131)</f>
        <v>4049.8231728900942</v>
      </c>
      <c r="E131" s="60">
        <f t="shared" si="13"/>
        <v>6802</v>
      </c>
      <c r="F131" s="58"/>
      <c r="G131" s="58">
        <f t="shared" si="10"/>
        <v>6802</v>
      </c>
      <c r="H131" s="59">
        <f t="shared" si="11"/>
        <v>317163.83671091887</v>
      </c>
      <c r="L131" s="92"/>
    </row>
    <row r="132" spans="1:12" x14ac:dyDescent="0.2">
      <c r="A132" s="57">
        <v>44347</v>
      </c>
      <c r="B132" s="51">
        <v>31</v>
      </c>
      <c r="C132" s="58">
        <f t="shared" si="12"/>
        <v>2717.4777128370174</v>
      </c>
      <c r="D132" s="58">
        <f>SUM(C122-C132)</f>
        <v>4084.5222871629826</v>
      </c>
      <c r="E132" s="60">
        <f t="shared" si="13"/>
        <v>6802</v>
      </c>
      <c r="F132" s="58"/>
      <c r="G132" s="58">
        <f t="shared" si="10"/>
        <v>6802</v>
      </c>
      <c r="H132" s="59">
        <f t="shared" si="11"/>
        <v>313079.31442375586</v>
      </c>
      <c r="L132" s="92"/>
    </row>
    <row r="133" spans="1:12" x14ac:dyDescent="0.2">
      <c r="A133" s="57">
        <v>44377</v>
      </c>
      <c r="B133" s="51">
        <v>30</v>
      </c>
      <c r="C133" s="58">
        <f t="shared" si="12"/>
        <v>2682.4812945881476</v>
      </c>
      <c r="D133" s="58">
        <f>SUM(C122-C133)</f>
        <v>4119.5187054118524</v>
      </c>
      <c r="E133" s="60">
        <f t="shared" si="13"/>
        <v>6802</v>
      </c>
      <c r="F133" s="58"/>
      <c r="G133" s="58">
        <f t="shared" si="10"/>
        <v>6802</v>
      </c>
      <c r="H133" s="59">
        <f t="shared" si="11"/>
        <v>308959.79571834399</v>
      </c>
      <c r="L133" s="92"/>
    </row>
    <row r="134" spans="1:12" x14ac:dyDescent="0.2">
      <c r="A134" s="57">
        <v>44408</v>
      </c>
      <c r="B134" s="51">
        <v>31</v>
      </c>
      <c r="C134" s="58">
        <f t="shared" si="12"/>
        <v>2647.1850250459947</v>
      </c>
      <c r="D134" s="58">
        <f>SUM(C122-C134)</f>
        <v>4154.8149749540053</v>
      </c>
      <c r="E134" s="60">
        <f t="shared" si="13"/>
        <v>6802</v>
      </c>
      <c r="F134" s="58"/>
      <c r="G134" s="58">
        <f t="shared" si="10"/>
        <v>6802</v>
      </c>
      <c r="H134" s="59">
        <f t="shared" si="11"/>
        <v>304804.98074338998</v>
      </c>
      <c r="L134" s="92"/>
    </row>
    <row r="135" spans="1:12" x14ac:dyDescent="0.2">
      <c r="A135" s="57">
        <v>44439</v>
      </c>
      <c r="B135" s="51">
        <v>31</v>
      </c>
      <c r="C135" s="58">
        <f t="shared" si="12"/>
        <v>2611.5863350676987</v>
      </c>
      <c r="D135" s="58">
        <f>SUM(C122-C135)</f>
        <v>4190.4136649323009</v>
      </c>
      <c r="E135" s="60">
        <f t="shared" si="13"/>
        <v>6802</v>
      </c>
      <c r="F135" s="58"/>
      <c r="G135" s="58">
        <f t="shared" si="10"/>
        <v>6802</v>
      </c>
      <c r="H135" s="59">
        <f t="shared" si="11"/>
        <v>300614.56707845768</v>
      </c>
      <c r="L135" s="92"/>
    </row>
    <row r="136" spans="1:12" x14ac:dyDescent="0.2">
      <c r="A136" s="57">
        <v>44469</v>
      </c>
      <c r="B136" s="51">
        <v>30</v>
      </c>
      <c r="C136" s="58">
        <f t="shared" si="12"/>
        <v>2575.6826334978364</v>
      </c>
      <c r="D136" s="58">
        <f>SUM(C122-C136)</f>
        <v>4226.3173665021641</v>
      </c>
      <c r="E136" s="60">
        <f t="shared" si="13"/>
        <v>6802</v>
      </c>
      <c r="F136" s="58"/>
      <c r="G136" s="58">
        <f t="shared" si="10"/>
        <v>6802</v>
      </c>
      <c r="H136" s="59">
        <f t="shared" si="11"/>
        <v>296388.24971195549</v>
      </c>
      <c r="L136" s="92"/>
    </row>
    <row r="137" spans="1:12" x14ac:dyDescent="0.2">
      <c r="A137" s="57">
        <v>44500</v>
      </c>
      <c r="B137" s="51">
        <v>31</v>
      </c>
      <c r="C137" s="58">
        <f t="shared" si="12"/>
        <v>2539.4713069798208</v>
      </c>
      <c r="D137" s="58">
        <f>SUM(C122-C137)</f>
        <v>4262.5286930201792</v>
      </c>
      <c r="E137" s="60">
        <f t="shared" si="13"/>
        <v>6802</v>
      </c>
      <c r="F137" s="58"/>
      <c r="G137" s="58">
        <f t="shared" si="10"/>
        <v>6802</v>
      </c>
      <c r="H137" s="59">
        <f t="shared" si="11"/>
        <v>292125.72101893532</v>
      </c>
      <c r="L137" s="92"/>
    </row>
    <row r="138" spans="1:12" x14ac:dyDescent="0.2">
      <c r="A138" s="57">
        <v>44530</v>
      </c>
      <c r="B138" s="51">
        <v>30</v>
      </c>
      <c r="C138" s="58">
        <f t="shared" si="12"/>
        <v>2502.949719765676</v>
      </c>
      <c r="D138" s="58">
        <f>SUM(C122-C138)</f>
        <v>4299.0502802343235</v>
      </c>
      <c r="E138" s="60">
        <f t="shared" si="13"/>
        <v>6802</v>
      </c>
      <c r="F138" s="58"/>
      <c r="G138" s="58">
        <f t="shared" si="10"/>
        <v>6802</v>
      </c>
      <c r="H138" s="59">
        <f t="shared" si="11"/>
        <v>287826.67073870101</v>
      </c>
      <c r="L138" s="92"/>
    </row>
    <row r="139" spans="1:12" x14ac:dyDescent="0.2">
      <c r="A139" s="57">
        <v>44561</v>
      </c>
      <c r="B139" s="51">
        <v>31</v>
      </c>
      <c r="C139" s="58">
        <f t="shared" si="12"/>
        <v>2466.1152135241887</v>
      </c>
      <c r="D139" s="58">
        <f>SUM(C122-C139)</f>
        <v>4335.8847864758118</v>
      </c>
      <c r="E139" s="60">
        <f t="shared" si="13"/>
        <v>6802</v>
      </c>
      <c r="F139" s="58"/>
      <c r="G139" s="58">
        <f t="shared" si="10"/>
        <v>6802</v>
      </c>
      <c r="H139" s="59">
        <f t="shared" si="11"/>
        <v>283490.78595222521</v>
      </c>
      <c r="L139" s="92"/>
    </row>
    <row r="140" spans="1:12" x14ac:dyDescent="0.2">
      <c r="A140" s="57"/>
      <c r="B140" s="51"/>
      <c r="C140" s="58"/>
      <c r="D140" s="58"/>
      <c r="E140" s="60"/>
      <c r="F140" s="58"/>
      <c r="G140" s="58"/>
      <c r="H140" s="59"/>
      <c r="L140" s="92"/>
    </row>
    <row r="141" spans="1:12" ht="15.75" thickBot="1" x14ac:dyDescent="0.4">
      <c r="A141" s="61"/>
      <c r="B141" s="62">
        <f t="shared" ref="B141:G141" si="14">SUM(B127:B140)</f>
        <v>365</v>
      </c>
      <c r="C141" s="63">
        <f t="shared" si="14"/>
        <v>31956.915952225303</v>
      </c>
      <c r="D141" s="63">
        <f t="shared" si="14"/>
        <v>49667.08404777469</v>
      </c>
      <c r="E141" s="63">
        <f t="shared" si="14"/>
        <v>81624</v>
      </c>
      <c r="F141" s="63">
        <f t="shared" si="14"/>
        <v>0</v>
      </c>
      <c r="G141" s="63">
        <f t="shared" si="14"/>
        <v>81624</v>
      </c>
      <c r="H141" s="64"/>
      <c r="L141" s="92"/>
    </row>
    <row r="142" spans="1:12" x14ac:dyDescent="0.2">
      <c r="L142" s="92"/>
    </row>
    <row r="143" spans="1:12" x14ac:dyDescent="0.2">
      <c r="D143" s="667"/>
      <c r="E143" s="667"/>
      <c r="F143" s="667"/>
    </row>
    <row r="164" spans="1:12" x14ac:dyDescent="0.2">
      <c r="A164" s="155"/>
      <c r="B164" s="155"/>
      <c r="C164" s="156"/>
      <c r="D164" s="156"/>
      <c r="E164" s="156"/>
      <c r="F164" s="156"/>
      <c r="G164" s="156"/>
      <c r="H164" s="156"/>
    </row>
    <row r="165" spans="1:12" x14ac:dyDescent="0.2">
      <c r="A165" s="155"/>
      <c r="B165" s="155"/>
      <c r="C165" s="156"/>
      <c r="D165" s="156"/>
      <c r="E165" s="156"/>
      <c r="F165" s="156"/>
      <c r="G165" s="156"/>
      <c r="H165" s="156"/>
    </row>
    <row r="166" spans="1:12" ht="18" x14ac:dyDescent="0.25">
      <c r="A166" s="665" t="s">
        <v>387</v>
      </c>
      <c r="B166" s="665"/>
      <c r="C166" s="665"/>
      <c r="D166" s="665"/>
      <c r="E166" s="665"/>
      <c r="F166" s="665"/>
      <c r="G166" s="665"/>
      <c r="H166" s="665"/>
    </row>
    <row r="167" spans="1:12" ht="18" x14ac:dyDescent="0.25">
      <c r="A167" s="665" t="s">
        <v>400</v>
      </c>
      <c r="B167" s="665"/>
      <c r="C167" s="665"/>
      <c r="D167" s="665"/>
      <c r="E167" s="665"/>
      <c r="F167" s="665"/>
      <c r="G167" s="665"/>
      <c r="H167" s="665"/>
    </row>
    <row r="168" spans="1:12" ht="18" x14ac:dyDescent="0.25">
      <c r="A168" s="665" t="s">
        <v>514</v>
      </c>
      <c r="B168" s="665"/>
      <c r="C168" s="665"/>
      <c r="D168" s="665"/>
      <c r="E168" s="665"/>
      <c r="F168" s="665"/>
      <c r="G168" s="665"/>
      <c r="H168" s="665"/>
    </row>
    <row r="169" spans="1:12" x14ac:dyDescent="0.2">
      <c r="A169" s="255"/>
      <c r="B169" s="255"/>
      <c r="C169" s="256"/>
      <c r="D169" s="256"/>
      <c r="E169" s="256"/>
      <c r="F169" s="256"/>
      <c r="G169" s="256"/>
      <c r="H169" s="256"/>
    </row>
    <row r="170" spans="1:12" ht="15.75" x14ac:dyDescent="0.25">
      <c r="A170" s="666" t="s">
        <v>181</v>
      </c>
      <c r="B170" s="666"/>
      <c r="C170" s="666"/>
      <c r="D170" s="666"/>
      <c r="E170" s="666"/>
      <c r="F170" s="666"/>
      <c r="G170" s="666"/>
      <c r="H170" s="666"/>
    </row>
    <row r="171" spans="1:12" ht="15.75" x14ac:dyDescent="0.25">
      <c r="A171" s="257" t="s">
        <v>381</v>
      </c>
      <c r="B171" s="257"/>
      <c r="C171" s="666" t="s">
        <v>404</v>
      </c>
      <c r="D171" s="666"/>
      <c r="E171" s="257"/>
      <c r="F171" s="257"/>
      <c r="G171" s="257"/>
      <c r="H171" s="257"/>
    </row>
    <row r="172" spans="1:12" x14ac:dyDescent="0.2">
      <c r="A172" s="231"/>
      <c r="B172" s="231"/>
      <c r="C172" s="258"/>
      <c r="D172" s="258"/>
      <c r="E172" s="258"/>
      <c r="F172" s="258"/>
      <c r="G172" s="258"/>
      <c r="H172" s="258"/>
      <c r="J172" s="46" t="s">
        <v>349</v>
      </c>
      <c r="L172" s="46">
        <f>360*100/10.5</f>
        <v>3428.5714285714284</v>
      </c>
    </row>
    <row r="173" spans="1:12" x14ac:dyDescent="0.2">
      <c r="A173" s="259" t="s">
        <v>182</v>
      </c>
      <c r="B173" s="260" t="s">
        <v>183</v>
      </c>
      <c r="C173" s="261">
        <f>L180</f>
        <v>242415.6</v>
      </c>
      <c r="D173" s="258" t="s">
        <v>184</v>
      </c>
      <c r="E173" s="258"/>
      <c r="F173" s="258"/>
      <c r="G173" s="258"/>
      <c r="H173" s="258"/>
    </row>
    <row r="174" spans="1:12" x14ac:dyDescent="0.2">
      <c r="A174" s="70" t="s">
        <v>464</v>
      </c>
      <c r="C174" s="71">
        <v>0.105</v>
      </c>
      <c r="D174" s="47" t="s">
        <v>100</v>
      </c>
    </row>
    <row r="175" spans="1:12" x14ac:dyDescent="0.2">
      <c r="A175" s="70" t="s">
        <v>186</v>
      </c>
      <c r="C175" s="70">
        <v>0</v>
      </c>
      <c r="D175" s="47" t="s">
        <v>187</v>
      </c>
    </row>
    <row r="176" spans="1:12" x14ac:dyDescent="0.2">
      <c r="A176" s="70" t="s">
        <v>188</v>
      </c>
      <c r="B176" s="65" t="s">
        <v>183</v>
      </c>
      <c r="C176" s="70">
        <v>5437</v>
      </c>
      <c r="D176" s="47" t="s">
        <v>187</v>
      </c>
    </row>
    <row r="177" spans="1:16" ht="13.5" thickBot="1" x14ac:dyDescent="0.25">
      <c r="B177" s="47"/>
    </row>
    <row r="178" spans="1:16" x14ac:dyDescent="0.2">
      <c r="A178" s="66"/>
      <c r="B178" s="67"/>
      <c r="C178" s="634" t="s">
        <v>189</v>
      </c>
      <c r="D178" s="635"/>
      <c r="E178" s="634" t="s">
        <v>190</v>
      </c>
      <c r="F178" s="636"/>
      <c r="G178" s="635"/>
      <c r="H178" s="68"/>
      <c r="J178" s="46" t="s">
        <v>484</v>
      </c>
      <c r="L178" s="92">
        <v>242415.6</v>
      </c>
    </row>
    <row r="179" spans="1:16" x14ac:dyDescent="0.2">
      <c r="A179" s="48"/>
      <c r="B179" s="49"/>
      <c r="C179" s="638" t="s">
        <v>191</v>
      </c>
      <c r="D179" s="639"/>
      <c r="E179" s="52" t="s">
        <v>192</v>
      </c>
      <c r="F179" s="52" t="s">
        <v>193</v>
      </c>
      <c r="G179" s="640" t="s">
        <v>348</v>
      </c>
      <c r="H179" s="53" t="s">
        <v>195</v>
      </c>
      <c r="J179" s="46" t="s">
        <v>480</v>
      </c>
      <c r="L179" s="92">
        <v>0</v>
      </c>
    </row>
    <row r="180" spans="1:16" ht="13.5" thickBot="1" x14ac:dyDescent="0.25">
      <c r="A180" s="131" t="s">
        <v>196</v>
      </c>
      <c r="B180" s="132" t="s">
        <v>197</v>
      </c>
      <c r="C180" s="133" t="s">
        <v>204</v>
      </c>
      <c r="D180" s="133" t="s">
        <v>198</v>
      </c>
      <c r="E180" s="134" t="s">
        <v>199</v>
      </c>
      <c r="F180" s="133" t="s">
        <v>200</v>
      </c>
      <c r="G180" s="664"/>
      <c r="H180" s="135" t="s">
        <v>202</v>
      </c>
      <c r="J180" s="46" t="s">
        <v>477</v>
      </c>
      <c r="L180" s="123">
        <f>SUM(L178-L179)</f>
        <v>242415.6</v>
      </c>
      <c r="P180" s="46">
        <v>313663.49</v>
      </c>
    </row>
    <row r="181" spans="1:16" x14ac:dyDescent="0.2">
      <c r="A181" s="514">
        <v>44197</v>
      </c>
      <c r="B181" s="49">
        <v>0</v>
      </c>
      <c r="C181" s="137">
        <v>0</v>
      </c>
      <c r="D181" s="137">
        <v>0</v>
      </c>
      <c r="E181" s="137">
        <v>0</v>
      </c>
      <c r="F181" s="137"/>
      <c r="G181" s="137"/>
      <c r="H181" s="138">
        <f>C173</f>
        <v>242415.6</v>
      </c>
      <c r="L181" s="92"/>
    </row>
    <row r="182" spans="1:16" x14ac:dyDescent="0.2">
      <c r="A182" s="515">
        <v>44227</v>
      </c>
      <c r="B182" s="51">
        <v>31</v>
      </c>
      <c r="C182" s="58">
        <f>SUM(H181*31/3428.57)</f>
        <v>2191.841963267485</v>
      </c>
      <c r="D182" s="58">
        <f>SUM(C176-C182)</f>
        <v>3245.158036732515</v>
      </c>
      <c r="E182" s="60">
        <f>SUM(C182:D182)</f>
        <v>5437</v>
      </c>
      <c r="F182" s="58"/>
      <c r="G182" s="58">
        <f t="shared" ref="G182:G193" si="15">SUM(E182:F182)</f>
        <v>5437</v>
      </c>
      <c r="H182" s="59">
        <f t="shared" ref="H182:H193" si="16">+H181-D182</f>
        <v>239170.44196326748</v>
      </c>
      <c r="L182" s="92"/>
    </row>
    <row r="183" spans="1:16" x14ac:dyDescent="0.2">
      <c r="A183" s="515" t="s">
        <v>609</v>
      </c>
      <c r="B183" s="51">
        <v>28</v>
      </c>
      <c r="C183" s="58">
        <f t="shared" ref="C183:C193" si="17">SUM(H182*31/3428.57)</f>
        <v>2162.5003137930075</v>
      </c>
      <c r="D183" s="58">
        <f>SUM(C176-C183)</f>
        <v>3274.4996862069925</v>
      </c>
      <c r="E183" s="60">
        <f>SUM(C183:D183)</f>
        <v>5437</v>
      </c>
      <c r="F183" s="58"/>
      <c r="G183" s="58">
        <f t="shared" si="15"/>
        <v>5437</v>
      </c>
      <c r="H183" s="59">
        <f t="shared" si="16"/>
        <v>235895.9422770605</v>
      </c>
      <c r="L183" s="92"/>
    </row>
    <row r="184" spans="1:16" x14ac:dyDescent="0.2">
      <c r="A184" s="515">
        <v>44286</v>
      </c>
      <c r="B184" s="51">
        <v>31</v>
      </c>
      <c r="C184" s="58">
        <f t="shared" si="17"/>
        <v>2132.8933667939914</v>
      </c>
      <c r="D184" s="58">
        <f>SUM(C176-C184)</f>
        <v>3304.1066332060086</v>
      </c>
      <c r="E184" s="60">
        <f t="shared" ref="E184:E193" si="18">SUM(C184:D184)</f>
        <v>5437</v>
      </c>
      <c r="F184" s="58"/>
      <c r="G184" s="58">
        <f t="shared" si="15"/>
        <v>5437</v>
      </c>
      <c r="H184" s="59">
        <f t="shared" si="16"/>
        <v>232591.83564385449</v>
      </c>
      <c r="L184" s="92"/>
    </row>
    <row r="185" spans="1:16" x14ac:dyDescent="0.2">
      <c r="A185" s="515">
        <v>44316</v>
      </c>
      <c r="B185" s="51">
        <v>30</v>
      </c>
      <c r="C185" s="58">
        <f t="shared" si="17"/>
        <v>2103.018723537652</v>
      </c>
      <c r="D185" s="58">
        <f>SUM(C176-C185)</f>
        <v>3333.981276462348</v>
      </c>
      <c r="E185" s="60">
        <f t="shared" si="18"/>
        <v>5437</v>
      </c>
      <c r="F185" s="58"/>
      <c r="G185" s="58">
        <f t="shared" si="15"/>
        <v>5437</v>
      </c>
      <c r="H185" s="59">
        <f t="shared" si="16"/>
        <v>229257.85436739214</v>
      </c>
      <c r="L185" s="92"/>
    </row>
    <row r="186" spans="1:16" x14ac:dyDescent="0.2">
      <c r="A186" s="515">
        <v>44347</v>
      </c>
      <c r="B186" s="51">
        <v>31</v>
      </c>
      <c r="C186" s="58">
        <f t="shared" si="17"/>
        <v>2072.8739636026553</v>
      </c>
      <c r="D186" s="58">
        <f>SUM(C176-C186)</f>
        <v>3364.1260363973447</v>
      </c>
      <c r="E186" s="60">
        <f t="shared" si="18"/>
        <v>5437</v>
      </c>
      <c r="F186" s="58"/>
      <c r="G186" s="58">
        <f t="shared" si="15"/>
        <v>5437</v>
      </c>
      <c r="H186" s="59">
        <f t="shared" si="16"/>
        <v>225893.72833099478</v>
      </c>
      <c r="L186" s="92"/>
    </row>
    <row r="187" spans="1:16" x14ac:dyDescent="0.2">
      <c r="A187" s="515">
        <v>44377</v>
      </c>
      <c r="B187" s="51">
        <v>30</v>
      </c>
      <c r="C187" s="58">
        <f t="shared" si="17"/>
        <v>2042.4566446830129</v>
      </c>
      <c r="D187" s="58">
        <f>SUM(C176-C187)</f>
        <v>3394.5433553169869</v>
      </c>
      <c r="E187" s="60">
        <f t="shared" si="18"/>
        <v>5437</v>
      </c>
      <c r="F187" s="58"/>
      <c r="G187" s="58">
        <f t="shared" si="15"/>
        <v>5437</v>
      </c>
      <c r="H187" s="59">
        <f t="shared" si="16"/>
        <v>222499.18497567778</v>
      </c>
      <c r="L187" s="92"/>
    </row>
    <row r="188" spans="1:16" x14ac:dyDescent="0.2">
      <c r="A188" s="515">
        <v>44408</v>
      </c>
      <c r="B188" s="51">
        <v>31</v>
      </c>
      <c r="C188" s="58">
        <f t="shared" si="17"/>
        <v>2011.7643023902124</v>
      </c>
      <c r="D188" s="58">
        <f>SUM(C176-C188)</f>
        <v>3425.2356976097876</v>
      </c>
      <c r="E188" s="60">
        <f t="shared" si="18"/>
        <v>5437</v>
      </c>
      <c r="F188" s="58"/>
      <c r="G188" s="58">
        <f t="shared" si="15"/>
        <v>5437</v>
      </c>
      <c r="H188" s="59">
        <f t="shared" si="16"/>
        <v>219073.949278068</v>
      </c>
      <c r="L188" s="92"/>
    </row>
    <row r="189" spans="1:16" x14ac:dyDescent="0.2">
      <c r="A189" s="515">
        <v>44439</v>
      </c>
      <c r="B189" s="51">
        <v>31</v>
      </c>
      <c r="C189" s="58">
        <f t="shared" si="17"/>
        <v>1980.7944500535523</v>
      </c>
      <c r="D189" s="58">
        <f>SUM(C176-C189)</f>
        <v>3456.2055499464477</v>
      </c>
      <c r="E189" s="60">
        <f t="shared" si="18"/>
        <v>5437</v>
      </c>
      <c r="F189" s="58"/>
      <c r="G189" s="58">
        <f t="shared" si="15"/>
        <v>5437</v>
      </c>
      <c r="H189" s="59">
        <f t="shared" si="16"/>
        <v>215617.74372812157</v>
      </c>
      <c r="L189" s="92"/>
    </row>
    <row r="190" spans="1:16" x14ac:dyDescent="0.2">
      <c r="A190" s="515">
        <v>44469</v>
      </c>
      <c r="B190" s="51">
        <v>30</v>
      </c>
      <c r="C190" s="58">
        <f t="shared" si="17"/>
        <v>1949.5445785186735</v>
      </c>
      <c r="D190" s="58">
        <f>SUM(C176-C190)</f>
        <v>3487.4554214813265</v>
      </c>
      <c r="E190" s="60">
        <f t="shared" si="18"/>
        <v>5437</v>
      </c>
      <c r="F190" s="58"/>
      <c r="G190" s="58">
        <f t="shared" si="15"/>
        <v>5437</v>
      </c>
      <c r="H190" s="59">
        <f t="shared" si="16"/>
        <v>212130.28830664023</v>
      </c>
      <c r="L190" s="92"/>
    </row>
    <row r="191" spans="1:16" x14ac:dyDescent="0.2">
      <c r="A191" s="515">
        <v>44500</v>
      </c>
      <c r="B191" s="51">
        <v>31</v>
      </c>
      <c r="C191" s="58">
        <f t="shared" si="17"/>
        <v>1918.0121559442703</v>
      </c>
      <c r="D191" s="58">
        <f>SUM(C176-C191)</f>
        <v>3518.9878440557295</v>
      </c>
      <c r="E191" s="60">
        <f t="shared" si="18"/>
        <v>5437</v>
      </c>
      <c r="F191" s="58"/>
      <c r="G191" s="58">
        <f t="shared" si="15"/>
        <v>5437</v>
      </c>
      <c r="H191" s="59">
        <f t="shared" si="16"/>
        <v>208611.30046258451</v>
      </c>
      <c r="L191" s="92"/>
    </row>
    <row r="192" spans="1:16" x14ac:dyDescent="0.2">
      <c r="A192" s="515">
        <v>44530</v>
      </c>
      <c r="B192" s="51">
        <v>30</v>
      </c>
      <c r="C192" s="58">
        <f t="shared" si="17"/>
        <v>1886.1946275969628</v>
      </c>
      <c r="D192" s="58">
        <f>SUM(C176-C192)</f>
        <v>3550.8053724030369</v>
      </c>
      <c r="E192" s="60">
        <f t="shared" si="18"/>
        <v>5437</v>
      </c>
      <c r="F192" s="58"/>
      <c r="G192" s="58">
        <f t="shared" si="15"/>
        <v>5437</v>
      </c>
      <c r="H192" s="59">
        <f t="shared" si="16"/>
        <v>205060.49509018147</v>
      </c>
      <c r="L192" s="92"/>
    </row>
    <row r="193" spans="1:12" x14ac:dyDescent="0.2">
      <c r="A193" s="515">
        <v>44561</v>
      </c>
      <c r="B193" s="51">
        <v>31</v>
      </c>
      <c r="C193" s="58">
        <f t="shared" si="17"/>
        <v>1854.0894156443142</v>
      </c>
      <c r="D193" s="58">
        <f>SUM(C176-C193)</f>
        <v>3582.9105843556858</v>
      </c>
      <c r="E193" s="60">
        <f t="shared" si="18"/>
        <v>5437</v>
      </c>
      <c r="F193" s="58"/>
      <c r="G193" s="58">
        <f t="shared" si="15"/>
        <v>5437</v>
      </c>
      <c r="H193" s="59">
        <f t="shared" si="16"/>
        <v>201477.5845058258</v>
      </c>
      <c r="L193" s="92"/>
    </row>
    <row r="194" spans="1:12" x14ac:dyDescent="0.2">
      <c r="A194" s="57"/>
      <c r="B194" s="51"/>
      <c r="C194" s="58"/>
      <c r="D194" s="58"/>
      <c r="E194" s="60"/>
      <c r="F194" s="58"/>
      <c r="G194" s="58"/>
      <c r="H194" s="59"/>
      <c r="L194" s="92"/>
    </row>
    <row r="195" spans="1:12" ht="15.75" thickBot="1" x14ac:dyDescent="0.4">
      <c r="A195" s="61"/>
      <c r="B195" s="62">
        <f t="shared" ref="B195:G195" si="19">SUM(B181:B194)</f>
        <v>365</v>
      </c>
      <c r="C195" s="63">
        <f t="shared" si="19"/>
        <v>24305.984505825792</v>
      </c>
      <c r="D195" s="63">
        <f t="shared" si="19"/>
        <v>40938.015494174208</v>
      </c>
      <c r="E195" s="63">
        <f t="shared" si="19"/>
        <v>65244</v>
      </c>
      <c r="F195" s="63">
        <f t="shared" si="19"/>
        <v>0</v>
      </c>
      <c r="G195" s="63">
        <f t="shared" si="19"/>
        <v>65244</v>
      </c>
      <c r="H195" s="64"/>
      <c r="L195" s="92"/>
    </row>
    <row r="196" spans="1:12" x14ac:dyDescent="0.2">
      <c r="L196" s="92"/>
    </row>
    <row r="197" spans="1:12" x14ac:dyDescent="0.2">
      <c r="C197" s="145">
        <f>SUM(C195+C141+C86+C29)</f>
        <v>110364.33630626385</v>
      </c>
      <c r="D197" s="145">
        <f>SUM(D195+D141+D86+D29)</f>
        <v>129772.82369373614</v>
      </c>
      <c r="E197" s="145"/>
    </row>
    <row r="198" spans="1:12" x14ac:dyDescent="0.2">
      <c r="C198" s="145"/>
    </row>
    <row r="199" spans="1:12" x14ac:dyDescent="0.2">
      <c r="C199" s="145"/>
    </row>
    <row r="202" spans="1:12" x14ac:dyDescent="0.2">
      <c r="A202" s="47"/>
    </row>
    <row r="223" spans="1:8" ht="18" x14ac:dyDescent="0.25">
      <c r="A223" s="665" t="s">
        <v>387</v>
      </c>
      <c r="B223" s="665"/>
      <c r="C223" s="665"/>
      <c r="D223" s="665"/>
      <c r="E223" s="665"/>
      <c r="F223" s="665"/>
      <c r="G223" s="665"/>
      <c r="H223" s="665"/>
    </row>
    <row r="224" spans="1:8" ht="18" x14ac:dyDescent="0.25">
      <c r="A224" s="665" t="s">
        <v>400</v>
      </c>
      <c r="B224" s="665"/>
      <c r="C224" s="665"/>
      <c r="D224" s="665"/>
      <c r="E224" s="665"/>
      <c r="F224" s="665"/>
      <c r="G224" s="665"/>
      <c r="H224" s="665"/>
    </row>
    <row r="225" spans="1:16" ht="18" x14ac:dyDescent="0.25">
      <c r="A225" s="665" t="s">
        <v>514</v>
      </c>
      <c r="B225" s="665"/>
      <c r="C225" s="665"/>
      <c r="D225" s="665"/>
      <c r="E225" s="665"/>
      <c r="F225" s="665"/>
      <c r="G225" s="665"/>
      <c r="H225" s="665"/>
    </row>
    <row r="226" spans="1:16" x14ac:dyDescent="0.2">
      <c r="A226" s="255"/>
      <c r="B226" s="255"/>
      <c r="C226" s="256"/>
      <c r="D226" s="256"/>
      <c r="E226" s="256"/>
      <c r="F226" s="256"/>
      <c r="G226" s="256"/>
      <c r="H226" s="256"/>
    </row>
    <row r="227" spans="1:16" ht="15.75" x14ac:dyDescent="0.25">
      <c r="A227" s="666" t="s">
        <v>181</v>
      </c>
      <c r="B227" s="666"/>
      <c r="C227" s="666"/>
      <c r="D227" s="666"/>
      <c r="E227" s="666"/>
      <c r="F227" s="666"/>
      <c r="G227" s="666"/>
      <c r="H227" s="666"/>
    </row>
    <row r="228" spans="1:16" ht="15.75" x14ac:dyDescent="0.25">
      <c r="A228" s="257" t="s">
        <v>381</v>
      </c>
      <c r="B228" s="257"/>
      <c r="C228" s="666" t="s">
        <v>438</v>
      </c>
      <c r="D228" s="666"/>
      <c r="E228" s="257"/>
      <c r="F228" s="257"/>
      <c r="G228" s="257"/>
      <c r="H228" s="257"/>
    </row>
    <row r="229" spans="1:16" x14ac:dyDescent="0.2">
      <c r="A229" s="231"/>
      <c r="B229" s="231"/>
      <c r="C229" s="258"/>
      <c r="D229" s="258"/>
      <c r="E229" s="258"/>
      <c r="F229" s="258"/>
      <c r="G229" s="258"/>
      <c r="H229" s="258"/>
      <c r="J229" s="46" t="s">
        <v>349</v>
      </c>
      <c r="L229" s="46">
        <f>159*100/6.25</f>
        <v>2544</v>
      </c>
      <c r="N229" s="46">
        <f>360*100/6.25</f>
        <v>5760</v>
      </c>
    </row>
    <row r="230" spans="1:16" x14ac:dyDescent="0.2">
      <c r="A230" s="259" t="s">
        <v>182</v>
      </c>
      <c r="B230" s="260" t="s">
        <v>183</v>
      </c>
      <c r="C230" s="261">
        <f>L237</f>
        <v>22989.61</v>
      </c>
      <c r="D230" s="258" t="s">
        <v>184</v>
      </c>
      <c r="E230" s="258"/>
      <c r="F230" s="258"/>
      <c r="G230" s="258"/>
      <c r="H230" s="258"/>
    </row>
    <row r="231" spans="1:16" x14ac:dyDescent="0.2">
      <c r="A231" s="261" t="s">
        <v>185</v>
      </c>
      <c r="B231" s="231"/>
      <c r="C231" s="262">
        <v>6.25E-2</v>
      </c>
      <c r="D231" s="258" t="s">
        <v>100</v>
      </c>
      <c r="E231" s="258"/>
      <c r="F231" s="258"/>
      <c r="G231" s="258"/>
      <c r="H231" s="258"/>
    </row>
    <row r="232" spans="1:16" x14ac:dyDescent="0.2">
      <c r="A232" s="261" t="s">
        <v>186</v>
      </c>
      <c r="B232" s="231"/>
      <c r="C232" s="261">
        <v>0</v>
      </c>
      <c r="D232" s="258" t="s">
        <v>187</v>
      </c>
      <c r="E232" s="258"/>
      <c r="F232" s="258"/>
      <c r="G232" s="258"/>
      <c r="H232" s="258"/>
    </row>
    <row r="233" spans="1:16" x14ac:dyDescent="0.2">
      <c r="A233" s="261" t="s">
        <v>188</v>
      </c>
      <c r="B233" s="260" t="s">
        <v>183</v>
      </c>
      <c r="C233" s="261">
        <v>8579.7800000000007</v>
      </c>
      <c r="D233" s="258" t="s">
        <v>187</v>
      </c>
      <c r="E233" s="258"/>
      <c r="F233" s="258"/>
      <c r="G233" s="258"/>
      <c r="H233" s="258"/>
    </row>
    <row r="234" spans="1:16" ht="13.5" thickBot="1" x14ac:dyDescent="0.25">
      <c r="B234" s="47"/>
    </row>
    <row r="235" spans="1:16" x14ac:dyDescent="0.2">
      <c r="A235" s="66"/>
      <c r="B235" s="67"/>
      <c r="C235" s="634" t="s">
        <v>189</v>
      </c>
      <c r="D235" s="635"/>
      <c r="E235" s="634" t="s">
        <v>190</v>
      </c>
      <c r="F235" s="636"/>
      <c r="G235" s="635"/>
      <c r="H235" s="68"/>
      <c r="J235" s="46" t="s">
        <v>539</v>
      </c>
      <c r="L235" s="92">
        <v>22989.61</v>
      </c>
    </row>
    <row r="236" spans="1:16" x14ac:dyDescent="0.2">
      <c r="A236" s="48"/>
      <c r="B236" s="49"/>
      <c r="C236" s="638" t="s">
        <v>191</v>
      </c>
      <c r="D236" s="639"/>
      <c r="E236" s="52" t="s">
        <v>192</v>
      </c>
      <c r="F236" s="52" t="s">
        <v>193</v>
      </c>
      <c r="G236" s="640" t="s">
        <v>348</v>
      </c>
      <c r="H236" s="53" t="s">
        <v>195</v>
      </c>
      <c r="J236" s="46" t="s">
        <v>534</v>
      </c>
      <c r="L236" s="92">
        <v>0</v>
      </c>
    </row>
    <row r="237" spans="1:16" ht="13.5" thickBot="1" x14ac:dyDescent="0.25">
      <c r="A237" s="131" t="s">
        <v>196</v>
      </c>
      <c r="B237" s="132" t="s">
        <v>197</v>
      </c>
      <c r="C237" s="133" t="s">
        <v>204</v>
      </c>
      <c r="D237" s="133" t="s">
        <v>198</v>
      </c>
      <c r="E237" s="134" t="s">
        <v>199</v>
      </c>
      <c r="F237" s="133" t="s">
        <v>200</v>
      </c>
      <c r="G237" s="664"/>
      <c r="H237" s="135" t="s">
        <v>202</v>
      </c>
      <c r="J237" s="46" t="s">
        <v>486</v>
      </c>
      <c r="L237" s="123">
        <f>SUM(L235-L236)</f>
        <v>22989.61</v>
      </c>
      <c r="P237" s="46">
        <v>300024.32000000001</v>
      </c>
    </row>
    <row r="238" spans="1:16" x14ac:dyDescent="0.2">
      <c r="A238" s="136">
        <v>44197</v>
      </c>
      <c r="B238" s="49">
        <v>0</v>
      </c>
      <c r="C238" s="137">
        <v>0</v>
      </c>
      <c r="D238" s="137">
        <v>0</v>
      </c>
      <c r="E238" s="137">
        <v>0</v>
      </c>
      <c r="F238" s="137"/>
      <c r="G238" s="137"/>
      <c r="H238" s="138">
        <f>C230</f>
        <v>22989.61</v>
      </c>
      <c r="L238" s="92"/>
    </row>
    <row r="239" spans="1:16" x14ac:dyDescent="0.2">
      <c r="A239" s="57">
        <v>44227</v>
      </c>
      <c r="B239" s="51">
        <v>31</v>
      </c>
      <c r="C239" s="58">
        <v>121.7</v>
      </c>
      <c r="D239" s="58">
        <v>8458.0499999999993</v>
      </c>
      <c r="E239" s="60">
        <f>SUM(C239:D239)</f>
        <v>8579.75</v>
      </c>
      <c r="F239" s="58"/>
      <c r="G239" s="58">
        <f t="shared" ref="G239:G241" si="20">SUM(E239:F239)</f>
        <v>8579.75</v>
      </c>
      <c r="H239" s="59">
        <f t="shared" ref="H239:H241" si="21">+H238-D239</f>
        <v>14531.560000000001</v>
      </c>
      <c r="L239" s="92"/>
    </row>
    <row r="240" spans="1:16" x14ac:dyDescent="0.2">
      <c r="A240" s="57">
        <v>44255</v>
      </c>
      <c r="B240" s="51">
        <v>28</v>
      </c>
      <c r="C240" s="58">
        <v>76.930000000000007</v>
      </c>
      <c r="D240" s="58">
        <f>SUM(C233-C240)</f>
        <v>8502.85</v>
      </c>
      <c r="E240" s="60">
        <f>SUM(C240:D240)</f>
        <v>8579.7800000000007</v>
      </c>
      <c r="F240" s="58"/>
      <c r="G240" s="58">
        <f t="shared" si="20"/>
        <v>8579.7800000000007</v>
      </c>
      <c r="H240" s="59">
        <f t="shared" si="21"/>
        <v>6028.7100000000009</v>
      </c>
      <c r="L240" s="92"/>
    </row>
    <row r="241" spans="1:12" x14ac:dyDescent="0.2">
      <c r="A241" s="57">
        <v>44286</v>
      </c>
      <c r="B241" s="51">
        <v>31</v>
      </c>
      <c r="C241" s="58">
        <v>28.83</v>
      </c>
      <c r="D241" s="58">
        <v>6028.71</v>
      </c>
      <c r="E241" s="60">
        <f t="shared" ref="E241" si="22">SUM(C241:D241)</f>
        <v>6057.54</v>
      </c>
      <c r="F241" s="58"/>
      <c r="G241" s="58">
        <f t="shared" si="20"/>
        <v>6057.54</v>
      </c>
      <c r="H241" s="59">
        <f t="shared" si="21"/>
        <v>0</v>
      </c>
      <c r="L241" s="92"/>
    </row>
    <row r="242" spans="1:12" x14ac:dyDescent="0.2">
      <c r="A242" s="57"/>
      <c r="B242" s="51"/>
      <c r="C242" s="58"/>
      <c r="D242" s="58"/>
      <c r="E242" s="60"/>
      <c r="F242" s="58"/>
      <c r="G242" s="58"/>
      <c r="H242" s="59"/>
      <c r="L242" s="92"/>
    </row>
    <row r="243" spans="1:12" x14ac:dyDescent="0.2">
      <c r="A243" s="57"/>
      <c r="B243" s="51"/>
      <c r="C243" s="58"/>
      <c r="D243" s="58"/>
      <c r="E243" s="60"/>
      <c r="F243" s="58"/>
      <c r="G243" s="58"/>
      <c r="H243" s="59"/>
      <c r="L243" s="92"/>
    </row>
    <row r="244" spans="1:12" x14ac:dyDescent="0.2">
      <c r="A244" s="57"/>
      <c r="B244" s="51"/>
      <c r="C244" s="58"/>
      <c r="D244" s="58"/>
      <c r="E244" s="60"/>
      <c r="F244" s="58"/>
      <c r="G244" s="58"/>
      <c r="H244" s="59"/>
      <c r="L244" s="92"/>
    </row>
    <row r="245" spans="1:12" x14ac:dyDescent="0.2">
      <c r="A245" s="57"/>
      <c r="B245" s="51"/>
      <c r="C245" s="58"/>
      <c r="D245" s="58"/>
      <c r="E245" s="60"/>
      <c r="F245" s="58"/>
      <c r="G245" s="58"/>
      <c r="H245" s="59"/>
      <c r="L245" s="92"/>
    </row>
    <row r="246" spans="1:12" x14ac:dyDescent="0.2">
      <c r="A246" s="57"/>
      <c r="B246" s="51"/>
      <c r="C246" s="58"/>
      <c r="D246" s="58"/>
      <c r="E246" s="60"/>
      <c r="F246" s="58"/>
      <c r="G246" s="58"/>
      <c r="H246" s="59"/>
      <c r="L246" s="92"/>
    </row>
    <row r="247" spans="1:12" x14ac:dyDescent="0.2">
      <c r="A247" s="57"/>
      <c r="B247" s="51"/>
      <c r="C247" s="58"/>
      <c r="D247" s="58"/>
      <c r="E247" s="60"/>
      <c r="F247" s="58"/>
      <c r="G247" s="58"/>
      <c r="H247" s="59"/>
      <c r="L247" s="92"/>
    </row>
    <row r="248" spans="1:12" x14ac:dyDescent="0.2">
      <c r="A248" s="57"/>
      <c r="B248" s="51"/>
      <c r="C248" s="58"/>
      <c r="D248" s="58"/>
      <c r="E248" s="60"/>
      <c r="F248" s="58"/>
      <c r="G248" s="58"/>
      <c r="H248" s="59"/>
      <c r="L248" s="92"/>
    </row>
    <row r="249" spans="1:12" x14ac:dyDescent="0.2">
      <c r="A249" s="57"/>
      <c r="B249" s="51"/>
      <c r="C249" s="58"/>
      <c r="D249" s="58"/>
      <c r="E249" s="60"/>
      <c r="F249" s="58"/>
      <c r="G249" s="58"/>
      <c r="H249" s="59"/>
      <c r="L249" s="92"/>
    </row>
    <row r="250" spans="1:12" x14ac:dyDescent="0.2">
      <c r="A250" s="57"/>
      <c r="B250" s="51"/>
      <c r="C250" s="58"/>
      <c r="D250" s="58"/>
      <c r="E250" s="60"/>
      <c r="F250" s="58"/>
      <c r="G250" s="58"/>
      <c r="H250" s="59"/>
      <c r="I250" s="46">
        <v>121581.2</v>
      </c>
      <c r="L250" s="92"/>
    </row>
    <row r="251" spans="1:12" x14ac:dyDescent="0.2">
      <c r="A251" s="57"/>
      <c r="B251" s="51"/>
      <c r="C251" s="58"/>
      <c r="D251" s="58"/>
      <c r="E251" s="60"/>
      <c r="F251" s="58"/>
      <c r="G251" s="58"/>
      <c r="H251" s="59"/>
      <c r="L251" s="92"/>
    </row>
    <row r="252" spans="1:12" ht="15.75" thickBot="1" x14ac:dyDescent="0.4">
      <c r="A252" s="61"/>
      <c r="B252" s="62">
        <f t="shared" ref="B252:G252" si="23">SUM(B238:B251)</f>
        <v>90</v>
      </c>
      <c r="C252" s="63">
        <f t="shared" si="23"/>
        <v>227.45999999999998</v>
      </c>
      <c r="D252" s="63">
        <f t="shared" si="23"/>
        <v>22989.61</v>
      </c>
      <c r="E252" s="63">
        <f t="shared" si="23"/>
        <v>23217.07</v>
      </c>
      <c r="F252" s="63">
        <f t="shared" si="23"/>
        <v>0</v>
      </c>
      <c r="G252" s="63">
        <f t="shared" si="23"/>
        <v>23217.07</v>
      </c>
      <c r="H252" s="64"/>
      <c r="L252" s="92"/>
    </row>
    <row r="253" spans="1:12" ht="30.75" customHeight="1" x14ac:dyDescent="0.2">
      <c r="L253" s="92"/>
    </row>
    <row r="254" spans="1:12" ht="12.75" customHeight="1" x14ac:dyDescent="0.2">
      <c r="L254" s="92"/>
    </row>
    <row r="255" spans="1:12" ht="12.75" customHeight="1" x14ac:dyDescent="0.2">
      <c r="L255" s="92"/>
    </row>
    <row r="256" spans="1:12" ht="12.75" customHeight="1" x14ac:dyDescent="0.2">
      <c r="L256" s="92"/>
    </row>
    <row r="257" spans="1:12" ht="12.75" customHeight="1" x14ac:dyDescent="0.2">
      <c r="L257" s="92"/>
    </row>
    <row r="258" spans="1:12" ht="12.75" customHeight="1" x14ac:dyDescent="0.2">
      <c r="L258" s="92"/>
    </row>
    <row r="259" spans="1:12" ht="12.75" customHeight="1" x14ac:dyDescent="0.2">
      <c r="L259" s="92"/>
    </row>
    <row r="260" spans="1:12" ht="18.75" customHeight="1" x14ac:dyDescent="0.25">
      <c r="A260" s="665" t="s">
        <v>387</v>
      </c>
      <c r="B260" s="665"/>
      <c r="C260" s="665"/>
      <c r="D260" s="665"/>
      <c r="E260" s="665"/>
      <c r="F260" s="665"/>
      <c r="G260" s="665"/>
      <c r="H260" s="665"/>
    </row>
    <row r="261" spans="1:12" ht="12.75" customHeight="1" x14ac:dyDescent="0.25">
      <c r="A261" s="665" t="s">
        <v>400</v>
      </c>
      <c r="B261" s="665"/>
      <c r="C261" s="665"/>
      <c r="D261" s="665"/>
      <c r="E261" s="665"/>
      <c r="F261" s="665"/>
      <c r="G261" s="665"/>
      <c r="H261" s="665"/>
    </row>
    <row r="262" spans="1:12" ht="15" customHeight="1" x14ac:dyDescent="0.25">
      <c r="A262" s="665" t="s">
        <v>514</v>
      </c>
      <c r="B262" s="665"/>
      <c r="C262" s="665"/>
      <c r="D262" s="665"/>
      <c r="E262" s="665"/>
      <c r="F262" s="665"/>
      <c r="G262" s="665"/>
      <c r="H262" s="665"/>
    </row>
    <row r="263" spans="1:12" ht="12.75" customHeight="1" x14ac:dyDescent="0.2">
      <c r="A263" s="255"/>
      <c r="B263" s="255"/>
      <c r="C263" s="256"/>
      <c r="D263" s="256"/>
      <c r="E263" s="256"/>
      <c r="F263" s="256"/>
      <c r="G263" s="256"/>
      <c r="H263" s="256"/>
    </row>
    <row r="264" spans="1:12" ht="12.75" customHeight="1" x14ac:dyDescent="0.25">
      <c r="A264" s="666" t="s">
        <v>181</v>
      </c>
      <c r="B264" s="666"/>
      <c r="C264" s="666"/>
      <c r="D264" s="666"/>
      <c r="E264" s="666"/>
      <c r="F264" s="666"/>
      <c r="G264" s="666"/>
      <c r="H264" s="666"/>
    </row>
    <row r="265" spans="1:12" ht="18" customHeight="1" x14ac:dyDescent="0.25">
      <c r="A265" s="415" t="s">
        <v>381</v>
      </c>
      <c r="B265" s="415"/>
      <c r="C265" s="666" t="s">
        <v>530</v>
      </c>
      <c r="D265" s="666"/>
      <c r="E265" s="415"/>
      <c r="F265" s="415"/>
      <c r="G265" s="415"/>
      <c r="H265" s="415"/>
    </row>
    <row r="266" spans="1:12" ht="12.75" customHeight="1" x14ac:dyDescent="0.2">
      <c r="A266" s="231"/>
      <c r="B266" s="231"/>
      <c r="C266" s="258"/>
      <c r="D266" s="258"/>
      <c r="E266" s="258"/>
      <c r="F266" s="258"/>
      <c r="G266" s="258"/>
      <c r="H266" s="258"/>
      <c r="J266" s="46" t="s">
        <v>349</v>
      </c>
      <c r="L266" s="46">
        <f>120*100/8</f>
        <v>1500</v>
      </c>
    </row>
    <row r="267" spans="1:12" ht="12.75" customHeight="1" x14ac:dyDescent="0.2">
      <c r="A267" s="259" t="s">
        <v>182</v>
      </c>
      <c r="B267" s="260" t="s">
        <v>183</v>
      </c>
      <c r="C267" s="261">
        <f>L274</f>
        <v>17149.97</v>
      </c>
      <c r="D267" s="258" t="s">
        <v>184</v>
      </c>
      <c r="E267" s="258"/>
      <c r="F267" s="258"/>
      <c r="G267" s="258"/>
      <c r="H267" s="258"/>
    </row>
    <row r="268" spans="1:12" ht="12.75" customHeight="1" x14ac:dyDescent="0.2">
      <c r="A268" s="261" t="s">
        <v>185</v>
      </c>
      <c r="B268" s="231"/>
      <c r="C268" s="262">
        <v>0.08</v>
      </c>
      <c r="D268" s="258" t="s">
        <v>100</v>
      </c>
      <c r="E268" s="258"/>
      <c r="F268" s="258"/>
      <c r="G268" s="258"/>
      <c r="H268" s="258"/>
    </row>
    <row r="269" spans="1:12" ht="12.75" customHeight="1" x14ac:dyDescent="0.2">
      <c r="A269" s="261" t="s">
        <v>186</v>
      </c>
      <c r="B269" s="231"/>
      <c r="C269" s="261">
        <v>0</v>
      </c>
      <c r="D269" s="258" t="s">
        <v>187</v>
      </c>
      <c r="E269" s="258"/>
      <c r="F269" s="258"/>
      <c r="G269" s="258"/>
      <c r="H269" s="258"/>
    </row>
    <row r="270" spans="1:12" ht="12.75" customHeight="1" x14ac:dyDescent="0.2">
      <c r="A270" s="261" t="s">
        <v>188</v>
      </c>
      <c r="B270" s="260" t="s">
        <v>183</v>
      </c>
      <c r="C270" s="261">
        <v>4349.42</v>
      </c>
      <c r="D270" s="258" t="s">
        <v>187</v>
      </c>
      <c r="E270" s="258"/>
      <c r="F270" s="258"/>
      <c r="G270" s="258"/>
      <c r="H270" s="258"/>
    </row>
    <row r="271" spans="1:12" ht="12.75" customHeight="1" thickBot="1" x14ac:dyDescent="0.25">
      <c r="B271" s="47"/>
    </row>
    <row r="272" spans="1:12" ht="12.75" customHeight="1" x14ac:dyDescent="0.2">
      <c r="A272" s="66"/>
      <c r="B272" s="67"/>
      <c r="C272" s="634" t="s">
        <v>189</v>
      </c>
      <c r="D272" s="635"/>
      <c r="E272" s="634" t="s">
        <v>190</v>
      </c>
      <c r="F272" s="636"/>
      <c r="G272" s="635"/>
      <c r="H272" s="68"/>
      <c r="J272" s="46" t="s">
        <v>540</v>
      </c>
      <c r="L272" s="92">
        <v>21326.11</v>
      </c>
    </row>
    <row r="273" spans="1:16" ht="12.75" customHeight="1" x14ac:dyDescent="0.2">
      <c r="A273" s="48"/>
      <c r="B273" s="49"/>
      <c r="C273" s="638" t="s">
        <v>191</v>
      </c>
      <c r="D273" s="639"/>
      <c r="E273" s="52" t="s">
        <v>192</v>
      </c>
      <c r="F273" s="52" t="s">
        <v>193</v>
      </c>
      <c r="G273" s="640" t="s">
        <v>348</v>
      </c>
      <c r="H273" s="53" t="s">
        <v>195</v>
      </c>
      <c r="J273" s="46" t="s">
        <v>507</v>
      </c>
      <c r="L273" s="92">
        <v>4176.1400000000003</v>
      </c>
    </row>
    <row r="274" spans="1:16" ht="12.75" customHeight="1" thickBot="1" x14ac:dyDescent="0.25">
      <c r="A274" s="131" t="s">
        <v>196</v>
      </c>
      <c r="B274" s="132" t="s">
        <v>197</v>
      </c>
      <c r="C274" s="133" t="s">
        <v>204</v>
      </c>
      <c r="D274" s="133" t="s">
        <v>198</v>
      </c>
      <c r="E274" s="134" t="s">
        <v>199</v>
      </c>
      <c r="F274" s="133" t="s">
        <v>200</v>
      </c>
      <c r="G274" s="664"/>
      <c r="H274" s="135" t="s">
        <v>202</v>
      </c>
      <c r="J274" s="46" t="s">
        <v>499</v>
      </c>
      <c r="L274" s="123">
        <f>SUM(L272-L273)</f>
        <v>17149.97</v>
      </c>
      <c r="P274" s="46">
        <v>300024.32000000001</v>
      </c>
    </row>
    <row r="275" spans="1:16" ht="12.75" customHeight="1" x14ac:dyDescent="0.2">
      <c r="A275" s="136">
        <v>44197</v>
      </c>
      <c r="B275" s="49">
        <v>0</v>
      </c>
      <c r="C275" s="137">
        <v>0</v>
      </c>
      <c r="D275" s="137">
        <v>0</v>
      </c>
      <c r="E275" s="137">
        <v>0</v>
      </c>
      <c r="F275" s="137"/>
      <c r="G275" s="137"/>
      <c r="H275" s="138">
        <f>C267</f>
        <v>17149.97</v>
      </c>
      <c r="L275" s="92"/>
    </row>
    <row r="276" spans="1:16" ht="12.75" customHeight="1" x14ac:dyDescent="0.2">
      <c r="A276" s="57">
        <v>44227</v>
      </c>
      <c r="B276" s="51">
        <v>31</v>
      </c>
      <c r="C276" s="58">
        <f>SUM(H275*31/1500)</f>
        <v>354.43271333333337</v>
      </c>
      <c r="D276" s="58">
        <f>SUM(C270-C276)</f>
        <v>3994.9872866666665</v>
      </c>
      <c r="E276" s="60">
        <f>SUM(C276:D276)</f>
        <v>4349.42</v>
      </c>
      <c r="F276" s="58"/>
      <c r="G276" s="58">
        <f t="shared" ref="G276:G280" si="24">SUM(E276:F276)</f>
        <v>4349.42</v>
      </c>
      <c r="H276" s="59">
        <f t="shared" ref="H276:H279" si="25">+H275-D276</f>
        <v>13154.982713333335</v>
      </c>
      <c r="L276" s="92"/>
    </row>
    <row r="277" spans="1:16" ht="12.75" customHeight="1" x14ac:dyDescent="0.2">
      <c r="A277" s="57">
        <v>44255</v>
      </c>
      <c r="B277" s="51">
        <v>28</v>
      </c>
      <c r="C277" s="58">
        <f>SUM(H276*31/1500)</f>
        <v>271.86964274222225</v>
      </c>
      <c r="D277" s="58">
        <f>SUM(C270-C277)</f>
        <v>4077.5503572577777</v>
      </c>
      <c r="E277" s="60">
        <f>SUM(C277:D277)</f>
        <v>4349.42</v>
      </c>
      <c r="F277" s="58"/>
      <c r="G277" s="58">
        <f t="shared" si="24"/>
        <v>4349.42</v>
      </c>
      <c r="H277" s="59">
        <f t="shared" si="25"/>
        <v>9077.4323560755565</v>
      </c>
      <c r="L277" s="92"/>
    </row>
    <row r="278" spans="1:16" ht="12.75" customHeight="1" x14ac:dyDescent="0.2">
      <c r="A278" s="57">
        <v>44286</v>
      </c>
      <c r="B278" s="51">
        <v>31</v>
      </c>
      <c r="C278" s="58">
        <f>SUM(H277*31/1500)</f>
        <v>187.60026869222816</v>
      </c>
      <c r="D278" s="58">
        <f>SUM(C270-C278)</f>
        <v>4161.8197313077717</v>
      </c>
      <c r="E278" s="60">
        <f t="shared" ref="E278:E279" si="26">SUM(C278:D278)</f>
        <v>4349.42</v>
      </c>
      <c r="F278" s="58"/>
      <c r="G278" s="58">
        <f t="shared" si="24"/>
        <v>4349.42</v>
      </c>
      <c r="H278" s="59">
        <f t="shared" si="25"/>
        <v>4915.6126247677848</v>
      </c>
      <c r="L278" s="92"/>
    </row>
    <row r="279" spans="1:16" ht="12.75" customHeight="1" x14ac:dyDescent="0.2">
      <c r="A279" s="57">
        <v>44316</v>
      </c>
      <c r="B279" s="51">
        <v>30</v>
      </c>
      <c r="C279" s="58">
        <f>SUM(H278*31/1500)</f>
        <v>101.58932757853422</v>
      </c>
      <c r="D279" s="58">
        <f>SUM(C270-C279)</f>
        <v>4247.8306724214663</v>
      </c>
      <c r="E279" s="60">
        <f t="shared" si="26"/>
        <v>4349.42</v>
      </c>
      <c r="F279" s="58"/>
      <c r="G279" s="58">
        <f t="shared" si="24"/>
        <v>4349.42</v>
      </c>
      <c r="H279" s="59">
        <f t="shared" si="25"/>
        <v>667.78195234631858</v>
      </c>
      <c r="L279" s="92"/>
    </row>
    <row r="280" spans="1:16" ht="12.75" customHeight="1" x14ac:dyDescent="0.2">
      <c r="A280" s="57">
        <v>44347</v>
      </c>
      <c r="B280" s="51">
        <v>31</v>
      </c>
      <c r="C280" s="58">
        <f>SUM(H279*31/1500)</f>
        <v>13.800827015157251</v>
      </c>
      <c r="D280" s="58">
        <f>667.78-13.8</f>
        <v>653.98</v>
      </c>
      <c r="E280" s="60">
        <f>13.8+653.98</f>
        <v>667.78</v>
      </c>
      <c r="F280" s="58"/>
      <c r="G280" s="58">
        <f t="shared" si="24"/>
        <v>667.78</v>
      </c>
      <c r="H280" s="59">
        <v>0</v>
      </c>
      <c r="L280" s="92"/>
    </row>
    <row r="281" spans="1:16" ht="12.75" customHeight="1" x14ac:dyDescent="0.2">
      <c r="A281" s="57"/>
      <c r="B281" s="51"/>
      <c r="C281" s="58"/>
      <c r="D281" s="58"/>
      <c r="E281" s="60"/>
      <c r="F281" s="58"/>
      <c r="G281" s="58"/>
      <c r="H281" s="59"/>
      <c r="L281" s="92"/>
    </row>
    <row r="282" spans="1:16" ht="12.75" customHeight="1" x14ac:dyDescent="0.2">
      <c r="A282" s="57"/>
      <c r="B282" s="51"/>
      <c r="C282" s="58"/>
      <c r="D282" s="58"/>
      <c r="E282" s="60"/>
      <c r="F282" s="58"/>
      <c r="G282" s="58"/>
      <c r="H282" s="59"/>
      <c r="L282" s="92"/>
    </row>
    <row r="283" spans="1:16" ht="12.75" customHeight="1" x14ac:dyDescent="0.2">
      <c r="A283" s="57"/>
      <c r="B283" s="51"/>
      <c r="C283" s="58"/>
      <c r="D283" s="58"/>
      <c r="E283" s="60"/>
      <c r="F283" s="58"/>
      <c r="G283" s="58"/>
      <c r="H283" s="59"/>
      <c r="L283" s="92"/>
    </row>
    <row r="284" spans="1:16" ht="12.75" customHeight="1" x14ac:dyDescent="0.2">
      <c r="A284" s="57"/>
      <c r="B284" s="51"/>
      <c r="C284" s="58"/>
      <c r="D284" s="58"/>
      <c r="E284" s="60"/>
      <c r="F284" s="58"/>
      <c r="G284" s="58"/>
      <c r="H284" s="59"/>
      <c r="L284" s="92"/>
    </row>
    <row r="285" spans="1:16" ht="12.75" customHeight="1" x14ac:dyDescent="0.2">
      <c r="A285" s="57"/>
      <c r="B285" s="51"/>
      <c r="C285" s="58"/>
      <c r="D285" s="58"/>
      <c r="E285" s="60"/>
      <c r="F285" s="58"/>
      <c r="G285" s="58"/>
      <c r="H285" s="59"/>
      <c r="L285" s="92"/>
    </row>
    <row r="286" spans="1:16" ht="12.75" customHeight="1" x14ac:dyDescent="0.2">
      <c r="A286" s="57"/>
      <c r="B286" s="51"/>
      <c r="C286" s="58"/>
      <c r="D286" s="58"/>
      <c r="E286" s="60"/>
      <c r="F286" s="58"/>
      <c r="G286" s="58"/>
      <c r="H286" s="59"/>
      <c r="L286" s="92"/>
    </row>
    <row r="287" spans="1:16" ht="12.75" customHeight="1" x14ac:dyDescent="0.2">
      <c r="A287" s="57"/>
      <c r="B287" s="51"/>
      <c r="C287" s="58"/>
      <c r="D287" s="58"/>
      <c r="E287" s="60"/>
      <c r="F287" s="58"/>
      <c r="G287" s="58"/>
      <c r="H287" s="59"/>
      <c r="I287" s="46">
        <v>121581.2</v>
      </c>
      <c r="L287" s="92"/>
    </row>
    <row r="288" spans="1:16" ht="12.75" customHeight="1" x14ac:dyDescent="0.2">
      <c r="A288" s="57"/>
      <c r="B288" s="51"/>
      <c r="C288" s="58"/>
      <c r="D288" s="58"/>
      <c r="E288" s="60"/>
      <c r="F288" s="58"/>
      <c r="G288" s="58"/>
      <c r="H288" s="59"/>
      <c r="L288" s="92"/>
    </row>
    <row r="289" spans="1:12" ht="20.25" customHeight="1" thickBot="1" x14ac:dyDescent="0.4">
      <c r="A289" s="61"/>
      <c r="B289" s="62">
        <f t="shared" ref="B289:G289" si="27">SUM(B275:B288)</f>
        <v>151</v>
      </c>
      <c r="C289" s="63">
        <f t="shared" si="27"/>
        <v>929.29277936147525</v>
      </c>
      <c r="D289" s="63">
        <f t="shared" si="27"/>
        <v>17136.168047653682</v>
      </c>
      <c r="E289" s="63">
        <f t="shared" si="27"/>
        <v>18065.46</v>
      </c>
      <c r="F289" s="63">
        <f t="shared" si="27"/>
        <v>0</v>
      </c>
      <c r="G289" s="63">
        <f t="shared" si="27"/>
        <v>18065.46</v>
      </c>
      <c r="H289" s="64"/>
      <c r="L289" s="92"/>
    </row>
    <row r="290" spans="1:12" ht="12.75" customHeight="1" x14ac:dyDescent="0.2">
      <c r="L290" s="92"/>
    </row>
    <row r="291" spans="1:12" ht="12.75" customHeight="1" x14ac:dyDescent="0.2">
      <c r="L291" s="92"/>
    </row>
    <row r="292" spans="1:12" ht="12.75" customHeight="1" x14ac:dyDescent="0.2">
      <c r="L292" s="92"/>
    </row>
    <row r="293" spans="1:12" ht="12.75" customHeight="1" x14ac:dyDescent="0.2">
      <c r="L293" s="92"/>
    </row>
    <row r="294" spans="1:12" ht="12.75" customHeight="1" x14ac:dyDescent="0.2">
      <c r="L294" s="92"/>
    </row>
    <row r="295" spans="1:12" ht="12.75" customHeight="1" x14ac:dyDescent="0.2">
      <c r="L295" s="92"/>
    </row>
    <row r="296" spans="1:12" ht="12.75" customHeight="1" x14ac:dyDescent="0.2">
      <c r="L296" s="92"/>
    </row>
    <row r="297" spans="1:12" ht="12.75" customHeight="1" x14ac:dyDescent="0.2">
      <c r="L297" s="92"/>
    </row>
    <row r="298" spans="1:12" ht="12.75" customHeight="1" x14ac:dyDescent="0.2">
      <c r="L298" s="92"/>
    </row>
    <row r="299" spans="1:12" ht="12.75" customHeight="1" x14ac:dyDescent="0.2">
      <c r="L299" s="92"/>
    </row>
    <row r="300" spans="1:12" ht="12.75" customHeight="1" x14ac:dyDescent="0.2">
      <c r="L300" s="92"/>
    </row>
    <row r="301" spans="1:12" ht="12.75" customHeight="1" x14ac:dyDescent="0.2">
      <c r="L301" s="92"/>
    </row>
    <row r="302" spans="1:12" ht="12.75" customHeight="1" x14ac:dyDescent="0.2">
      <c r="L302" s="92"/>
    </row>
    <row r="303" spans="1:12" ht="12.75" customHeight="1" x14ac:dyDescent="0.2">
      <c r="L303" s="92"/>
    </row>
    <row r="304" spans="1:12" ht="12.75" customHeight="1" x14ac:dyDescent="0.2">
      <c r="L304" s="92"/>
    </row>
    <row r="305" spans="3:16" ht="12.75" customHeight="1" x14ac:dyDescent="0.2">
      <c r="L305" s="92"/>
    </row>
    <row r="306" spans="3:16" ht="12.75" customHeight="1" x14ac:dyDescent="0.2">
      <c r="L306" s="92"/>
    </row>
    <row r="307" spans="3:16" ht="12.75" customHeight="1" x14ac:dyDescent="0.2">
      <c r="L307" s="92"/>
    </row>
    <row r="308" spans="3:16" ht="12.75" customHeight="1" x14ac:dyDescent="0.2">
      <c r="L308" s="92"/>
    </row>
    <row r="309" spans="3:16" ht="30.75" customHeight="1" x14ac:dyDescent="0.2">
      <c r="L309" s="92"/>
    </row>
    <row r="310" spans="3:16" ht="27.75" customHeight="1" x14ac:dyDescent="0.2">
      <c r="C310" s="418" t="s">
        <v>466</v>
      </c>
      <c r="D310" s="418" t="s">
        <v>467</v>
      </c>
      <c r="E310" s="418" t="s">
        <v>468</v>
      </c>
      <c r="F310" s="662" t="s">
        <v>465</v>
      </c>
      <c r="G310" s="663"/>
      <c r="H310" s="419">
        <f>+H238+H181+H127+H72+H15</f>
        <v>1067475.6100000001</v>
      </c>
    </row>
    <row r="311" spans="3:16" ht="27.75" customHeight="1" x14ac:dyDescent="0.2">
      <c r="C311" s="420">
        <f>C252+C197</f>
        <v>110591.79630626386</v>
      </c>
      <c r="D311" s="261">
        <f t="shared" ref="D311:E311" si="28">D252+D197</f>
        <v>152762.43369373615</v>
      </c>
      <c r="E311" s="420">
        <f t="shared" si="28"/>
        <v>23217.07</v>
      </c>
      <c r="F311" s="421" t="s">
        <v>479</v>
      </c>
      <c r="G311" s="422"/>
      <c r="H311" s="423">
        <f>D311</f>
        <v>152762.43369373615</v>
      </c>
    </row>
    <row r="312" spans="3:16" ht="25.5" customHeight="1" x14ac:dyDescent="0.2">
      <c r="C312" s="424"/>
      <c r="D312" s="425"/>
      <c r="E312" s="424"/>
      <c r="F312" s="426" t="s">
        <v>478</v>
      </c>
      <c r="G312" s="426"/>
      <c r="H312" s="427">
        <f>H310-H311</f>
        <v>914713.17630626401</v>
      </c>
    </row>
    <row r="314" spans="3:16" x14ac:dyDescent="0.2">
      <c r="P314" s="46">
        <f>SUM(P13:P251)</f>
        <v>1649516.47</v>
      </c>
    </row>
  </sheetData>
  <sheetProtection algorithmName="SHA-512" hashValue="N7WMuwQa3+tezfTm5v3Vmv1uW9dKmGSRwZiQ4wRgyWqNikmSptf3wrgoqvJ+mCXW0aeUztTK7jv2hUJoKhpoZg==" saltValue="yO/KSineJAnMwSwRaQ84UQ==" spinCount="100000" sheet="1" formatCells="0" formatColumns="0" formatRows="0" insertColumns="0" insertRows="0" insertHyperlinks="0" deleteColumns="0" deleteRows="0" sort="0" autoFilter="0" pivotTables="0"/>
  <mergeCells count="58">
    <mergeCell ref="C178:D178"/>
    <mergeCell ref="E178:G178"/>
    <mergeCell ref="C179:D179"/>
    <mergeCell ref="G179:G180"/>
    <mergeCell ref="D143:F143"/>
    <mergeCell ref="A166:H166"/>
    <mergeCell ref="A167:H167"/>
    <mergeCell ref="A168:H168"/>
    <mergeCell ref="A170:H170"/>
    <mergeCell ref="C171:D171"/>
    <mergeCell ref="A114:H114"/>
    <mergeCell ref="A116:H116"/>
    <mergeCell ref="C124:D124"/>
    <mergeCell ref="E124:G124"/>
    <mergeCell ref="C125:D125"/>
    <mergeCell ref="G125:G126"/>
    <mergeCell ref="C117:F117"/>
    <mergeCell ref="C70:D70"/>
    <mergeCell ref="G70:G71"/>
    <mergeCell ref="D88:F88"/>
    <mergeCell ref="A112:H112"/>
    <mergeCell ref="A113:H113"/>
    <mergeCell ref="A57:H57"/>
    <mergeCell ref="A58:H58"/>
    <mergeCell ref="A59:H59"/>
    <mergeCell ref="A61:H61"/>
    <mergeCell ref="C69:D69"/>
    <mergeCell ref="E69:G69"/>
    <mergeCell ref="C62:F62"/>
    <mergeCell ref="C13:D13"/>
    <mergeCell ref="G13:G14"/>
    <mergeCell ref="D53:F53"/>
    <mergeCell ref="A1:H1"/>
    <mergeCell ref="A2:H2"/>
    <mergeCell ref="A3:H3"/>
    <mergeCell ref="A5:H5"/>
    <mergeCell ref="C12:D12"/>
    <mergeCell ref="E12:G12"/>
    <mergeCell ref="C6:E6"/>
    <mergeCell ref="A223:H223"/>
    <mergeCell ref="A224:H224"/>
    <mergeCell ref="A225:H225"/>
    <mergeCell ref="A227:H227"/>
    <mergeCell ref="C228:D228"/>
    <mergeCell ref="F310:G310"/>
    <mergeCell ref="C235:D235"/>
    <mergeCell ref="E235:G235"/>
    <mergeCell ref="C236:D236"/>
    <mergeCell ref="G236:G237"/>
    <mergeCell ref="A260:H260"/>
    <mergeCell ref="A261:H261"/>
    <mergeCell ref="A262:H262"/>
    <mergeCell ref="A264:H264"/>
    <mergeCell ref="C265:D265"/>
    <mergeCell ref="C272:D272"/>
    <mergeCell ref="E272:G272"/>
    <mergeCell ref="C273:D273"/>
    <mergeCell ref="G273:G274"/>
  </mergeCells>
  <printOptions horizontalCentered="1"/>
  <pageMargins left="0.59055118110236227" right="0.70866141732283472" top="0.74803149606299213" bottom="0.74803149606299213" header="0.31496062992125984" footer="0.31496062992125984"/>
  <pageSetup scale="90" orientation="landscape" horizontalDpi="4294967293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E100"/>
  <sheetViews>
    <sheetView tabSelected="1" zoomScale="90" zoomScaleNormal="90" workbookViewId="0">
      <pane ySplit="1" topLeftCell="A2" activePane="bottomLeft" state="frozen"/>
      <selection activeCell="X1" sqref="X1"/>
      <selection pane="bottomLeft" activeCell="H89" sqref="H89"/>
    </sheetView>
  </sheetViews>
  <sheetFormatPr baseColWidth="10" defaultColWidth="11.42578125" defaultRowHeight="12.75" x14ac:dyDescent="0.2"/>
  <cols>
    <col min="1" max="1" width="3" customWidth="1"/>
    <col min="2" max="2" width="63.7109375" customWidth="1"/>
    <col min="3" max="3" width="0.140625" hidden="1" customWidth="1"/>
    <col min="4" max="4" width="15.28515625" customWidth="1"/>
    <col min="5" max="5" width="15.28515625" style="190" customWidth="1"/>
    <col min="6" max="6" width="11.42578125" hidden="1" customWidth="1"/>
    <col min="7" max="7" width="16.5703125" customWidth="1"/>
    <col min="8" max="8" width="16.85546875" customWidth="1"/>
    <col min="9" max="9" width="11.7109375" customWidth="1"/>
    <col min="10" max="10" width="12" customWidth="1"/>
    <col min="11" max="11" width="8.42578125" customWidth="1"/>
    <col min="12" max="12" width="7.42578125" customWidth="1"/>
    <col min="13" max="14" width="13.7109375" customWidth="1"/>
    <col min="15" max="15" width="6.85546875" customWidth="1"/>
    <col min="16" max="16" width="13.42578125" customWidth="1"/>
    <col min="17" max="17" width="7.85546875" customWidth="1"/>
    <col min="18" max="18" width="11.5703125" customWidth="1"/>
    <col min="19" max="19" width="13.5703125" customWidth="1"/>
    <col min="20" max="20" width="14.5703125" customWidth="1"/>
    <col min="21" max="21" width="12.140625" customWidth="1"/>
    <col min="22" max="22" width="12" customWidth="1"/>
    <col min="23" max="23" width="8.28515625" customWidth="1"/>
    <col min="24" max="24" width="11.140625" customWidth="1"/>
    <col min="25" max="25" width="12.85546875" customWidth="1"/>
    <col min="26" max="27" width="7.42578125" customWidth="1"/>
    <col min="28" max="28" width="13.42578125" customWidth="1"/>
    <col min="29" max="29" width="15" customWidth="1"/>
    <col min="30" max="30" width="10.85546875" bestFit="1" customWidth="1"/>
    <col min="31" max="31" width="8.140625" customWidth="1"/>
    <col min="32" max="32" width="14.5703125" customWidth="1"/>
    <col min="33" max="33" width="13.5703125" customWidth="1"/>
    <col min="34" max="34" width="13.85546875" customWidth="1"/>
    <col min="35" max="35" width="12.42578125" customWidth="1"/>
    <col min="36" max="36" width="14.140625" customWidth="1"/>
    <col min="37" max="37" width="13.85546875" customWidth="1"/>
    <col min="38" max="38" width="14.28515625" customWidth="1"/>
    <col min="39" max="39" width="15" customWidth="1"/>
    <col min="40" max="40" width="10.7109375" customWidth="1"/>
    <col min="41" max="41" width="10.85546875" customWidth="1"/>
    <col min="42" max="43" width="8.85546875" customWidth="1"/>
    <col min="44" max="44" width="8.42578125" customWidth="1"/>
    <col min="45" max="45" width="8.7109375" customWidth="1"/>
    <col min="46" max="46" width="13.28515625" style="182" customWidth="1"/>
    <col min="47" max="47" width="9" customWidth="1"/>
    <col min="48" max="48" width="15.85546875" customWidth="1"/>
    <col min="49" max="49" width="8.7109375" customWidth="1"/>
    <col min="50" max="50" width="9.85546875" customWidth="1"/>
    <col min="51" max="51" width="14.28515625" customWidth="1"/>
    <col min="52" max="52" width="13.5703125" customWidth="1"/>
    <col min="53" max="53" width="8.140625" customWidth="1"/>
    <col min="54" max="54" width="15" customWidth="1"/>
    <col min="55" max="55" width="18.140625" customWidth="1"/>
    <col min="56" max="56" width="12.28515625" bestFit="1" customWidth="1"/>
    <col min="57" max="57" width="13.28515625" bestFit="1" customWidth="1"/>
  </cols>
  <sheetData>
    <row r="1" spans="1:57" ht="52.5" customHeight="1" x14ac:dyDescent="0.2">
      <c r="A1" s="674" t="s">
        <v>427</v>
      </c>
      <c r="B1" s="674"/>
      <c r="C1" s="674"/>
      <c r="D1" s="674"/>
      <c r="E1" s="674"/>
      <c r="F1" s="191"/>
      <c r="G1" s="735" t="str">
        <f>'Egr.FODES 75%'!E10</f>
        <v>Sueldos</v>
      </c>
      <c r="H1" s="735" t="s">
        <v>384</v>
      </c>
      <c r="I1" s="735" t="s">
        <v>488</v>
      </c>
      <c r="J1" s="735" t="s">
        <v>489</v>
      </c>
      <c r="K1" s="735" t="str">
        <f>'Egr.FODES 75%'!E12</f>
        <v>Contribuciones patronales a Instit. Sector Publico</v>
      </c>
      <c r="L1" s="735" t="str">
        <f>'Egr.FODES 75%'!E13</f>
        <v>Contrib. Patronales a institucionesl del Sector Priv.</v>
      </c>
      <c r="M1" s="735" t="str">
        <f>'Egr.FODES 75%'!E14</f>
        <v>Salarios por Jornal</v>
      </c>
      <c r="N1" s="736" t="str">
        <f>'Egr.FODES 75%'!E15</f>
        <v>Honorarios</v>
      </c>
      <c r="O1" s="736" t="s">
        <v>371</v>
      </c>
      <c r="P1" s="735" t="str">
        <f>'Egr.FODES 75%'!E17</f>
        <v>Productos Agropecuarios y Forestales</v>
      </c>
      <c r="Q1" s="735" t="s">
        <v>377</v>
      </c>
      <c r="R1" s="735" t="s">
        <v>378</v>
      </c>
      <c r="S1" s="735" t="str">
        <f>'Egr.FODES 75%'!E22</f>
        <v>Combustibles y Lubricantes</v>
      </c>
      <c r="T1" s="735" t="str">
        <f>'Egr.FODES 75%'!E23</f>
        <v>Miner. No Metalicos y Prod. Der.</v>
      </c>
      <c r="U1" s="735" t="str">
        <f>'Egr.FODES 75%'!E25</f>
        <v>Materiales de Oficina</v>
      </c>
      <c r="V1" s="735" t="s">
        <v>424</v>
      </c>
      <c r="W1" s="735" t="s">
        <v>80</v>
      </c>
      <c r="X1" s="735" t="str">
        <f>'Egr.FODES 75%'!E28</f>
        <v>Herramientas, Repuestos y Accesorios</v>
      </c>
      <c r="Y1" s="735" t="s">
        <v>471</v>
      </c>
      <c r="Z1" s="735" t="s">
        <v>472</v>
      </c>
      <c r="AA1" s="735" t="s">
        <v>473</v>
      </c>
      <c r="AB1" s="735" t="str">
        <f>'Egr.FODES 75%'!E29</f>
        <v>Materiales Electricos</v>
      </c>
      <c r="AC1" s="735" t="str">
        <f>'Egr.FODES 75%'!E30</f>
        <v>Bienes de Uso y Consumo Diverso</v>
      </c>
      <c r="AD1" s="735" t="str">
        <f>'Egr.FODES 75%'!E33</f>
        <v>Mantenimiento  y Repar. de Bienes  Muebles</v>
      </c>
      <c r="AE1" s="735" t="s">
        <v>439</v>
      </c>
      <c r="AF1" s="735" t="str">
        <f>'Egr.FODES 75%'!E36</f>
        <v>Transportes Fletes y almacenamientos</v>
      </c>
      <c r="AG1" s="735" t="str">
        <f>'Egr.FODES 75%'!E41</f>
        <v>Atenciones Oficiales</v>
      </c>
      <c r="AH1" s="735" t="str">
        <f>'Egr.FODES 75%'!E43</f>
        <v>Servicios Generales y Arrendamientos Diversos</v>
      </c>
      <c r="AI1" s="735" t="str">
        <f>'Egr.FODES 75%'!E51</f>
        <v>A Personas Naturales</v>
      </c>
      <c r="AJ1" s="735" t="str">
        <f>'Egr.FODES 75%'!E52</f>
        <v>Becas</v>
      </c>
      <c r="AK1" s="735" t="str">
        <f>'Egr.FODES 75%'!E54</f>
        <v>Maquinaria y Equipos (61102)</v>
      </c>
      <c r="AL1" s="735" t="s">
        <v>369</v>
      </c>
      <c r="AM1" s="735" t="s">
        <v>425</v>
      </c>
      <c r="AN1" s="735" t="s">
        <v>370</v>
      </c>
      <c r="AO1" s="735" t="s">
        <v>372</v>
      </c>
      <c r="AP1" s="735" t="s">
        <v>373</v>
      </c>
      <c r="AQ1" s="735" t="s">
        <v>374</v>
      </c>
      <c r="AR1" s="735" t="s">
        <v>375</v>
      </c>
      <c r="AS1" s="735" t="s">
        <v>379</v>
      </c>
      <c r="AT1" s="735" t="s">
        <v>491</v>
      </c>
      <c r="AU1" s="735" t="s">
        <v>222</v>
      </c>
      <c r="AV1" s="735" t="s">
        <v>430</v>
      </c>
      <c r="AW1" s="735" t="s">
        <v>431</v>
      </c>
      <c r="AX1" s="735" t="s">
        <v>368</v>
      </c>
      <c r="AY1" s="735" t="s">
        <v>440</v>
      </c>
      <c r="AZ1" s="735" t="s">
        <v>490</v>
      </c>
      <c r="BA1" s="735" t="s">
        <v>432</v>
      </c>
      <c r="BB1" s="737"/>
      <c r="BC1" s="673"/>
    </row>
    <row r="2" spans="1:57" ht="20.25" customHeight="1" x14ac:dyDescent="0.25">
      <c r="A2" s="675" t="s">
        <v>515</v>
      </c>
      <c r="B2" s="675"/>
      <c r="C2" s="675"/>
      <c r="D2" s="675"/>
      <c r="E2" s="675"/>
      <c r="F2" s="192"/>
      <c r="G2" s="738"/>
      <c r="H2" s="738"/>
      <c r="I2" s="738"/>
      <c r="J2" s="738"/>
      <c r="K2" s="739"/>
      <c r="L2" s="739"/>
      <c r="M2" s="739"/>
      <c r="N2" s="739"/>
      <c r="O2" s="739"/>
      <c r="P2" s="739"/>
      <c r="Q2" s="739"/>
      <c r="R2" s="739"/>
      <c r="S2" s="739"/>
      <c r="T2" s="739"/>
      <c r="U2" s="739"/>
      <c r="V2" s="739"/>
      <c r="W2" s="739"/>
      <c r="X2" s="739"/>
      <c r="Y2" s="739"/>
      <c r="Z2" s="739"/>
      <c r="AA2" s="739"/>
      <c r="AB2" s="739"/>
      <c r="AC2" s="739"/>
      <c r="AD2" s="739"/>
      <c r="AE2" s="739"/>
      <c r="AF2" s="739"/>
      <c r="AG2" s="739"/>
      <c r="AH2" s="739"/>
      <c r="AI2" s="739"/>
      <c r="AJ2" s="739"/>
      <c r="AK2" s="739"/>
      <c r="AL2" s="739"/>
      <c r="AM2" s="739"/>
      <c r="AN2" s="739"/>
      <c r="AO2" s="739"/>
      <c r="AP2" s="739"/>
      <c r="AQ2" s="739"/>
      <c r="AR2" s="739"/>
      <c r="AS2" s="739"/>
      <c r="AT2" s="739"/>
      <c r="AU2" s="739"/>
      <c r="AV2" s="739"/>
      <c r="AW2" s="739"/>
      <c r="AX2" s="739"/>
      <c r="AY2" s="739"/>
      <c r="AZ2" s="739"/>
      <c r="BA2" s="739"/>
      <c r="BB2" s="737"/>
      <c r="BC2" s="673"/>
    </row>
    <row r="3" spans="1:57" s="193" customFormat="1" ht="14.25" customHeight="1" x14ac:dyDescent="0.2">
      <c r="A3" s="233"/>
      <c r="B3" s="490" t="s">
        <v>502</v>
      </c>
      <c r="C3" s="491"/>
      <c r="D3" s="492">
        <f>Ingresos!D61</f>
        <v>2334724.17</v>
      </c>
      <c r="E3" s="356"/>
      <c r="F3" s="195"/>
      <c r="G3" s="738"/>
      <c r="H3" s="738"/>
      <c r="I3" s="738"/>
      <c r="J3" s="738"/>
      <c r="K3" s="739"/>
      <c r="L3" s="739"/>
      <c r="M3" s="739"/>
      <c r="N3" s="739"/>
      <c r="O3" s="739"/>
      <c r="P3" s="739"/>
      <c r="Q3" s="739"/>
      <c r="R3" s="739"/>
      <c r="S3" s="739"/>
      <c r="T3" s="739"/>
      <c r="U3" s="739"/>
      <c r="V3" s="739"/>
      <c r="W3" s="739"/>
      <c r="X3" s="739"/>
      <c r="Y3" s="739"/>
      <c r="Z3" s="739"/>
      <c r="AA3" s="739"/>
      <c r="AB3" s="739"/>
      <c r="AC3" s="739"/>
      <c r="AD3" s="739"/>
      <c r="AE3" s="739"/>
      <c r="AF3" s="739"/>
      <c r="AG3" s="739"/>
      <c r="AH3" s="739"/>
      <c r="AI3" s="739"/>
      <c r="AJ3" s="739"/>
      <c r="AK3" s="739"/>
      <c r="AL3" s="739"/>
      <c r="AM3" s="739"/>
      <c r="AN3" s="739"/>
      <c r="AO3" s="739"/>
      <c r="AP3" s="739"/>
      <c r="AQ3" s="739"/>
      <c r="AR3" s="739"/>
      <c r="AS3" s="739"/>
      <c r="AT3" s="739"/>
      <c r="AU3" s="739"/>
      <c r="AV3" s="739"/>
      <c r="AW3" s="739"/>
      <c r="AX3" s="739"/>
      <c r="AY3" s="739"/>
      <c r="AZ3" s="739"/>
      <c r="BA3" s="739"/>
      <c r="BB3" s="740"/>
    </row>
    <row r="4" spans="1:57" s="196" customFormat="1" ht="14.25" customHeight="1" x14ac:dyDescent="0.25">
      <c r="A4" s="233"/>
      <c r="B4" s="490" t="s">
        <v>599</v>
      </c>
      <c r="C4" s="491"/>
      <c r="D4" s="492">
        <f>Ingresos!D53</f>
        <v>1156201.2391729848</v>
      </c>
      <c r="E4" s="488">
        <f>D7+D26+E65+E66+E67+E68+E70+E74+E75+E77</f>
        <v>1156201.24</v>
      </c>
      <c r="F4" s="194"/>
      <c r="G4" s="738"/>
      <c r="H4" s="738"/>
      <c r="I4" s="738"/>
      <c r="J4" s="738"/>
      <c r="K4" s="739"/>
      <c r="L4" s="739"/>
      <c r="M4" s="739"/>
      <c r="N4" s="739"/>
      <c r="O4" s="739"/>
      <c r="P4" s="739"/>
      <c r="Q4" s="739"/>
      <c r="R4" s="739"/>
      <c r="S4" s="739"/>
      <c r="T4" s="739"/>
      <c r="U4" s="739"/>
      <c r="V4" s="739"/>
      <c r="W4" s="739"/>
      <c r="X4" s="739"/>
      <c r="Y4" s="739"/>
      <c r="Z4" s="739"/>
      <c r="AA4" s="739"/>
      <c r="AB4" s="739"/>
      <c r="AC4" s="739"/>
      <c r="AD4" s="739"/>
      <c r="AE4" s="739"/>
      <c r="AF4" s="739"/>
      <c r="AG4" s="739"/>
      <c r="AH4" s="739"/>
      <c r="AI4" s="739"/>
      <c r="AJ4" s="739"/>
      <c r="AK4" s="739"/>
      <c r="AL4" s="739"/>
      <c r="AM4" s="739"/>
      <c r="AN4" s="739"/>
      <c r="AO4" s="739"/>
      <c r="AP4" s="739"/>
      <c r="AQ4" s="739"/>
      <c r="AR4" s="739"/>
      <c r="AS4" s="739"/>
      <c r="AT4" s="739"/>
      <c r="AU4" s="739"/>
      <c r="AV4" s="739"/>
      <c r="AW4" s="739"/>
      <c r="AX4" s="739"/>
      <c r="AY4" s="739"/>
      <c r="AZ4" s="739"/>
      <c r="BA4" s="739"/>
      <c r="BB4" s="740"/>
    </row>
    <row r="5" spans="1:57" s="196" customFormat="1" ht="13.5" customHeight="1" x14ac:dyDescent="0.25">
      <c r="A5" s="234"/>
      <c r="B5" s="490" t="s">
        <v>570</v>
      </c>
      <c r="C5" s="491"/>
      <c r="D5" s="492">
        <f>D46</f>
        <v>1178522.93</v>
      </c>
      <c r="E5" s="489">
        <f>E46</f>
        <v>1178522.9300000002</v>
      </c>
      <c r="F5" s="192"/>
      <c r="G5" s="738"/>
      <c r="H5" s="741"/>
      <c r="I5" s="738"/>
      <c r="J5" s="738"/>
      <c r="K5" s="739"/>
      <c r="L5" s="739"/>
      <c r="M5" s="739"/>
      <c r="N5" s="739"/>
      <c r="O5" s="739"/>
      <c r="P5" s="739"/>
      <c r="Q5" s="739"/>
      <c r="R5" s="739"/>
      <c r="S5" s="739"/>
      <c r="T5" s="739"/>
      <c r="U5" s="739"/>
      <c r="V5" s="739"/>
      <c r="W5" s="739"/>
      <c r="X5" s="739"/>
      <c r="Y5" s="739"/>
      <c r="Z5" s="739"/>
      <c r="AA5" s="739"/>
      <c r="AB5" s="739"/>
      <c r="AC5" s="739"/>
      <c r="AD5" s="739"/>
      <c r="AE5" s="739"/>
      <c r="AF5" s="739"/>
      <c r="AG5" s="739"/>
      <c r="AH5" s="739"/>
      <c r="AI5" s="739"/>
      <c r="AJ5" s="739"/>
      <c r="AK5" s="739"/>
      <c r="AL5" s="739"/>
      <c r="AM5" s="739"/>
      <c r="AN5" s="739"/>
      <c r="AO5" s="739"/>
      <c r="AP5" s="739"/>
      <c r="AQ5" s="739"/>
      <c r="AR5" s="739"/>
      <c r="AS5" s="739"/>
      <c r="AT5" s="739"/>
      <c r="AU5" s="739"/>
      <c r="AV5" s="739"/>
      <c r="AW5" s="739"/>
      <c r="AX5" s="739"/>
      <c r="AY5" s="739"/>
      <c r="AZ5" s="739"/>
      <c r="BA5" s="739"/>
      <c r="BB5" s="740"/>
    </row>
    <row r="6" spans="1:57" ht="20.25" customHeight="1" x14ac:dyDescent="0.2">
      <c r="A6" s="240"/>
      <c r="B6" s="248"/>
      <c r="C6" s="249"/>
      <c r="D6" s="355">
        <v>2021</v>
      </c>
      <c r="E6" s="460" t="s">
        <v>579</v>
      </c>
      <c r="F6" s="726" t="s">
        <v>333</v>
      </c>
      <c r="G6" s="742"/>
      <c r="H6" s="742"/>
      <c r="I6" s="742"/>
      <c r="J6" s="742"/>
      <c r="K6" s="740"/>
      <c r="L6" s="740"/>
      <c r="M6" s="740"/>
      <c r="N6" s="740"/>
      <c r="O6" s="740"/>
      <c r="P6" s="740"/>
      <c r="Q6" s="740"/>
      <c r="R6" s="743"/>
      <c r="S6" s="740"/>
      <c r="T6" s="740"/>
      <c r="U6" s="740"/>
      <c r="V6" s="740"/>
      <c r="W6" s="740"/>
      <c r="X6" s="740"/>
      <c r="Y6" s="740"/>
      <c r="Z6" s="740"/>
      <c r="AA6" s="740"/>
      <c r="AB6" s="740"/>
      <c r="AC6" s="740"/>
      <c r="AD6" s="740"/>
      <c r="AE6" s="740"/>
      <c r="AF6" s="740"/>
      <c r="AG6" s="740"/>
      <c r="AH6" s="740"/>
      <c r="AI6" s="740"/>
      <c r="AJ6" s="740"/>
      <c r="AK6" s="740"/>
      <c r="AL6" s="740"/>
      <c r="AM6" s="740"/>
      <c r="AN6" s="740"/>
      <c r="AO6" s="740"/>
      <c r="AP6" s="740"/>
      <c r="AQ6" s="740"/>
      <c r="AR6" s="740"/>
      <c r="AS6" s="740"/>
      <c r="AT6" s="740"/>
      <c r="AU6" s="740"/>
      <c r="AV6" s="740"/>
      <c r="AW6" s="740"/>
      <c r="AX6" s="740"/>
      <c r="AY6" s="740"/>
      <c r="AZ6" s="740"/>
      <c r="BA6" s="740"/>
      <c r="BB6" s="740"/>
    </row>
    <row r="7" spans="1:57" s="190" customFormat="1" ht="18" customHeight="1" x14ac:dyDescent="0.2">
      <c r="A7" s="394"/>
      <c r="B7" s="399" t="s">
        <v>469</v>
      </c>
      <c r="C7" s="400"/>
      <c r="D7" s="401">
        <f>SUM(D8:D25)</f>
        <v>427470.92000000004</v>
      </c>
      <c r="E7" s="402"/>
      <c r="F7" s="727"/>
      <c r="G7" s="744"/>
      <c r="H7" s="745"/>
      <c r="I7" s="744"/>
      <c r="J7" s="744"/>
      <c r="K7" s="744"/>
      <c r="L7" s="744"/>
      <c r="M7" s="744"/>
      <c r="N7" s="744"/>
      <c r="O7" s="744"/>
      <c r="P7" s="744"/>
      <c r="Q7" s="744"/>
      <c r="R7" s="746"/>
      <c r="S7" s="744"/>
      <c r="T7" s="744"/>
      <c r="U7" s="744"/>
      <c r="V7" s="744"/>
      <c r="W7" s="744"/>
      <c r="X7" s="744"/>
      <c r="Y7" s="744"/>
      <c r="Z7" s="744"/>
      <c r="AA7" s="744"/>
      <c r="AB7" s="744"/>
      <c r="AC7" s="744"/>
      <c r="AD7" s="744"/>
      <c r="AE7" s="744"/>
      <c r="AF7" s="744"/>
      <c r="AG7" s="744"/>
      <c r="AH7" s="744"/>
      <c r="AI7" s="744"/>
      <c r="AJ7" s="744"/>
      <c r="AK7" s="744"/>
      <c r="AL7" s="744"/>
      <c r="AM7" s="744"/>
      <c r="AN7" s="744"/>
      <c r="AO7" s="744"/>
      <c r="AP7" s="744"/>
      <c r="AQ7" s="744"/>
      <c r="AR7" s="744"/>
      <c r="AS7" s="744"/>
      <c r="AT7" s="744"/>
      <c r="AU7" s="744"/>
      <c r="AV7" s="744"/>
      <c r="AW7" s="744"/>
      <c r="AX7" s="744"/>
      <c r="AY7" s="744"/>
      <c r="AZ7" s="744"/>
      <c r="BA7" s="744"/>
      <c r="BB7" s="744"/>
    </row>
    <row r="8" spans="1:57" s="459" customFormat="1" ht="23.25" customHeight="1" x14ac:dyDescent="0.2">
      <c r="A8" s="409">
        <v>1</v>
      </c>
      <c r="B8" s="390" t="s">
        <v>608</v>
      </c>
      <c r="C8" s="410"/>
      <c r="D8" s="461">
        <v>48000</v>
      </c>
      <c r="E8" s="250"/>
      <c r="F8" s="728"/>
      <c r="G8" s="747"/>
      <c r="H8" s="748"/>
      <c r="I8" s="748"/>
      <c r="J8" s="748"/>
      <c r="K8" s="748"/>
      <c r="L8" s="748"/>
      <c r="M8" s="748"/>
      <c r="N8" s="749">
        <v>5400</v>
      </c>
      <c r="O8" s="748"/>
      <c r="P8" s="748"/>
      <c r="Q8" s="748"/>
      <c r="R8" s="750"/>
      <c r="S8" s="748"/>
      <c r="T8" s="748"/>
      <c r="U8" s="748"/>
      <c r="V8" s="748"/>
      <c r="W8" s="748"/>
      <c r="X8" s="748"/>
      <c r="Y8" s="748"/>
      <c r="Z8" s="748"/>
      <c r="AA8" s="748"/>
      <c r="AB8" s="748"/>
      <c r="AC8" s="748"/>
      <c r="AD8" s="748"/>
      <c r="AE8" s="748"/>
      <c r="AF8" s="750">
        <v>3600</v>
      </c>
      <c r="AG8" s="750"/>
      <c r="AH8" s="750">
        <v>9000</v>
      </c>
      <c r="AI8" s="750">
        <v>30000</v>
      </c>
      <c r="AJ8" s="750"/>
      <c r="AK8" s="748"/>
      <c r="AL8" s="748"/>
      <c r="AM8" s="748"/>
      <c r="AN8" s="748"/>
      <c r="AO8" s="748"/>
      <c r="AP8" s="748"/>
      <c r="AQ8" s="748"/>
      <c r="AR8" s="748"/>
      <c r="AS8" s="748"/>
      <c r="AT8" s="748"/>
      <c r="AU8" s="748"/>
      <c r="AV8" s="748"/>
      <c r="AW8" s="748"/>
      <c r="AX8" s="748"/>
      <c r="AY8" s="750"/>
      <c r="AZ8" s="750"/>
      <c r="BA8" s="750"/>
      <c r="BB8" s="750">
        <f t="shared" ref="BB8:BB75" si="0">SUM(G8:BA8)</f>
        <v>48000</v>
      </c>
      <c r="BC8" s="154"/>
      <c r="BD8" s="181"/>
    </row>
    <row r="9" spans="1:57" ht="18" customHeight="1" x14ac:dyDescent="0.2">
      <c r="A9" s="409">
        <v>2</v>
      </c>
      <c r="B9" s="240" t="s">
        <v>492</v>
      </c>
      <c r="C9" s="236"/>
      <c r="D9" s="388">
        <v>25000</v>
      </c>
      <c r="E9" s="236"/>
      <c r="F9" s="728">
        <v>25000</v>
      </c>
      <c r="G9" s="747"/>
      <c r="H9" s="748"/>
      <c r="I9" s="748"/>
      <c r="J9" s="748"/>
      <c r="K9" s="748"/>
      <c r="L9" s="748"/>
      <c r="M9" s="748"/>
      <c r="N9" s="750"/>
      <c r="O9" s="748"/>
      <c r="P9" s="748"/>
      <c r="Q9" s="748"/>
      <c r="R9" s="750"/>
      <c r="S9" s="748"/>
      <c r="T9" s="748"/>
      <c r="U9" s="750"/>
      <c r="V9" s="750">
        <v>3000</v>
      </c>
      <c r="W9" s="750"/>
      <c r="X9" s="750"/>
      <c r="Y9" s="750"/>
      <c r="Z9" s="750"/>
      <c r="AA9" s="750"/>
      <c r="AB9" s="750"/>
      <c r="AC9" s="750"/>
      <c r="AD9" s="750"/>
      <c r="AE9" s="750"/>
      <c r="AF9" s="750"/>
      <c r="AG9" s="750"/>
      <c r="AH9" s="750"/>
      <c r="AI9" s="750"/>
      <c r="AJ9" s="750">
        <v>22000</v>
      </c>
      <c r="AK9" s="750"/>
      <c r="AL9" s="750"/>
      <c r="AM9" s="750"/>
      <c r="AN9" s="748"/>
      <c r="AO9" s="748"/>
      <c r="AP9" s="748"/>
      <c r="AQ9" s="748"/>
      <c r="AR9" s="748"/>
      <c r="AS9" s="748"/>
      <c r="AT9" s="748"/>
      <c r="AU9" s="748"/>
      <c r="AV9" s="748"/>
      <c r="AW9" s="748"/>
      <c r="AX9" s="748"/>
      <c r="AY9" s="750"/>
      <c r="AZ9" s="750"/>
      <c r="BA9" s="750"/>
      <c r="BB9" s="750">
        <f t="shared" si="0"/>
        <v>25000</v>
      </c>
      <c r="BC9" s="724">
        <f t="shared" ref="BC9:BC15" si="1">SUM(G9:AX9)</f>
        <v>25000</v>
      </c>
      <c r="BD9" s="722"/>
      <c r="BE9" s="722"/>
    </row>
    <row r="10" spans="1:57" ht="18" customHeight="1" x14ac:dyDescent="0.2">
      <c r="A10" s="409">
        <v>3</v>
      </c>
      <c r="B10" s="411" t="s">
        <v>523</v>
      </c>
      <c r="C10" s="412"/>
      <c r="D10" s="464">
        <v>176470.92</v>
      </c>
      <c r="E10" s="413"/>
      <c r="F10" s="729">
        <v>170000</v>
      </c>
      <c r="G10" s="747"/>
      <c r="H10" s="750" t="s">
        <v>509</v>
      </c>
      <c r="I10" s="750"/>
      <c r="J10" s="750"/>
      <c r="K10" s="748"/>
      <c r="L10" s="748"/>
      <c r="M10" s="748"/>
      <c r="N10" s="748"/>
      <c r="O10" s="748"/>
      <c r="P10" s="748"/>
      <c r="Q10" s="748"/>
      <c r="R10" s="750"/>
      <c r="S10" s="748"/>
      <c r="T10" s="748"/>
      <c r="U10" s="750"/>
      <c r="V10" s="748"/>
      <c r="W10" s="750"/>
      <c r="X10" s="750"/>
      <c r="Y10" s="750"/>
      <c r="Z10" s="750"/>
      <c r="AA10" s="750"/>
      <c r="AB10" s="750"/>
      <c r="AC10" s="750"/>
      <c r="AD10" s="750"/>
      <c r="AE10" s="750"/>
      <c r="AF10" s="750"/>
      <c r="AG10" s="750"/>
      <c r="AH10" s="750"/>
      <c r="AI10" s="750"/>
      <c r="AJ10" s="750"/>
      <c r="AK10" s="750"/>
      <c r="AL10" s="750">
        <v>115450.92</v>
      </c>
      <c r="AM10" s="750">
        <v>61020</v>
      </c>
      <c r="AN10" s="748"/>
      <c r="AO10" s="748"/>
      <c r="AP10" s="748"/>
      <c r="AQ10" s="748"/>
      <c r="AR10" s="748"/>
      <c r="AS10" s="748"/>
      <c r="AT10" s="748"/>
      <c r="AU10" s="748"/>
      <c r="AV10" s="748"/>
      <c r="AW10" s="748"/>
      <c r="AX10" s="748"/>
      <c r="AY10" s="750"/>
      <c r="AZ10" s="750"/>
      <c r="BA10" s="750"/>
      <c r="BB10" s="750">
        <f t="shared" si="0"/>
        <v>176470.91999999998</v>
      </c>
      <c r="BC10" s="724">
        <f t="shared" si="1"/>
        <v>176470.91999999998</v>
      </c>
      <c r="BD10" s="722"/>
      <c r="BE10" s="722"/>
    </row>
    <row r="11" spans="1:57" ht="18" customHeight="1" x14ac:dyDescent="0.2">
      <c r="A11" s="409">
        <v>4</v>
      </c>
      <c r="B11" s="240" t="s">
        <v>518</v>
      </c>
      <c r="C11" s="235"/>
      <c r="D11" s="388">
        <v>45000</v>
      </c>
      <c r="E11" s="236"/>
      <c r="F11" s="728">
        <f t="shared" ref="F11" si="2">SUM(G11:BA11)</f>
        <v>45000</v>
      </c>
      <c r="G11" s="747"/>
      <c r="H11" s="748"/>
      <c r="I11" s="748"/>
      <c r="J11" s="748"/>
      <c r="K11" s="748"/>
      <c r="L11" s="748"/>
      <c r="M11" s="748"/>
      <c r="N11" s="748"/>
      <c r="O11" s="748"/>
      <c r="P11" s="748"/>
      <c r="Q11" s="748"/>
      <c r="R11" s="750"/>
      <c r="S11" s="748"/>
      <c r="T11" s="748"/>
      <c r="U11" s="750"/>
      <c r="V11" s="748"/>
      <c r="W11" s="750"/>
      <c r="X11" s="750"/>
      <c r="Y11" s="750"/>
      <c r="Z11" s="750"/>
      <c r="AA11" s="750"/>
      <c r="AB11" s="750"/>
      <c r="AC11" s="750"/>
      <c r="AD11" s="750"/>
      <c r="AE11" s="750"/>
      <c r="AF11" s="750"/>
      <c r="AG11" s="750">
        <v>45000</v>
      </c>
      <c r="AH11" s="750"/>
      <c r="AI11" s="750"/>
      <c r="AJ11" s="750"/>
      <c r="AK11" s="750"/>
      <c r="AL11" s="750"/>
      <c r="AM11" s="750"/>
      <c r="AN11" s="748"/>
      <c r="AO11" s="748"/>
      <c r="AP11" s="748"/>
      <c r="AQ11" s="748"/>
      <c r="AR11" s="748"/>
      <c r="AS11" s="748"/>
      <c r="AT11" s="748"/>
      <c r="AU11" s="748"/>
      <c r="AV11" s="748"/>
      <c r="AW11" s="748"/>
      <c r="AX11" s="748"/>
      <c r="AY11" s="750"/>
      <c r="AZ11" s="750"/>
      <c r="BA11" s="750"/>
      <c r="BB11" s="750">
        <f t="shared" si="0"/>
        <v>45000</v>
      </c>
      <c r="BC11" s="724"/>
      <c r="BD11" s="722"/>
      <c r="BE11" s="722"/>
    </row>
    <row r="12" spans="1:57" ht="18" customHeight="1" x14ac:dyDescent="0.2">
      <c r="A12" s="409">
        <v>5</v>
      </c>
      <c r="B12" s="240" t="s">
        <v>483</v>
      </c>
      <c r="C12" s="235"/>
      <c r="D12" s="388">
        <v>9000</v>
      </c>
      <c r="E12" s="236"/>
      <c r="F12" s="728">
        <v>7000</v>
      </c>
      <c r="G12" s="747"/>
      <c r="H12" s="748"/>
      <c r="I12" s="748"/>
      <c r="J12" s="748"/>
      <c r="K12" s="748"/>
      <c r="L12" s="748"/>
      <c r="M12" s="748"/>
      <c r="N12" s="750">
        <v>2400</v>
      </c>
      <c r="O12" s="750"/>
      <c r="P12" s="750"/>
      <c r="Q12" s="748"/>
      <c r="R12" s="750"/>
      <c r="S12" s="748"/>
      <c r="T12" s="748"/>
      <c r="U12" s="750"/>
      <c r="V12" s="748"/>
      <c r="W12" s="750"/>
      <c r="X12" s="750"/>
      <c r="Y12" s="750"/>
      <c r="Z12" s="750"/>
      <c r="AA12" s="750"/>
      <c r="AB12" s="750"/>
      <c r="AC12" s="750"/>
      <c r="AD12" s="750"/>
      <c r="AE12" s="750"/>
      <c r="AF12" s="750"/>
      <c r="AG12" s="750">
        <v>3000</v>
      </c>
      <c r="AH12" s="750">
        <v>3600</v>
      </c>
      <c r="AI12" s="750"/>
      <c r="AJ12" s="750"/>
      <c r="AK12" s="750"/>
      <c r="AL12" s="750"/>
      <c r="AM12" s="750"/>
      <c r="AN12" s="748"/>
      <c r="AO12" s="748"/>
      <c r="AP12" s="748"/>
      <c r="AQ12" s="748"/>
      <c r="AR12" s="748"/>
      <c r="AS12" s="748"/>
      <c r="AT12" s="748"/>
      <c r="AU12" s="748"/>
      <c r="AV12" s="748"/>
      <c r="AW12" s="748"/>
      <c r="AX12" s="748"/>
      <c r="AY12" s="750"/>
      <c r="AZ12" s="750"/>
      <c r="BA12" s="750"/>
      <c r="BB12" s="750">
        <f t="shared" si="0"/>
        <v>9000</v>
      </c>
      <c r="BC12" s="724">
        <f t="shared" si="1"/>
        <v>9000</v>
      </c>
      <c r="BD12" s="722"/>
      <c r="BE12" s="723" t="e">
        <f>#REF!+BB9+BB10+BB11+BB12+BB13+BB14+BB15+BB16+BB18+BB23+BB24+BB25</f>
        <v>#REF!</v>
      </c>
    </row>
    <row r="13" spans="1:57" s="193" customFormat="1" ht="18" customHeight="1" x14ac:dyDescent="0.2">
      <c r="A13" s="409">
        <v>6</v>
      </c>
      <c r="B13" s="240" t="s">
        <v>519</v>
      </c>
      <c r="C13" s="235"/>
      <c r="D13" s="388">
        <v>3000</v>
      </c>
      <c r="E13" s="236"/>
      <c r="F13" s="728"/>
      <c r="G13" s="747"/>
      <c r="H13" s="748"/>
      <c r="I13" s="748"/>
      <c r="J13" s="748"/>
      <c r="K13" s="748"/>
      <c r="L13" s="748"/>
      <c r="M13" s="748"/>
      <c r="N13" s="750"/>
      <c r="O13" s="750"/>
      <c r="P13" s="750"/>
      <c r="Q13" s="748"/>
      <c r="R13" s="750"/>
      <c r="S13" s="748"/>
      <c r="T13" s="748"/>
      <c r="U13" s="750"/>
      <c r="V13" s="748"/>
      <c r="W13" s="750"/>
      <c r="X13" s="750"/>
      <c r="Y13" s="750"/>
      <c r="Z13" s="750"/>
      <c r="AA13" s="750"/>
      <c r="AB13" s="750"/>
      <c r="AC13" s="750"/>
      <c r="AD13" s="750"/>
      <c r="AE13" s="750"/>
      <c r="AF13" s="750"/>
      <c r="AG13" s="750">
        <v>3000</v>
      </c>
      <c r="AH13" s="750"/>
      <c r="AI13" s="750"/>
      <c r="AJ13" s="750"/>
      <c r="AK13" s="750"/>
      <c r="AL13" s="750"/>
      <c r="AM13" s="750"/>
      <c r="AN13" s="748"/>
      <c r="AO13" s="748"/>
      <c r="AP13" s="748"/>
      <c r="AQ13" s="748"/>
      <c r="AR13" s="748"/>
      <c r="AS13" s="748"/>
      <c r="AT13" s="748"/>
      <c r="AU13" s="748"/>
      <c r="AV13" s="748"/>
      <c r="AW13" s="748"/>
      <c r="AX13" s="748"/>
      <c r="AY13" s="750"/>
      <c r="AZ13" s="750"/>
      <c r="BA13" s="750"/>
      <c r="BB13" s="750">
        <f t="shared" si="0"/>
        <v>3000</v>
      </c>
      <c r="BC13" s="724"/>
      <c r="BD13" s="722"/>
      <c r="BE13" s="722"/>
    </row>
    <row r="14" spans="1:57" ht="18" customHeight="1" x14ac:dyDescent="0.2">
      <c r="A14" s="409">
        <v>7</v>
      </c>
      <c r="B14" s="240" t="s">
        <v>504</v>
      </c>
      <c r="C14" s="235"/>
      <c r="D14" s="388">
        <v>12000</v>
      </c>
      <c r="E14" s="236"/>
      <c r="F14" s="728">
        <v>12000</v>
      </c>
      <c r="G14" s="747"/>
      <c r="H14" s="748"/>
      <c r="I14" s="748"/>
      <c r="J14" s="748"/>
      <c r="K14" s="748"/>
      <c r="L14" s="748"/>
      <c r="M14" s="748"/>
      <c r="N14" s="750"/>
      <c r="O14" s="750"/>
      <c r="P14" s="750"/>
      <c r="Q14" s="748"/>
      <c r="R14" s="750"/>
      <c r="S14" s="748"/>
      <c r="T14" s="748"/>
      <c r="U14" s="750"/>
      <c r="V14" s="748"/>
      <c r="W14" s="750"/>
      <c r="X14" s="750"/>
      <c r="Y14" s="750"/>
      <c r="Z14" s="750"/>
      <c r="AA14" s="750"/>
      <c r="AB14" s="750"/>
      <c r="AC14" s="750"/>
      <c r="AD14" s="750"/>
      <c r="AE14" s="750"/>
      <c r="AF14" s="750"/>
      <c r="AG14" s="750">
        <v>12000</v>
      </c>
      <c r="AH14" s="750"/>
      <c r="AI14" s="750"/>
      <c r="AJ14" s="750"/>
      <c r="AK14" s="750"/>
      <c r="AL14" s="750"/>
      <c r="AM14" s="750"/>
      <c r="AN14" s="748"/>
      <c r="AO14" s="748"/>
      <c r="AP14" s="748"/>
      <c r="AQ14" s="748"/>
      <c r="AR14" s="748"/>
      <c r="AS14" s="748"/>
      <c r="AT14" s="748"/>
      <c r="AU14" s="748"/>
      <c r="AV14" s="748"/>
      <c r="AW14" s="748"/>
      <c r="AX14" s="748"/>
      <c r="AY14" s="750"/>
      <c r="AZ14" s="750"/>
      <c r="BA14" s="750"/>
      <c r="BB14" s="750">
        <f t="shared" si="0"/>
        <v>12000</v>
      </c>
      <c r="BC14" s="724">
        <f t="shared" si="1"/>
        <v>12000</v>
      </c>
      <c r="BD14" s="722"/>
      <c r="BE14" s="722"/>
    </row>
    <row r="15" spans="1:57" ht="18" customHeight="1" x14ac:dyDescent="0.2">
      <c r="A15" s="409">
        <v>8</v>
      </c>
      <c r="B15" s="240" t="s">
        <v>470</v>
      </c>
      <c r="C15" s="236"/>
      <c r="D15" s="388">
        <v>15000</v>
      </c>
      <c r="E15" s="236"/>
      <c r="F15" s="728">
        <v>20000</v>
      </c>
      <c r="G15" s="747"/>
      <c r="H15" s="748"/>
      <c r="I15" s="748"/>
      <c r="J15" s="748"/>
      <c r="K15" s="748"/>
      <c r="L15" s="748"/>
      <c r="M15" s="748"/>
      <c r="N15" s="748"/>
      <c r="O15" s="748"/>
      <c r="P15" s="748"/>
      <c r="Q15" s="748"/>
      <c r="R15" s="750"/>
      <c r="S15" s="748"/>
      <c r="T15" s="748"/>
      <c r="U15" s="750"/>
      <c r="V15" s="748"/>
      <c r="W15" s="750"/>
      <c r="X15" s="750"/>
      <c r="Y15" s="750"/>
      <c r="Z15" s="750"/>
      <c r="AA15" s="750"/>
      <c r="AB15" s="750"/>
      <c r="AC15" s="750"/>
      <c r="AD15" s="750"/>
      <c r="AE15" s="750"/>
      <c r="AF15" s="750"/>
      <c r="AG15" s="750"/>
      <c r="AH15" s="750"/>
      <c r="AI15" s="750">
        <v>15000</v>
      </c>
      <c r="AJ15" s="750"/>
      <c r="AK15" s="750"/>
      <c r="AL15" s="750"/>
      <c r="AM15" s="750"/>
      <c r="AN15" s="748"/>
      <c r="AO15" s="748"/>
      <c r="AP15" s="748"/>
      <c r="AQ15" s="748"/>
      <c r="AR15" s="748"/>
      <c r="AS15" s="748"/>
      <c r="AT15" s="748"/>
      <c r="AU15" s="748"/>
      <c r="AV15" s="748"/>
      <c r="AW15" s="748"/>
      <c r="AX15" s="748"/>
      <c r="AY15" s="750"/>
      <c r="AZ15" s="750"/>
      <c r="BA15" s="750"/>
      <c r="BB15" s="750">
        <f t="shared" si="0"/>
        <v>15000</v>
      </c>
      <c r="BC15" s="724">
        <f t="shared" si="1"/>
        <v>15000</v>
      </c>
      <c r="BD15" s="722"/>
      <c r="BE15" s="722"/>
    </row>
    <row r="16" spans="1:57" ht="18" customHeight="1" x14ac:dyDescent="0.2">
      <c r="A16" s="409">
        <v>9</v>
      </c>
      <c r="B16" s="240" t="s">
        <v>520</v>
      </c>
      <c r="C16" s="236"/>
      <c r="D16" s="388">
        <v>20000</v>
      </c>
      <c r="E16" s="236"/>
      <c r="F16" s="728">
        <v>25000</v>
      </c>
      <c r="G16" s="747"/>
      <c r="H16" s="748"/>
      <c r="I16" s="748"/>
      <c r="J16" s="748"/>
      <c r="K16" s="748"/>
      <c r="L16" s="748"/>
      <c r="M16" s="748"/>
      <c r="N16" s="748"/>
      <c r="O16" s="748"/>
      <c r="P16" s="748"/>
      <c r="Q16" s="748"/>
      <c r="R16" s="750"/>
      <c r="S16" s="748"/>
      <c r="T16" s="748"/>
      <c r="U16" s="750"/>
      <c r="V16" s="748"/>
      <c r="W16" s="748"/>
      <c r="X16" s="748"/>
      <c r="Y16" s="748"/>
      <c r="Z16" s="748"/>
      <c r="AA16" s="748"/>
      <c r="AB16" s="748"/>
      <c r="AC16" s="748"/>
      <c r="AD16" s="748"/>
      <c r="AE16" s="748"/>
      <c r="AF16" s="748"/>
      <c r="AG16" s="748"/>
      <c r="AH16" s="748"/>
      <c r="AI16" s="750">
        <v>20000</v>
      </c>
      <c r="AJ16" s="748"/>
      <c r="AK16" s="748"/>
      <c r="AL16" s="748"/>
      <c r="AM16" s="748"/>
      <c r="AN16" s="748"/>
      <c r="AO16" s="748"/>
      <c r="AP16" s="748"/>
      <c r="AQ16" s="748"/>
      <c r="AR16" s="748"/>
      <c r="AS16" s="748"/>
      <c r="AT16" s="748"/>
      <c r="AU16" s="748"/>
      <c r="AV16" s="748"/>
      <c r="AW16" s="748"/>
      <c r="AX16" s="748"/>
      <c r="AY16" s="750"/>
      <c r="AZ16" s="748"/>
      <c r="BA16" s="748"/>
      <c r="BB16" s="750">
        <f t="shared" si="0"/>
        <v>20000</v>
      </c>
      <c r="BC16" s="725"/>
      <c r="BD16" s="722"/>
      <c r="BE16" s="722"/>
    </row>
    <row r="17" spans="1:57" s="404" customFormat="1" ht="18" customHeight="1" x14ac:dyDescent="0.2">
      <c r="A17" s="409">
        <v>10</v>
      </c>
      <c r="B17" s="240" t="s">
        <v>522</v>
      </c>
      <c r="C17" s="236"/>
      <c r="D17" s="388">
        <v>3000</v>
      </c>
      <c r="E17" s="236"/>
      <c r="F17" s="728"/>
      <c r="G17" s="747"/>
      <c r="H17" s="748"/>
      <c r="I17" s="748"/>
      <c r="J17" s="748"/>
      <c r="K17" s="748"/>
      <c r="L17" s="748"/>
      <c r="M17" s="748"/>
      <c r="N17" s="748"/>
      <c r="O17" s="748"/>
      <c r="P17" s="748"/>
      <c r="Q17" s="748"/>
      <c r="R17" s="750"/>
      <c r="S17" s="748"/>
      <c r="T17" s="748"/>
      <c r="U17" s="750"/>
      <c r="V17" s="748"/>
      <c r="W17" s="748"/>
      <c r="X17" s="748"/>
      <c r="Y17" s="748"/>
      <c r="Z17" s="748"/>
      <c r="AA17" s="748"/>
      <c r="AB17" s="748"/>
      <c r="AC17" s="748"/>
      <c r="AD17" s="748"/>
      <c r="AE17" s="748"/>
      <c r="AF17" s="748"/>
      <c r="AG17" s="750">
        <v>3000</v>
      </c>
      <c r="AH17" s="748"/>
      <c r="AI17" s="750"/>
      <c r="AJ17" s="748"/>
      <c r="AK17" s="748"/>
      <c r="AL17" s="748"/>
      <c r="AM17" s="748"/>
      <c r="AN17" s="748"/>
      <c r="AO17" s="748"/>
      <c r="AP17" s="748"/>
      <c r="AQ17" s="748"/>
      <c r="AR17" s="748"/>
      <c r="AS17" s="748"/>
      <c r="AT17" s="748"/>
      <c r="AU17" s="748"/>
      <c r="AV17" s="748"/>
      <c r="AW17" s="748"/>
      <c r="AX17" s="748"/>
      <c r="AY17" s="750"/>
      <c r="AZ17" s="748"/>
      <c r="BA17" s="748"/>
      <c r="BB17" s="750">
        <f t="shared" si="0"/>
        <v>3000</v>
      </c>
      <c r="BC17" s="725"/>
      <c r="BD17" s="722"/>
      <c r="BE17" s="722"/>
    </row>
    <row r="18" spans="1:57" ht="18" customHeight="1" x14ac:dyDescent="0.2">
      <c r="A18" s="409">
        <v>11</v>
      </c>
      <c r="B18" s="240" t="s">
        <v>517</v>
      </c>
      <c r="C18" s="235"/>
      <c r="D18" s="388">
        <v>5000</v>
      </c>
      <c r="E18" s="236"/>
      <c r="F18" s="728">
        <v>25000</v>
      </c>
      <c r="G18" s="747"/>
      <c r="H18" s="748"/>
      <c r="I18" s="748"/>
      <c r="J18" s="748"/>
      <c r="K18" s="748"/>
      <c r="L18" s="748"/>
      <c r="M18" s="748"/>
      <c r="N18" s="748"/>
      <c r="O18" s="748"/>
      <c r="P18" s="748"/>
      <c r="Q18" s="748"/>
      <c r="R18" s="750"/>
      <c r="S18" s="748"/>
      <c r="T18" s="748"/>
      <c r="U18" s="750"/>
      <c r="V18" s="748"/>
      <c r="W18" s="748"/>
      <c r="X18" s="748"/>
      <c r="Y18" s="748"/>
      <c r="Z18" s="748"/>
      <c r="AA18" s="748"/>
      <c r="AB18" s="748"/>
      <c r="AC18" s="748"/>
      <c r="AD18" s="748"/>
      <c r="AE18" s="748"/>
      <c r="AF18" s="748"/>
      <c r="AG18" s="750">
        <v>5000</v>
      </c>
      <c r="AH18" s="748"/>
      <c r="AI18" s="748"/>
      <c r="AJ18" s="748"/>
      <c r="AK18" s="748"/>
      <c r="AL18" s="748"/>
      <c r="AM18" s="748"/>
      <c r="AN18" s="748"/>
      <c r="AO18" s="748"/>
      <c r="AP18" s="748"/>
      <c r="AQ18" s="748"/>
      <c r="AR18" s="748"/>
      <c r="AS18" s="748"/>
      <c r="AT18" s="748"/>
      <c r="AU18" s="748"/>
      <c r="AV18" s="748"/>
      <c r="AW18" s="748"/>
      <c r="AX18" s="748"/>
      <c r="AY18" s="748"/>
      <c r="AZ18" s="748"/>
      <c r="BA18" s="748"/>
      <c r="BB18" s="750">
        <f t="shared" si="0"/>
        <v>5000</v>
      </c>
      <c r="BC18" s="725"/>
      <c r="BD18" s="722"/>
      <c r="BE18" s="722"/>
    </row>
    <row r="19" spans="1:57" s="404" customFormat="1" ht="18" customHeight="1" x14ac:dyDescent="0.2">
      <c r="A19" s="409">
        <v>12</v>
      </c>
      <c r="B19" s="240" t="s">
        <v>516</v>
      </c>
      <c r="C19" s="235"/>
      <c r="D19" s="388">
        <v>3000</v>
      </c>
      <c r="E19" s="236"/>
      <c r="F19" s="728"/>
      <c r="G19" s="747"/>
      <c r="H19" s="748"/>
      <c r="I19" s="748"/>
      <c r="J19" s="748"/>
      <c r="K19" s="748"/>
      <c r="L19" s="748"/>
      <c r="M19" s="748"/>
      <c r="N19" s="748"/>
      <c r="O19" s="748"/>
      <c r="P19" s="748"/>
      <c r="Q19" s="748"/>
      <c r="R19" s="750"/>
      <c r="S19" s="748"/>
      <c r="T19" s="748"/>
      <c r="U19" s="750"/>
      <c r="V19" s="748"/>
      <c r="W19" s="748"/>
      <c r="X19" s="748"/>
      <c r="Y19" s="748"/>
      <c r="Z19" s="748"/>
      <c r="AA19" s="748"/>
      <c r="AB19" s="748"/>
      <c r="AC19" s="748"/>
      <c r="AD19" s="748"/>
      <c r="AE19" s="748"/>
      <c r="AF19" s="748"/>
      <c r="AG19" s="750">
        <v>3000</v>
      </c>
      <c r="AH19" s="748"/>
      <c r="AI19" s="748"/>
      <c r="AJ19" s="748"/>
      <c r="AK19" s="748"/>
      <c r="AL19" s="748"/>
      <c r="AM19" s="748"/>
      <c r="AN19" s="748"/>
      <c r="AO19" s="748"/>
      <c r="AP19" s="748"/>
      <c r="AQ19" s="748"/>
      <c r="AR19" s="748"/>
      <c r="AS19" s="748"/>
      <c r="AT19" s="748"/>
      <c r="AU19" s="748"/>
      <c r="AV19" s="748"/>
      <c r="AW19" s="748"/>
      <c r="AX19" s="748"/>
      <c r="AY19" s="748"/>
      <c r="AZ19" s="748"/>
      <c r="BA19" s="748"/>
      <c r="BB19" s="750">
        <f t="shared" si="0"/>
        <v>3000</v>
      </c>
      <c r="BC19" s="83"/>
    </row>
    <row r="20" spans="1:57" s="404" customFormat="1" ht="18" customHeight="1" x14ac:dyDescent="0.2">
      <c r="A20" s="409">
        <v>13</v>
      </c>
      <c r="B20" s="240" t="s">
        <v>524</v>
      </c>
      <c r="C20" s="235"/>
      <c r="D20" s="388">
        <v>5000</v>
      </c>
      <c r="E20" s="236"/>
      <c r="F20" s="728"/>
      <c r="G20" s="747"/>
      <c r="H20" s="748"/>
      <c r="I20" s="748"/>
      <c r="J20" s="748"/>
      <c r="K20" s="748"/>
      <c r="L20" s="748"/>
      <c r="M20" s="748"/>
      <c r="N20" s="748"/>
      <c r="O20" s="748"/>
      <c r="P20" s="748"/>
      <c r="Q20" s="748"/>
      <c r="R20" s="750"/>
      <c r="S20" s="748"/>
      <c r="T20" s="748"/>
      <c r="U20" s="750"/>
      <c r="V20" s="748"/>
      <c r="W20" s="748"/>
      <c r="X20" s="748"/>
      <c r="Y20" s="748"/>
      <c r="Z20" s="748"/>
      <c r="AA20" s="748"/>
      <c r="AB20" s="748"/>
      <c r="AC20" s="748"/>
      <c r="AD20" s="748"/>
      <c r="AE20" s="748"/>
      <c r="AF20" s="748"/>
      <c r="AG20" s="750">
        <v>5000</v>
      </c>
      <c r="AH20" s="748"/>
      <c r="AI20" s="748"/>
      <c r="AJ20" s="748"/>
      <c r="AK20" s="748"/>
      <c r="AL20" s="748"/>
      <c r="AM20" s="748"/>
      <c r="AN20" s="748"/>
      <c r="AO20" s="748"/>
      <c r="AP20" s="748"/>
      <c r="AQ20" s="748"/>
      <c r="AR20" s="748"/>
      <c r="AS20" s="748"/>
      <c r="AT20" s="748"/>
      <c r="AU20" s="748"/>
      <c r="AV20" s="748"/>
      <c r="AW20" s="748"/>
      <c r="AX20" s="748"/>
      <c r="AY20" s="748"/>
      <c r="AZ20" s="748"/>
      <c r="BA20" s="748"/>
      <c r="BB20" s="750">
        <f t="shared" si="0"/>
        <v>5000</v>
      </c>
      <c r="BC20" s="83"/>
    </row>
    <row r="21" spans="1:57" s="404" customFormat="1" ht="24" customHeight="1" x14ac:dyDescent="0.2">
      <c r="A21" s="409">
        <v>14</v>
      </c>
      <c r="B21" s="390" t="s">
        <v>521</v>
      </c>
      <c r="C21" s="235"/>
      <c r="D21" s="388">
        <v>20000</v>
      </c>
      <c r="E21" s="236"/>
      <c r="F21" s="728"/>
      <c r="G21" s="747"/>
      <c r="H21" s="748"/>
      <c r="I21" s="748"/>
      <c r="J21" s="748"/>
      <c r="K21" s="748"/>
      <c r="L21" s="748"/>
      <c r="M21" s="748"/>
      <c r="N21" s="748"/>
      <c r="O21" s="748"/>
      <c r="P21" s="748"/>
      <c r="Q21" s="748"/>
      <c r="R21" s="750"/>
      <c r="S21" s="748"/>
      <c r="T21" s="748"/>
      <c r="U21" s="750"/>
      <c r="V21" s="748"/>
      <c r="W21" s="748"/>
      <c r="X21" s="748"/>
      <c r="Y21" s="748"/>
      <c r="Z21" s="748"/>
      <c r="AA21" s="748"/>
      <c r="AB21" s="748"/>
      <c r="AC21" s="748"/>
      <c r="AD21" s="748"/>
      <c r="AE21" s="748"/>
      <c r="AF21" s="748"/>
      <c r="AG21" s="750">
        <v>20000</v>
      </c>
      <c r="AH21" s="748"/>
      <c r="AI21" s="748"/>
      <c r="AJ21" s="748"/>
      <c r="AK21" s="748"/>
      <c r="AL21" s="748"/>
      <c r="AM21" s="748"/>
      <c r="AN21" s="748"/>
      <c r="AO21" s="748"/>
      <c r="AP21" s="748"/>
      <c r="AQ21" s="748"/>
      <c r="AR21" s="748"/>
      <c r="AS21" s="748"/>
      <c r="AT21" s="748"/>
      <c r="AU21" s="748"/>
      <c r="AV21" s="748"/>
      <c r="AW21" s="748"/>
      <c r="AX21" s="748"/>
      <c r="AY21" s="748"/>
      <c r="AZ21" s="748"/>
      <c r="BA21" s="748"/>
      <c r="BB21" s="750">
        <f t="shared" si="0"/>
        <v>20000</v>
      </c>
      <c r="BC21" s="83"/>
    </row>
    <row r="22" spans="1:57" s="404" customFormat="1" ht="24" customHeight="1" x14ac:dyDescent="0.2">
      <c r="A22" s="409">
        <v>15</v>
      </c>
      <c r="B22" s="390" t="s">
        <v>526</v>
      </c>
      <c r="C22" s="235"/>
      <c r="D22" s="388">
        <v>10000</v>
      </c>
      <c r="E22" s="236"/>
      <c r="F22" s="728"/>
      <c r="G22" s="747"/>
      <c r="H22" s="748"/>
      <c r="I22" s="748"/>
      <c r="J22" s="748"/>
      <c r="K22" s="748"/>
      <c r="L22" s="748"/>
      <c r="M22" s="748"/>
      <c r="N22" s="748"/>
      <c r="O22" s="748"/>
      <c r="P22" s="748"/>
      <c r="Q22" s="748"/>
      <c r="R22" s="750"/>
      <c r="S22" s="748"/>
      <c r="T22" s="748"/>
      <c r="U22" s="750"/>
      <c r="V22" s="748"/>
      <c r="W22" s="748"/>
      <c r="X22" s="748"/>
      <c r="Y22" s="748"/>
      <c r="Z22" s="748"/>
      <c r="AA22" s="748"/>
      <c r="AB22" s="748"/>
      <c r="AC22" s="750">
        <v>10000</v>
      </c>
      <c r="AD22" s="748"/>
      <c r="AE22" s="748"/>
      <c r="AF22" s="748"/>
      <c r="AG22" s="750"/>
      <c r="AH22" s="748"/>
      <c r="AI22" s="748"/>
      <c r="AJ22" s="748"/>
      <c r="AK22" s="748"/>
      <c r="AL22" s="748"/>
      <c r="AM22" s="748"/>
      <c r="AN22" s="748"/>
      <c r="AO22" s="748"/>
      <c r="AP22" s="748"/>
      <c r="AQ22" s="748"/>
      <c r="AR22" s="748"/>
      <c r="AS22" s="748"/>
      <c r="AT22" s="748"/>
      <c r="AU22" s="748"/>
      <c r="AV22" s="748"/>
      <c r="AW22" s="748"/>
      <c r="AX22" s="748"/>
      <c r="AY22" s="748"/>
      <c r="AZ22" s="748"/>
      <c r="BA22" s="748"/>
      <c r="BB22" s="750">
        <f t="shared" si="0"/>
        <v>10000</v>
      </c>
      <c r="BC22" s="83"/>
    </row>
    <row r="23" spans="1:57" ht="18" customHeight="1" x14ac:dyDescent="0.2">
      <c r="A23" s="409">
        <v>16</v>
      </c>
      <c r="B23" s="240" t="s">
        <v>544</v>
      </c>
      <c r="C23" s="235"/>
      <c r="D23" s="388">
        <v>5000</v>
      </c>
      <c r="E23" s="236"/>
      <c r="F23" s="728">
        <v>7000</v>
      </c>
      <c r="G23" s="747"/>
      <c r="H23" s="750"/>
      <c r="I23" s="748"/>
      <c r="J23" s="748"/>
      <c r="K23" s="748"/>
      <c r="L23" s="748"/>
      <c r="M23" s="748"/>
      <c r="N23" s="750"/>
      <c r="O23" s="748"/>
      <c r="P23" s="748"/>
      <c r="Q23" s="748"/>
      <c r="R23" s="750"/>
      <c r="S23" s="748"/>
      <c r="T23" s="748"/>
      <c r="U23" s="750"/>
      <c r="V23" s="748"/>
      <c r="W23" s="748"/>
      <c r="X23" s="748"/>
      <c r="Y23" s="748"/>
      <c r="Z23" s="748"/>
      <c r="AA23" s="748"/>
      <c r="AB23" s="748"/>
      <c r="AC23" s="750"/>
      <c r="AD23" s="748"/>
      <c r="AE23" s="748"/>
      <c r="AF23" s="750"/>
      <c r="AG23" s="750">
        <v>5000</v>
      </c>
      <c r="AH23" s="750"/>
      <c r="AI23" s="750"/>
      <c r="AJ23" s="748"/>
      <c r="AK23" s="748"/>
      <c r="AL23" s="748"/>
      <c r="AM23" s="748"/>
      <c r="AN23" s="748"/>
      <c r="AO23" s="748"/>
      <c r="AP23" s="748"/>
      <c r="AQ23" s="748"/>
      <c r="AR23" s="748"/>
      <c r="AS23" s="748"/>
      <c r="AT23" s="748"/>
      <c r="AU23" s="748"/>
      <c r="AV23" s="748"/>
      <c r="AW23" s="748"/>
      <c r="AX23" s="748"/>
      <c r="AY23" s="748"/>
      <c r="AZ23" s="748"/>
      <c r="BA23" s="748"/>
      <c r="BB23" s="750">
        <f t="shared" si="0"/>
        <v>5000</v>
      </c>
      <c r="BC23" s="83"/>
    </row>
    <row r="24" spans="1:57" s="184" customFormat="1" ht="24" customHeight="1" x14ac:dyDescent="0.2">
      <c r="A24" s="409">
        <v>17</v>
      </c>
      <c r="B24" s="390" t="s">
        <v>525</v>
      </c>
      <c r="C24" s="236"/>
      <c r="D24" s="388">
        <v>8000</v>
      </c>
      <c r="E24" s="236"/>
      <c r="F24" s="728">
        <v>3000</v>
      </c>
      <c r="G24" s="747"/>
      <c r="H24" s="748"/>
      <c r="I24" s="748"/>
      <c r="J24" s="748"/>
      <c r="K24" s="748"/>
      <c r="L24" s="748"/>
      <c r="M24" s="748"/>
      <c r="N24" s="748"/>
      <c r="O24" s="748"/>
      <c r="P24" s="748"/>
      <c r="Q24" s="748"/>
      <c r="R24" s="750">
        <v>1000</v>
      </c>
      <c r="S24" s="750">
        <v>2000</v>
      </c>
      <c r="T24" s="750"/>
      <c r="U24" s="750"/>
      <c r="V24" s="750"/>
      <c r="W24" s="750"/>
      <c r="X24" s="750"/>
      <c r="Y24" s="750"/>
      <c r="Z24" s="750"/>
      <c r="AA24" s="750"/>
      <c r="AB24" s="750">
        <v>1000</v>
      </c>
      <c r="AC24" s="750"/>
      <c r="AD24" s="750"/>
      <c r="AE24" s="750"/>
      <c r="AF24" s="750"/>
      <c r="AG24" s="750"/>
      <c r="AH24" s="750">
        <v>3000</v>
      </c>
      <c r="AI24" s="748"/>
      <c r="AJ24" s="748"/>
      <c r="AK24" s="748">
        <v>1000</v>
      </c>
      <c r="AL24" s="748"/>
      <c r="AM24" s="748"/>
      <c r="AN24" s="748"/>
      <c r="AO24" s="748"/>
      <c r="AP24" s="748"/>
      <c r="AQ24" s="748"/>
      <c r="AR24" s="750"/>
      <c r="AS24" s="748"/>
      <c r="AT24" s="748"/>
      <c r="AU24" s="748"/>
      <c r="AV24" s="748"/>
      <c r="AW24" s="748"/>
      <c r="AX24" s="748"/>
      <c r="AY24" s="748"/>
      <c r="AZ24" s="748"/>
      <c r="BA24" s="748"/>
      <c r="BB24" s="750">
        <f t="shared" si="0"/>
        <v>8000</v>
      </c>
      <c r="BC24" s="83"/>
    </row>
    <row r="25" spans="1:57" s="184" customFormat="1" ht="18" customHeight="1" x14ac:dyDescent="0.2">
      <c r="A25" s="409">
        <v>19</v>
      </c>
      <c r="B25" s="240" t="s">
        <v>494</v>
      </c>
      <c r="C25" s="236"/>
      <c r="D25" s="388">
        <v>15000</v>
      </c>
      <c r="E25" s="236"/>
      <c r="F25" s="728">
        <v>15000</v>
      </c>
      <c r="G25" s="747"/>
      <c r="H25" s="748"/>
      <c r="I25" s="748"/>
      <c r="J25" s="748"/>
      <c r="K25" s="748"/>
      <c r="L25" s="748"/>
      <c r="M25" s="748"/>
      <c r="N25" s="748"/>
      <c r="O25" s="748"/>
      <c r="P25" s="750">
        <v>15000</v>
      </c>
      <c r="Q25" s="748"/>
      <c r="R25" s="750"/>
      <c r="S25" s="750"/>
      <c r="T25" s="750"/>
      <c r="U25" s="750"/>
      <c r="V25" s="750"/>
      <c r="W25" s="750"/>
      <c r="X25" s="750"/>
      <c r="Y25" s="750"/>
      <c r="Z25" s="750"/>
      <c r="AA25" s="750"/>
      <c r="AB25" s="750"/>
      <c r="AC25" s="750"/>
      <c r="AD25" s="750"/>
      <c r="AE25" s="750"/>
      <c r="AF25" s="750"/>
      <c r="AG25" s="748"/>
      <c r="AH25" s="748"/>
      <c r="AI25" s="748"/>
      <c r="AJ25" s="748"/>
      <c r="AK25" s="748"/>
      <c r="AL25" s="748"/>
      <c r="AM25" s="748"/>
      <c r="AN25" s="748"/>
      <c r="AO25" s="748"/>
      <c r="AP25" s="748"/>
      <c r="AQ25" s="748"/>
      <c r="AR25" s="748"/>
      <c r="AS25" s="748"/>
      <c r="AT25" s="748"/>
      <c r="AU25" s="748"/>
      <c r="AV25" s="748"/>
      <c r="AW25" s="748"/>
      <c r="AX25" s="748"/>
      <c r="AY25" s="748"/>
      <c r="AZ25" s="748"/>
      <c r="BA25" s="748"/>
      <c r="BB25" s="750">
        <f t="shared" si="0"/>
        <v>15000</v>
      </c>
      <c r="BC25" s="83"/>
    </row>
    <row r="26" spans="1:57" ht="18" customHeight="1" x14ac:dyDescent="0.2">
      <c r="A26" s="394"/>
      <c r="B26" s="395" t="s">
        <v>508</v>
      </c>
      <c r="C26" s="396"/>
      <c r="D26" s="397">
        <f>SUM(E27+E28+E29+E30+E31+D32+D33+D34+D35+D36+D37+D38+D39+D40+D41+D42+D43+D44+D45)</f>
        <v>491670.7</v>
      </c>
      <c r="E26" s="398"/>
      <c r="F26" s="730"/>
      <c r="G26" s="744"/>
      <c r="H26" s="744"/>
      <c r="I26" s="744"/>
      <c r="J26" s="744"/>
      <c r="K26" s="744"/>
      <c r="L26" s="744"/>
      <c r="M26" s="748"/>
      <c r="N26" s="748"/>
      <c r="O26" s="748"/>
      <c r="P26" s="748"/>
      <c r="Q26" s="748"/>
      <c r="R26" s="750"/>
      <c r="S26" s="748"/>
      <c r="T26" s="748"/>
      <c r="U26" s="750"/>
      <c r="V26" s="744"/>
      <c r="W26" s="744"/>
      <c r="X26" s="744"/>
      <c r="Y26" s="744"/>
      <c r="Z26" s="744"/>
      <c r="AA26" s="744"/>
      <c r="AB26" s="744"/>
      <c r="AC26" s="744"/>
      <c r="AD26" s="744"/>
      <c r="AE26" s="744"/>
      <c r="AF26" s="744"/>
      <c r="AG26" s="744"/>
      <c r="AH26" s="744"/>
      <c r="AI26" s="744"/>
      <c r="AJ26" s="744"/>
      <c r="AK26" s="744"/>
      <c r="AL26" s="744"/>
      <c r="AM26" s="744"/>
      <c r="AN26" s="744"/>
      <c r="AO26" s="744"/>
      <c r="AP26" s="744"/>
      <c r="AQ26" s="744"/>
      <c r="AR26" s="744"/>
      <c r="AS26" s="744"/>
      <c r="AT26" s="744"/>
      <c r="AU26" s="744"/>
      <c r="AV26" s="744"/>
      <c r="AW26" s="744"/>
      <c r="AX26" s="744"/>
      <c r="AY26" s="744"/>
      <c r="AZ26" s="744"/>
      <c r="BA26" s="744"/>
      <c r="BB26" s="750">
        <f t="shared" si="0"/>
        <v>0</v>
      </c>
      <c r="BC26" s="83"/>
    </row>
    <row r="27" spans="1:57" ht="21.75" customHeight="1" x14ac:dyDescent="0.2">
      <c r="A27" s="408">
        <v>1</v>
      </c>
      <c r="B27" s="432" t="s">
        <v>567</v>
      </c>
      <c r="C27" s="431"/>
      <c r="D27" s="463"/>
      <c r="E27" s="388">
        <v>15916.24</v>
      </c>
      <c r="F27" s="731">
        <v>35000</v>
      </c>
      <c r="G27" s="747"/>
      <c r="H27" s="744"/>
      <c r="I27" s="744"/>
      <c r="J27" s="744"/>
      <c r="K27" s="744"/>
      <c r="L27" s="744"/>
      <c r="M27" s="750"/>
      <c r="N27" s="748"/>
      <c r="O27" s="748"/>
      <c r="P27" s="748"/>
      <c r="Q27" s="748"/>
      <c r="R27" s="750"/>
      <c r="S27" s="750"/>
      <c r="T27" s="750">
        <v>15916.24</v>
      </c>
      <c r="U27" s="750"/>
      <c r="V27" s="744"/>
      <c r="W27" s="744"/>
      <c r="X27" s="746"/>
      <c r="Y27" s="744"/>
      <c r="Z27" s="744"/>
      <c r="AA27" s="744"/>
      <c r="AB27" s="744"/>
      <c r="AC27" s="744"/>
      <c r="AD27" s="744"/>
      <c r="AE27" s="744"/>
      <c r="AF27" s="748"/>
      <c r="AG27" s="748"/>
      <c r="AH27" s="750"/>
      <c r="AI27" s="748"/>
      <c r="AJ27" s="748"/>
      <c r="AK27" s="748"/>
      <c r="AL27" s="748"/>
      <c r="AM27" s="748"/>
      <c r="AN27" s="748"/>
      <c r="AO27" s="748"/>
      <c r="AP27" s="748"/>
      <c r="AQ27" s="748"/>
      <c r="AR27" s="748"/>
      <c r="AS27" s="748"/>
      <c r="AT27" s="748"/>
      <c r="AU27" s="748"/>
      <c r="AV27" s="750"/>
      <c r="AW27" s="748"/>
      <c r="AX27" s="744"/>
      <c r="AY27" s="744"/>
      <c r="AZ27" s="744"/>
      <c r="BA27" s="744"/>
      <c r="BB27" s="750">
        <f t="shared" si="0"/>
        <v>15916.24</v>
      </c>
      <c r="BC27" s="83"/>
    </row>
    <row r="28" spans="1:57" s="428" customFormat="1" ht="21.75" customHeight="1" x14ac:dyDescent="0.2">
      <c r="A28" s="408">
        <v>2</v>
      </c>
      <c r="B28" s="432" t="s">
        <v>566</v>
      </c>
      <c r="C28" s="431"/>
      <c r="D28" s="463"/>
      <c r="E28" s="388">
        <v>12568.67</v>
      </c>
      <c r="F28" s="731"/>
      <c r="G28" s="747"/>
      <c r="H28" s="744"/>
      <c r="I28" s="744"/>
      <c r="J28" s="744"/>
      <c r="K28" s="744"/>
      <c r="L28" s="744"/>
      <c r="M28" s="750"/>
      <c r="N28" s="748"/>
      <c r="O28" s="748"/>
      <c r="P28" s="748"/>
      <c r="Q28" s="748"/>
      <c r="R28" s="750"/>
      <c r="S28" s="750"/>
      <c r="T28" s="750"/>
      <c r="U28" s="750"/>
      <c r="V28" s="744"/>
      <c r="W28" s="744"/>
      <c r="X28" s="746"/>
      <c r="Y28" s="744"/>
      <c r="Z28" s="744"/>
      <c r="AA28" s="744"/>
      <c r="AB28" s="744">
        <v>12568.67</v>
      </c>
      <c r="AC28" s="744"/>
      <c r="AD28" s="744"/>
      <c r="AE28" s="744"/>
      <c r="AF28" s="748"/>
      <c r="AG28" s="748"/>
      <c r="AH28" s="750"/>
      <c r="AI28" s="748"/>
      <c r="AJ28" s="748"/>
      <c r="AK28" s="748"/>
      <c r="AL28" s="748"/>
      <c r="AM28" s="748"/>
      <c r="AN28" s="748"/>
      <c r="AO28" s="748"/>
      <c r="AP28" s="748"/>
      <c r="AQ28" s="748"/>
      <c r="AR28" s="748"/>
      <c r="AS28" s="748"/>
      <c r="AT28" s="748"/>
      <c r="AU28" s="748"/>
      <c r="AV28" s="750"/>
      <c r="AW28" s="748"/>
      <c r="AX28" s="744"/>
      <c r="AY28" s="744"/>
      <c r="AZ28" s="744"/>
      <c r="BA28" s="744"/>
      <c r="BB28" s="750">
        <f t="shared" si="0"/>
        <v>12568.67</v>
      </c>
      <c r="BC28" s="83"/>
    </row>
    <row r="29" spans="1:57" s="428" customFormat="1" ht="21.75" customHeight="1" x14ac:dyDescent="0.2">
      <c r="A29" s="408">
        <v>3</v>
      </c>
      <c r="B29" s="251" t="s">
        <v>565</v>
      </c>
      <c r="C29" s="431"/>
      <c r="D29" s="463"/>
      <c r="E29" s="388">
        <v>9663.74</v>
      </c>
      <c r="F29" s="731"/>
      <c r="G29" s="747"/>
      <c r="H29" s="744"/>
      <c r="I29" s="744"/>
      <c r="J29" s="744"/>
      <c r="K29" s="744"/>
      <c r="L29" s="744"/>
      <c r="M29" s="750"/>
      <c r="N29" s="748"/>
      <c r="O29" s="748"/>
      <c r="P29" s="748"/>
      <c r="Q29" s="748"/>
      <c r="R29" s="750"/>
      <c r="S29" s="750"/>
      <c r="T29" s="750">
        <v>9663.74</v>
      </c>
      <c r="U29" s="750"/>
      <c r="V29" s="744"/>
      <c r="W29" s="744"/>
      <c r="X29" s="746"/>
      <c r="Y29" s="744"/>
      <c r="Z29" s="744"/>
      <c r="AA29" s="744"/>
      <c r="AB29" s="744"/>
      <c r="AC29" s="744"/>
      <c r="AD29" s="744"/>
      <c r="AE29" s="744"/>
      <c r="AF29" s="748"/>
      <c r="AG29" s="748"/>
      <c r="AH29" s="750"/>
      <c r="AI29" s="748"/>
      <c r="AJ29" s="748"/>
      <c r="AK29" s="748"/>
      <c r="AL29" s="748"/>
      <c r="AM29" s="748"/>
      <c r="AN29" s="748"/>
      <c r="AO29" s="748"/>
      <c r="AP29" s="748"/>
      <c r="AQ29" s="748"/>
      <c r="AR29" s="748"/>
      <c r="AS29" s="748"/>
      <c r="AT29" s="748"/>
      <c r="AU29" s="748"/>
      <c r="AV29" s="750"/>
      <c r="AW29" s="748"/>
      <c r="AX29" s="744"/>
      <c r="AY29" s="744"/>
      <c r="AZ29" s="744"/>
      <c r="BA29" s="744"/>
      <c r="BB29" s="750">
        <f t="shared" si="0"/>
        <v>9663.74</v>
      </c>
      <c r="BC29" s="83"/>
    </row>
    <row r="30" spans="1:57" s="459" customFormat="1" ht="21.75" customHeight="1" x14ac:dyDescent="0.2">
      <c r="A30" s="408">
        <v>4</v>
      </c>
      <c r="B30" s="468" t="s">
        <v>594</v>
      </c>
      <c r="C30" s="468"/>
      <c r="D30" s="468"/>
      <c r="E30" s="469">
        <v>22036.94</v>
      </c>
      <c r="F30" s="467"/>
      <c r="G30" s="747"/>
      <c r="H30" s="751"/>
      <c r="I30" s="751"/>
      <c r="J30" s="751"/>
      <c r="K30" s="751"/>
      <c r="L30" s="744"/>
      <c r="M30" s="750"/>
      <c r="N30" s="748"/>
      <c r="O30" s="748"/>
      <c r="P30" s="748"/>
      <c r="Q30" s="748"/>
      <c r="R30" s="750"/>
      <c r="S30" s="750"/>
      <c r="T30" s="750">
        <v>22036.94</v>
      </c>
      <c r="U30" s="750"/>
      <c r="V30" s="744"/>
      <c r="W30" s="744"/>
      <c r="X30" s="746"/>
      <c r="Y30" s="744"/>
      <c r="Z30" s="744"/>
      <c r="AA30" s="744"/>
      <c r="AB30" s="744"/>
      <c r="AC30" s="744"/>
      <c r="AD30" s="744"/>
      <c r="AE30" s="744"/>
      <c r="AF30" s="748"/>
      <c r="AG30" s="748"/>
      <c r="AH30" s="750"/>
      <c r="AI30" s="748"/>
      <c r="AJ30" s="748"/>
      <c r="AK30" s="748"/>
      <c r="AL30" s="748"/>
      <c r="AM30" s="748"/>
      <c r="AN30" s="748"/>
      <c r="AO30" s="748"/>
      <c r="AP30" s="748"/>
      <c r="AQ30" s="748"/>
      <c r="AR30" s="748"/>
      <c r="AS30" s="748"/>
      <c r="AT30" s="748"/>
      <c r="AU30" s="748"/>
      <c r="AV30" s="750"/>
      <c r="AW30" s="748"/>
      <c r="AX30" s="744"/>
      <c r="AY30" s="744"/>
      <c r="AZ30" s="744"/>
      <c r="BA30" s="744"/>
      <c r="BB30" s="750">
        <f t="shared" si="0"/>
        <v>22036.94</v>
      </c>
      <c r="BC30" s="83"/>
    </row>
    <row r="31" spans="1:57" s="459" customFormat="1" ht="27.75" customHeight="1" x14ac:dyDescent="0.2">
      <c r="A31" s="408">
        <v>5</v>
      </c>
      <c r="B31" s="471" t="s">
        <v>595</v>
      </c>
      <c r="C31" s="472"/>
      <c r="D31" s="472"/>
      <c r="E31" s="469">
        <v>5813.08</v>
      </c>
      <c r="F31" s="470"/>
      <c r="G31" s="747"/>
      <c r="H31" s="752"/>
      <c r="I31" s="752"/>
      <c r="J31" s="752"/>
      <c r="K31" s="752"/>
      <c r="L31" s="752"/>
      <c r="M31" s="752"/>
      <c r="N31" s="752"/>
      <c r="O31" s="752"/>
      <c r="P31" s="752"/>
      <c r="Q31" s="748"/>
      <c r="R31" s="750"/>
      <c r="S31" s="750"/>
      <c r="T31" s="750"/>
      <c r="U31" s="750"/>
      <c r="V31" s="744"/>
      <c r="W31" s="744"/>
      <c r="X31" s="746"/>
      <c r="Y31" s="744"/>
      <c r="Z31" s="744"/>
      <c r="AA31" s="744"/>
      <c r="AB31" s="744"/>
      <c r="AC31" s="744"/>
      <c r="AD31" s="744"/>
      <c r="AE31" s="744"/>
      <c r="AF31" s="748"/>
      <c r="AG31" s="748"/>
      <c r="AH31" s="750"/>
      <c r="AI31" s="748">
        <v>5813.08</v>
      </c>
      <c r="AJ31" s="748"/>
      <c r="AK31" s="748"/>
      <c r="AL31" s="748"/>
      <c r="AM31" s="748"/>
      <c r="AN31" s="748"/>
      <c r="AO31" s="748"/>
      <c r="AP31" s="748"/>
      <c r="AQ31" s="748"/>
      <c r="AR31" s="748"/>
      <c r="AS31" s="748"/>
      <c r="AT31" s="748"/>
      <c r="AU31" s="748"/>
      <c r="AV31" s="750"/>
      <c r="AW31" s="748"/>
      <c r="AX31" s="744"/>
      <c r="AY31" s="744"/>
      <c r="AZ31" s="744"/>
      <c r="BA31" s="744"/>
      <c r="BB31" s="750">
        <f t="shared" si="0"/>
        <v>5813.08</v>
      </c>
      <c r="BC31" s="83"/>
    </row>
    <row r="32" spans="1:57" s="428" customFormat="1" ht="21.75" customHeight="1" x14ac:dyDescent="0.2">
      <c r="A32" s="408">
        <v>6</v>
      </c>
      <c r="B32" s="432" t="s">
        <v>568</v>
      </c>
      <c r="C32" s="236"/>
      <c r="D32" s="388">
        <v>15000</v>
      </c>
      <c r="E32" s="241"/>
      <c r="F32" s="731"/>
      <c r="G32" s="747"/>
      <c r="H32" s="744"/>
      <c r="I32" s="744"/>
      <c r="J32" s="744"/>
      <c r="K32" s="744"/>
      <c r="L32" s="744"/>
      <c r="M32" s="750"/>
      <c r="N32" s="748"/>
      <c r="O32" s="748"/>
      <c r="P32" s="748"/>
      <c r="Q32" s="748"/>
      <c r="R32" s="750"/>
      <c r="S32" s="750"/>
      <c r="T32" s="750">
        <v>15000</v>
      </c>
      <c r="U32" s="750"/>
      <c r="V32" s="744"/>
      <c r="W32" s="744"/>
      <c r="X32" s="746"/>
      <c r="Y32" s="744"/>
      <c r="Z32" s="744"/>
      <c r="AA32" s="744"/>
      <c r="AB32" s="744"/>
      <c r="AC32" s="744"/>
      <c r="AD32" s="744"/>
      <c r="AE32" s="744"/>
      <c r="AF32" s="748"/>
      <c r="AG32" s="748"/>
      <c r="AH32" s="750"/>
      <c r="AI32" s="748"/>
      <c r="AJ32" s="748"/>
      <c r="AK32" s="748"/>
      <c r="AL32" s="748"/>
      <c r="AM32" s="748"/>
      <c r="AN32" s="748"/>
      <c r="AO32" s="748"/>
      <c r="AP32" s="748"/>
      <c r="AQ32" s="748"/>
      <c r="AR32" s="748"/>
      <c r="AS32" s="748"/>
      <c r="AT32" s="748"/>
      <c r="AU32" s="748"/>
      <c r="AV32" s="750"/>
      <c r="AW32" s="748"/>
      <c r="AX32" s="744"/>
      <c r="AY32" s="744"/>
      <c r="AZ32" s="744"/>
      <c r="BA32" s="744"/>
      <c r="BB32" s="750">
        <f t="shared" si="0"/>
        <v>15000</v>
      </c>
      <c r="BC32" s="83"/>
    </row>
    <row r="33" spans="1:55" s="428" customFormat="1" ht="21.75" customHeight="1" x14ac:dyDescent="0.2">
      <c r="A33" s="408">
        <v>7</v>
      </c>
      <c r="B33" s="433" t="s">
        <v>569</v>
      </c>
      <c r="C33" s="236"/>
      <c r="D33" s="388">
        <v>25000</v>
      </c>
      <c r="E33" s="241"/>
      <c r="F33" s="731"/>
      <c r="G33" s="747"/>
      <c r="H33" s="744"/>
      <c r="I33" s="744"/>
      <c r="J33" s="744"/>
      <c r="K33" s="744"/>
      <c r="L33" s="744"/>
      <c r="M33" s="750"/>
      <c r="N33" s="748"/>
      <c r="O33" s="748"/>
      <c r="P33" s="748"/>
      <c r="Q33" s="748"/>
      <c r="R33" s="750"/>
      <c r="S33" s="750"/>
      <c r="T33" s="750">
        <v>20000</v>
      </c>
      <c r="U33" s="750"/>
      <c r="V33" s="744"/>
      <c r="W33" s="744"/>
      <c r="X33" s="746"/>
      <c r="Y33" s="744"/>
      <c r="Z33" s="744"/>
      <c r="AA33" s="744"/>
      <c r="AB33" s="744"/>
      <c r="AC33" s="744"/>
      <c r="AD33" s="744"/>
      <c r="AE33" s="744"/>
      <c r="AF33" s="748"/>
      <c r="AG33" s="748"/>
      <c r="AH33" s="750">
        <v>5000</v>
      </c>
      <c r="AI33" s="748"/>
      <c r="AJ33" s="748"/>
      <c r="AK33" s="748"/>
      <c r="AL33" s="748"/>
      <c r="AM33" s="748"/>
      <c r="AN33" s="748"/>
      <c r="AO33" s="748"/>
      <c r="AP33" s="748"/>
      <c r="AQ33" s="748"/>
      <c r="AR33" s="748"/>
      <c r="AS33" s="748"/>
      <c r="AT33" s="748"/>
      <c r="AU33" s="748"/>
      <c r="AV33" s="750"/>
      <c r="AW33" s="748"/>
      <c r="AX33" s="744"/>
      <c r="AY33" s="744"/>
      <c r="AZ33" s="744"/>
      <c r="BA33" s="744"/>
      <c r="BB33" s="750">
        <f t="shared" si="0"/>
        <v>25000</v>
      </c>
      <c r="BC33" s="83"/>
    </row>
    <row r="34" spans="1:55" s="428" customFormat="1" ht="21.75" customHeight="1" x14ac:dyDescent="0.2">
      <c r="A34" s="408">
        <v>8</v>
      </c>
      <c r="B34" s="411" t="s">
        <v>542</v>
      </c>
      <c r="C34" s="412"/>
      <c r="D34" s="464">
        <v>40000</v>
      </c>
      <c r="E34" s="241"/>
      <c r="F34" s="731"/>
      <c r="G34" s="747"/>
      <c r="H34" s="744"/>
      <c r="I34" s="744"/>
      <c r="J34" s="744"/>
      <c r="K34" s="744"/>
      <c r="L34" s="744"/>
      <c r="M34" s="750"/>
      <c r="N34" s="748"/>
      <c r="O34" s="748"/>
      <c r="P34" s="748"/>
      <c r="Q34" s="748"/>
      <c r="R34" s="750"/>
      <c r="S34" s="750"/>
      <c r="T34" s="750"/>
      <c r="U34" s="750"/>
      <c r="V34" s="744"/>
      <c r="W34" s="744"/>
      <c r="X34" s="746">
        <v>10000</v>
      </c>
      <c r="Y34" s="744"/>
      <c r="Z34" s="744"/>
      <c r="AA34" s="744"/>
      <c r="AB34" s="750">
        <v>30000</v>
      </c>
      <c r="AC34" s="744"/>
      <c r="AD34" s="744"/>
      <c r="AE34" s="744"/>
      <c r="AF34" s="748"/>
      <c r="AG34" s="748"/>
      <c r="AH34" s="750"/>
      <c r="AI34" s="748"/>
      <c r="AJ34" s="748"/>
      <c r="AK34" s="748"/>
      <c r="AL34" s="748"/>
      <c r="AM34" s="748"/>
      <c r="AN34" s="748"/>
      <c r="AO34" s="748"/>
      <c r="AP34" s="748"/>
      <c r="AQ34" s="748"/>
      <c r="AR34" s="748"/>
      <c r="AS34" s="748"/>
      <c r="AT34" s="748"/>
      <c r="AU34" s="748"/>
      <c r="AV34" s="750"/>
      <c r="AW34" s="748"/>
      <c r="AX34" s="744"/>
      <c r="AY34" s="744"/>
      <c r="AZ34" s="744"/>
      <c r="BA34" s="744"/>
      <c r="BB34" s="750">
        <f t="shared" si="0"/>
        <v>40000</v>
      </c>
      <c r="BC34" s="83"/>
    </row>
    <row r="35" spans="1:55" s="428" customFormat="1" ht="21.75" customHeight="1" x14ac:dyDescent="0.2">
      <c r="A35" s="430">
        <v>9</v>
      </c>
      <c r="B35" s="414" t="s">
        <v>548</v>
      </c>
      <c r="C35" s="250"/>
      <c r="D35" s="461">
        <v>25000</v>
      </c>
      <c r="E35" s="465"/>
      <c r="F35" s="731"/>
      <c r="G35" s="747"/>
      <c r="H35" s="744"/>
      <c r="I35" s="744"/>
      <c r="J35" s="744"/>
      <c r="K35" s="744"/>
      <c r="L35" s="744"/>
      <c r="M35" s="750">
        <v>8000</v>
      </c>
      <c r="N35" s="748"/>
      <c r="O35" s="748"/>
      <c r="P35" s="748"/>
      <c r="Q35" s="748"/>
      <c r="R35" s="750"/>
      <c r="S35" s="750">
        <v>500</v>
      </c>
      <c r="T35" s="750">
        <v>10000</v>
      </c>
      <c r="U35" s="750"/>
      <c r="V35" s="744"/>
      <c r="W35" s="744"/>
      <c r="X35" s="746">
        <v>2000</v>
      </c>
      <c r="Y35" s="744"/>
      <c r="Z35" s="744"/>
      <c r="AA35" s="744"/>
      <c r="AB35" s="744"/>
      <c r="AC35" s="744"/>
      <c r="AD35" s="744"/>
      <c r="AE35" s="744"/>
      <c r="AF35" s="748"/>
      <c r="AG35" s="748"/>
      <c r="AH35" s="750">
        <v>4000</v>
      </c>
      <c r="AI35" s="748"/>
      <c r="AJ35" s="748"/>
      <c r="AK35" s="748"/>
      <c r="AL35" s="748"/>
      <c r="AM35" s="748"/>
      <c r="AN35" s="748"/>
      <c r="AO35" s="748"/>
      <c r="AP35" s="748"/>
      <c r="AQ35" s="748"/>
      <c r="AR35" s="748"/>
      <c r="AS35" s="748"/>
      <c r="AT35" s="748"/>
      <c r="AU35" s="748"/>
      <c r="AV35" s="750">
        <v>500</v>
      </c>
      <c r="AW35" s="748"/>
      <c r="AX35" s="744"/>
      <c r="AY35" s="744"/>
      <c r="AZ35" s="744"/>
      <c r="BA35" s="744"/>
      <c r="BB35" s="750">
        <f t="shared" si="0"/>
        <v>25000</v>
      </c>
      <c r="BC35" s="83"/>
    </row>
    <row r="36" spans="1:55" ht="32.25" customHeight="1" x14ac:dyDescent="0.2">
      <c r="A36" s="409">
        <v>10</v>
      </c>
      <c r="B36" s="390" t="s">
        <v>563</v>
      </c>
      <c r="C36" s="238"/>
      <c r="D36" s="388">
        <v>10941.17</v>
      </c>
      <c r="E36" s="241"/>
      <c r="F36" s="731">
        <v>45000</v>
      </c>
      <c r="G36" s="747"/>
      <c r="H36" s="744"/>
      <c r="I36" s="744"/>
      <c r="J36" s="744"/>
      <c r="K36" s="744"/>
      <c r="L36" s="744"/>
      <c r="M36" s="750"/>
      <c r="N36" s="748"/>
      <c r="O36" s="748"/>
      <c r="P36" s="748"/>
      <c r="Q36" s="748"/>
      <c r="R36" s="750"/>
      <c r="S36" s="748"/>
      <c r="T36" s="753"/>
      <c r="U36" s="750"/>
      <c r="V36" s="744"/>
      <c r="W36" s="744"/>
      <c r="X36" s="744"/>
      <c r="Y36" s="744"/>
      <c r="Z36" s="744"/>
      <c r="AA36" s="744"/>
      <c r="AB36" s="744"/>
      <c r="AC36" s="744"/>
      <c r="AD36" s="744"/>
      <c r="AE36" s="744"/>
      <c r="AF36" s="748"/>
      <c r="AG36" s="748"/>
      <c r="AH36" s="750">
        <v>10941.17</v>
      </c>
      <c r="AI36" s="748"/>
      <c r="AJ36" s="748"/>
      <c r="AK36" s="748"/>
      <c r="AL36" s="748"/>
      <c r="AM36" s="748"/>
      <c r="AN36" s="748"/>
      <c r="AO36" s="748"/>
      <c r="AP36" s="748"/>
      <c r="AQ36" s="748"/>
      <c r="AR36" s="748"/>
      <c r="AS36" s="748"/>
      <c r="AT36" s="748"/>
      <c r="AU36" s="748"/>
      <c r="AV36" s="750"/>
      <c r="AW36" s="748"/>
      <c r="AX36" s="744"/>
      <c r="AY36" s="744"/>
      <c r="AZ36" s="744"/>
      <c r="BA36" s="744"/>
      <c r="BB36" s="750">
        <f t="shared" si="0"/>
        <v>10941.17</v>
      </c>
      <c r="BC36" s="83"/>
    </row>
    <row r="37" spans="1:55" ht="25.5" customHeight="1" x14ac:dyDescent="0.2">
      <c r="A37" s="409">
        <v>11</v>
      </c>
      <c r="B37" s="390" t="s">
        <v>564</v>
      </c>
      <c r="C37" s="235"/>
      <c r="D37" s="388">
        <v>39730.86</v>
      </c>
      <c r="E37" s="241"/>
      <c r="F37" s="731">
        <v>25000</v>
      </c>
      <c r="G37" s="747"/>
      <c r="H37" s="744"/>
      <c r="I37" s="744"/>
      <c r="J37" s="744"/>
      <c r="K37" s="744"/>
      <c r="L37" s="744"/>
      <c r="M37" s="750"/>
      <c r="N37" s="748"/>
      <c r="O37" s="748"/>
      <c r="P37" s="748"/>
      <c r="Q37" s="748"/>
      <c r="R37" s="750"/>
      <c r="S37" s="748"/>
      <c r="T37" s="750"/>
      <c r="U37" s="750"/>
      <c r="V37" s="744"/>
      <c r="W37" s="744"/>
      <c r="X37" s="750"/>
      <c r="Y37" s="750"/>
      <c r="Z37" s="750"/>
      <c r="AA37" s="750"/>
      <c r="AB37" s="750"/>
      <c r="AC37" s="750"/>
      <c r="AD37" s="744"/>
      <c r="AE37" s="744"/>
      <c r="AF37" s="748"/>
      <c r="AG37" s="748"/>
      <c r="AH37" s="750">
        <v>39730.86</v>
      </c>
      <c r="AI37" s="748"/>
      <c r="AJ37" s="748"/>
      <c r="AK37" s="748"/>
      <c r="AL37" s="748"/>
      <c r="AM37" s="748"/>
      <c r="AN37" s="748"/>
      <c r="AO37" s="748"/>
      <c r="AP37" s="748"/>
      <c r="AQ37" s="748"/>
      <c r="AR37" s="748"/>
      <c r="AS37" s="748"/>
      <c r="AT37" s="748"/>
      <c r="AU37" s="748"/>
      <c r="AV37" s="750"/>
      <c r="AW37" s="748"/>
      <c r="AX37" s="744"/>
      <c r="AY37" s="744"/>
      <c r="AZ37" s="744"/>
      <c r="BA37" s="744"/>
      <c r="BB37" s="750">
        <f t="shared" si="0"/>
        <v>39730.86</v>
      </c>
      <c r="BC37" s="83" t="e">
        <f>SUM(BB27+BB36+BB37+#REF!+#REF!+#REF!+#REF!+#REF!+#REF!+#REF!+#REF!+BB49+BB50+BB51+BB52+BB55+BB56+#REF!+#REF!+#REF!+#REF!+E65+E66+E67+E68+E69+E74+E75)</f>
        <v>#REF!</v>
      </c>
    </row>
    <row r="38" spans="1:55" s="483" customFormat="1" ht="25.5" customHeight="1" x14ac:dyDescent="0.2">
      <c r="A38" s="486">
        <v>12</v>
      </c>
      <c r="B38" s="240" t="s">
        <v>583</v>
      </c>
      <c r="C38" s="236"/>
      <c r="D38" s="389">
        <v>30000</v>
      </c>
      <c r="E38" s="241"/>
      <c r="F38" s="731"/>
      <c r="G38" s="747"/>
      <c r="H38" s="747"/>
      <c r="I38" s="747"/>
      <c r="J38" s="747"/>
      <c r="K38" s="747"/>
      <c r="L38" s="747"/>
      <c r="M38" s="747">
        <v>12000</v>
      </c>
      <c r="N38" s="747"/>
      <c r="O38" s="747"/>
      <c r="P38" s="747"/>
      <c r="Q38" s="747"/>
      <c r="R38" s="746"/>
      <c r="S38" s="747">
        <v>500</v>
      </c>
      <c r="T38" s="747">
        <v>13000</v>
      </c>
      <c r="U38" s="746"/>
      <c r="V38" s="747"/>
      <c r="W38" s="747"/>
      <c r="X38" s="747">
        <v>500</v>
      </c>
      <c r="Y38" s="747"/>
      <c r="Z38" s="747"/>
      <c r="AA38" s="747"/>
      <c r="AB38" s="747"/>
      <c r="AC38" s="747"/>
      <c r="AD38" s="747"/>
      <c r="AE38" s="747"/>
      <c r="AF38" s="747">
        <v>1500</v>
      </c>
      <c r="AG38" s="747"/>
      <c r="AH38" s="747">
        <v>1500</v>
      </c>
      <c r="AI38" s="747"/>
      <c r="AJ38" s="747"/>
      <c r="AK38" s="747">
        <v>500</v>
      </c>
      <c r="AL38" s="747"/>
      <c r="AM38" s="747"/>
      <c r="AN38" s="747"/>
      <c r="AO38" s="747"/>
      <c r="AP38" s="747"/>
      <c r="AQ38" s="747"/>
      <c r="AR38" s="747"/>
      <c r="AS38" s="747"/>
      <c r="AT38" s="747"/>
      <c r="AU38" s="747"/>
      <c r="AV38" s="747">
        <v>500</v>
      </c>
      <c r="AW38" s="747"/>
      <c r="AX38" s="747"/>
      <c r="AY38" s="747"/>
      <c r="AZ38" s="747"/>
      <c r="BA38" s="747"/>
      <c r="BB38" s="750">
        <f t="shared" ref="BB38:BB45" si="3">SUM(G38:BA38)</f>
        <v>30000</v>
      </c>
      <c r="BC38" s="83"/>
    </row>
    <row r="39" spans="1:55" s="483" customFormat="1" ht="25.5" customHeight="1" x14ac:dyDescent="0.2">
      <c r="A39" s="486">
        <v>13</v>
      </c>
      <c r="B39" s="390" t="s">
        <v>584</v>
      </c>
      <c r="C39" s="236"/>
      <c r="D39" s="389">
        <v>15000</v>
      </c>
      <c r="E39" s="241"/>
      <c r="F39" s="731"/>
      <c r="G39" s="747"/>
      <c r="H39" s="747"/>
      <c r="I39" s="747"/>
      <c r="J39" s="747"/>
      <c r="K39" s="747"/>
      <c r="L39" s="747"/>
      <c r="M39" s="747">
        <v>6000</v>
      </c>
      <c r="N39" s="747"/>
      <c r="O39" s="747"/>
      <c r="P39" s="747"/>
      <c r="Q39" s="747"/>
      <c r="R39" s="746"/>
      <c r="S39" s="747"/>
      <c r="T39" s="747">
        <v>8000</v>
      </c>
      <c r="U39" s="746"/>
      <c r="V39" s="747"/>
      <c r="W39" s="747"/>
      <c r="X39" s="747"/>
      <c r="Y39" s="747"/>
      <c r="Z39" s="747"/>
      <c r="AA39" s="747"/>
      <c r="AB39" s="747"/>
      <c r="AC39" s="747"/>
      <c r="AD39" s="747"/>
      <c r="AE39" s="747"/>
      <c r="AF39" s="747"/>
      <c r="AG39" s="747"/>
      <c r="AH39" s="747">
        <v>1000</v>
      </c>
      <c r="AI39" s="747"/>
      <c r="AJ39" s="747"/>
      <c r="AK39" s="747"/>
      <c r="AL39" s="747"/>
      <c r="AM39" s="747"/>
      <c r="AN39" s="747"/>
      <c r="AO39" s="747"/>
      <c r="AP39" s="747"/>
      <c r="AQ39" s="747"/>
      <c r="AR39" s="747"/>
      <c r="AS39" s="747"/>
      <c r="AT39" s="747"/>
      <c r="AU39" s="747"/>
      <c r="AV39" s="747"/>
      <c r="AW39" s="747"/>
      <c r="AX39" s="747"/>
      <c r="AY39" s="747"/>
      <c r="AZ39" s="747"/>
      <c r="BA39" s="747"/>
      <c r="BB39" s="750">
        <f t="shared" si="3"/>
        <v>15000</v>
      </c>
      <c r="BC39" s="83"/>
    </row>
    <row r="40" spans="1:55" s="483" customFormat="1" ht="25.5" customHeight="1" x14ac:dyDescent="0.2">
      <c r="A40" s="486">
        <v>14</v>
      </c>
      <c r="B40" s="390" t="s">
        <v>587</v>
      </c>
      <c r="C40" s="236"/>
      <c r="D40" s="389">
        <v>35000</v>
      </c>
      <c r="E40" s="241"/>
      <c r="F40" s="731"/>
      <c r="G40" s="747"/>
      <c r="H40" s="747"/>
      <c r="I40" s="747"/>
      <c r="J40" s="747"/>
      <c r="K40" s="747"/>
      <c r="L40" s="747"/>
      <c r="M40" s="747">
        <v>12000</v>
      </c>
      <c r="N40" s="747"/>
      <c r="O40" s="747"/>
      <c r="P40" s="747"/>
      <c r="Q40" s="747"/>
      <c r="R40" s="746"/>
      <c r="S40" s="747">
        <v>500</v>
      </c>
      <c r="T40" s="747">
        <v>17000</v>
      </c>
      <c r="U40" s="746"/>
      <c r="V40" s="747"/>
      <c r="W40" s="747"/>
      <c r="X40" s="747">
        <v>500</v>
      </c>
      <c r="Y40" s="747"/>
      <c r="Z40" s="747"/>
      <c r="AA40" s="747"/>
      <c r="AB40" s="747"/>
      <c r="AC40" s="747"/>
      <c r="AD40" s="747"/>
      <c r="AE40" s="747"/>
      <c r="AF40" s="747">
        <v>2000</v>
      </c>
      <c r="AG40" s="747"/>
      <c r="AH40" s="747">
        <v>1000</v>
      </c>
      <c r="AI40" s="747"/>
      <c r="AJ40" s="747"/>
      <c r="AK40" s="747">
        <v>500</v>
      </c>
      <c r="AL40" s="747"/>
      <c r="AM40" s="747"/>
      <c r="AN40" s="747"/>
      <c r="AO40" s="747"/>
      <c r="AP40" s="747"/>
      <c r="AQ40" s="747"/>
      <c r="AR40" s="747"/>
      <c r="AS40" s="747"/>
      <c r="AT40" s="747"/>
      <c r="AU40" s="747"/>
      <c r="AV40" s="747">
        <v>1500</v>
      </c>
      <c r="AW40" s="747"/>
      <c r="AX40" s="747"/>
      <c r="AY40" s="747"/>
      <c r="AZ40" s="747"/>
      <c r="BA40" s="747"/>
      <c r="BB40" s="750">
        <f t="shared" si="3"/>
        <v>35000</v>
      </c>
      <c r="BC40" s="83"/>
    </row>
    <row r="41" spans="1:55" s="483" customFormat="1" ht="25.5" customHeight="1" x14ac:dyDescent="0.2">
      <c r="A41" s="486">
        <v>15</v>
      </c>
      <c r="B41" s="240" t="s">
        <v>577</v>
      </c>
      <c r="C41" s="236"/>
      <c r="D41" s="389">
        <v>80000</v>
      </c>
      <c r="E41" s="241"/>
      <c r="F41" s="731"/>
      <c r="G41" s="747"/>
      <c r="H41" s="750"/>
      <c r="I41" s="750"/>
      <c r="J41" s="750"/>
      <c r="K41" s="750"/>
      <c r="L41" s="750"/>
      <c r="M41" s="750">
        <v>15000</v>
      </c>
      <c r="N41" s="750"/>
      <c r="O41" s="750"/>
      <c r="P41" s="750"/>
      <c r="Q41" s="750"/>
      <c r="R41" s="750"/>
      <c r="S41" s="750">
        <v>1500</v>
      </c>
      <c r="T41" s="750">
        <v>35000</v>
      </c>
      <c r="U41" s="750"/>
      <c r="V41" s="750"/>
      <c r="W41" s="750"/>
      <c r="X41" s="750">
        <v>2000</v>
      </c>
      <c r="Y41" s="750"/>
      <c r="Z41" s="750"/>
      <c r="AA41" s="750"/>
      <c r="AB41" s="750"/>
      <c r="AC41" s="750"/>
      <c r="AD41" s="750"/>
      <c r="AE41" s="750"/>
      <c r="AF41" s="750">
        <v>5000</v>
      </c>
      <c r="AG41" s="750"/>
      <c r="AH41" s="750">
        <v>3000</v>
      </c>
      <c r="AI41" s="750"/>
      <c r="AJ41" s="750"/>
      <c r="AK41" s="750">
        <v>3000</v>
      </c>
      <c r="AL41" s="750"/>
      <c r="AM41" s="750"/>
      <c r="AN41" s="750"/>
      <c r="AO41" s="750"/>
      <c r="AP41" s="750"/>
      <c r="AQ41" s="750"/>
      <c r="AR41" s="750"/>
      <c r="AS41" s="750"/>
      <c r="AT41" s="750"/>
      <c r="AU41" s="750"/>
      <c r="AV41" s="750">
        <v>15500</v>
      </c>
      <c r="AW41" s="750"/>
      <c r="AX41" s="750"/>
      <c r="AY41" s="750"/>
      <c r="AZ41" s="750"/>
      <c r="BA41" s="750"/>
      <c r="BB41" s="750">
        <f t="shared" si="3"/>
        <v>80000</v>
      </c>
      <c r="BC41" s="83"/>
    </row>
    <row r="42" spans="1:55" s="483" customFormat="1" ht="25.5" customHeight="1" x14ac:dyDescent="0.2">
      <c r="A42" s="486">
        <v>17</v>
      </c>
      <c r="B42" s="240" t="s">
        <v>588</v>
      </c>
      <c r="C42" s="236"/>
      <c r="D42" s="388">
        <v>40000</v>
      </c>
      <c r="E42" s="241"/>
      <c r="F42" s="731"/>
      <c r="G42" s="747"/>
      <c r="H42" s="747"/>
      <c r="I42" s="747"/>
      <c r="J42" s="747"/>
      <c r="K42" s="747"/>
      <c r="L42" s="747"/>
      <c r="M42" s="747">
        <v>15000</v>
      </c>
      <c r="N42" s="747"/>
      <c r="O42" s="747"/>
      <c r="P42" s="747"/>
      <c r="Q42" s="747"/>
      <c r="R42" s="746"/>
      <c r="S42" s="750">
        <v>1500</v>
      </c>
      <c r="T42" s="747">
        <v>18000</v>
      </c>
      <c r="U42" s="746"/>
      <c r="V42" s="747"/>
      <c r="W42" s="747"/>
      <c r="X42" s="750">
        <v>1000</v>
      </c>
      <c r="Y42" s="747"/>
      <c r="Z42" s="747"/>
      <c r="AA42" s="747"/>
      <c r="AB42" s="747"/>
      <c r="AC42" s="747"/>
      <c r="AD42" s="747"/>
      <c r="AE42" s="747"/>
      <c r="AF42" s="747">
        <v>1000</v>
      </c>
      <c r="AG42" s="747"/>
      <c r="AH42" s="747">
        <v>2000</v>
      </c>
      <c r="AI42" s="747"/>
      <c r="AJ42" s="747"/>
      <c r="AK42" s="747">
        <v>500</v>
      </c>
      <c r="AL42" s="747"/>
      <c r="AM42" s="747"/>
      <c r="AN42" s="747"/>
      <c r="AO42" s="747"/>
      <c r="AP42" s="747"/>
      <c r="AQ42" s="747"/>
      <c r="AR42" s="747"/>
      <c r="AS42" s="747"/>
      <c r="AT42" s="747"/>
      <c r="AU42" s="747"/>
      <c r="AV42" s="747">
        <v>1000</v>
      </c>
      <c r="AW42" s="747"/>
      <c r="AX42" s="747"/>
      <c r="AY42" s="747"/>
      <c r="AZ42" s="747"/>
      <c r="BA42" s="747"/>
      <c r="BB42" s="750">
        <f t="shared" si="3"/>
        <v>40000</v>
      </c>
      <c r="BC42" s="83"/>
    </row>
    <row r="43" spans="1:55" s="483" customFormat="1" ht="25.5" customHeight="1" x14ac:dyDescent="0.2">
      <c r="A43" s="486">
        <v>18</v>
      </c>
      <c r="B43" s="240" t="s">
        <v>553</v>
      </c>
      <c r="C43" s="236"/>
      <c r="D43" s="389">
        <v>10000</v>
      </c>
      <c r="E43" s="241"/>
      <c r="F43" s="731"/>
      <c r="G43" s="747"/>
      <c r="H43" s="747"/>
      <c r="I43" s="747"/>
      <c r="J43" s="747"/>
      <c r="K43" s="747"/>
      <c r="L43" s="747"/>
      <c r="M43" s="747"/>
      <c r="N43" s="747"/>
      <c r="O43" s="747"/>
      <c r="P43" s="747"/>
      <c r="Q43" s="747"/>
      <c r="R43" s="746"/>
      <c r="S43" s="747"/>
      <c r="T43" s="747">
        <v>10000</v>
      </c>
      <c r="U43" s="746"/>
      <c r="V43" s="747"/>
      <c r="W43" s="747"/>
      <c r="X43" s="747"/>
      <c r="Y43" s="747"/>
      <c r="Z43" s="747"/>
      <c r="AA43" s="747"/>
      <c r="AB43" s="747"/>
      <c r="AC43" s="747"/>
      <c r="AD43" s="747"/>
      <c r="AE43" s="747"/>
      <c r="AF43" s="747"/>
      <c r="AG43" s="747"/>
      <c r="AH43" s="747"/>
      <c r="AI43" s="747"/>
      <c r="AJ43" s="747"/>
      <c r="AK43" s="747"/>
      <c r="AL43" s="747"/>
      <c r="AM43" s="747"/>
      <c r="AN43" s="747"/>
      <c r="AO43" s="747"/>
      <c r="AP43" s="747"/>
      <c r="AQ43" s="747"/>
      <c r="AR43" s="747"/>
      <c r="AS43" s="747"/>
      <c r="AT43" s="747"/>
      <c r="AU43" s="747"/>
      <c r="AV43" s="747"/>
      <c r="AW43" s="747"/>
      <c r="AX43" s="747"/>
      <c r="AY43" s="747"/>
      <c r="AZ43" s="747"/>
      <c r="BA43" s="747"/>
      <c r="BB43" s="750">
        <f t="shared" si="3"/>
        <v>10000</v>
      </c>
      <c r="BC43" s="83"/>
    </row>
    <row r="44" spans="1:55" s="483" customFormat="1" ht="25.5" customHeight="1" x14ac:dyDescent="0.2">
      <c r="A44" s="486">
        <v>19</v>
      </c>
      <c r="B44" s="240" t="s">
        <v>605</v>
      </c>
      <c r="C44" s="236"/>
      <c r="D44" s="466">
        <v>35000</v>
      </c>
      <c r="E44" s="241"/>
      <c r="F44" s="731"/>
      <c r="G44" s="747"/>
      <c r="H44" s="747"/>
      <c r="I44" s="747"/>
      <c r="J44" s="747"/>
      <c r="K44" s="747"/>
      <c r="L44" s="747"/>
      <c r="M44" s="747">
        <v>12000</v>
      </c>
      <c r="N44" s="747"/>
      <c r="O44" s="747"/>
      <c r="P44" s="747"/>
      <c r="Q44" s="747"/>
      <c r="R44" s="746"/>
      <c r="S44" s="750">
        <v>1000</v>
      </c>
      <c r="T44" s="747">
        <v>15000</v>
      </c>
      <c r="U44" s="746"/>
      <c r="V44" s="747"/>
      <c r="W44" s="747"/>
      <c r="X44" s="750">
        <v>1000</v>
      </c>
      <c r="Y44" s="747"/>
      <c r="Z44" s="747"/>
      <c r="AA44" s="747"/>
      <c r="AB44" s="747"/>
      <c r="AC44" s="747"/>
      <c r="AD44" s="747"/>
      <c r="AE44" s="747"/>
      <c r="AF44" s="747">
        <v>1500</v>
      </c>
      <c r="AG44" s="747"/>
      <c r="AH44" s="747">
        <v>3000</v>
      </c>
      <c r="AI44" s="747"/>
      <c r="AJ44" s="747"/>
      <c r="AK44" s="747">
        <v>500</v>
      </c>
      <c r="AL44" s="747"/>
      <c r="AM44" s="747"/>
      <c r="AN44" s="747"/>
      <c r="AO44" s="747"/>
      <c r="AP44" s="747"/>
      <c r="AQ44" s="747"/>
      <c r="AR44" s="747"/>
      <c r="AS44" s="747"/>
      <c r="AT44" s="747"/>
      <c r="AU44" s="747"/>
      <c r="AV44" s="747">
        <v>1000</v>
      </c>
      <c r="AW44" s="747"/>
      <c r="AX44" s="747"/>
      <c r="AY44" s="747"/>
      <c r="AZ44" s="747"/>
      <c r="BA44" s="747"/>
      <c r="BB44" s="750">
        <f t="shared" si="3"/>
        <v>35000</v>
      </c>
      <c r="BC44" s="83"/>
    </row>
    <row r="45" spans="1:55" s="483" customFormat="1" ht="25.5" customHeight="1" x14ac:dyDescent="0.2">
      <c r="A45" s="486">
        <v>20</v>
      </c>
      <c r="B45" s="390" t="s">
        <v>527</v>
      </c>
      <c r="C45" s="236"/>
      <c r="D45" s="389">
        <v>25000</v>
      </c>
      <c r="E45" s="241"/>
      <c r="F45" s="731"/>
      <c r="G45" s="747"/>
      <c r="H45" s="747"/>
      <c r="I45" s="747"/>
      <c r="J45" s="747"/>
      <c r="K45" s="747"/>
      <c r="L45" s="747"/>
      <c r="M45" s="747"/>
      <c r="N45" s="747"/>
      <c r="O45" s="747"/>
      <c r="P45" s="747"/>
      <c r="Q45" s="747"/>
      <c r="R45" s="746"/>
      <c r="S45" s="747"/>
      <c r="T45" s="747"/>
      <c r="U45" s="746"/>
      <c r="V45" s="747"/>
      <c r="W45" s="747"/>
      <c r="X45" s="747"/>
      <c r="Y45" s="747"/>
      <c r="Z45" s="747"/>
      <c r="AA45" s="747"/>
      <c r="AB45" s="747"/>
      <c r="AC45" s="747"/>
      <c r="AD45" s="747"/>
      <c r="AE45" s="747"/>
      <c r="AF45" s="747"/>
      <c r="AG45" s="747"/>
      <c r="AH45" s="747">
        <v>25000</v>
      </c>
      <c r="AI45" s="747"/>
      <c r="AJ45" s="747"/>
      <c r="AK45" s="747"/>
      <c r="AL45" s="747"/>
      <c r="AM45" s="747"/>
      <c r="AN45" s="747"/>
      <c r="AO45" s="747"/>
      <c r="AP45" s="747"/>
      <c r="AQ45" s="747"/>
      <c r="AR45" s="747"/>
      <c r="AS45" s="747"/>
      <c r="AT45" s="747"/>
      <c r="AU45" s="747"/>
      <c r="AV45" s="747"/>
      <c r="AW45" s="747"/>
      <c r="AX45" s="747"/>
      <c r="AY45" s="747"/>
      <c r="AZ45" s="747"/>
      <c r="BA45" s="747"/>
      <c r="BB45" s="750">
        <f t="shared" si="3"/>
        <v>25000</v>
      </c>
      <c r="BC45" s="83"/>
    </row>
    <row r="46" spans="1:55" s="196" customFormat="1" ht="18" customHeight="1" x14ac:dyDescent="0.2">
      <c r="A46" s="391"/>
      <c r="B46" s="475" t="s">
        <v>600</v>
      </c>
      <c r="C46" s="392"/>
      <c r="D46" s="393">
        <f>Ingresos!G51</f>
        <v>1178522.93</v>
      </c>
      <c r="E46" s="434">
        <f>D47+D48+D49+D50+D51+D52+D53+D54+D55+D56+D57+D58+D59+D60+D61+D62+E69+E76</f>
        <v>1178522.9300000002</v>
      </c>
      <c r="F46" s="731"/>
      <c r="G46" s="744"/>
      <c r="H46" s="744"/>
      <c r="I46" s="744"/>
      <c r="J46" s="744"/>
      <c r="K46" s="744"/>
      <c r="L46" s="744"/>
      <c r="M46" s="748"/>
      <c r="N46" s="748"/>
      <c r="O46" s="748"/>
      <c r="P46" s="748"/>
      <c r="Q46" s="748"/>
      <c r="R46" s="750"/>
      <c r="S46" s="748"/>
      <c r="T46" s="748"/>
      <c r="U46" s="750"/>
      <c r="V46" s="744"/>
      <c r="W46" s="744"/>
      <c r="X46" s="744"/>
      <c r="Y46" s="744"/>
      <c r="Z46" s="744"/>
      <c r="AA46" s="744"/>
      <c r="AB46" s="754"/>
      <c r="AC46" s="744"/>
      <c r="AD46" s="744"/>
      <c r="AE46" s="744"/>
      <c r="AF46" s="747"/>
      <c r="AG46" s="747"/>
      <c r="AH46" s="747"/>
      <c r="AI46" s="747"/>
      <c r="AJ46" s="747"/>
      <c r="AK46" s="747"/>
      <c r="AL46" s="747"/>
      <c r="AM46" s="747"/>
      <c r="AN46" s="747"/>
      <c r="AO46" s="747"/>
      <c r="AP46" s="747"/>
      <c r="AQ46" s="747"/>
      <c r="AR46" s="747"/>
      <c r="AS46" s="747"/>
      <c r="AT46" s="747"/>
      <c r="AU46" s="747"/>
      <c r="AV46" s="747"/>
      <c r="AW46" s="747"/>
      <c r="AX46" s="747"/>
      <c r="AY46" s="747"/>
      <c r="AZ46" s="747"/>
      <c r="BA46" s="744"/>
      <c r="BB46" s="750">
        <f t="shared" si="0"/>
        <v>0</v>
      </c>
      <c r="BC46" s="83"/>
    </row>
    <row r="47" spans="1:55" s="429" customFormat="1" ht="25.5" customHeight="1" x14ac:dyDescent="0.2">
      <c r="A47" s="252">
        <v>1</v>
      </c>
      <c r="B47" s="240" t="s">
        <v>545</v>
      </c>
      <c r="C47" s="388"/>
      <c r="D47" s="388">
        <v>47742.25</v>
      </c>
      <c r="E47" s="403"/>
      <c r="F47" s="731"/>
      <c r="G47" s="747"/>
      <c r="H47" s="744"/>
      <c r="I47" s="744"/>
      <c r="J47" s="744"/>
      <c r="K47" s="744"/>
      <c r="L47" s="744"/>
      <c r="M47" s="750">
        <f>14472.25+270</f>
        <v>14742.25</v>
      </c>
      <c r="N47" s="744"/>
      <c r="O47" s="744"/>
      <c r="P47" s="744"/>
      <c r="Q47" s="744"/>
      <c r="R47" s="746"/>
      <c r="S47" s="747">
        <v>500</v>
      </c>
      <c r="T47" s="750">
        <v>22000</v>
      </c>
      <c r="U47" s="746"/>
      <c r="V47" s="744"/>
      <c r="W47" s="744"/>
      <c r="X47" s="744"/>
      <c r="Y47" s="744"/>
      <c r="Z47" s="744"/>
      <c r="AA47" s="744"/>
      <c r="AB47" s="754"/>
      <c r="AC47" s="744"/>
      <c r="AD47" s="744"/>
      <c r="AE47" s="744"/>
      <c r="AF47" s="747">
        <v>3000</v>
      </c>
      <c r="AG47" s="747"/>
      <c r="AH47" s="747">
        <v>5000</v>
      </c>
      <c r="AI47" s="747"/>
      <c r="AJ47" s="747"/>
      <c r="AK47" s="747"/>
      <c r="AL47" s="747"/>
      <c r="AM47" s="747"/>
      <c r="AN47" s="747"/>
      <c r="AO47" s="747"/>
      <c r="AP47" s="747"/>
      <c r="AQ47" s="747"/>
      <c r="AR47" s="747"/>
      <c r="AS47" s="747"/>
      <c r="AT47" s="747"/>
      <c r="AU47" s="747"/>
      <c r="AV47" s="747">
        <v>2500</v>
      </c>
      <c r="AW47" s="747"/>
      <c r="AX47" s="747"/>
      <c r="AY47" s="747"/>
      <c r="AZ47" s="747"/>
      <c r="BA47" s="744"/>
      <c r="BB47" s="750">
        <f t="shared" si="0"/>
        <v>47742.25</v>
      </c>
      <c r="BC47" s="83"/>
    </row>
    <row r="48" spans="1:55" s="428" customFormat="1" ht="25.5" customHeight="1" x14ac:dyDescent="0.2">
      <c r="A48" s="252">
        <v>2</v>
      </c>
      <c r="B48" s="240" t="s">
        <v>546</v>
      </c>
      <c r="C48" s="388"/>
      <c r="D48" s="389">
        <v>39999.9</v>
      </c>
      <c r="E48" s="403"/>
      <c r="F48" s="731"/>
      <c r="G48" s="747"/>
      <c r="H48" s="744"/>
      <c r="I48" s="744"/>
      <c r="J48" s="744"/>
      <c r="K48" s="744"/>
      <c r="L48" s="744"/>
      <c r="M48" s="750">
        <v>15000</v>
      </c>
      <c r="N48" s="744"/>
      <c r="O48" s="744"/>
      <c r="P48" s="744"/>
      <c r="Q48" s="744"/>
      <c r="R48" s="746"/>
      <c r="S48" s="744">
        <v>500</v>
      </c>
      <c r="T48" s="750">
        <v>23499.9</v>
      </c>
      <c r="U48" s="746"/>
      <c r="V48" s="744"/>
      <c r="W48" s="744"/>
      <c r="X48" s="744"/>
      <c r="Y48" s="744"/>
      <c r="Z48" s="744"/>
      <c r="AA48" s="744"/>
      <c r="AB48" s="754"/>
      <c r="AC48" s="744"/>
      <c r="AD48" s="744"/>
      <c r="AE48" s="744"/>
      <c r="AF48" s="747"/>
      <c r="AG48" s="747"/>
      <c r="AH48" s="747">
        <v>1000</v>
      </c>
      <c r="AI48" s="747"/>
      <c r="AJ48" s="747"/>
      <c r="AK48" s="747"/>
      <c r="AL48" s="747"/>
      <c r="AM48" s="747"/>
      <c r="AN48" s="747"/>
      <c r="AO48" s="747"/>
      <c r="AP48" s="747"/>
      <c r="AQ48" s="747"/>
      <c r="AR48" s="747"/>
      <c r="AS48" s="747"/>
      <c r="AT48" s="747"/>
      <c r="AU48" s="747"/>
      <c r="AV48" s="747"/>
      <c r="AW48" s="747"/>
      <c r="AX48" s="747"/>
      <c r="AY48" s="747"/>
      <c r="AZ48" s="747"/>
      <c r="BA48" s="744"/>
      <c r="BB48" s="750">
        <f t="shared" si="0"/>
        <v>39999.9</v>
      </c>
      <c r="BC48" s="83"/>
    </row>
    <row r="49" spans="1:55" s="190" customFormat="1" ht="18" customHeight="1" x14ac:dyDescent="0.2">
      <c r="A49" s="240">
        <v>3</v>
      </c>
      <c r="B49" s="240" t="s">
        <v>547</v>
      </c>
      <c r="C49" s="388"/>
      <c r="D49" s="389">
        <v>45000</v>
      </c>
      <c r="E49" s="403"/>
      <c r="F49" s="731"/>
      <c r="G49" s="747"/>
      <c r="H49" s="747"/>
      <c r="I49" s="744"/>
      <c r="J49" s="744"/>
      <c r="K49" s="744"/>
      <c r="L49" s="744"/>
      <c r="M49" s="750">
        <v>15000</v>
      </c>
      <c r="N49" s="744"/>
      <c r="O49" s="744"/>
      <c r="P49" s="744"/>
      <c r="Q49" s="744"/>
      <c r="R49" s="746"/>
      <c r="S49" s="747">
        <v>500</v>
      </c>
      <c r="T49" s="750">
        <v>22000</v>
      </c>
      <c r="U49" s="746"/>
      <c r="V49" s="744"/>
      <c r="W49" s="744"/>
      <c r="X49" s="747"/>
      <c r="Y49" s="744"/>
      <c r="Z49" s="744"/>
      <c r="AA49" s="744"/>
      <c r="AB49" s="754"/>
      <c r="AC49" s="744"/>
      <c r="AD49" s="744"/>
      <c r="AE49" s="744"/>
      <c r="AF49" s="747">
        <v>2000</v>
      </c>
      <c r="AG49" s="747"/>
      <c r="AH49" s="747">
        <v>3000</v>
      </c>
      <c r="AI49" s="747"/>
      <c r="AJ49" s="747"/>
      <c r="AK49" s="747">
        <v>1500</v>
      </c>
      <c r="AL49" s="747"/>
      <c r="AM49" s="747"/>
      <c r="AN49" s="747"/>
      <c r="AO49" s="747"/>
      <c r="AP49" s="747"/>
      <c r="AQ49" s="747"/>
      <c r="AR49" s="747"/>
      <c r="AS49" s="747"/>
      <c r="AT49" s="747"/>
      <c r="AU49" s="747"/>
      <c r="AV49" s="747">
        <v>1000</v>
      </c>
      <c r="AW49" s="747"/>
      <c r="AX49" s="747"/>
      <c r="AY49" s="747"/>
      <c r="AZ49" s="747"/>
      <c r="BA49" s="744"/>
      <c r="BB49" s="750">
        <f t="shared" si="0"/>
        <v>45000</v>
      </c>
      <c r="BC49" s="83"/>
    </row>
    <row r="50" spans="1:55" s="190" customFormat="1" ht="18" customHeight="1" x14ac:dyDescent="0.2">
      <c r="A50" s="240">
        <v>4</v>
      </c>
      <c r="B50" s="240" t="s">
        <v>606</v>
      </c>
      <c r="C50" s="388"/>
      <c r="D50" s="388">
        <v>35000</v>
      </c>
      <c r="E50" s="403"/>
      <c r="F50" s="731"/>
      <c r="G50" s="747"/>
      <c r="H50" s="744"/>
      <c r="I50" s="744"/>
      <c r="J50" s="744"/>
      <c r="K50" s="744"/>
      <c r="L50" s="744"/>
      <c r="M50" s="750">
        <v>13500</v>
      </c>
      <c r="N50" s="744"/>
      <c r="O50" s="744"/>
      <c r="P50" s="744"/>
      <c r="Q50" s="744"/>
      <c r="R50" s="746"/>
      <c r="S50" s="747">
        <v>500</v>
      </c>
      <c r="T50" s="750">
        <v>15000</v>
      </c>
      <c r="U50" s="746"/>
      <c r="V50" s="744"/>
      <c r="W50" s="744"/>
      <c r="X50" s="747"/>
      <c r="Y50" s="744"/>
      <c r="Z50" s="744"/>
      <c r="AA50" s="744"/>
      <c r="AB50" s="754"/>
      <c r="AC50" s="744"/>
      <c r="AD50" s="744"/>
      <c r="AE50" s="744"/>
      <c r="AF50" s="747">
        <v>2000</v>
      </c>
      <c r="AG50" s="747"/>
      <c r="AH50" s="747">
        <v>2500</v>
      </c>
      <c r="AI50" s="747"/>
      <c r="AJ50" s="747"/>
      <c r="AK50" s="747">
        <v>1500</v>
      </c>
      <c r="AL50" s="747"/>
      <c r="AM50" s="747"/>
      <c r="AN50" s="747"/>
      <c r="AO50" s="747"/>
      <c r="AP50" s="747"/>
      <c r="AQ50" s="747"/>
      <c r="AR50" s="747"/>
      <c r="AS50" s="747"/>
      <c r="AT50" s="747"/>
      <c r="AU50" s="747"/>
      <c r="AV50" s="747"/>
      <c r="AW50" s="747"/>
      <c r="AX50" s="747"/>
      <c r="AY50" s="747"/>
      <c r="AZ50" s="747"/>
      <c r="BA50" s="744"/>
      <c r="BB50" s="750">
        <f t="shared" si="0"/>
        <v>35000</v>
      </c>
      <c r="BC50" s="83"/>
    </row>
    <row r="51" spans="1:55" s="183" customFormat="1" ht="23.25" customHeight="1" x14ac:dyDescent="0.2">
      <c r="A51" s="240">
        <v>5</v>
      </c>
      <c r="B51" s="390" t="s">
        <v>550</v>
      </c>
      <c r="C51" s="388"/>
      <c r="D51" s="388">
        <v>40000</v>
      </c>
      <c r="E51" s="241"/>
      <c r="F51" s="731">
        <v>45000</v>
      </c>
      <c r="G51" s="747"/>
      <c r="H51" s="744"/>
      <c r="I51" s="744"/>
      <c r="J51" s="744"/>
      <c r="K51" s="744"/>
      <c r="L51" s="744"/>
      <c r="M51" s="750">
        <v>15000</v>
      </c>
      <c r="N51" s="744"/>
      <c r="O51" s="744"/>
      <c r="P51" s="744"/>
      <c r="Q51" s="744"/>
      <c r="R51" s="746"/>
      <c r="S51" s="747">
        <v>500</v>
      </c>
      <c r="T51" s="750">
        <v>22000</v>
      </c>
      <c r="U51" s="746"/>
      <c r="V51" s="744"/>
      <c r="W51" s="744"/>
      <c r="X51" s="750">
        <v>1000</v>
      </c>
      <c r="Y51" s="744"/>
      <c r="Z51" s="744"/>
      <c r="AA51" s="744"/>
      <c r="AB51" s="744"/>
      <c r="AC51" s="744"/>
      <c r="AD51" s="744"/>
      <c r="AE51" s="744"/>
      <c r="AF51" s="747"/>
      <c r="AG51" s="747"/>
      <c r="AH51" s="747"/>
      <c r="AI51" s="747"/>
      <c r="AJ51" s="747"/>
      <c r="AK51" s="747"/>
      <c r="AL51" s="747"/>
      <c r="AM51" s="747"/>
      <c r="AN51" s="747"/>
      <c r="AO51" s="747"/>
      <c r="AP51" s="747"/>
      <c r="AQ51" s="747"/>
      <c r="AR51" s="747"/>
      <c r="AS51" s="747"/>
      <c r="AT51" s="747"/>
      <c r="AU51" s="747"/>
      <c r="AV51" s="747">
        <v>1500</v>
      </c>
      <c r="AW51" s="747"/>
      <c r="AX51" s="747"/>
      <c r="AY51" s="747"/>
      <c r="AZ51" s="747"/>
      <c r="BA51" s="744"/>
      <c r="BB51" s="750">
        <f t="shared" si="0"/>
        <v>40000</v>
      </c>
      <c r="BC51" s="83"/>
    </row>
    <row r="52" spans="1:55" s="186" customFormat="1" ht="24" customHeight="1" x14ac:dyDescent="0.2">
      <c r="A52" s="240">
        <v>6</v>
      </c>
      <c r="B52" s="433" t="s">
        <v>573</v>
      </c>
      <c r="C52" s="388"/>
      <c r="D52" s="435">
        <v>45000</v>
      </c>
      <c r="E52" s="241"/>
      <c r="F52" s="731">
        <v>30000</v>
      </c>
      <c r="G52" s="747"/>
      <c r="H52" s="747"/>
      <c r="I52" s="747"/>
      <c r="J52" s="747"/>
      <c r="K52" s="747"/>
      <c r="L52" s="747"/>
      <c r="M52" s="750">
        <v>18000</v>
      </c>
      <c r="N52" s="747"/>
      <c r="O52" s="747"/>
      <c r="P52" s="747"/>
      <c r="Q52" s="747"/>
      <c r="R52" s="746"/>
      <c r="S52" s="747">
        <v>500</v>
      </c>
      <c r="T52" s="750">
        <v>25000</v>
      </c>
      <c r="U52" s="746"/>
      <c r="V52" s="747"/>
      <c r="W52" s="747"/>
      <c r="X52" s="750">
        <v>1500</v>
      </c>
      <c r="Y52" s="747"/>
      <c r="Z52" s="747"/>
      <c r="AA52" s="747"/>
      <c r="AB52" s="747"/>
      <c r="AC52" s="747"/>
      <c r="AD52" s="747"/>
      <c r="AE52" s="747"/>
      <c r="AF52" s="747"/>
      <c r="AG52" s="747"/>
      <c r="AH52" s="747"/>
      <c r="AI52" s="747"/>
      <c r="AJ52" s="747"/>
      <c r="AK52" s="747"/>
      <c r="AL52" s="747"/>
      <c r="AM52" s="747"/>
      <c r="AN52" s="747"/>
      <c r="AO52" s="747"/>
      <c r="AP52" s="747"/>
      <c r="AQ52" s="747"/>
      <c r="AR52" s="747"/>
      <c r="AS52" s="747"/>
      <c r="AT52" s="747"/>
      <c r="AU52" s="747"/>
      <c r="AV52" s="747"/>
      <c r="AW52" s="747"/>
      <c r="AX52" s="747"/>
      <c r="AY52" s="747"/>
      <c r="AZ52" s="747"/>
      <c r="BA52" s="747"/>
      <c r="BB52" s="750">
        <f t="shared" si="0"/>
        <v>45000</v>
      </c>
      <c r="BC52" s="83"/>
    </row>
    <row r="53" spans="1:55" s="186" customFormat="1" ht="23.25" customHeight="1" x14ac:dyDescent="0.2">
      <c r="A53" s="240">
        <v>7</v>
      </c>
      <c r="B53" s="240" t="s">
        <v>554</v>
      </c>
      <c r="C53" s="388"/>
      <c r="D53" s="388">
        <v>24000</v>
      </c>
      <c r="E53" s="241"/>
      <c r="F53" s="731">
        <v>25000</v>
      </c>
      <c r="G53" s="747"/>
      <c r="H53" s="747"/>
      <c r="I53" s="744"/>
      <c r="J53" s="744"/>
      <c r="K53" s="744"/>
      <c r="L53" s="747"/>
      <c r="M53" s="747">
        <v>10000</v>
      </c>
      <c r="N53" s="747"/>
      <c r="O53" s="747"/>
      <c r="P53" s="747"/>
      <c r="Q53" s="747"/>
      <c r="R53" s="746"/>
      <c r="S53" s="750">
        <v>500</v>
      </c>
      <c r="T53" s="747">
        <v>8000</v>
      </c>
      <c r="U53" s="746"/>
      <c r="V53" s="744"/>
      <c r="W53" s="744"/>
      <c r="X53" s="744">
        <v>500</v>
      </c>
      <c r="Y53" s="744"/>
      <c r="Z53" s="744"/>
      <c r="AA53" s="744"/>
      <c r="AB53" s="744"/>
      <c r="AC53" s="744"/>
      <c r="AD53" s="744"/>
      <c r="AE53" s="744"/>
      <c r="AF53" s="744">
        <v>1000</v>
      </c>
      <c r="AG53" s="744"/>
      <c r="AH53" s="747">
        <v>4000</v>
      </c>
      <c r="AI53" s="744"/>
      <c r="AJ53" s="744"/>
      <c r="AK53" s="744"/>
      <c r="AL53" s="744"/>
      <c r="AM53" s="744"/>
      <c r="AN53" s="744"/>
      <c r="AO53" s="744"/>
      <c r="AP53" s="744"/>
      <c r="AQ53" s="744"/>
      <c r="AR53" s="744"/>
      <c r="AS53" s="744"/>
      <c r="AT53" s="744"/>
      <c r="AU53" s="744"/>
      <c r="AV53" s="747"/>
      <c r="AW53" s="744"/>
      <c r="AX53" s="744"/>
      <c r="AY53" s="744"/>
      <c r="AZ53" s="744"/>
      <c r="BA53" s="744"/>
      <c r="BB53" s="750">
        <f t="shared" si="0"/>
        <v>24000</v>
      </c>
      <c r="BC53" s="83"/>
    </row>
    <row r="54" spans="1:55" s="186" customFormat="1" ht="25.5" customHeight="1" x14ac:dyDescent="0.2">
      <c r="A54" s="240">
        <v>8</v>
      </c>
      <c r="B54" s="390" t="s">
        <v>555</v>
      </c>
      <c r="C54" s="388"/>
      <c r="D54" s="388">
        <v>12000</v>
      </c>
      <c r="E54" s="241"/>
      <c r="F54" s="731">
        <v>25000</v>
      </c>
      <c r="G54" s="747"/>
      <c r="H54" s="747"/>
      <c r="I54" s="744"/>
      <c r="J54" s="744"/>
      <c r="K54" s="744"/>
      <c r="L54" s="747"/>
      <c r="M54" s="747">
        <v>3000</v>
      </c>
      <c r="N54" s="747"/>
      <c r="O54" s="747"/>
      <c r="P54" s="747"/>
      <c r="Q54" s="747"/>
      <c r="R54" s="746"/>
      <c r="S54" s="747"/>
      <c r="T54" s="747">
        <v>6000</v>
      </c>
      <c r="U54" s="746"/>
      <c r="V54" s="744"/>
      <c r="W54" s="744"/>
      <c r="X54" s="744"/>
      <c r="Y54" s="744"/>
      <c r="Z54" s="744"/>
      <c r="AA54" s="744"/>
      <c r="AB54" s="744"/>
      <c r="AC54" s="744"/>
      <c r="AD54" s="744"/>
      <c r="AE54" s="744"/>
      <c r="AF54" s="744"/>
      <c r="AG54" s="744"/>
      <c r="AH54" s="747">
        <v>1000</v>
      </c>
      <c r="AI54" s="744"/>
      <c r="AJ54" s="744"/>
      <c r="AK54" s="744"/>
      <c r="AL54" s="744"/>
      <c r="AM54" s="744"/>
      <c r="AN54" s="744"/>
      <c r="AO54" s="744"/>
      <c r="AP54" s="744"/>
      <c r="AQ54" s="744"/>
      <c r="AR54" s="744"/>
      <c r="AS54" s="744"/>
      <c r="AT54" s="744"/>
      <c r="AU54" s="744"/>
      <c r="AV54" s="747">
        <v>2000</v>
      </c>
      <c r="AW54" s="744"/>
      <c r="AX54" s="744"/>
      <c r="AY54" s="744"/>
      <c r="AZ54" s="744"/>
      <c r="BA54" s="744"/>
      <c r="BB54" s="750">
        <f t="shared" si="0"/>
        <v>12000</v>
      </c>
      <c r="BC54" s="83"/>
    </row>
    <row r="55" spans="1:55" s="186" customFormat="1" ht="18" customHeight="1" x14ac:dyDescent="0.2">
      <c r="A55" s="240">
        <v>9</v>
      </c>
      <c r="B55" s="432" t="s">
        <v>574</v>
      </c>
      <c r="C55" s="431"/>
      <c r="D55" s="435">
        <v>25000</v>
      </c>
      <c r="E55" s="241"/>
      <c r="F55" s="731">
        <v>20000</v>
      </c>
      <c r="G55" s="747"/>
      <c r="H55" s="747"/>
      <c r="I55" s="744"/>
      <c r="J55" s="744"/>
      <c r="K55" s="744"/>
      <c r="L55" s="747"/>
      <c r="M55" s="747">
        <v>12000</v>
      </c>
      <c r="N55" s="747"/>
      <c r="O55" s="747"/>
      <c r="P55" s="747"/>
      <c r="Q55" s="747"/>
      <c r="R55" s="746"/>
      <c r="S55" s="747">
        <v>500</v>
      </c>
      <c r="T55" s="747">
        <v>10000</v>
      </c>
      <c r="U55" s="746"/>
      <c r="V55" s="744"/>
      <c r="W55" s="744"/>
      <c r="X55" s="747"/>
      <c r="Y55" s="744"/>
      <c r="Z55" s="744"/>
      <c r="AA55" s="744"/>
      <c r="AB55" s="744"/>
      <c r="AC55" s="744"/>
      <c r="AD55" s="744"/>
      <c r="AE55" s="744"/>
      <c r="AF55" s="744"/>
      <c r="AG55" s="744"/>
      <c r="AH55" s="747"/>
      <c r="AI55" s="744"/>
      <c r="AJ55" s="744"/>
      <c r="AK55" s="744"/>
      <c r="AL55" s="744"/>
      <c r="AM55" s="744"/>
      <c r="AN55" s="744"/>
      <c r="AO55" s="744"/>
      <c r="AP55" s="744"/>
      <c r="AQ55" s="744"/>
      <c r="AR55" s="744"/>
      <c r="AS55" s="744"/>
      <c r="AT55" s="744"/>
      <c r="AU55" s="744"/>
      <c r="AV55" s="747">
        <v>2500</v>
      </c>
      <c r="AW55" s="744"/>
      <c r="AX55" s="744"/>
      <c r="AY55" s="744"/>
      <c r="AZ55" s="744"/>
      <c r="BA55" s="744"/>
      <c r="BB55" s="750">
        <f t="shared" si="0"/>
        <v>25000</v>
      </c>
      <c r="BC55" s="83"/>
    </row>
    <row r="56" spans="1:55" s="187" customFormat="1" ht="18.75" customHeight="1" x14ac:dyDescent="0.2">
      <c r="A56" s="240">
        <v>10</v>
      </c>
      <c r="B56" s="390" t="s">
        <v>559</v>
      </c>
      <c r="C56" s="388"/>
      <c r="D56" s="388">
        <v>30000</v>
      </c>
      <c r="E56" s="241"/>
      <c r="F56" s="731">
        <v>6000</v>
      </c>
      <c r="G56" s="747"/>
      <c r="H56" s="747"/>
      <c r="I56" s="747"/>
      <c r="J56" s="747"/>
      <c r="K56" s="747"/>
      <c r="L56" s="747"/>
      <c r="M56" s="747">
        <v>9000</v>
      </c>
      <c r="N56" s="747"/>
      <c r="O56" s="747"/>
      <c r="P56" s="747"/>
      <c r="Q56" s="747"/>
      <c r="R56" s="746"/>
      <c r="S56" s="747">
        <v>500</v>
      </c>
      <c r="T56" s="747">
        <v>15000</v>
      </c>
      <c r="U56" s="746"/>
      <c r="V56" s="747"/>
      <c r="W56" s="747"/>
      <c r="X56" s="747">
        <v>500</v>
      </c>
      <c r="Y56" s="747"/>
      <c r="Z56" s="747"/>
      <c r="AA56" s="747"/>
      <c r="AB56" s="747"/>
      <c r="AC56" s="747"/>
      <c r="AD56" s="747"/>
      <c r="AE56" s="747"/>
      <c r="AF56" s="747">
        <v>500</v>
      </c>
      <c r="AG56" s="747"/>
      <c r="AH56" s="747">
        <v>1000</v>
      </c>
      <c r="AI56" s="747"/>
      <c r="AJ56" s="747"/>
      <c r="AK56" s="747">
        <v>1000</v>
      </c>
      <c r="AL56" s="747"/>
      <c r="AM56" s="747"/>
      <c r="AN56" s="747"/>
      <c r="AO56" s="747"/>
      <c r="AP56" s="747"/>
      <c r="AQ56" s="747"/>
      <c r="AR56" s="747"/>
      <c r="AS56" s="747"/>
      <c r="AT56" s="747"/>
      <c r="AU56" s="747"/>
      <c r="AV56" s="747">
        <v>2500</v>
      </c>
      <c r="AW56" s="747"/>
      <c r="AX56" s="747"/>
      <c r="AY56" s="747"/>
      <c r="AZ56" s="747"/>
      <c r="BA56" s="747"/>
      <c r="BB56" s="750">
        <f t="shared" si="0"/>
        <v>30000</v>
      </c>
      <c r="BC56" s="83"/>
    </row>
    <row r="57" spans="1:55" s="428" customFormat="1" ht="18.75" customHeight="1" x14ac:dyDescent="0.2">
      <c r="A57" s="240">
        <v>11</v>
      </c>
      <c r="B57" s="390" t="s">
        <v>575</v>
      </c>
      <c r="C57" s="388"/>
      <c r="D57" s="388">
        <v>30000</v>
      </c>
      <c r="E57" s="241"/>
      <c r="F57" s="731"/>
      <c r="G57" s="747"/>
      <c r="H57" s="747"/>
      <c r="I57" s="747"/>
      <c r="J57" s="747"/>
      <c r="K57" s="747"/>
      <c r="L57" s="747"/>
      <c r="M57" s="747">
        <v>15000</v>
      </c>
      <c r="N57" s="747"/>
      <c r="O57" s="747"/>
      <c r="P57" s="747"/>
      <c r="Q57" s="747"/>
      <c r="R57" s="746"/>
      <c r="S57" s="747">
        <v>500</v>
      </c>
      <c r="T57" s="747">
        <v>10000</v>
      </c>
      <c r="U57" s="746"/>
      <c r="V57" s="747"/>
      <c r="W57" s="747"/>
      <c r="X57" s="747">
        <v>500</v>
      </c>
      <c r="Y57" s="747"/>
      <c r="Z57" s="747"/>
      <c r="AA57" s="747"/>
      <c r="AB57" s="747"/>
      <c r="AC57" s="747"/>
      <c r="AD57" s="747"/>
      <c r="AE57" s="747"/>
      <c r="AF57" s="747">
        <v>1000</v>
      </c>
      <c r="AG57" s="747"/>
      <c r="AH57" s="747">
        <v>1000</v>
      </c>
      <c r="AI57" s="747"/>
      <c r="AJ57" s="747"/>
      <c r="AK57" s="747">
        <v>1000</v>
      </c>
      <c r="AL57" s="747"/>
      <c r="AM57" s="747"/>
      <c r="AN57" s="747"/>
      <c r="AO57" s="747"/>
      <c r="AP57" s="747"/>
      <c r="AQ57" s="747"/>
      <c r="AR57" s="747"/>
      <c r="AS57" s="747"/>
      <c r="AT57" s="747"/>
      <c r="AU57" s="747"/>
      <c r="AV57" s="747">
        <v>1000</v>
      </c>
      <c r="AW57" s="747"/>
      <c r="AX57" s="747"/>
      <c r="AY57" s="747"/>
      <c r="AZ57" s="747"/>
      <c r="BA57" s="747"/>
      <c r="BB57" s="750">
        <f t="shared" si="0"/>
        <v>30000</v>
      </c>
      <c r="BC57" s="83"/>
    </row>
    <row r="58" spans="1:55" s="428" customFormat="1" ht="23.25" customHeight="1" x14ac:dyDescent="0.2">
      <c r="A58" s="240">
        <v>12</v>
      </c>
      <c r="B58" s="390" t="s">
        <v>576</v>
      </c>
      <c r="C58" s="388"/>
      <c r="D58" s="388">
        <v>25000</v>
      </c>
      <c r="E58" s="241"/>
      <c r="F58" s="731"/>
      <c r="G58" s="747"/>
      <c r="H58" s="747"/>
      <c r="I58" s="747"/>
      <c r="J58" s="747"/>
      <c r="K58" s="747"/>
      <c r="L58" s="747"/>
      <c r="M58" s="747">
        <v>12000</v>
      </c>
      <c r="N58" s="747"/>
      <c r="O58" s="747"/>
      <c r="P58" s="747"/>
      <c r="Q58" s="747"/>
      <c r="R58" s="746"/>
      <c r="S58" s="747">
        <v>500</v>
      </c>
      <c r="T58" s="747">
        <v>8000</v>
      </c>
      <c r="U58" s="746"/>
      <c r="V58" s="747"/>
      <c r="W58" s="747"/>
      <c r="X58" s="747">
        <v>500</v>
      </c>
      <c r="Y58" s="747"/>
      <c r="Z58" s="747"/>
      <c r="AA58" s="747"/>
      <c r="AB58" s="747"/>
      <c r="AC58" s="747"/>
      <c r="AD58" s="747"/>
      <c r="AE58" s="747"/>
      <c r="AF58" s="747">
        <v>1000</v>
      </c>
      <c r="AG58" s="747"/>
      <c r="AH58" s="747">
        <v>500</v>
      </c>
      <c r="AI58" s="747"/>
      <c r="AJ58" s="747"/>
      <c r="AK58" s="747">
        <v>500</v>
      </c>
      <c r="AL58" s="747"/>
      <c r="AM58" s="747"/>
      <c r="AN58" s="747"/>
      <c r="AO58" s="747"/>
      <c r="AP58" s="747"/>
      <c r="AQ58" s="747"/>
      <c r="AR58" s="747"/>
      <c r="AS58" s="747"/>
      <c r="AT58" s="747"/>
      <c r="AU58" s="747"/>
      <c r="AV58" s="747">
        <v>2000</v>
      </c>
      <c r="AW58" s="747"/>
      <c r="AX58" s="747"/>
      <c r="AY58" s="747"/>
      <c r="AZ58" s="747"/>
      <c r="BA58" s="747"/>
      <c r="BB58" s="750">
        <f t="shared" si="0"/>
        <v>25000</v>
      </c>
      <c r="BC58" s="83"/>
    </row>
    <row r="59" spans="1:55" s="428" customFormat="1" ht="18.75" customHeight="1" x14ac:dyDescent="0.2">
      <c r="A59" s="240">
        <v>13</v>
      </c>
      <c r="B59" s="390" t="s">
        <v>585</v>
      </c>
      <c r="C59" s="388"/>
      <c r="D59" s="388">
        <v>20000</v>
      </c>
      <c r="E59" s="241"/>
      <c r="F59" s="731"/>
      <c r="G59" s="747"/>
      <c r="H59" s="747"/>
      <c r="I59" s="747"/>
      <c r="J59" s="747"/>
      <c r="K59" s="747"/>
      <c r="L59" s="747"/>
      <c r="M59" s="747">
        <v>8000</v>
      </c>
      <c r="N59" s="747"/>
      <c r="O59" s="747"/>
      <c r="P59" s="747"/>
      <c r="Q59" s="747"/>
      <c r="R59" s="746"/>
      <c r="S59" s="747">
        <v>200</v>
      </c>
      <c r="T59" s="747">
        <v>10000</v>
      </c>
      <c r="U59" s="746"/>
      <c r="V59" s="747"/>
      <c r="W59" s="747"/>
      <c r="X59" s="747">
        <v>500</v>
      </c>
      <c r="Y59" s="747"/>
      <c r="Z59" s="747"/>
      <c r="AA59" s="747"/>
      <c r="AB59" s="747"/>
      <c r="AC59" s="747"/>
      <c r="AD59" s="747"/>
      <c r="AE59" s="747"/>
      <c r="AF59" s="747"/>
      <c r="AG59" s="747"/>
      <c r="AH59" s="747">
        <v>1300</v>
      </c>
      <c r="AI59" s="747"/>
      <c r="AJ59" s="747"/>
      <c r="AK59" s="747"/>
      <c r="AL59" s="747"/>
      <c r="AM59" s="747"/>
      <c r="AN59" s="747"/>
      <c r="AO59" s="747"/>
      <c r="AP59" s="747"/>
      <c r="AQ59" s="747"/>
      <c r="AR59" s="747"/>
      <c r="AS59" s="747"/>
      <c r="AT59" s="747"/>
      <c r="AU59" s="747"/>
      <c r="AV59" s="747"/>
      <c r="AW59" s="747"/>
      <c r="AX59" s="747"/>
      <c r="AY59" s="747"/>
      <c r="AZ59" s="747"/>
      <c r="BA59" s="747"/>
      <c r="BB59" s="750">
        <f t="shared" si="0"/>
        <v>20000</v>
      </c>
      <c r="BC59" s="83"/>
    </row>
    <row r="60" spans="1:55" s="428" customFormat="1" ht="18.75" customHeight="1" x14ac:dyDescent="0.2">
      <c r="A60" s="240">
        <v>14</v>
      </c>
      <c r="B60" s="390" t="s">
        <v>586</v>
      </c>
      <c r="C60" s="388"/>
      <c r="D60" s="388">
        <v>20000</v>
      </c>
      <c r="E60" s="241"/>
      <c r="F60" s="731"/>
      <c r="G60" s="747"/>
      <c r="H60" s="747"/>
      <c r="I60" s="747"/>
      <c r="J60" s="747"/>
      <c r="K60" s="747"/>
      <c r="L60" s="747"/>
      <c r="M60" s="747">
        <v>8000</v>
      </c>
      <c r="N60" s="747"/>
      <c r="O60" s="747"/>
      <c r="P60" s="747"/>
      <c r="Q60" s="747"/>
      <c r="R60" s="746"/>
      <c r="S60" s="747"/>
      <c r="T60" s="747">
        <v>8000</v>
      </c>
      <c r="U60" s="746"/>
      <c r="V60" s="747"/>
      <c r="W60" s="747"/>
      <c r="X60" s="747"/>
      <c r="Y60" s="747"/>
      <c r="Z60" s="747"/>
      <c r="AA60" s="747"/>
      <c r="AB60" s="747"/>
      <c r="AC60" s="747"/>
      <c r="AD60" s="747"/>
      <c r="AE60" s="747"/>
      <c r="AF60" s="747"/>
      <c r="AG60" s="747"/>
      <c r="AH60" s="747">
        <v>500</v>
      </c>
      <c r="AI60" s="747"/>
      <c r="AJ60" s="747"/>
      <c r="AK60" s="747"/>
      <c r="AL60" s="747"/>
      <c r="AM60" s="747"/>
      <c r="AN60" s="747"/>
      <c r="AO60" s="747"/>
      <c r="AP60" s="747"/>
      <c r="AQ60" s="747"/>
      <c r="AR60" s="747"/>
      <c r="AS60" s="747"/>
      <c r="AT60" s="747"/>
      <c r="AU60" s="747"/>
      <c r="AV60" s="747">
        <v>3500</v>
      </c>
      <c r="AW60" s="747"/>
      <c r="AX60" s="747"/>
      <c r="AY60" s="747"/>
      <c r="AZ60" s="747"/>
      <c r="BA60" s="747"/>
      <c r="BB60" s="750">
        <f t="shared" si="0"/>
        <v>20000</v>
      </c>
      <c r="BC60" s="83"/>
    </row>
    <row r="61" spans="1:55" s="474" customFormat="1" ht="18.75" customHeight="1" x14ac:dyDescent="0.2">
      <c r="A61" s="240">
        <v>15</v>
      </c>
      <c r="B61" s="240" t="s">
        <v>578</v>
      </c>
      <c r="C61" s="236"/>
      <c r="D61" s="389">
        <v>25000</v>
      </c>
      <c r="E61" s="241"/>
      <c r="F61" s="731"/>
      <c r="G61" s="747"/>
      <c r="H61" s="747"/>
      <c r="I61" s="747"/>
      <c r="J61" s="747"/>
      <c r="K61" s="747"/>
      <c r="L61" s="747"/>
      <c r="M61" s="747">
        <v>10000</v>
      </c>
      <c r="N61" s="747"/>
      <c r="O61" s="747"/>
      <c r="P61" s="747"/>
      <c r="Q61" s="747"/>
      <c r="R61" s="746"/>
      <c r="S61" s="747">
        <v>500</v>
      </c>
      <c r="T61" s="747">
        <v>10000</v>
      </c>
      <c r="U61" s="746"/>
      <c r="V61" s="747"/>
      <c r="W61" s="747"/>
      <c r="X61" s="747">
        <v>500</v>
      </c>
      <c r="Y61" s="747"/>
      <c r="Z61" s="747"/>
      <c r="AA61" s="747"/>
      <c r="AB61" s="747"/>
      <c r="AC61" s="747"/>
      <c r="AD61" s="747"/>
      <c r="AE61" s="747"/>
      <c r="AF61" s="747">
        <v>1000</v>
      </c>
      <c r="AG61" s="747"/>
      <c r="AH61" s="747">
        <v>1000</v>
      </c>
      <c r="AI61" s="747"/>
      <c r="AJ61" s="747"/>
      <c r="AK61" s="747">
        <v>1000</v>
      </c>
      <c r="AL61" s="747"/>
      <c r="AM61" s="747"/>
      <c r="AN61" s="747"/>
      <c r="AO61" s="747"/>
      <c r="AP61" s="747"/>
      <c r="AQ61" s="747"/>
      <c r="AR61" s="747"/>
      <c r="AS61" s="747"/>
      <c r="AT61" s="747"/>
      <c r="AU61" s="747"/>
      <c r="AV61" s="747">
        <v>1000</v>
      </c>
      <c r="AW61" s="747"/>
      <c r="AX61" s="747"/>
      <c r="AY61" s="747"/>
      <c r="AZ61" s="747"/>
      <c r="BA61" s="747"/>
      <c r="BB61" s="750">
        <f t="shared" si="0"/>
        <v>25000</v>
      </c>
      <c r="BC61" s="83"/>
    </row>
    <row r="62" spans="1:55" s="474" customFormat="1" ht="18.75" customHeight="1" x14ac:dyDescent="0.2">
      <c r="A62" s="240">
        <v>16</v>
      </c>
      <c r="B62" s="240" t="s">
        <v>582</v>
      </c>
      <c r="C62" s="236"/>
      <c r="D62" s="389">
        <v>25000</v>
      </c>
      <c r="E62" s="241"/>
      <c r="F62" s="731"/>
      <c r="G62" s="747"/>
      <c r="H62" s="747"/>
      <c r="I62" s="747"/>
      <c r="J62" s="747"/>
      <c r="K62" s="747"/>
      <c r="L62" s="747"/>
      <c r="M62" s="747">
        <v>8000</v>
      </c>
      <c r="N62" s="747"/>
      <c r="O62" s="747"/>
      <c r="P62" s="747"/>
      <c r="Q62" s="747"/>
      <c r="R62" s="746"/>
      <c r="S62" s="747"/>
      <c r="T62" s="747">
        <v>12000</v>
      </c>
      <c r="U62" s="746"/>
      <c r="V62" s="747"/>
      <c r="W62" s="747"/>
      <c r="X62" s="750">
        <v>1000</v>
      </c>
      <c r="Y62" s="747"/>
      <c r="Z62" s="747"/>
      <c r="AA62" s="747"/>
      <c r="AB62" s="747"/>
      <c r="AC62" s="747"/>
      <c r="AD62" s="747"/>
      <c r="AE62" s="747"/>
      <c r="AF62" s="747">
        <v>1000</v>
      </c>
      <c r="AG62" s="747"/>
      <c r="AH62" s="747">
        <v>1000</v>
      </c>
      <c r="AI62" s="747"/>
      <c r="AJ62" s="747"/>
      <c r="AK62" s="747">
        <v>500</v>
      </c>
      <c r="AL62" s="747"/>
      <c r="AM62" s="747"/>
      <c r="AN62" s="747"/>
      <c r="AO62" s="747"/>
      <c r="AP62" s="747"/>
      <c r="AQ62" s="747"/>
      <c r="AR62" s="747"/>
      <c r="AS62" s="747"/>
      <c r="AT62" s="747"/>
      <c r="AU62" s="747"/>
      <c r="AV62" s="747">
        <v>1500</v>
      </c>
      <c r="AW62" s="747"/>
      <c r="AX62" s="747"/>
      <c r="AY62" s="747"/>
      <c r="AZ62" s="747"/>
      <c r="BA62" s="747"/>
      <c r="BB62" s="750">
        <f>SUM(G62:BA62)</f>
        <v>25000</v>
      </c>
      <c r="BC62" s="83"/>
    </row>
    <row r="63" spans="1:55" ht="18" customHeight="1" x14ac:dyDescent="0.2">
      <c r="A63" s="251"/>
      <c r="B63" s="251" t="s">
        <v>441</v>
      </c>
      <c r="C63" s="242"/>
      <c r="D63" s="235"/>
      <c r="E63" s="236"/>
      <c r="F63" s="732"/>
      <c r="G63" s="747">
        <f t="shared" ref="G63:G77" si="4">SUM(H63:BA63)</f>
        <v>0</v>
      </c>
      <c r="H63" s="744"/>
      <c r="I63" s="744"/>
      <c r="J63" s="744"/>
      <c r="K63" s="744"/>
      <c r="L63" s="744"/>
      <c r="M63" s="744"/>
      <c r="N63" s="744"/>
      <c r="O63" s="744"/>
      <c r="P63" s="744"/>
      <c r="Q63" s="744"/>
      <c r="R63" s="744"/>
      <c r="S63" s="744"/>
      <c r="T63" s="744"/>
      <c r="U63" s="744"/>
      <c r="V63" s="744"/>
      <c r="W63" s="744"/>
      <c r="X63" s="744"/>
      <c r="Y63" s="744"/>
      <c r="Z63" s="744"/>
      <c r="AA63" s="744"/>
      <c r="AB63" s="744"/>
      <c r="AC63" s="744"/>
      <c r="AD63" s="744"/>
      <c r="AE63" s="744"/>
      <c r="AF63" s="744"/>
      <c r="AG63" s="744"/>
      <c r="AH63" s="744"/>
      <c r="AI63" s="744"/>
      <c r="AJ63" s="744"/>
      <c r="AK63" s="744"/>
      <c r="AL63" s="744"/>
      <c r="AM63" s="744"/>
      <c r="AN63" s="744"/>
      <c r="AO63" s="744"/>
      <c r="AP63" s="744"/>
      <c r="AQ63" s="744"/>
      <c r="AR63" s="744"/>
      <c r="AS63" s="744"/>
      <c r="AT63" s="744"/>
      <c r="AU63" s="744"/>
      <c r="AV63" s="747"/>
      <c r="AW63" s="744"/>
      <c r="AX63" s="744"/>
      <c r="AY63" s="744"/>
      <c r="AZ63" s="744"/>
      <c r="BA63" s="744"/>
      <c r="BB63" s="750">
        <f t="shared" si="0"/>
        <v>0</v>
      </c>
      <c r="BC63" s="83"/>
    </row>
    <row r="64" spans="1:55" ht="18" customHeight="1" x14ac:dyDescent="0.2">
      <c r="A64" s="251"/>
      <c r="B64" s="251" t="s">
        <v>382</v>
      </c>
      <c r="C64" s="242"/>
      <c r="D64" s="235"/>
      <c r="E64" s="236"/>
      <c r="F64" s="732"/>
      <c r="G64" s="747">
        <f t="shared" si="4"/>
        <v>0</v>
      </c>
      <c r="H64" s="744"/>
      <c r="I64" s="744"/>
      <c r="J64" s="744"/>
      <c r="K64" s="744"/>
      <c r="L64" s="744"/>
      <c r="M64" s="744"/>
      <c r="N64" s="744"/>
      <c r="O64" s="744"/>
      <c r="P64" s="744"/>
      <c r="Q64" s="744"/>
      <c r="R64" s="744"/>
      <c r="S64" s="744"/>
      <c r="T64" s="744"/>
      <c r="U64" s="744"/>
      <c r="V64" s="744"/>
      <c r="W64" s="744"/>
      <c r="X64" s="744"/>
      <c r="Y64" s="744"/>
      <c r="Z64" s="744"/>
      <c r="AA64" s="744"/>
      <c r="AB64" s="744"/>
      <c r="AC64" s="744"/>
      <c r="AD64" s="744"/>
      <c r="AE64" s="744"/>
      <c r="AF64" s="744"/>
      <c r="AG64" s="744"/>
      <c r="AH64" s="744"/>
      <c r="AI64" s="744"/>
      <c r="AJ64" s="744"/>
      <c r="AK64" s="747"/>
      <c r="AL64" s="744"/>
      <c r="AM64" s="744"/>
      <c r="AN64" s="744"/>
      <c r="AO64" s="744"/>
      <c r="AP64" s="744"/>
      <c r="AQ64" s="744"/>
      <c r="AR64" s="744"/>
      <c r="AS64" s="744"/>
      <c r="AT64" s="744"/>
      <c r="AU64" s="744"/>
      <c r="AV64" s="747"/>
      <c r="AW64" s="744"/>
      <c r="AX64" s="744"/>
      <c r="AY64" s="744"/>
      <c r="AZ64" s="744"/>
      <c r="BA64" s="744"/>
      <c r="BB64" s="750">
        <f t="shared" si="0"/>
        <v>0</v>
      </c>
      <c r="BC64" s="83"/>
    </row>
    <row r="65" spans="1:55" s="193" customFormat="1" ht="18" customHeight="1" x14ac:dyDescent="0.2">
      <c r="A65" s="251"/>
      <c r="B65" s="251" t="s">
        <v>503</v>
      </c>
      <c r="C65" s="242"/>
      <c r="D65" s="235"/>
      <c r="E65" s="236">
        <f>31503.4+25000</f>
        <v>56503.4</v>
      </c>
      <c r="F65" s="732"/>
      <c r="G65" s="747"/>
      <c r="H65" s="744"/>
      <c r="I65" s="744"/>
      <c r="J65" s="744"/>
      <c r="K65" s="744"/>
      <c r="L65" s="744"/>
      <c r="M65" s="744"/>
      <c r="N65" s="744"/>
      <c r="O65" s="744"/>
      <c r="P65" s="744"/>
      <c r="Q65" s="744"/>
      <c r="R65" s="744"/>
      <c r="S65" s="744"/>
      <c r="T65" s="744"/>
      <c r="U65" s="744"/>
      <c r="V65" s="744"/>
      <c r="W65" s="744"/>
      <c r="X65" s="744"/>
      <c r="Y65" s="750">
        <f>E65</f>
        <v>56503.4</v>
      </c>
      <c r="Z65" s="744"/>
      <c r="AA65" s="744"/>
      <c r="AB65" s="744"/>
      <c r="AC65" s="744"/>
      <c r="AD65" s="744"/>
      <c r="AE65" s="744"/>
      <c r="AF65" s="744"/>
      <c r="AG65" s="744"/>
      <c r="AH65" s="744"/>
      <c r="AI65" s="744"/>
      <c r="AJ65" s="744"/>
      <c r="AK65" s="744"/>
      <c r="AL65" s="744"/>
      <c r="AM65" s="744"/>
      <c r="AN65" s="744"/>
      <c r="AO65" s="744"/>
      <c r="AP65" s="744"/>
      <c r="AQ65" s="744"/>
      <c r="AR65" s="744"/>
      <c r="AS65" s="744"/>
      <c r="AT65" s="744"/>
      <c r="AU65" s="744"/>
      <c r="AV65" s="747"/>
      <c r="AW65" s="744"/>
      <c r="AX65" s="744"/>
      <c r="AY65" s="744"/>
      <c r="AZ65" s="744"/>
      <c r="BA65" s="744"/>
      <c r="BB65" s="750">
        <f t="shared" si="0"/>
        <v>56503.4</v>
      </c>
      <c r="BC65" s="83"/>
    </row>
    <row r="66" spans="1:55" ht="18" customHeight="1" x14ac:dyDescent="0.2">
      <c r="A66" s="251"/>
      <c r="B66" s="251" t="s">
        <v>442</v>
      </c>
      <c r="C66" s="242"/>
      <c r="D66" s="236"/>
      <c r="E66" s="236">
        <f>50000+25000</f>
        <v>75000</v>
      </c>
      <c r="F66" s="732"/>
      <c r="G66" s="747">
        <f t="shared" si="4"/>
        <v>0</v>
      </c>
      <c r="H66" s="744"/>
      <c r="I66" s="744"/>
      <c r="J66" s="744"/>
      <c r="K66" s="744"/>
      <c r="L66" s="744"/>
      <c r="M66" s="744"/>
      <c r="N66" s="744"/>
      <c r="O66" s="744"/>
      <c r="P66" s="744"/>
      <c r="Q66" s="744"/>
      <c r="R66" s="744"/>
      <c r="S66" s="744"/>
      <c r="T66" s="744"/>
      <c r="U66" s="744"/>
      <c r="V66" s="744"/>
      <c r="W66" s="744"/>
      <c r="X66" s="744"/>
      <c r="Y66" s="744"/>
      <c r="Z66" s="744"/>
      <c r="AA66" s="744"/>
      <c r="AB66" s="744"/>
      <c r="AC66" s="744"/>
      <c r="AD66" s="744"/>
      <c r="AE66" s="744"/>
      <c r="AF66" s="744"/>
      <c r="AG66" s="744"/>
      <c r="AH66" s="744"/>
      <c r="AI66" s="744"/>
      <c r="AJ66" s="744"/>
      <c r="AK66" s="744"/>
      <c r="AL66" s="744"/>
      <c r="AM66" s="744"/>
      <c r="AN66" s="744"/>
      <c r="AO66" s="744"/>
      <c r="AP66" s="744"/>
      <c r="AQ66" s="744"/>
      <c r="AR66" s="744"/>
      <c r="AS66" s="744"/>
      <c r="AT66" s="744"/>
      <c r="AU66" s="744"/>
      <c r="AV66" s="747"/>
      <c r="AW66" s="744"/>
      <c r="AX66" s="744"/>
      <c r="AY66" s="744"/>
      <c r="AZ66" s="744"/>
      <c r="BA66" s="744"/>
      <c r="BB66" s="750">
        <f t="shared" si="0"/>
        <v>0</v>
      </c>
      <c r="BC66" s="83"/>
    </row>
    <row r="67" spans="1:55" ht="18" customHeight="1" x14ac:dyDescent="0.2">
      <c r="A67" s="251"/>
      <c r="B67" s="251" t="s">
        <v>443</v>
      </c>
      <c r="C67" s="242"/>
      <c r="D67" s="250"/>
      <c r="E67" s="250">
        <v>4000</v>
      </c>
      <c r="F67" s="731">
        <f t="shared" ref="F67:F75" si="5">SUM(G67:BA67)</f>
        <v>0</v>
      </c>
      <c r="G67" s="747">
        <f t="shared" si="4"/>
        <v>0</v>
      </c>
      <c r="H67" s="744"/>
      <c r="I67" s="744"/>
      <c r="J67" s="744"/>
      <c r="K67" s="744"/>
      <c r="L67" s="744"/>
      <c r="M67" s="744"/>
      <c r="N67" s="744"/>
      <c r="O67" s="744"/>
      <c r="P67" s="744"/>
      <c r="Q67" s="744"/>
      <c r="R67" s="744"/>
      <c r="S67" s="744"/>
      <c r="T67" s="744"/>
      <c r="U67" s="744"/>
      <c r="V67" s="744"/>
      <c r="W67" s="744"/>
      <c r="X67" s="744"/>
      <c r="Y67" s="744"/>
      <c r="Z67" s="744"/>
      <c r="AA67" s="744"/>
      <c r="AB67" s="744"/>
      <c r="AC67" s="744"/>
      <c r="AD67" s="744"/>
      <c r="AE67" s="744"/>
      <c r="AF67" s="744"/>
      <c r="AG67" s="744"/>
      <c r="AH67" s="744"/>
      <c r="AI67" s="744"/>
      <c r="AJ67" s="744"/>
      <c r="AK67" s="744"/>
      <c r="AL67" s="744"/>
      <c r="AM67" s="744"/>
      <c r="AN67" s="744"/>
      <c r="AO67" s="744"/>
      <c r="AP67" s="744"/>
      <c r="AQ67" s="744"/>
      <c r="AR67" s="744"/>
      <c r="AS67" s="744"/>
      <c r="AT67" s="747"/>
      <c r="AU67" s="744"/>
      <c r="AV67" s="747"/>
      <c r="AW67" s="744"/>
      <c r="AX67" s="744"/>
      <c r="AY67" s="744"/>
      <c r="AZ67" s="744"/>
      <c r="BA67" s="744"/>
      <c r="BB67" s="750">
        <f t="shared" si="0"/>
        <v>0</v>
      </c>
      <c r="BC67" s="83"/>
    </row>
    <row r="68" spans="1:55" ht="18" customHeight="1" x14ac:dyDescent="0.2">
      <c r="A68" s="251"/>
      <c r="B68" s="251" t="s">
        <v>444</v>
      </c>
      <c r="C68" s="242"/>
      <c r="D68" s="236"/>
      <c r="E68" s="236">
        <v>4000</v>
      </c>
      <c r="F68" s="731">
        <f t="shared" si="5"/>
        <v>0</v>
      </c>
      <c r="G68" s="747">
        <f t="shared" si="4"/>
        <v>0</v>
      </c>
      <c r="H68" s="744"/>
      <c r="I68" s="744"/>
      <c r="J68" s="744"/>
      <c r="K68" s="744"/>
      <c r="L68" s="744"/>
      <c r="M68" s="744"/>
      <c r="N68" s="744"/>
      <c r="O68" s="744"/>
      <c r="P68" s="744"/>
      <c r="Q68" s="744"/>
      <c r="R68" s="744"/>
      <c r="S68" s="744"/>
      <c r="T68" s="744"/>
      <c r="U68" s="744"/>
      <c r="V68" s="744"/>
      <c r="W68" s="744"/>
      <c r="X68" s="744"/>
      <c r="Y68" s="744"/>
      <c r="Z68" s="744"/>
      <c r="AA68" s="744"/>
      <c r="AB68" s="744"/>
      <c r="AC68" s="744"/>
      <c r="AD68" s="744"/>
      <c r="AE68" s="744"/>
      <c r="AF68" s="744"/>
      <c r="AG68" s="744"/>
      <c r="AH68" s="744"/>
      <c r="AI68" s="744"/>
      <c r="AJ68" s="744"/>
      <c r="AK68" s="744"/>
      <c r="AL68" s="744"/>
      <c r="AM68" s="744"/>
      <c r="AN68" s="744"/>
      <c r="AO68" s="744"/>
      <c r="AP68" s="744"/>
      <c r="AQ68" s="744"/>
      <c r="AR68" s="744"/>
      <c r="AS68" s="744"/>
      <c r="AT68" s="744"/>
      <c r="AU68" s="744"/>
      <c r="AV68" s="744"/>
      <c r="AW68" s="744"/>
      <c r="AX68" s="744"/>
      <c r="AY68" s="744"/>
      <c r="AZ68" s="744"/>
      <c r="BA68" s="744"/>
      <c r="BB68" s="750">
        <f t="shared" si="0"/>
        <v>0</v>
      </c>
      <c r="BC68" s="83"/>
    </row>
    <row r="69" spans="1:55" ht="18" customHeight="1" x14ac:dyDescent="0.2">
      <c r="A69" s="251"/>
      <c r="B69" s="240" t="s">
        <v>549</v>
      </c>
      <c r="C69" s="235"/>
      <c r="D69" s="236"/>
      <c r="E69" s="236">
        <f>27407.03+20000+30000+27142.96+41780.89+40000+15000+15000+10166.92+10000+39878.83+22217.44+270000</f>
        <v>568594.07000000007</v>
      </c>
      <c r="F69" s="731">
        <f t="shared" si="5"/>
        <v>568594.07000000007</v>
      </c>
      <c r="G69" s="747"/>
      <c r="H69" s="744"/>
      <c r="I69" s="744"/>
      <c r="J69" s="744"/>
      <c r="K69" s="744"/>
      <c r="L69" s="744"/>
      <c r="M69" s="744"/>
      <c r="N69" s="744"/>
      <c r="O69" s="744"/>
      <c r="P69" s="744"/>
      <c r="Q69" s="744"/>
      <c r="R69" s="744"/>
      <c r="S69" s="744"/>
      <c r="T69" s="744"/>
      <c r="U69" s="744"/>
      <c r="V69" s="744"/>
      <c r="W69" s="744"/>
      <c r="X69" s="744"/>
      <c r="Y69" s="744"/>
      <c r="Z69" s="744"/>
      <c r="AA69" s="744"/>
      <c r="AB69" s="744"/>
      <c r="AC69" s="744"/>
      <c r="AD69" s="744"/>
      <c r="AE69" s="744"/>
      <c r="AF69" s="744"/>
      <c r="AG69" s="744"/>
      <c r="AH69" s="744"/>
      <c r="AI69" s="744"/>
      <c r="AJ69" s="744"/>
      <c r="AK69" s="744"/>
      <c r="AL69" s="744"/>
      <c r="AM69" s="744"/>
      <c r="AN69" s="744"/>
      <c r="AO69" s="744"/>
      <c r="AP69" s="744"/>
      <c r="AQ69" s="744"/>
      <c r="AR69" s="744"/>
      <c r="AS69" s="744"/>
      <c r="AT69" s="744"/>
      <c r="AU69" s="744"/>
      <c r="AV69" s="744"/>
      <c r="AW69" s="744"/>
      <c r="AX69" s="744"/>
      <c r="AY69" s="744"/>
      <c r="AZ69" s="750">
        <f>E69</f>
        <v>568594.07000000007</v>
      </c>
      <c r="BA69" s="744"/>
      <c r="BB69" s="750">
        <f t="shared" si="0"/>
        <v>568594.07000000007</v>
      </c>
      <c r="BC69" s="83"/>
    </row>
    <row r="70" spans="1:55" s="428" customFormat="1" ht="18" customHeight="1" x14ac:dyDescent="0.2">
      <c r="A70" s="251"/>
      <c r="B70" s="240" t="s">
        <v>557</v>
      </c>
      <c r="C70" s="235"/>
      <c r="D70" s="236"/>
      <c r="E70" s="236">
        <f>34878.83+9287.55</f>
        <v>44166.380000000005</v>
      </c>
      <c r="F70" s="731"/>
      <c r="G70" s="747"/>
      <c r="H70" s="744"/>
      <c r="I70" s="744"/>
      <c r="J70" s="744"/>
      <c r="K70" s="744"/>
      <c r="L70" s="744"/>
      <c r="M70" s="744"/>
      <c r="N70" s="744"/>
      <c r="O70" s="744"/>
      <c r="P70" s="744"/>
      <c r="Q70" s="744"/>
      <c r="R70" s="744"/>
      <c r="S70" s="744"/>
      <c r="T70" s="744"/>
      <c r="U70" s="744"/>
      <c r="V70" s="744"/>
      <c r="W70" s="744"/>
      <c r="X70" s="744"/>
      <c r="Y70" s="744"/>
      <c r="Z70" s="744"/>
      <c r="AA70" s="744"/>
      <c r="AB70" s="744"/>
      <c r="AC70" s="744"/>
      <c r="AD70" s="744"/>
      <c r="AE70" s="744"/>
      <c r="AF70" s="744"/>
      <c r="AG70" s="744"/>
      <c r="AH70" s="744"/>
      <c r="AI70" s="744"/>
      <c r="AJ70" s="744"/>
      <c r="AK70" s="744"/>
      <c r="AL70" s="744"/>
      <c r="AM70" s="744"/>
      <c r="AN70" s="744"/>
      <c r="AO70" s="744"/>
      <c r="AP70" s="744"/>
      <c r="AQ70" s="744"/>
      <c r="AR70" s="744"/>
      <c r="AS70" s="744"/>
      <c r="AT70" s="744"/>
      <c r="AU70" s="744"/>
      <c r="AV70" s="744"/>
      <c r="AW70" s="744"/>
      <c r="AX70" s="744"/>
      <c r="AY70" s="744"/>
      <c r="AZ70" s="750">
        <f>E70</f>
        <v>44166.380000000005</v>
      </c>
      <c r="BA70" s="744"/>
      <c r="BB70" s="750">
        <f t="shared" si="0"/>
        <v>44166.380000000005</v>
      </c>
      <c r="BC70" s="83"/>
    </row>
    <row r="71" spans="1:55" ht="18" customHeight="1" x14ac:dyDescent="0.2">
      <c r="A71" s="251"/>
      <c r="B71" s="251" t="s">
        <v>445</v>
      </c>
      <c r="C71" s="242"/>
      <c r="D71" s="236"/>
      <c r="E71" s="237"/>
      <c r="F71" s="731">
        <f t="shared" si="5"/>
        <v>0</v>
      </c>
      <c r="G71" s="747">
        <f t="shared" si="4"/>
        <v>0</v>
      </c>
      <c r="H71" s="744"/>
      <c r="I71" s="744"/>
      <c r="J71" s="744"/>
      <c r="K71" s="744"/>
      <c r="L71" s="744"/>
      <c r="M71" s="744"/>
      <c r="N71" s="744"/>
      <c r="O71" s="744"/>
      <c r="P71" s="744"/>
      <c r="Q71" s="744"/>
      <c r="R71" s="744"/>
      <c r="S71" s="744"/>
      <c r="T71" s="744"/>
      <c r="U71" s="744"/>
      <c r="V71" s="744"/>
      <c r="W71" s="744"/>
      <c r="X71" s="744"/>
      <c r="Y71" s="744"/>
      <c r="Z71" s="744"/>
      <c r="AA71" s="744"/>
      <c r="AB71" s="744"/>
      <c r="AC71" s="744"/>
      <c r="AD71" s="744"/>
      <c r="AE71" s="744"/>
      <c r="AF71" s="744"/>
      <c r="AG71" s="744"/>
      <c r="AH71" s="744"/>
      <c r="AI71" s="744"/>
      <c r="AJ71" s="744"/>
      <c r="AK71" s="744"/>
      <c r="AL71" s="744"/>
      <c r="AM71" s="744"/>
      <c r="AN71" s="744"/>
      <c r="AO71" s="744"/>
      <c r="AP71" s="744"/>
      <c r="AQ71" s="744"/>
      <c r="AR71" s="744"/>
      <c r="AS71" s="744"/>
      <c r="AT71" s="744"/>
      <c r="AU71" s="744"/>
      <c r="AV71" s="744"/>
      <c r="AW71" s="744"/>
      <c r="AX71" s="744"/>
      <c r="AY71" s="744"/>
      <c r="AZ71" s="744"/>
      <c r="BA71" s="744"/>
      <c r="BB71" s="750">
        <f t="shared" si="0"/>
        <v>0</v>
      </c>
      <c r="BC71" s="83"/>
    </row>
    <row r="72" spans="1:55" ht="18" customHeight="1" x14ac:dyDescent="0.2">
      <c r="A72" s="251"/>
      <c r="B72" s="251" t="s">
        <v>446</v>
      </c>
      <c r="C72" s="242"/>
      <c r="D72" s="236"/>
      <c r="E72" s="237"/>
      <c r="F72" s="731">
        <f t="shared" si="5"/>
        <v>0</v>
      </c>
      <c r="G72" s="747">
        <f t="shared" si="4"/>
        <v>0</v>
      </c>
      <c r="H72" s="744"/>
      <c r="I72" s="744"/>
      <c r="J72" s="744"/>
      <c r="K72" s="744"/>
      <c r="L72" s="744"/>
      <c r="M72" s="744"/>
      <c r="N72" s="744"/>
      <c r="O72" s="744"/>
      <c r="P72" s="744"/>
      <c r="Q72" s="744"/>
      <c r="R72" s="744"/>
      <c r="S72" s="744"/>
      <c r="T72" s="744"/>
      <c r="U72" s="744"/>
      <c r="V72" s="744"/>
      <c r="W72" s="744"/>
      <c r="X72" s="744"/>
      <c r="Y72" s="744"/>
      <c r="Z72" s="744"/>
      <c r="AA72" s="744"/>
      <c r="AB72" s="744"/>
      <c r="AC72" s="744"/>
      <c r="AD72" s="744"/>
      <c r="AE72" s="744"/>
      <c r="AF72" s="744"/>
      <c r="AG72" s="744"/>
      <c r="AH72" s="744"/>
      <c r="AI72" s="744"/>
      <c r="AJ72" s="744"/>
      <c r="AK72" s="744"/>
      <c r="AL72" s="744"/>
      <c r="AM72" s="744"/>
      <c r="AN72" s="744"/>
      <c r="AO72" s="744"/>
      <c r="AP72" s="744"/>
      <c r="AQ72" s="744"/>
      <c r="AR72" s="744"/>
      <c r="AS72" s="744"/>
      <c r="AT72" s="744"/>
      <c r="AU72" s="744"/>
      <c r="AV72" s="744"/>
      <c r="AW72" s="744"/>
      <c r="AX72" s="744"/>
      <c r="AY72" s="744"/>
      <c r="AZ72" s="744"/>
      <c r="BA72" s="744"/>
      <c r="BB72" s="750">
        <f t="shared" si="0"/>
        <v>0</v>
      </c>
      <c r="BC72" s="83"/>
    </row>
    <row r="73" spans="1:55" ht="18" customHeight="1" x14ac:dyDescent="0.2">
      <c r="A73" s="251"/>
      <c r="B73" s="251" t="s">
        <v>447</v>
      </c>
      <c r="C73" s="242"/>
      <c r="D73" s="236"/>
      <c r="E73" s="237"/>
      <c r="F73" s="731">
        <f t="shared" si="5"/>
        <v>0</v>
      </c>
      <c r="G73" s="747">
        <f t="shared" si="4"/>
        <v>0</v>
      </c>
      <c r="H73" s="744"/>
      <c r="I73" s="744"/>
      <c r="J73" s="744"/>
      <c r="K73" s="744"/>
      <c r="L73" s="744"/>
      <c r="M73" s="744"/>
      <c r="N73" s="744"/>
      <c r="O73" s="744"/>
      <c r="P73" s="744"/>
      <c r="Q73" s="744"/>
      <c r="R73" s="744"/>
      <c r="S73" s="744"/>
      <c r="T73" s="744"/>
      <c r="U73" s="744"/>
      <c r="V73" s="744"/>
      <c r="W73" s="744"/>
      <c r="X73" s="744"/>
      <c r="Y73" s="744"/>
      <c r="Z73" s="744"/>
      <c r="AA73" s="744"/>
      <c r="AB73" s="744"/>
      <c r="AC73" s="744"/>
      <c r="AD73" s="744"/>
      <c r="AE73" s="744"/>
      <c r="AF73" s="744"/>
      <c r="AG73" s="744"/>
      <c r="AH73" s="744"/>
      <c r="AI73" s="744"/>
      <c r="AJ73" s="744"/>
      <c r="AK73" s="744"/>
      <c r="AL73" s="744"/>
      <c r="AM73" s="744"/>
      <c r="AN73" s="744"/>
      <c r="AO73" s="744"/>
      <c r="AP73" s="744"/>
      <c r="AQ73" s="744"/>
      <c r="AR73" s="744"/>
      <c r="AS73" s="744"/>
      <c r="AT73" s="744"/>
      <c r="AU73" s="744"/>
      <c r="AV73" s="744"/>
      <c r="AW73" s="744"/>
      <c r="AX73" s="744"/>
      <c r="AY73" s="744"/>
      <c r="AZ73" s="744"/>
      <c r="BA73" s="744"/>
      <c r="BB73" s="750">
        <f t="shared" si="0"/>
        <v>0</v>
      </c>
      <c r="BC73" s="83"/>
    </row>
    <row r="74" spans="1:55" ht="18" customHeight="1" x14ac:dyDescent="0.2">
      <c r="A74" s="251"/>
      <c r="B74" s="251" t="s">
        <v>448</v>
      </c>
      <c r="C74" s="242"/>
      <c r="D74" s="236"/>
      <c r="E74" s="236">
        <v>7000</v>
      </c>
      <c r="F74" s="731">
        <f t="shared" si="5"/>
        <v>0</v>
      </c>
      <c r="G74" s="747">
        <f t="shared" si="4"/>
        <v>0</v>
      </c>
      <c r="H74" s="744"/>
      <c r="I74" s="744"/>
      <c r="J74" s="744"/>
      <c r="K74" s="744"/>
      <c r="L74" s="744"/>
      <c r="M74" s="744"/>
      <c r="N74" s="744"/>
      <c r="O74" s="744"/>
      <c r="P74" s="744"/>
      <c r="Q74" s="744"/>
      <c r="R74" s="744"/>
      <c r="S74" s="744"/>
      <c r="T74" s="744"/>
      <c r="U74" s="744"/>
      <c r="V74" s="744"/>
      <c r="W74" s="744"/>
      <c r="X74" s="744"/>
      <c r="Y74" s="744"/>
      <c r="Z74" s="744"/>
      <c r="AA74" s="744"/>
      <c r="AB74" s="744"/>
      <c r="AC74" s="744"/>
      <c r="AD74" s="744"/>
      <c r="AE74" s="744"/>
      <c r="AF74" s="744"/>
      <c r="AG74" s="744"/>
      <c r="AH74" s="744"/>
      <c r="AI74" s="744"/>
      <c r="AJ74" s="744"/>
      <c r="AK74" s="744"/>
      <c r="AL74" s="744"/>
      <c r="AM74" s="744"/>
      <c r="AN74" s="744"/>
      <c r="AO74" s="744"/>
      <c r="AP74" s="744"/>
      <c r="AQ74" s="744"/>
      <c r="AR74" s="744"/>
      <c r="AS74" s="744"/>
      <c r="AT74" s="744"/>
      <c r="AU74" s="744"/>
      <c r="AV74" s="744"/>
      <c r="AW74" s="744"/>
      <c r="AX74" s="744"/>
      <c r="AY74" s="744"/>
      <c r="AZ74" s="744"/>
      <c r="BA74" s="744"/>
      <c r="BB74" s="750">
        <f t="shared" si="0"/>
        <v>0</v>
      </c>
      <c r="BC74" s="83"/>
    </row>
    <row r="75" spans="1:55" ht="18" customHeight="1" x14ac:dyDescent="0.2">
      <c r="A75" s="251"/>
      <c r="B75" s="251" t="s">
        <v>449</v>
      </c>
      <c r="C75" s="242"/>
      <c r="D75" s="243"/>
      <c r="E75" s="236">
        <v>4000</v>
      </c>
      <c r="F75" s="731">
        <f t="shared" si="5"/>
        <v>0</v>
      </c>
      <c r="G75" s="747">
        <f t="shared" si="4"/>
        <v>0</v>
      </c>
      <c r="H75" s="744"/>
      <c r="I75" s="744"/>
      <c r="J75" s="744"/>
      <c r="K75" s="744"/>
      <c r="L75" s="744"/>
      <c r="M75" s="744"/>
      <c r="N75" s="744"/>
      <c r="O75" s="744"/>
      <c r="P75" s="744"/>
      <c r="Q75" s="744"/>
      <c r="R75" s="744"/>
      <c r="S75" s="744"/>
      <c r="T75" s="744"/>
      <c r="U75" s="744"/>
      <c r="V75" s="744"/>
      <c r="W75" s="744"/>
      <c r="X75" s="744"/>
      <c r="Y75" s="744"/>
      <c r="Z75" s="744"/>
      <c r="AA75" s="744"/>
      <c r="AB75" s="744"/>
      <c r="AC75" s="744"/>
      <c r="AD75" s="744"/>
      <c r="AE75" s="744"/>
      <c r="AF75" s="744"/>
      <c r="AG75" s="744"/>
      <c r="AH75" s="744"/>
      <c r="AI75" s="744"/>
      <c r="AJ75" s="744"/>
      <c r="AK75" s="744"/>
      <c r="AL75" s="744"/>
      <c r="AM75" s="744"/>
      <c r="AN75" s="744"/>
      <c r="AO75" s="744"/>
      <c r="AP75" s="744"/>
      <c r="AQ75" s="744"/>
      <c r="AR75" s="744"/>
      <c r="AS75" s="744"/>
      <c r="AT75" s="744"/>
      <c r="AU75" s="744"/>
      <c r="AV75" s="744"/>
      <c r="AW75" s="744"/>
      <c r="AX75" s="744"/>
      <c r="AY75" s="744"/>
      <c r="AZ75" s="744"/>
      <c r="BA75" s="744"/>
      <c r="BB75" s="750">
        <f t="shared" si="0"/>
        <v>0</v>
      </c>
      <c r="BC75" s="83"/>
    </row>
    <row r="76" spans="1:55" s="474" customFormat="1" ht="18" customHeight="1" x14ac:dyDescent="0.2">
      <c r="A76" s="251"/>
      <c r="B76" s="244" t="s">
        <v>601</v>
      </c>
      <c r="C76" s="476"/>
      <c r="D76" s="477"/>
      <c r="E76" s="246">
        <f>120000+1186.71</f>
        <v>121186.71</v>
      </c>
      <c r="F76" s="731"/>
      <c r="G76" s="747">
        <f t="shared" si="4"/>
        <v>0</v>
      </c>
      <c r="H76" s="744"/>
      <c r="I76" s="744"/>
      <c r="J76" s="744"/>
      <c r="K76" s="744"/>
      <c r="L76" s="744"/>
      <c r="M76" s="744"/>
      <c r="N76" s="744"/>
      <c r="O76" s="744"/>
      <c r="P76" s="744"/>
      <c r="Q76" s="744"/>
      <c r="R76" s="744"/>
      <c r="S76" s="744"/>
      <c r="T76" s="744"/>
      <c r="U76" s="744"/>
      <c r="V76" s="744"/>
      <c r="W76" s="744"/>
      <c r="X76" s="744"/>
      <c r="Y76" s="744"/>
      <c r="Z76" s="744"/>
      <c r="AA76" s="744"/>
      <c r="AB76" s="744"/>
      <c r="AC76" s="744"/>
      <c r="AD76" s="744"/>
      <c r="AE76" s="744"/>
      <c r="AF76" s="744"/>
      <c r="AG76" s="744"/>
      <c r="AH76" s="744"/>
      <c r="AI76" s="744"/>
      <c r="AJ76" s="744"/>
      <c r="AK76" s="744"/>
      <c r="AL76" s="744"/>
      <c r="AM76" s="744"/>
      <c r="AN76" s="744"/>
      <c r="AO76" s="744"/>
      <c r="AP76" s="744"/>
      <c r="AQ76" s="744"/>
      <c r="AR76" s="744"/>
      <c r="AS76" s="744"/>
      <c r="AT76" s="744"/>
      <c r="AU76" s="744"/>
      <c r="AV76" s="744"/>
      <c r="AW76" s="744"/>
      <c r="AX76" s="744"/>
      <c r="AY76" s="744"/>
      <c r="AZ76" s="744"/>
      <c r="BA76" s="744"/>
      <c r="BB76" s="750"/>
      <c r="BC76" s="83"/>
    </row>
    <row r="77" spans="1:55" ht="21" customHeight="1" x14ac:dyDescent="0.2">
      <c r="A77" s="251"/>
      <c r="B77" s="244" t="s">
        <v>602</v>
      </c>
      <c r="C77" s="244"/>
      <c r="D77" s="245"/>
      <c r="E77" s="246">
        <v>42389.84</v>
      </c>
      <c r="F77" s="733">
        <f>SUM(G78:BA78)</f>
        <v>2077147.62</v>
      </c>
      <c r="G77" s="747">
        <f t="shared" si="4"/>
        <v>0</v>
      </c>
      <c r="H77" s="744"/>
      <c r="I77" s="744"/>
      <c r="J77" s="744"/>
      <c r="K77" s="744"/>
      <c r="L77" s="744"/>
      <c r="M77" s="744"/>
      <c r="N77" s="744"/>
      <c r="O77" s="744"/>
      <c r="P77" s="744"/>
      <c r="Q77" s="744"/>
      <c r="R77" s="744"/>
      <c r="S77" s="744"/>
      <c r="T77" s="744"/>
      <c r="U77" s="744"/>
      <c r="V77" s="744"/>
      <c r="W77" s="744"/>
      <c r="X77" s="744"/>
      <c r="Y77" s="744"/>
      <c r="Z77" s="744"/>
      <c r="AA77" s="744"/>
      <c r="AB77" s="744"/>
      <c r="AC77" s="744"/>
      <c r="AD77" s="744"/>
      <c r="AE77" s="744"/>
      <c r="AF77" s="744"/>
      <c r="AG77" s="744"/>
      <c r="AH77" s="744"/>
      <c r="AI77" s="744"/>
      <c r="AJ77" s="744"/>
      <c r="AK77" s="744"/>
      <c r="AL77" s="744"/>
      <c r="AM77" s="744"/>
      <c r="AN77" s="744"/>
      <c r="AO77" s="744"/>
      <c r="AP77" s="744"/>
      <c r="AQ77" s="744"/>
      <c r="AR77" s="744"/>
      <c r="AS77" s="744"/>
      <c r="AT77" s="744"/>
      <c r="AU77" s="744"/>
      <c r="AV77" s="744"/>
      <c r="AW77" s="744"/>
      <c r="AX77" s="744"/>
      <c r="AY77" s="744"/>
      <c r="AZ77" s="744"/>
      <c r="BA77" s="744"/>
      <c r="BB77" s="744"/>
      <c r="BC77" s="126"/>
    </row>
    <row r="78" spans="1:55" ht="27" customHeight="1" x14ac:dyDescent="0.2">
      <c r="A78" s="253"/>
      <c r="B78" s="239" t="s">
        <v>607</v>
      </c>
      <c r="C78" s="247" t="e">
        <f>+#REF!+#REF!-43461.62</f>
        <v>#REF!</v>
      </c>
      <c r="D78" s="247"/>
      <c r="E78" s="247">
        <f>E4+E5</f>
        <v>2334724.17</v>
      </c>
      <c r="F78" s="734"/>
      <c r="G78" s="747">
        <f t="shared" ref="G78:M78" si="6">SUM(G8:G77)</f>
        <v>0</v>
      </c>
      <c r="H78" s="747">
        <f t="shared" si="6"/>
        <v>0</v>
      </c>
      <c r="I78" s="747">
        <f t="shared" si="6"/>
        <v>0</v>
      </c>
      <c r="J78" s="747">
        <f t="shared" si="6"/>
        <v>0</v>
      </c>
      <c r="K78" s="747">
        <f t="shared" si="6"/>
        <v>0</v>
      </c>
      <c r="L78" s="747">
        <f t="shared" si="6"/>
        <v>0</v>
      </c>
      <c r="M78" s="747">
        <f t="shared" si="6"/>
        <v>266242.25</v>
      </c>
      <c r="N78" s="747">
        <f t="shared" ref="N78:BB78" si="7">SUM(N8:N77)</f>
        <v>7800</v>
      </c>
      <c r="O78" s="747">
        <f t="shared" si="7"/>
        <v>0</v>
      </c>
      <c r="P78" s="747">
        <f t="shared" si="7"/>
        <v>15000</v>
      </c>
      <c r="Q78" s="747">
        <f t="shared" si="7"/>
        <v>0</v>
      </c>
      <c r="R78" s="747">
        <f t="shared" si="7"/>
        <v>1000</v>
      </c>
      <c r="S78" s="747">
        <f t="shared" si="7"/>
        <v>13700</v>
      </c>
      <c r="T78" s="747">
        <f t="shared" si="7"/>
        <v>435116.81999999995</v>
      </c>
      <c r="U78" s="747">
        <f t="shared" si="7"/>
        <v>0</v>
      </c>
      <c r="V78" s="747">
        <f t="shared" si="7"/>
        <v>3000</v>
      </c>
      <c r="W78" s="747">
        <f t="shared" si="7"/>
        <v>0</v>
      </c>
      <c r="X78" s="747">
        <f t="shared" si="7"/>
        <v>23500</v>
      </c>
      <c r="Y78" s="747">
        <f t="shared" si="7"/>
        <v>56503.4</v>
      </c>
      <c r="Z78" s="747">
        <f t="shared" si="7"/>
        <v>0</v>
      </c>
      <c r="AA78" s="747">
        <f t="shared" si="7"/>
        <v>0</v>
      </c>
      <c r="AB78" s="747">
        <f t="shared" si="7"/>
        <v>43568.67</v>
      </c>
      <c r="AC78" s="747">
        <f t="shared" si="7"/>
        <v>10000</v>
      </c>
      <c r="AD78" s="747">
        <f t="shared" si="7"/>
        <v>0</v>
      </c>
      <c r="AE78" s="747">
        <f t="shared" si="7"/>
        <v>0</v>
      </c>
      <c r="AF78" s="747">
        <f t="shared" si="7"/>
        <v>27100</v>
      </c>
      <c r="AG78" s="747">
        <f t="shared" si="7"/>
        <v>104000</v>
      </c>
      <c r="AH78" s="747">
        <f t="shared" si="7"/>
        <v>134572.03</v>
      </c>
      <c r="AI78" s="747">
        <f t="shared" si="7"/>
        <v>70813.08</v>
      </c>
      <c r="AJ78" s="747">
        <f t="shared" si="7"/>
        <v>22000</v>
      </c>
      <c r="AK78" s="747">
        <f t="shared" si="7"/>
        <v>13000</v>
      </c>
      <c r="AL78" s="747">
        <f t="shared" si="7"/>
        <v>115450.92</v>
      </c>
      <c r="AM78" s="747">
        <f t="shared" si="7"/>
        <v>61020</v>
      </c>
      <c r="AN78" s="747">
        <f t="shared" si="7"/>
        <v>0</v>
      </c>
      <c r="AO78" s="747">
        <f t="shared" si="7"/>
        <v>0</v>
      </c>
      <c r="AP78" s="747">
        <f t="shared" si="7"/>
        <v>0</v>
      </c>
      <c r="AQ78" s="747">
        <f t="shared" si="7"/>
        <v>0</v>
      </c>
      <c r="AR78" s="747">
        <f t="shared" si="7"/>
        <v>0</v>
      </c>
      <c r="AS78" s="747">
        <f t="shared" si="7"/>
        <v>0</v>
      </c>
      <c r="AT78" s="747">
        <f t="shared" si="7"/>
        <v>0</v>
      </c>
      <c r="AU78" s="747">
        <f t="shared" si="7"/>
        <v>0</v>
      </c>
      <c r="AV78" s="747">
        <f t="shared" si="7"/>
        <v>41000</v>
      </c>
      <c r="AW78" s="747">
        <f t="shared" si="7"/>
        <v>0</v>
      </c>
      <c r="AX78" s="747">
        <f t="shared" si="7"/>
        <v>0</v>
      </c>
      <c r="AY78" s="747">
        <f t="shared" si="7"/>
        <v>0</v>
      </c>
      <c r="AZ78" s="747">
        <f t="shared" si="7"/>
        <v>612760.45000000007</v>
      </c>
      <c r="BA78" s="747">
        <f t="shared" si="7"/>
        <v>0</v>
      </c>
      <c r="BB78" s="747">
        <f t="shared" si="7"/>
        <v>2077147.62</v>
      </c>
      <c r="BC78" s="126"/>
    </row>
    <row r="79" spans="1:55" ht="21.75" customHeight="1" x14ac:dyDescent="0.25">
      <c r="A79" s="722"/>
      <c r="B79" s="722"/>
      <c r="C79" s="722"/>
      <c r="D79" s="756"/>
      <c r="E79" s="757">
        <f>D3</f>
        <v>2334724.17</v>
      </c>
      <c r="F79" s="89"/>
      <c r="G79" s="755">
        <f>SUM(G78:BA78)</f>
        <v>2077147.62</v>
      </c>
      <c r="H79" s="744"/>
      <c r="I79" s="744"/>
      <c r="J79" s="744"/>
      <c r="K79" s="744"/>
      <c r="L79" s="744"/>
      <c r="M79" s="744"/>
      <c r="N79" s="744"/>
      <c r="O79" s="744"/>
      <c r="P79" s="744"/>
      <c r="Q79" s="744"/>
      <c r="R79" s="744"/>
      <c r="S79" s="744"/>
      <c r="T79" s="744"/>
      <c r="U79" s="744"/>
      <c r="V79" s="744"/>
      <c r="W79" s="744"/>
      <c r="X79" s="744"/>
      <c r="Y79" s="744"/>
      <c r="Z79" s="744"/>
      <c r="AA79" s="744"/>
      <c r="AB79" s="744"/>
      <c r="AC79" s="744"/>
      <c r="AD79" s="744"/>
      <c r="AE79" s="744"/>
      <c r="AF79" s="744"/>
      <c r="AG79" s="744"/>
      <c r="AH79" s="744"/>
      <c r="AI79" s="744"/>
      <c r="AJ79" s="744"/>
      <c r="AK79" s="744"/>
      <c r="AL79" s="744"/>
      <c r="AM79" s="744"/>
      <c r="AN79" s="744"/>
      <c r="AO79" s="744"/>
      <c r="AP79" s="744"/>
      <c r="AQ79" s="744"/>
      <c r="AR79" s="744"/>
      <c r="AS79" s="744"/>
      <c r="AT79" s="744"/>
      <c r="AU79" s="744"/>
      <c r="AV79" s="744"/>
      <c r="AW79" s="744"/>
      <c r="AX79" s="744"/>
      <c r="AY79" s="744"/>
      <c r="AZ79" s="744"/>
      <c r="BA79" s="744"/>
      <c r="BB79" s="744"/>
      <c r="BC79" s="126"/>
    </row>
    <row r="80" spans="1:55" ht="21.75" customHeight="1" x14ac:dyDescent="0.25">
      <c r="A80" s="722"/>
      <c r="B80" s="722"/>
      <c r="C80" s="722"/>
      <c r="D80" s="756"/>
      <c r="E80" s="758">
        <f>E79-E78</f>
        <v>0</v>
      </c>
      <c r="F80" s="178">
        <f>634562.39+500000</f>
        <v>1134562.3900000001</v>
      </c>
      <c r="G80" s="745"/>
      <c r="H80" s="744"/>
      <c r="I80" s="744"/>
      <c r="J80" s="744"/>
      <c r="K80" s="744"/>
      <c r="L80" s="744"/>
      <c r="M80" s="744">
        <v>1</v>
      </c>
      <c r="N80" s="744"/>
      <c r="O80" s="744"/>
      <c r="P80" s="744"/>
      <c r="Q80" s="744"/>
      <c r="R80" s="744"/>
      <c r="S80" s="744">
        <v>2</v>
      </c>
      <c r="T80" s="744">
        <v>3</v>
      </c>
      <c r="U80" s="744"/>
      <c r="V80" s="744"/>
      <c r="W80" s="744"/>
      <c r="X80" s="744">
        <v>4</v>
      </c>
      <c r="Y80" s="744">
        <v>5</v>
      </c>
      <c r="Z80" s="744">
        <v>6</v>
      </c>
      <c r="AA80" s="744">
        <v>7</v>
      </c>
      <c r="AB80" s="744"/>
      <c r="AC80" s="744"/>
      <c r="AD80" s="744"/>
      <c r="AE80" s="744">
        <v>8</v>
      </c>
      <c r="AF80" s="744"/>
      <c r="AG80" s="744"/>
      <c r="AH80" s="744">
        <v>9</v>
      </c>
      <c r="AI80" s="744"/>
      <c r="AJ80" s="744"/>
      <c r="AK80" s="744"/>
      <c r="AL80" s="744"/>
      <c r="AM80" s="744"/>
      <c r="AN80" s="744"/>
      <c r="AO80" s="744"/>
      <c r="AP80" s="744"/>
      <c r="AQ80" s="744"/>
      <c r="AR80" s="744"/>
      <c r="AS80" s="744"/>
      <c r="AT80" s="744"/>
      <c r="AU80" s="744"/>
      <c r="AV80" s="744">
        <v>10</v>
      </c>
      <c r="AW80" s="744"/>
      <c r="AX80" s="744"/>
      <c r="AY80" s="744"/>
      <c r="AZ80" s="744"/>
      <c r="BA80" s="744"/>
      <c r="BB80" s="744"/>
      <c r="BC80" s="126"/>
    </row>
    <row r="81" spans="1:55" ht="21.75" customHeight="1" x14ac:dyDescent="0.25">
      <c r="A81" s="722"/>
      <c r="B81" s="722"/>
      <c r="C81" s="722"/>
      <c r="D81" s="756"/>
      <c r="E81" s="756"/>
      <c r="F81" s="89"/>
      <c r="G81" s="744"/>
      <c r="H81" s="744"/>
      <c r="I81" s="744"/>
      <c r="J81" s="744"/>
      <c r="K81" s="744"/>
      <c r="L81" s="744"/>
      <c r="M81" s="744"/>
      <c r="N81" s="744"/>
      <c r="O81" s="744"/>
      <c r="P81" s="744"/>
      <c r="Q81" s="744"/>
      <c r="R81" s="744"/>
      <c r="S81" s="744"/>
      <c r="T81" s="744"/>
      <c r="U81" s="744"/>
      <c r="V81" s="744"/>
      <c r="W81" s="744"/>
      <c r="X81" s="744"/>
      <c r="Y81" s="744"/>
      <c r="Z81" s="744"/>
      <c r="AA81" s="744"/>
      <c r="AB81" s="744"/>
      <c r="AC81" s="744"/>
      <c r="AD81" s="744"/>
      <c r="AE81" s="744"/>
      <c r="AF81" s="744"/>
      <c r="AG81" s="744"/>
      <c r="AH81" s="744"/>
      <c r="AI81" s="744"/>
      <c r="AJ81" s="744"/>
      <c r="AK81" s="744"/>
      <c r="AL81" s="744"/>
      <c r="AM81" s="744"/>
      <c r="AN81" s="744"/>
      <c r="AO81" s="744"/>
      <c r="AP81" s="744"/>
      <c r="AQ81" s="744"/>
      <c r="AR81" s="744"/>
      <c r="AS81" s="744"/>
      <c r="AT81" s="744"/>
      <c r="AU81" s="744"/>
      <c r="AV81" s="744"/>
      <c r="AW81" s="744"/>
      <c r="AX81" s="744"/>
      <c r="AY81" s="745">
        <f>BB78+E65+E66+E67+E68+E74+E75</f>
        <v>2227651.02</v>
      </c>
      <c r="AZ81" s="744"/>
      <c r="BA81" s="744"/>
      <c r="BB81" s="744"/>
      <c r="BC81" s="126"/>
    </row>
    <row r="82" spans="1:55" ht="21.75" customHeight="1" x14ac:dyDescent="0.25">
      <c r="A82" s="722"/>
      <c r="B82" s="722" t="s">
        <v>592</v>
      </c>
      <c r="C82" s="722"/>
      <c r="D82" s="756"/>
      <c r="E82" s="756"/>
      <c r="F82" s="178">
        <f>500000+34087.64</f>
        <v>534087.64</v>
      </c>
      <c r="G82" s="126"/>
      <c r="BC82" s="126"/>
    </row>
    <row r="83" spans="1:55" ht="21.75" customHeight="1" x14ac:dyDescent="0.25">
      <c r="A83" s="722"/>
      <c r="B83" s="722" t="s">
        <v>551</v>
      </c>
      <c r="C83" s="722"/>
      <c r="D83" s="757">
        <v>27407.03</v>
      </c>
      <c r="E83" s="756"/>
      <c r="F83" s="89"/>
      <c r="BC83" s="126"/>
    </row>
    <row r="84" spans="1:55" x14ac:dyDescent="0.2">
      <c r="A84" s="722"/>
      <c r="B84" s="722" t="s">
        <v>552</v>
      </c>
      <c r="C84" s="722"/>
      <c r="D84" s="759">
        <v>20000</v>
      </c>
      <c r="E84" s="722"/>
      <c r="F84" s="89"/>
      <c r="BC84" s="126"/>
    </row>
    <row r="85" spans="1:55" x14ac:dyDescent="0.2">
      <c r="A85" s="722"/>
      <c r="B85" s="722" t="s">
        <v>556</v>
      </c>
      <c r="C85" s="722"/>
      <c r="D85" s="759">
        <v>30000</v>
      </c>
      <c r="E85" s="722"/>
      <c r="F85" s="89"/>
      <c r="G85" s="181"/>
      <c r="BC85" s="126"/>
    </row>
    <row r="86" spans="1:55" s="429" customFormat="1" x14ac:dyDescent="0.2">
      <c r="A86" s="722"/>
      <c r="B86" s="722" t="s">
        <v>561</v>
      </c>
      <c r="C86" s="722"/>
      <c r="D86" s="759">
        <v>27142.959999999999</v>
      </c>
      <c r="E86" s="722"/>
      <c r="F86" s="89"/>
      <c r="G86" s="181"/>
      <c r="BC86" s="126"/>
    </row>
    <row r="87" spans="1:55" s="429" customFormat="1" x14ac:dyDescent="0.2">
      <c r="A87" s="722"/>
      <c r="B87" s="722" t="s">
        <v>562</v>
      </c>
      <c r="C87" s="722"/>
      <c r="D87" s="759">
        <v>41780.89</v>
      </c>
      <c r="E87" s="722"/>
      <c r="F87" s="89"/>
      <c r="G87" s="181"/>
      <c r="BC87" s="126"/>
    </row>
    <row r="88" spans="1:55" s="459" customFormat="1" x14ac:dyDescent="0.2">
      <c r="A88" s="722"/>
      <c r="B88" s="722" t="s">
        <v>590</v>
      </c>
      <c r="C88" s="722"/>
      <c r="D88" s="725">
        <v>40000</v>
      </c>
      <c r="E88" s="722"/>
      <c r="F88" s="89"/>
      <c r="G88" s="181"/>
      <c r="BC88" s="126"/>
    </row>
    <row r="89" spans="1:55" s="459" customFormat="1" x14ac:dyDescent="0.2">
      <c r="A89" s="722"/>
      <c r="B89" s="722" t="s">
        <v>591</v>
      </c>
      <c r="C89" s="722"/>
      <c r="D89" s="725">
        <v>15000</v>
      </c>
      <c r="E89" s="722"/>
      <c r="F89" s="89"/>
      <c r="G89" s="181"/>
      <c r="BC89" s="126"/>
    </row>
    <row r="90" spans="1:55" s="459" customFormat="1" x14ac:dyDescent="0.2">
      <c r="A90" s="722"/>
      <c r="B90" s="722" t="s">
        <v>593</v>
      </c>
      <c r="C90" s="722"/>
      <c r="D90" s="759">
        <v>15000</v>
      </c>
      <c r="E90" s="722"/>
      <c r="F90" s="89"/>
      <c r="G90" s="181"/>
      <c r="BC90" s="126"/>
    </row>
    <row r="91" spans="1:55" x14ac:dyDescent="0.2">
      <c r="A91" s="722"/>
      <c r="B91" s="722"/>
      <c r="C91" s="722"/>
      <c r="D91" s="722"/>
      <c r="E91" s="722"/>
      <c r="F91" s="89"/>
      <c r="BC91" s="126"/>
    </row>
    <row r="92" spans="1:55" x14ac:dyDescent="0.2">
      <c r="A92" s="722"/>
      <c r="B92" s="722"/>
      <c r="C92" s="722"/>
      <c r="D92" s="722"/>
      <c r="E92" s="722"/>
      <c r="F92" s="89"/>
      <c r="N92" s="21"/>
    </row>
    <row r="93" spans="1:55" x14ac:dyDescent="0.2">
      <c r="A93" s="722"/>
      <c r="B93" s="722" t="s">
        <v>558</v>
      </c>
      <c r="C93" s="722"/>
      <c r="D93" s="725">
        <v>10166.92</v>
      </c>
      <c r="E93" s="722"/>
      <c r="F93" s="128"/>
    </row>
    <row r="94" spans="1:55" x14ac:dyDescent="0.2">
      <c r="A94" s="722"/>
      <c r="B94" s="722" t="s">
        <v>560</v>
      </c>
      <c r="C94" s="722"/>
      <c r="D94" s="725">
        <v>39878.83</v>
      </c>
      <c r="E94" s="722"/>
      <c r="F94" s="83"/>
    </row>
    <row r="95" spans="1:55" x14ac:dyDescent="0.2">
      <c r="A95" s="722"/>
      <c r="B95" s="722" t="s">
        <v>572</v>
      </c>
      <c r="C95" s="722"/>
      <c r="D95" s="725">
        <v>10000</v>
      </c>
      <c r="E95" s="722"/>
      <c r="F95" s="83"/>
    </row>
    <row r="96" spans="1:55" x14ac:dyDescent="0.2">
      <c r="A96" s="722"/>
      <c r="B96" s="722" t="s">
        <v>589</v>
      </c>
      <c r="C96" s="722"/>
      <c r="D96" s="725">
        <v>20000</v>
      </c>
      <c r="E96" s="722"/>
      <c r="F96" s="83"/>
    </row>
    <row r="97" spans="1:6" x14ac:dyDescent="0.2">
      <c r="A97" s="722"/>
      <c r="B97" s="722"/>
      <c r="C97" s="722"/>
      <c r="D97" s="722"/>
      <c r="E97" s="722"/>
      <c r="F97" s="83"/>
    </row>
    <row r="98" spans="1:6" x14ac:dyDescent="0.2">
      <c r="B98" s="21"/>
      <c r="F98" s="128"/>
    </row>
    <row r="99" spans="1:6" x14ac:dyDescent="0.2">
      <c r="F99" s="83"/>
    </row>
    <row r="100" spans="1:6" x14ac:dyDescent="0.2">
      <c r="F100" s="83"/>
    </row>
  </sheetData>
  <sheetProtection algorithmName="SHA-512" hashValue="P5VqU6XD/yhbZyUo9w+DBll2hPwPEcxArWg9EtswgmGsXcizUlOlWlHGNRMAhwRJJM5R3XfGHGPv1l/dlcbdYw==" saltValue="OVD+LaP74VK+QHPQ9qT4iw==" spinCount="100000" sheet="1" formatCells="0" formatColumns="0" formatRows="0" insertColumns="0" insertRows="0" insertHyperlinks="0" deleteColumns="0" deleteRows="0" sort="0" autoFilter="0" pivotTables="0"/>
  <mergeCells count="4">
    <mergeCell ref="BC1:BC2"/>
    <mergeCell ref="BB1:BB2"/>
    <mergeCell ref="A1:E1"/>
    <mergeCell ref="A2:E2"/>
  </mergeCells>
  <printOptions horizontalCentered="1"/>
  <pageMargins left="0.39370078740157483" right="0.19685039370078741" top="0.43307086614173229" bottom="0.35433070866141736" header="0" footer="0"/>
  <pageSetup orientation="portrait" horizontalDpi="4294967293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499984740745262"/>
  </sheetPr>
  <dimension ref="A1:G30"/>
  <sheetViews>
    <sheetView zoomScale="120" zoomScaleNormal="120" workbookViewId="0">
      <selection activeCell="E5" sqref="E5"/>
    </sheetView>
  </sheetViews>
  <sheetFormatPr baseColWidth="10" defaultColWidth="18.7109375" defaultRowHeight="12.75" x14ac:dyDescent="0.2"/>
  <cols>
    <col min="1" max="1" width="12.5703125" style="40" customWidth="1"/>
    <col min="2" max="2" width="40.140625" style="40" customWidth="1"/>
    <col min="3" max="3" width="23.5703125" style="40" customWidth="1"/>
    <col min="4" max="16384" width="18.7109375" style="40"/>
  </cols>
  <sheetData>
    <row r="1" spans="1:6" ht="22.5" customHeight="1" x14ac:dyDescent="0.2">
      <c r="A1" s="537" t="s">
        <v>388</v>
      </c>
      <c r="B1" s="537"/>
      <c r="C1" s="537"/>
      <c r="D1" s="39"/>
      <c r="E1" s="39"/>
      <c r="F1" s="39"/>
    </row>
    <row r="2" spans="1:6" ht="20.25" customHeight="1" x14ac:dyDescent="0.2">
      <c r="A2" s="538" t="s">
        <v>387</v>
      </c>
      <c r="B2" s="538"/>
      <c r="C2" s="538"/>
      <c r="D2" s="41"/>
      <c r="E2" s="41"/>
      <c r="F2" s="41"/>
    </row>
    <row r="3" spans="1:6" ht="24" customHeight="1" x14ac:dyDescent="0.2">
      <c r="A3" s="539" t="s">
        <v>511</v>
      </c>
      <c r="B3" s="539"/>
      <c r="C3" s="539"/>
      <c r="D3" s="42"/>
      <c r="E3" s="42"/>
      <c r="F3" s="42"/>
    </row>
    <row r="4" spans="1:6" ht="26.25" customHeight="1" thickBot="1" x14ac:dyDescent="0.25">
      <c r="A4" s="532" t="s">
        <v>453</v>
      </c>
      <c r="B4" s="533"/>
      <c r="C4" s="533"/>
      <c r="D4" s="42"/>
      <c r="E4" s="42"/>
      <c r="F4" s="42"/>
    </row>
    <row r="5" spans="1:6" s="38" customFormat="1" ht="37.5" customHeight="1" thickBot="1" x14ac:dyDescent="0.25">
      <c r="A5" s="266" t="s">
        <v>152</v>
      </c>
      <c r="B5" s="267" t="s">
        <v>109</v>
      </c>
      <c r="C5" s="268" t="s">
        <v>153</v>
      </c>
    </row>
    <row r="6" spans="1:6" s="43" customFormat="1" ht="24.95" customHeight="1" x14ac:dyDescent="0.2">
      <c r="A6" s="269">
        <v>11</v>
      </c>
      <c r="B6" s="270" t="s">
        <v>154</v>
      </c>
      <c r="C6" s="271">
        <f>SUM(Ingresos!J10)</f>
        <v>373708.7920999999</v>
      </c>
    </row>
    <row r="7" spans="1:6" s="43" customFormat="1" ht="24.95" customHeight="1" x14ac:dyDescent="0.2">
      <c r="A7" s="272">
        <v>12</v>
      </c>
      <c r="B7" s="273" t="s">
        <v>155</v>
      </c>
      <c r="C7" s="274">
        <f>SUM(Ingresos!J12)</f>
        <v>860173.71329999994</v>
      </c>
    </row>
    <row r="8" spans="1:6" s="43" customFormat="1" ht="24.95" customHeight="1" x14ac:dyDescent="0.2">
      <c r="A8" s="272">
        <v>14</v>
      </c>
      <c r="B8" s="273" t="s">
        <v>156</v>
      </c>
      <c r="C8" s="274">
        <f>SUM(Ingresos!J13)</f>
        <v>7234.3594999999996</v>
      </c>
    </row>
    <row r="9" spans="1:6" s="43" customFormat="1" ht="24.95" customHeight="1" x14ac:dyDescent="0.2">
      <c r="A9" s="272">
        <v>15</v>
      </c>
      <c r="B9" s="273" t="s">
        <v>157</v>
      </c>
      <c r="C9" s="274">
        <f>SUM(Ingresos!J14)</f>
        <v>46440.382499999992</v>
      </c>
    </row>
    <row r="10" spans="1:6" s="43" customFormat="1" ht="24.95" customHeight="1" x14ac:dyDescent="0.2">
      <c r="A10" s="272">
        <v>16</v>
      </c>
      <c r="B10" s="273" t="s">
        <v>159</v>
      </c>
      <c r="C10" s="274">
        <f>SUM(Ingresos!J15)</f>
        <v>392157.72000000003</v>
      </c>
      <c r="D10" s="85"/>
    </row>
    <row r="11" spans="1:6" s="43" customFormat="1" ht="24.95" customHeight="1" x14ac:dyDescent="0.2">
      <c r="A11" s="272">
        <v>22</v>
      </c>
      <c r="B11" s="273" t="s">
        <v>158</v>
      </c>
      <c r="C11" s="274">
        <f>Ingresos!J16</f>
        <v>1570328.2799999998</v>
      </c>
    </row>
    <row r="12" spans="1:6" s="43" customFormat="1" ht="24.95" customHeight="1" x14ac:dyDescent="0.2">
      <c r="A12" s="272">
        <v>23</v>
      </c>
      <c r="B12" s="273" t="s">
        <v>506</v>
      </c>
      <c r="C12" s="274">
        <f>Ingresos!H48</f>
        <v>1308324</v>
      </c>
    </row>
    <row r="13" spans="1:6" s="43" customFormat="1" ht="24.95" customHeight="1" x14ac:dyDescent="0.2">
      <c r="A13" s="272">
        <v>32</v>
      </c>
      <c r="B13" s="273" t="s">
        <v>160</v>
      </c>
      <c r="C13" s="274">
        <f>Ingresos!H47</f>
        <v>20071.269999999997</v>
      </c>
    </row>
    <row r="14" spans="1:6" s="43" customFormat="1" ht="24.95" customHeight="1" thickBot="1" x14ac:dyDescent="0.25">
      <c r="A14" s="275">
        <v>41</v>
      </c>
      <c r="B14" s="276" t="s">
        <v>505</v>
      </c>
      <c r="C14" s="277">
        <f>Ingresos!H50</f>
        <v>118800.8695</v>
      </c>
    </row>
    <row r="15" spans="1:6" s="43" customFormat="1" ht="24.95" customHeight="1" thickBot="1" x14ac:dyDescent="0.25">
      <c r="A15" s="534" t="s">
        <v>161</v>
      </c>
      <c r="B15" s="535"/>
      <c r="C15" s="278">
        <f>SUM(C6:C14)</f>
        <v>4697239.3868999993</v>
      </c>
    </row>
    <row r="16" spans="1:6" s="43" customFormat="1" ht="12.75" customHeight="1" x14ac:dyDescent="0.2">
      <c r="A16" s="279"/>
      <c r="B16" s="279"/>
      <c r="C16" s="280"/>
      <c r="D16" s="85"/>
    </row>
    <row r="17" spans="1:7" s="43" customFormat="1" ht="26.25" customHeight="1" thickBot="1" x14ac:dyDescent="0.25">
      <c r="A17" s="536" t="s">
        <v>454</v>
      </c>
      <c r="B17" s="536"/>
      <c r="C17" s="536"/>
    </row>
    <row r="18" spans="1:7" s="43" customFormat="1" ht="37.5" customHeight="1" thickBot="1" x14ac:dyDescent="0.25">
      <c r="A18" s="281" t="s">
        <v>152</v>
      </c>
      <c r="B18" s="282" t="s">
        <v>109</v>
      </c>
      <c r="C18" s="268" t="s">
        <v>153</v>
      </c>
    </row>
    <row r="19" spans="1:7" s="43" customFormat="1" ht="24.95" customHeight="1" x14ac:dyDescent="0.2">
      <c r="A19" s="283">
        <v>51</v>
      </c>
      <c r="B19" s="284" t="s">
        <v>163</v>
      </c>
      <c r="C19" s="271">
        <f>'Egresos F.P. '!P11+'Egr. FODES 25%'!O11+'Egr.FODES 75%'!L12</f>
        <v>1555441.9254999999</v>
      </c>
    </row>
    <row r="20" spans="1:7" s="43" customFormat="1" ht="32.25" customHeight="1" x14ac:dyDescent="0.2">
      <c r="A20" s="285">
        <v>54</v>
      </c>
      <c r="B20" s="286" t="s">
        <v>164</v>
      </c>
      <c r="C20" s="274">
        <f>'Egresos F.P. '!P12+'Egr. FODES 25%'!O12+'Egr.FODES 75%'!L13</f>
        <v>1576624.5899999999</v>
      </c>
      <c r="E20" s="139"/>
    </row>
    <row r="21" spans="1:7" s="43" customFormat="1" ht="24.95" customHeight="1" x14ac:dyDescent="0.2">
      <c r="A21" s="285">
        <v>55</v>
      </c>
      <c r="B21" s="286" t="s">
        <v>165</v>
      </c>
      <c r="C21" s="274">
        <f>'Egresos F.P. '!P13+'Egr. FODES 25%'!O13</f>
        <v>32300</v>
      </c>
    </row>
    <row r="22" spans="1:7" s="43" customFormat="1" ht="24.95" customHeight="1" x14ac:dyDescent="0.2">
      <c r="A22" s="285">
        <v>56</v>
      </c>
      <c r="B22" s="286" t="s">
        <v>159</v>
      </c>
      <c r="C22" s="274">
        <f>'Egresos F.P. '!P14+'Egr. FODES 25%'!O14+'Egr.FODES 75%'!L14</f>
        <v>157989.18</v>
      </c>
      <c r="E22" s="85"/>
    </row>
    <row r="23" spans="1:7" s="43" customFormat="1" ht="24.95" customHeight="1" x14ac:dyDescent="0.2">
      <c r="A23" s="285">
        <v>61</v>
      </c>
      <c r="B23" s="286" t="s">
        <v>367</v>
      </c>
      <c r="C23" s="274">
        <f>'Egresos F.P. '!P15+'Egr. FODES 25%'!O15+'Egr.FODES 75%'!L15</f>
        <v>822179.51000000013</v>
      </c>
    </row>
    <row r="24" spans="1:7" ht="24.75" hidden="1" customHeight="1" x14ac:dyDescent="0.2">
      <c r="A24" s="285">
        <v>62</v>
      </c>
      <c r="B24" s="286" t="s">
        <v>158</v>
      </c>
      <c r="C24" s="274"/>
    </row>
    <row r="25" spans="1:7" ht="34.5" customHeight="1" x14ac:dyDescent="0.2">
      <c r="A25" s="285">
        <v>71</v>
      </c>
      <c r="B25" s="286" t="s">
        <v>166</v>
      </c>
      <c r="C25" s="274">
        <f>'Deuda Pub 75%'!H19</f>
        <v>283379.29082701518</v>
      </c>
      <c r="E25" s="142"/>
      <c r="G25" s="147"/>
    </row>
    <row r="26" spans="1:7" ht="36" customHeight="1" thickBot="1" x14ac:dyDescent="0.25">
      <c r="A26" s="287">
        <v>72</v>
      </c>
      <c r="B26" s="288" t="s">
        <v>167</v>
      </c>
      <c r="C26" s="277">
        <f>SUM('Egresos F.P. '!P16+'Egr. FODES 25%'!O16+'Egr.FODES 75%'!L17)</f>
        <v>269324.88</v>
      </c>
      <c r="E26" s="142"/>
      <c r="F26" s="387"/>
    </row>
    <row r="27" spans="1:7" ht="24.95" customHeight="1" thickBot="1" x14ac:dyDescent="0.25">
      <c r="A27" s="534" t="s">
        <v>162</v>
      </c>
      <c r="B27" s="535"/>
      <c r="C27" s="278">
        <f>SUM(C19:C26)+0.01</f>
        <v>4697239.3863270152</v>
      </c>
      <c r="D27" s="127"/>
      <c r="E27" s="142"/>
    </row>
    <row r="28" spans="1:7" ht="18" customHeight="1" x14ac:dyDescent="0.2">
      <c r="A28" s="146"/>
      <c r="B28" s="146"/>
      <c r="C28" s="146"/>
    </row>
    <row r="29" spans="1:7" ht="18" customHeight="1" x14ac:dyDescent="0.2"/>
    <row r="30" spans="1:7" x14ac:dyDescent="0.2">
      <c r="C30" s="384"/>
      <c r="D30" s="385">
        <f>C15-C27</f>
        <v>5.7298410683870316E-4</v>
      </c>
      <c r="E30" s="386">
        <f>3459660.7-3320424.62</f>
        <v>139236.08000000007</v>
      </c>
    </row>
  </sheetData>
  <sheetProtection algorithmName="SHA-512" hashValue="I3diVpHG21nTBO4MoG9BmeA450riCE6sYT/m5wfNRApaHVPD1JumErDifSiMstH+8oPEpnmSdID8WEudXL7UQg==" saltValue="uaoTDO7krjQn67yabVa+rg==" spinCount="100000" sheet="1" formatCells="0" formatColumns="0" formatRows="0" insertColumns="0" insertRows="0" insertHyperlinks="0" deleteColumns="0" deleteRows="0" sort="0" autoFilter="0" pivotTables="0"/>
  <mergeCells count="7">
    <mergeCell ref="A4:C4"/>
    <mergeCell ref="A15:B15"/>
    <mergeCell ref="A17:C17"/>
    <mergeCell ref="A27:B27"/>
    <mergeCell ref="A1:C1"/>
    <mergeCell ref="A2:C2"/>
    <mergeCell ref="A3:C3"/>
  </mergeCells>
  <printOptions horizontalCentered="1"/>
  <pageMargins left="0.39370078740157483" right="0.39370078740157483" top="0.23622047244094491" bottom="0.11811023622047245" header="0.31496062992125984" footer="0.31496062992125984"/>
  <pageSetup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>
    <tabColor rgb="FF00B0F0"/>
  </sheetPr>
  <dimension ref="A1:P65"/>
  <sheetViews>
    <sheetView view="pageBreakPreview" zoomScale="140" zoomScaleSheetLayoutView="140" workbookViewId="0">
      <selection activeCell="C7" sqref="C7:D7"/>
    </sheetView>
  </sheetViews>
  <sheetFormatPr baseColWidth="10" defaultColWidth="11.42578125" defaultRowHeight="12.75" x14ac:dyDescent="0.2"/>
  <cols>
    <col min="1" max="1" width="8.140625" style="29" customWidth="1"/>
    <col min="2" max="2" width="33.28515625" style="24" customWidth="1"/>
    <col min="3" max="3" width="16.140625" style="24" customWidth="1"/>
    <col min="4" max="4" width="18" style="24" customWidth="1"/>
    <col min="5" max="5" width="14.42578125" style="24" hidden="1" customWidth="1"/>
    <col min="6" max="6" width="16.28515625" style="24" customWidth="1"/>
    <col min="7" max="7" width="17" style="24" customWidth="1"/>
    <col min="8" max="8" width="16.85546875" style="28" customWidth="1"/>
    <col min="9" max="9" width="13.5703125" style="25" bestFit="1" customWidth="1"/>
    <col min="10" max="10" width="18.5703125" style="25" customWidth="1"/>
    <col min="11" max="11" width="6" style="25" customWidth="1"/>
    <col min="12" max="12" width="11.42578125" style="25"/>
    <col min="13" max="13" width="15.5703125" style="25" customWidth="1"/>
    <col min="14" max="16384" width="11.42578125" style="25"/>
  </cols>
  <sheetData>
    <row r="1" spans="1:16" ht="18" x14ac:dyDescent="0.2">
      <c r="A1" s="540" t="s">
        <v>421</v>
      </c>
      <c r="B1" s="540"/>
      <c r="C1" s="540"/>
      <c r="D1" s="540"/>
      <c r="E1" s="540"/>
      <c r="F1" s="540"/>
      <c r="G1" s="540"/>
      <c r="H1" s="540"/>
    </row>
    <row r="2" spans="1:16" ht="18" x14ac:dyDescent="0.2">
      <c r="A2" s="540" t="s">
        <v>422</v>
      </c>
      <c r="B2" s="540"/>
      <c r="C2" s="540"/>
      <c r="D2" s="540"/>
      <c r="E2" s="540"/>
      <c r="F2" s="540"/>
      <c r="G2" s="540"/>
      <c r="H2" s="540"/>
      <c r="J2" s="119"/>
      <c r="K2" s="120"/>
    </row>
    <row r="3" spans="1:16" ht="18" x14ac:dyDescent="0.2">
      <c r="A3" s="540" t="s">
        <v>512</v>
      </c>
      <c r="B3" s="540"/>
      <c r="C3" s="540"/>
      <c r="D3" s="540"/>
      <c r="E3" s="540"/>
      <c r="F3" s="540"/>
      <c r="G3" s="540"/>
      <c r="H3" s="540"/>
      <c r="K3" s="120"/>
    </row>
    <row r="4" spans="1:16" ht="18" x14ac:dyDescent="0.2">
      <c r="A4" s="540" t="s">
        <v>11</v>
      </c>
      <c r="B4" s="540"/>
      <c r="C4" s="540"/>
      <c r="D4" s="540"/>
      <c r="E4" s="540"/>
      <c r="F4" s="540"/>
      <c r="G4" s="540"/>
      <c r="H4" s="540"/>
      <c r="K4" s="120"/>
    </row>
    <row r="5" spans="1:16" ht="22.5" customHeight="1" x14ac:dyDescent="0.2">
      <c r="A5" s="540" t="s">
        <v>16</v>
      </c>
      <c r="B5" s="540"/>
      <c r="C5" s="540"/>
      <c r="D5" s="540"/>
      <c r="E5" s="540"/>
      <c r="F5" s="540"/>
      <c r="G5" s="540"/>
      <c r="H5" s="540"/>
      <c r="K5" s="120"/>
    </row>
    <row r="6" spans="1:16" ht="15.75" customHeight="1" x14ac:dyDescent="0.2">
      <c r="A6" s="541" t="s">
        <v>117</v>
      </c>
      <c r="B6" s="542" t="s">
        <v>118</v>
      </c>
      <c r="C6" s="543" t="s">
        <v>120</v>
      </c>
      <c r="D6" s="543"/>
      <c r="E6" s="543"/>
      <c r="F6" s="541" t="s">
        <v>122</v>
      </c>
      <c r="G6" s="541" t="s">
        <v>598</v>
      </c>
      <c r="H6" s="544" t="s">
        <v>123</v>
      </c>
      <c r="K6" s="120"/>
    </row>
    <row r="7" spans="1:16" ht="33" customHeight="1" x14ac:dyDescent="0.2">
      <c r="A7" s="541"/>
      <c r="B7" s="542"/>
      <c r="C7" s="545" t="s">
        <v>119</v>
      </c>
      <c r="D7" s="545"/>
      <c r="E7" s="289" t="s">
        <v>121</v>
      </c>
      <c r="F7" s="541"/>
      <c r="G7" s="541"/>
      <c r="H7" s="544"/>
      <c r="K7" s="120"/>
    </row>
    <row r="8" spans="1:16" ht="99.75" customHeight="1" x14ac:dyDescent="0.2">
      <c r="A8" s="541"/>
      <c r="B8" s="542"/>
      <c r="C8" s="290" t="s">
        <v>124</v>
      </c>
      <c r="D8" s="290" t="s">
        <v>125</v>
      </c>
      <c r="E8" s="290" t="s">
        <v>73</v>
      </c>
      <c r="F8" s="541"/>
      <c r="G8" s="541"/>
      <c r="H8" s="544"/>
      <c r="I8" s="357"/>
      <c r="J8" s="357"/>
      <c r="K8" s="358"/>
      <c r="L8" s="357"/>
      <c r="M8" s="357"/>
      <c r="N8" s="357"/>
      <c r="O8" s="357"/>
      <c r="P8" s="357"/>
    </row>
    <row r="9" spans="1:16" ht="15.75" customHeight="1" x14ac:dyDescent="0.2">
      <c r="A9" s="204" t="s">
        <v>17</v>
      </c>
      <c r="B9" s="205" t="s">
        <v>18</v>
      </c>
      <c r="C9" s="206"/>
      <c r="D9" s="206"/>
      <c r="E9" s="206"/>
      <c r="F9" s="206">
        <f>SUM(ANALISIS!G7)</f>
        <v>17098.164800000002</v>
      </c>
      <c r="G9" s="206"/>
      <c r="H9" s="206">
        <f t="shared" ref="H9:H47" si="0">SUM(C9:G9)</f>
        <v>17098.164800000002</v>
      </c>
      <c r="I9" s="357"/>
      <c r="J9" s="357" t="s">
        <v>332</v>
      </c>
      <c r="K9" s="357" t="s">
        <v>331</v>
      </c>
      <c r="L9" s="357"/>
      <c r="M9" s="359">
        <v>42783.39</v>
      </c>
      <c r="N9" s="357"/>
      <c r="O9" s="357"/>
      <c r="P9" s="357"/>
    </row>
    <row r="10" spans="1:16" ht="15.75" customHeight="1" x14ac:dyDescent="0.2">
      <c r="A10" s="204" t="s">
        <v>19</v>
      </c>
      <c r="B10" s="205" t="s">
        <v>20</v>
      </c>
      <c r="C10" s="206"/>
      <c r="D10" s="206"/>
      <c r="E10" s="206"/>
      <c r="F10" s="206">
        <f>SUM(ANALISIS!G8)</f>
        <v>330379.73059999995</v>
      </c>
      <c r="G10" s="206"/>
      <c r="H10" s="206">
        <f t="shared" si="0"/>
        <v>330379.73059999995</v>
      </c>
      <c r="I10" s="357"/>
      <c r="J10" s="689">
        <f>SUM(H9:H16)</f>
        <v>373708.7920999999</v>
      </c>
      <c r="K10" s="358">
        <v>11</v>
      </c>
      <c r="L10" s="357"/>
      <c r="M10" s="361">
        <v>108580.29</v>
      </c>
      <c r="N10" s="357"/>
      <c r="O10" s="357"/>
      <c r="P10" s="357"/>
    </row>
    <row r="11" spans="1:16" ht="15.75" customHeight="1" x14ac:dyDescent="0.2">
      <c r="A11" s="204">
        <v>11803</v>
      </c>
      <c r="B11" s="205" t="s">
        <v>389</v>
      </c>
      <c r="C11" s="206"/>
      <c r="D11" s="206"/>
      <c r="E11" s="206"/>
      <c r="F11" s="206">
        <f>ANALISIS!G9</f>
        <v>6336.4569999999994</v>
      </c>
      <c r="G11" s="206"/>
      <c r="H11" s="206">
        <f t="shared" si="0"/>
        <v>6336.4569999999994</v>
      </c>
      <c r="I11" s="357"/>
      <c r="J11" s="360"/>
      <c r="K11" s="358"/>
      <c r="L11" s="357"/>
      <c r="M11" s="361">
        <v>4190.1000000000004</v>
      </c>
      <c r="N11" s="357"/>
      <c r="O11" s="357"/>
      <c r="P11" s="357"/>
    </row>
    <row r="12" spans="1:16" ht="15.75" customHeight="1" x14ac:dyDescent="0.2">
      <c r="A12" s="204" t="s">
        <v>21</v>
      </c>
      <c r="B12" s="205" t="s">
        <v>22</v>
      </c>
      <c r="C12" s="206"/>
      <c r="D12" s="206"/>
      <c r="E12" s="206"/>
      <c r="F12" s="206">
        <f>ANALISIS!G10</f>
        <v>5170.6000000000004</v>
      </c>
      <c r="G12" s="206"/>
      <c r="H12" s="206">
        <f t="shared" si="0"/>
        <v>5170.6000000000004</v>
      </c>
      <c r="I12" s="357"/>
      <c r="J12" s="360">
        <f>SUM(H17:H31)</f>
        <v>860173.71329999994</v>
      </c>
      <c r="K12" s="358">
        <v>12</v>
      </c>
      <c r="L12" s="357"/>
      <c r="M12" s="361">
        <v>17520.349999999999</v>
      </c>
      <c r="N12" s="357"/>
      <c r="O12" s="357"/>
      <c r="P12" s="357"/>
    </row>
    <row r="13" spans="1:16" ht="15.75" customHeight="1" x14ac:dyDescent="0.2">
      <c r="A13" s="204" t="s">
        <v>126</v>
      </c>
      <c r="B13" s="205" t="s">
        <v>127</v>
      </c>
      <c r="C13" s="206"/>
      <c r="D13" s="206"/>
      <c r="E13" s="206"/>
      <c r="F13" s="206">
        <v>0</v>
      </c>
      <c r="G13" s="206"/>
      <c r="H13" s="206">
        <f t="shared" si="0"/>
        <v>0</v>
      </c>
      <c r="I13" s="357"/>
      <c r="J13" s="360">
        <f>SUM(H32:H33)</f>
        <v>7234.3594999999996</v>
      </c>
      <c r="K13" s="358">
        <v>14</v>
      </c>
      <c r="L13" s="357"/>
      <c r="M13" s="361">
        <v>14388.68</v>
      </c>
      <c r="N13" s="357"/>
      <c r="O13" s="357"/>
      <c r="P13" s="357"/>
    </row>
    <row r="14" spans="1:16" ht="15.75" customHeight="1" x14ac:dyDescent="0.2">
      <c r="A14" s="207" t="s">
        <v>128</v>
      </c>
      <c r="B14" s="208" t="s">
        <v>130</v>
      </c>
      <c r="C14" s="206"/>
      <c r="D14" s="206"/>
      <c r="E14" s="206"/>
      <c r="F14" s="206">
        <v>0</v>
      </c>
      <c r="G14" s="206"/>
      <c r="H14" s="206">
        <f t="shared" si="0"/>
        <v>0</v>
      </c>
      <c r="I14" s="357"/>
      <c r="J14" s="360">
        <f>SUM(H34:H41)</f>
        <v>46440.382499999992</v>
      </c>
      <c r="K14" s="358">
        <v>15</v>
      </c>
      <c r="L14" s="357"/>
      <c r="M14" s="361">
        <v>2642.61</v>
      </c>
      <c r="N14" s="357"/>
      <c r="O14" s="357"/>
      <c r="P14" s="357"/>
    </row>
    <row r="15" spans="1:16" ht="15.75" customHeight="1" x14ac:dyDescent="0.2">
      <c r="A15" s="204" t="s">
        <v>129</v>
      </c>
      <c r="B15" s="205" t="s">
        <v>131</v>
      </c>
      <c r="C15" s="206"/>
      <c r="D15" s="206"/>
      <c r="E15" s="206"/>
      <c r="F15" s="206">
        <f>ANALISIS!G11</f>
        <v>11075.796</v>
      </c>
      <c r="G15" s="206"/>
      <c r="H15" s="206">
        <f t="shared" si="0"/>
        <v>11075.796</v>
      </c>
      <c r="I15" s="357"/>
      <c r="J15" s="360">
        <f>SUM(H42)</f>
        <v>392157.72000000003</v>
      </c>
      <c r="K15" s="358">
        <v>16</v>
      </c>
      <c r="L15" s="357"/>
      <c r="M15" s="361">
        <v>12197.84</v>
      </c>
      <c r="N15" s="357"/>
      <c r="O15" s="357"/>
      <c r="P15" s="357"/>
    </row>
    <row r="16" spans="1:16" ht="15.75" customHeight="1" x14ac:dyDescent="0.2">
      <c r="A16" s="207">
        <v>11818</v>
      </c>
      <c r="B16" s="208" t="s">
        <v>58</v>
      </c>
      <c r="C16" s="206"/>
      <c r="D16" s="206"/>
      <c r="E16" s="206"/>
      <c r="F16" s="206">
        <f>ANALISIS!G12</f>
        <v>3648.0437000000002</v>
      </c>
      <c r="G16" s="206"/>
      <c r="H16" s="206">
        <f t="shared" si="0"/>
        <v>3648.0437000000002</v>
      </c>
      <c r="I16" s="357"/>
      <c r="J16" s="360">
        <f>SUM(H43+H44)</f>
        <v>1570328.2799999998</v>
      </c>
      <c r="K16" s="358">
        <v>22</v>
      </c>
      <c r="L16" s="357"/>
      <c r="M16" s="361">
        <v>4688.6000000000004</v>
      </c>
      <c r="N16" s="357"/>
      <c r="O16" s="357"/>
      <c r="P16" s="357"/>
    </row>
    <row r="17" spans="1:16" ht="15.75" customHeight="1" x14ac:dyDescent="0.2">
      <c r="A17" s="204">
        <v>12105</v>
      </c>
      <c r="B17" s="205" t="str">
        <f>ANALISIS!B13</f>
        <v>Por Serv. de Certif. o Visado de doc.</v>
      </c>
      <c r="C17" s="206"/>
      <c r="D17" s="206"/>
      <c r="E17" s="206"/>
      <c r="F17" s="206">
        <f>ANALISIS!G13</f>
        <v>14583.358</v>
      </c>
      <c r="G17" s="206"/>
      <c r="H17" s="206">
        <f t="shared" si="0"/>
        <v>14583.358</v>
      </c>
      <c r="I17" s="357"/>
      <c r="J17" s="360">
        <f>SUM(H47:H48)</f>
        <v>1328395.27</v>
      </c>
      <c r="K17" s="358">
        <v>32</v>
      </c>
      <c r="L17" s="357"/>
      <c r="M17" s="361">
        <v>67200.44</v>
      </c>
      <c r="N17" s="357"/>
      <c r="O17" s="357"/>
      <c r="P17" s="357"/>
    </row>
    <row r="18" spans="1:16" ht="15.75" customHeight="1" x14ac:dyDescent="0.2">
      <c r="A18" s="209">
        <v>12106</v>
      </c>
      <c r="B18" s="210" t="str">
        <f>ANALISIS!B14</f>
        <v>Por Expedic. Documentos de Identif.</v>
      </c>
      <c r="C18" s="206"/>
      <c r="D18" s="206"/>
      <c r="E18" s="206"/>
      <c r="F18" s="206">
        <f>ANALISIS!G14</f>
        <v>454.44630000000006</v>
      </c>
      <c r="G18" s="206"/>
      <c r="H18" s="206">
        <f t="shared" si="0"/>
        <v>454.44630000000006</v>
      </c>
      <c r="I18" s="357"/>
      <c r="J18" s="690">
        <f>H50</f>
        <v>118800.8695</v>
      </c>
      <c r="K18" s="358">
        <v>41</v>
      </c>
      <c r="L18" s="357"/>
      <c r="M18" s="361">
        <v>1167.98</v>
      </c>
      <c r="N18" s="357"/>
      <c r="O18" s="357"/>
      <c r="P18" s="357"/>
    </row>
    <row r="19" spans="1:16" ht="15.75" customHeight="1" x14ac:dyDescent="0.2">
      <c r="A19" s="209">
        <v>12108</v>
      </c>
      <c r="B19" s="210" t="s">
        <v>25</v>
      </c>
      <c r="C19" s="206"/>
      <c r="D19" s="206"/>
      <c r="E19" s="206"/>
      <c r="F19" s="206">
        <f>ANALISIS!G15</f>
        <v>144035.99310000002</v>
      </c>
      <c r="G19" s="206"/>
      <c r="H19" s="206">
        <f t="shared" si="0"/>
        <v>144035.99310000002</v>
      </c>
      <c r="I19" s="357"/>
      <c r="J19" s="357"/>
      <c r="K19" s="357"/>
      <c r="L19" s="357"/>
      <c r="M19" s="361"/>
      <c r="N19" s="357"/>
      <c r="O19" s="357"/>
      <c r="P19" s="357"/>
    </row>
    <row r="20" spans="1:16" ht="15.75" customHeight="1" x14ac:dyDescent="0.2">
      <c r="A20" s="204" t="s">
        <v>23</v>
      </c>
      <c r="B20" s="205" t="s">
        <v>24</v>
      </c>
      <c r="C20" s="206"/>
      <c r="D20" s="206"/>
      <c r="E20" s="206"/>
      <c r="F20" s="206">
        <f>ANALISIS!G16</f>
        <v>149517.18960000001</v>
      </c>
      <c r="G20" s="206"/>
      <c r="H20" s="206">
        <f t="shared" si="0"/>
        <v>149517.18960000001</v>
      </c>
      <c r="M20" s="361">
        <v>24801.02</v>
      </c>
      <c r="N20" s="357"/>
      <c r="O20" s="357"/>
      <c r="P20" s="357"/>
    </row>
    <row r="21" spans="1:16" ht="15.75" customHeight="1" x14ac:dyDescent="0.2">
      <c r="A21" s="207" t="s">
        <v>59</v>
      </c>
      <c r="B21" s="208" t="s">
        <v>60</v>
      </c>
      <c r="C21" s="206"/>
      <c r="D21" s="206"/>
      <c r="E21" s="206"/>
      <c r="F21" s="206">
        <f>ANALISIS!G17</f>
        <v>1735.9311000000002</v>
      </c>
      <c r="G21" s="206"/>
      <c r="H21" s="206">
        <f t="shared" si="0"/>
        <v>1735.9311000000002</v>
      </c>
      <c r="M21" s="361">
        <v>7387.93</v>
      </c>
      <c r="N21" s="357"/>
      <c r="O21" s="357"/>
      <c r="P21" s="357"/>
    </row>
    <row r="22" spans="1:16" ht="15.75" customHeight="1" x14ac:dyDescent="0.2">
      <c r="A22" s="211" t="s">
        <v>132</v>
      </c>
      <c r="B22" s="208" t="s">
        <v>133</v>
      </c>
      <c r="C22" s="206"/>
      <c r="D22" s="206"/>
      <c r="E22" s="206"/>
      <c r="F22" s="206">
        <f>SUM(ANALISIS!G18)</f>
        <v>0</v>
      </c>
      <c r="G22" s="206"/>
      <c r="H22" s="206">
        <f t="shared" si="0"/>
        <v>0</v>
      </c>
      <c r="M22" s="361">
        <v>23622.63</v>
      </c>
      <c r="N22" s="357"/>
      <c r="O22" s="357"/>
      <c r="P22" s="357"/>
    </row>
    <row r="23" spans="1:16" ht="15.75" customHeight="1" x14ac:dyDescent="0.2">
      <c r="A23" s="207" t="s">
        <v>61</v>
      </c>
      <c r="B23" s="208" t="s">
        <v>62</v>
      </c>
      <c r="C23" s="206"/>
      <c r="D23" s="206"/>
      <c r="E23" s="206"/>
      <c r="F23" s="206">
        <f>ANALISIS!G19</f>
        <v>53550.029600000002</v>
      </c>
      <c r="G23" s="206"/>
      <c r="H23" s="206">
        <f t="shared" si="0"/>
        <v>53550.029600000002</v>
      </c>
      <c r="J23" s="357"/>
      <c r="K23" s="357"/>
      <c r="L23" s="357"/>
      <c r="M23" s="361">
        <v>59325.65</v>
      </c>
      <c r="N23" s="357"/>
      <c r="O23" s="357"/>
      <c r="P23" s="357"/>
    </row>
    <row r="24" spans="1:16" ht="15.75" customHeight="1" x14ac:dyDescent="0.2">
      <c r="A24" s="207" t="s">
        <v>134</v>
      </c>
      <c r="B24" s="208" t="s">
        <v>135</v>
      </c>
      <c r="C24" s="206"/>
      <c r="D24" s="206"/>
      <c r="E24" s="206"/>
      <c r="F24" s="206">
        <f>ANALISIS!G20</f>
        <v>17716.896100000002</v>
      </c>
      <c r="G24" s="206"/>
      <c r="H24" s="206">
        <f t="shared" si="0"/>
        <v>17716.896100000002</v>
      </c>
      <c r="J24" s="357"/>
      <c r="K24" s="357"/>
      <c r="L24" s="357"/>
      <c r="M24" s="361">
        <v>142.97999999999999</v>
      </c>
      <c r="N24" s="357"/>
      <c r="O24" s="357"/>
      <c r="P24" s="357"/>
    </row>
    <row r="25" spans="1:16" ht="15.75" customHeight="1" x14ac:dyDescent="0.2">
      <c r="A25" s="211" t="s">
        <v>63</v>
      </c>
      <c r="B25" s="208" t="s">
        <v>64</v>
      </c>
      <c r="C25" s="206"/>
      <c r="D25" s="206"/>
      <c r="E25" s="206"/>
      <c r="F25" s="206">
        <f>SUM(ANALISIS!G21)</f>
        <v>72252.316400000011</v>
      </c>
      <c r="G25" s="206"/>
      <c r="H25" s="206">
        <f t="shared" si="0"/>
        <v>72252.316400000011</v>
      </c>
      <c r="J25" s="357"/>
      <c r="K25" s="357"/>
      <c r="L25" s="357"/>
      <c r="M25" s="361">
        <v>3666.68</v>
      </c>
      <c r="N25" s="357"/>
      <c r="O25" s="357"/>
      <c r="P25" s="357"/>
    </row>
    <row r="26" spans="1:16" ht="15.75" customHeight="1" x14ac:dyDescent="0.2">
      <c r="A26" s="211" t="s">
        <v>65</v>
      </c>
      <c r="B26" s="208" t="s">
        <v>66</v>
      </c>
      <c r="C26" s="206"/>
      <c r="D26" s="206"/>
      <c r="E26" s="206"/>
      <c r="F26" s="206">
        <f>ANALISIS!G22</f>
        <v>144002.30179999999</v>
      </c>
      <c r="G26" s="206"/>
      <c r="H26" s="206">
        <f t="shared" si="0"/>
        <v>144002.30179999999</v>
      </c>
      <c r="J26" s="357"/>
      <c r="K26" s="357"/>
      <c r="L26" s="357"/>
      <c r="M26" s="361"/>
      <c r="N26" s="357"/>
      <c r="O26" s="357"/>
      <c r="P26" s="357"/>
    </row>
    <row r="27" spans="1:16" ht="15.75" customHeight="1" x14ac:dyDescent="0.2">
      <c r="A27" s="207" t="s">
        <v>67</v>
      </c>
      <c r="B27" s="208" t="s">
        <v>68</v>
      </c>
      <c r="C27" s="206"/>
      <c r="D27" s="206"/>
      <c r="E27" s="206"/>
      <c r="F27" s="206">
        <f>ANALISIS!G23</f>
        <v>294.47699999999998</v>
      </c>
      <c r="G27" s="206"/>
      <c r="H27" s="206">
        <f t="shared" si="0"/>
        <v>294.47699999999998</v>
      </c>
      <c r="J27" s="357"/>
      <c r="K27" s="357"/>
      <c r="L27" s="357"/>
      <c r="M27" s="361">
        <v>86401.02</v>
      </c>
      <c r="N27" s="357"/>
      <c r="O27" s="357"/>
      <c r="P27" s="357"/>
    </row>
    <row r="28" spans="1:16" ht="15.75" customHeight="1" x14ac:dyDescent="0.2">
      <c r="A28" s="207" t="s">
        <v>137</v>
      </c>
      <c r="B28" s="208" t="str">
        <f>ANALISIS!B24</f>
        <v>Tasas Diversas</v>
      </c>
      <c r="C28" s="206"/>
      <c r="D28" s="206"/>
      <c r="E28" s="206"/>
      <c r="F28" s="206">
        <f>ANALISIS!G24</f>
        <v>0</v>
      </c>
      <c r="G28" s="206"/>
      <c r="H28" s="206">
        <f t="shared" si="0"/>
        <v>0</v>
      </c>
      <c r="J28" s="357"/>
      <c r="K28" s="357"/>
      <c r="L28" s="357"/>
      <c r="M28" s="361">
        <v>7.21</v>
      </c>
      <c r="N28" s="357"/>
      <c r="O28" s="357"/>
      <c r="P28" s="357"/>
    </row>
    <row r="29" spans="1:16" ht="15.75" customHeight="1" x14ac:dyDescent="0.2">
      <c r="A29" s="207">
        <v>12123</v>
      </c>
      <c r="B29" s="208" t="s">
        <v>328</v>
      </c>
      <c r="C29" s="206"/>
      <c r="D29" s="206"/>
      <c r="E29" s="206"/>
      <c r="F29" s="206">
        <f>SUM(ANALISIS!G25)</f>
        <v>0</v>
      </c>
      <c r="G29" s="206"/>
      <c r="H29" s="206">
        <f t="shared" si="0"/>
        <v>0</v>
      </c>
      <c r="J29" s="357"/>
      <c r="K29" s="357"/>
      <c r="L29" s="357"/>
      <c r="M29" s="361"/>
      <c r="N29" s="357"/>
      <c r="O29" s="357"/>
      <c r="P29" s="357"/>
    </row>
    <row r="30" spans="1:16" ht="15.75" customHeight="1" x14ac:dyDescent="0.2">
      <c r="A30" s="207" t="s">
        <v>116</v>
      </c>
      <c r="B30" s="208" t="s">
        <v>136</v>
      </c>
      <c r="C30" s="206"/>
      <c r="D30" s="206"/>
      <c r="E30" s="206"/>
      <c r="F30" s="206">
        <f>SUM(ANALISIS!G26)</f>
        <v>262010.15369999997</v>
      </c>
      <c r="G30" s="206"/>
      <c r="H30" s="206">
        <f t="shared" si="0"/>
        <v>262010.15369999997</v>
      </c>
      <c r="J30" s="357"/>
      <c r="K30" s="357"/>
      <c r="L30" s="357"/>
      <c r="M30" s="361"/>
      <c r="N30" s="357"/>
      <c r="O30" s="357"/>
      <c r="P30" s="357"/>
    </row>
    <row r="31" spans="1:16" ht="15.75" customHeight="1" x14ac:dyDescent="0.2">
      <c r="A31" s="207" t="s">
        <v>26</v>
      </c>
      <c r="B31" s="208" t="s">
        <v>27</v>
      </c>
      <c r="C31" s="206"/>
      <c r="D31" s="206"/>
      <c r="E31" s="206"/>
      <c r="F31" s="206">
        <f>SUM(ANALISIS!G27)</f>
        <v>20.620600000000003</v>
      </c>
      <c r="G31" s="206"/>
      <c r="H31" s="206">
        <f t="shared" si="0"/>
        <v>20.620600000000003</v>
      </c>
      <c r="J31" s="357"/>
      <c r="K31" s="357"/>
      <c r="L31" s="357"/>
      <c r="M31" s="361">
        <v>473.37</v>
      </c>
      <c r="N31" s="357"/>
      <c r="O31" s="357"/>
      <c r="P31" s="357"/>
    </row>
    <row r="32" spans="1:16" ht="15.75" customHeight="1" x14ac:dyDescent="0.2">
      <c r="A32" s="207" t="s">
        <v>138</v>
      </c>
      <c r="B32" s="208" t="s">
        <v>139</v>
      </c>
      <c r="C32" s="206"/>
      <c r="D32" s="206"/>
      <c r="E32" s="206"/>
      <c r="F32" s="206">
        <f>SUM(ANALISIS!G28)</f>
        <v>0</v>
      </c>
      <c r="G32" s="206"/>
      <c r="H32" s="206">
        <f t="shared" si="0"/>
        <v>0</v>
      </c>
      <c r="J32" s="357"/>
      <c r="K32" s="357"/>
      <c r="L32" s="357"/>
      <c r="M32" s="361">
        <v>6109.76</v>
      </c>
      <c r="N32" s="357"/>
      <c r="O32" s="357"/>
      <c r="P32" s="357"/>
    </row>
    <row r="33" spans="1:16" ht="15.75" customHeight="1" x14ac:dyDescent="0.2">
      <c r="A33" s="207" t="s">
        <v>28</v>
      </c>
      <c r="B33" s="208" t="s">
        <v>29</v>
      </c>
      <c r="C33" s="206"/>
      <c r="D33" s="206"/>
      <c r="E33" s="206"/>
      <c r="F33" s="206">
        <f>SUM(ANALISIS!G29)</f>
        <v>7234.3594999999996</v>
      </c>
      <c r="G33" s="206"/>
      <c r="H33" s="206">
        <f t="shared" si="0"/>
        <v>7234.3594999999996</v>
      </c>
      <c r="J33" s="357"/>
      <c r="K33" s="357"/>
      <c r="L33" s="357"/>
      <c r="M33" s="361">
        <v>1769.87</v>
      </c>
      <c r="N33" s="357"/>
      <c r="O33" s="357"/>
      <c r="P33" s="357"/>
    </row>
    <row r="34" spans="1:16" ht="15.75" customHeight="1" x14ac:dyDescent="0.2">
      <c r="A34" s="207" t="s">
        <v>30</v>
      </c>
      <c r="B34" s="208" t="s">
        <v>31</v>
      </c>
      <c r="C34" s="206"/>
      <c r="D34" s="206"/>
      <c r="E34" s="206"/>
      <c r="F34" s="206">
        <f>SUM(ANALISIS!G30)</f>
        <v>20266.7847</v>
      </c>
      <c r="G34" s="206"/>
      <c r="H34" s="206">
        <f t="shared" si="0"/>
        <v>20266.7847</v>
      </c>
      <c r="J34" s="357"/>
      <c r="K34" s="357"/>
      <c r="L34" s="357"/>
      <c r="M34" s="361">
        <v>44.13</v>
      </c>
      <c r="N34" s="357"/>
      <c r="O34" s="357"/>
      <c r="P34" s="357"/>
    </row>
    <row r="35" spans="1:16" ht="15.75" customHeight="1" x14ac:dyDescent="0.2">
      <c r="A35" s="207" t="s">
        <v>33</v>
      </c>
      <c r="B35" s="208" t="s">
        <v>32</v>
      </c>
      <c r="C35" s="206"/>
      <c r="D35" s="206"/>
      <c r="E35" s="206"/>
      <c r="F35" s="206">
        <f>SUM(ANALISIS!G31)</f>
        <v>17988.5792</v>
      </c>
      <c r="G35" s="206"/>
      <c r="H35" s="206">
        <f t="shared" si="0"/>
        <v>17988.5792</v>
      </c>
      <c r="J35" s="357"/>
      <c r="K35" s="357"/>
      <c r="L35" s="357"/>
      <c r="M35" s="361">
        <v>9277.0300000000007</v>
      </c>
      <c r="N35" s="357"/>
      <c r="O35" s="357"/>
      <c r="P35" s="357"/>
    </row>
    <row r="36" spans="1:16" ht="15.75" customHeight="1" x14ac:dyDescent="0.2">
      <c r="A36" s="207">
        <v>15310</v>
      </c>
      <c r="B36" s="208" t="str">
        <f>ANALISIS!B32</f>
        <v>Multas por Declaración Extemporanea</v>
      </c>
      <c r="C36" s="206"/>
      <c r="D36" s="206"/>
      <c r="E36" s="206"/>
      <c r="F36" s="206">
        <f>ANALISIS!G32</f>
        <v>1376.9760999999999</v>
      </c>
      <c r="G36" s="206"/>
      <c r="H36" s="206">
        <f t="shared" si="0"/>
        <v>1376.9760999999999</v>
      </c>
      <c r="J36" s="357"/>
      <c r="K36" s="357"/>
      <c r="L36" s="357"/>
      <c r="M36" s="361"/>
      <c r="N36" s="357"/>
      <c r="O36" s="357"/>
      <c r="P36" s="357"/>
    </row>
    <row r="37" spans="1:16" ht="14.25" x14ac:dyDescent="0.2">
      <c r="A37" s="207">
        <v>15312</v>
      </c>
      <c r="B37" s="208" t="s">
        <v>330</v>
      </c>
      <c r="C37" s="206"/>
      <c r="D37" s="206"/>
      <c r="E37" s="206"/>
      <c r="F37" s="206">
        <f>SUM(ANALISIS!G33)</f>
        <v>558.87799999999993</v>
      </c>
      <c r="G37" s="206"/>
      <c r="H37" s="206">
        <f t="shared" si="0"/>
        <v>558.87799999999993</v>
      </c>
      <c r="J37" s="357"/>
      <c r="K37" s="357"/>
      <c r="L37" s="357"/>
      <c r="M37" s="361"/>
      <c r="N37" s="357"/>
      <c r="O37" s="357"/>
      <c r="P37" s="357"/>
    </row>
    <row r="38" spans="1:16" ht="14.25" x14ac:dyDescent="0.2">
      <c r="A38" s="207" t="s">
        <v>105</v>
      </c>
      <c r="B38" s="208" t="s">
        <v>106</v>
      </c>
      <c r="C38" s="212"/>
      <c r="D38" s="206"/>
      <c r="E38" s="206"/>
      <c r="F38" s="206">
        <f>SUM(ANALISIS!G34)</f>
        <v>0</v>
      </c>
      <c r="G38" s="206"/>
      <c r="H38" s="206">
        <f t="shared" si="0"/>
        <v>0</v>
      </c>
      <c r="J38" s="357"/>
      <c r="K38" s="357"/>
      <c r="L38" s="357"/>
      <c r="M38" s="361"/>
      <c r="N38" s="357"/>
      <c r="O38" s="357"/>
      <c r="P38" s="357"/>
    </row>
    <row r="39" spans="1:16" ht="14.25" x14ac:dyDescent="0.2">
      <c r="A39" s="213">
        <v>15399</v>
      </c>
      <c r="B39" s="214" t="s">
        <v>313</v>
      </c>
      <c r="C39" s="206"/>
      <c r="D39" s="206"/>
      <c r="E39" s="206"/>
      <c r="F39" s="206">
        <f>SUM(ANALISIS!G35)</f>
        <v>0</v>
      </c>
      <c r="G39" s="206"/>
      <c r="H39" s="206">
        <f t="shared" si="0"/>
        <v>0</v>
      </c>
      <c r="J39" s="357"/>
      <c r="K39" s="357"/>
      <c r="L39" s="357"/>
      <c r="M39" s="361">
        <v>104.85</v>
      </c>
      <c r="N39" s="357"/>
      <c r="O39" s="357"/>
      <c r="P39" s="357"/>
    </row>
    <row r="40" spans="1:16" ht="14.25" x14ac:dyDescent="0.2">
      <c r="A40" s="213" t="s">
        <v>69</v>
      </c>
      <c r="B40" s="214" t="s">
        <v>70</v>
      </c>
      <c r="C40" s="206"/>
      <c r="D40" s="206"/>
      <c r="E40" s="206"/>
      <c r="F40" s="206">
        <f>SUM(ANALISIS!G36)</f>
        <v>0</v>
      </c>
      <c r="G40" s="206"/>
      <c r="H40" s="206">
        <f t="shared" si="0"/>
        <v>0</v>
      </c>
      <c r="J40" s="357"/>
      <c r="K40" s="357"/>
      <c r="L40" s="357"/>
      <c r="M40" s="361"/>
      <c r="N40" s="357"/>
      <c r="O40" s="357"/>
      <c r="P40" s="357"/>
    </row>
    <row r="41" spans="1:16" ht="14.25" x14ac:dyDescent="0.2">
      <c r="A41" s="213" t="s">
        <v>71</v>
      </c>
      <c r="B41" s="214" t="s">
        <v>72</v>
      </c>
      <c r="C41" s="206"/>
      <c r="D41" s="206"/>
      <c r="E41" s="206"/>
      <c r="F41" s="206">
        <f>ANALISIS!G37</f>
        <v>6249.1644999999999</v>
      </c>
      <c r="G41" s="206"/>
      <c r="H41" s="206">
        <f t="shared" si="0"/>
        <v>6249.1644999999999</v>
      </c>
      <c r="J41" s="360">
        <f>344447.4/12</f>
        <v>28703.95</v>
      </c>
      <c r="K41" s="357"/>
      <c r="L41" s="357"/>
      <c r="M41" s="361"/>
      <c r="N41" s="357"/>
      <c r="O41" s="357"/>
      <c r="P41" s="357"/>
    </row>
    <row r="42" spans="1:16" ht="20.25" customHeight="1" x14ac:dyDescent="0.2">
      <c r="A42" s="207" t="s">
        <v>34</v>
      </c>
      <c r="B42" s="208" t="s">
        <v>259</v>
      </c>
      <c r="C42" s="206">
        <f>32679.81*12</f>
        <v>392157.72000000003</v>
      </c>
      <c r="D42" s="212"/>
      <c r="E42" s="212"/>
      <c r="F42" s="212"/>
      <c r="G42" s="212"/>
      <c r="H42" s="212">
        <f t="shared" si="0"/>
        <v>392157.72000000003</v>
      </c>
      <c r="J42" s="357"/>
      <c r="K42" s="357"/>
      <c r="L42" s="357"/>
      <c r="M42" s="361"/>
      <c r="N42" s="357"/>
      <c r="O42" s="357"/>
      <c r="P42" s="357"/>
    </row>
    <row r="43" spans="1:16" ht="27" customHeight="1" x14ac:dyDescent="0.2">
      <c r="A43" s="213" t="s">
        <v>35</v>
      </c>
      <c r="B43" s="214" t="s">
        <v>597</v>
      </c>
      <c r="C43" s="206"/>
      <c r="D43" s="206">
        <f>98039.43*12</f>
        <v>1176473.1599999999</v>
      </c>
      <c r="E43" s="206"/>
      <c r="F43" s="206"/>
      <c r="G43" s="206"/>
      <c r="H43" s="206">
        <f t="shared" si="0"/>
        <v>1176473.1599999999</v>
      </c>
      <c r="J43" s="357"/>
      <c r="K43" s="357"/>
      <c r="L43" s="357"/>
      <c r="M43" s="361"/>
      <c r="N43" s="357"/>
      <c r="O43" s="357"/>
      <c r="P43" s="357"/>
    </row>
    <row r="44" spans="1:16" ht="22.5" customHeight="1" x14ac:dyDescent="0.2">
      <c r="A44" s="213">
        <v>22201</v>
      </c>
      <c r="B44" s="214" t="s">
        <v>596</v>
      </c>
      <c r="C44" s="206"/>
      <c r="D44" s="206"/>
      <c r="E44" s="206"/>
      <c r="F44" s="206"/>
      <c r="G44" s="206">
        <v>393855.12</v>
      </c>
      <c r="H44" s="206">
        <f t="shared" si="0"/>
        <v>393855.12</v>
      </c>
      <c r="J44" s="357"/>
      <c r="K44" s="357"/>
      <c r="L44" s="357"/>
      <c r="M44" s="361"/>
      <c r="N44" s="357"/>
      <c r="O44" s="357"/>
      <c r="P44" s="357"/>
    </row>
    <row r="45" spans="1:16" ht="14.25" x14ac:dyDescent="0.2">
      <c r="A45" s="213" t="s">
        <v>256</v>
      </c>
      <c r="B45" s="214" t="s">
        <v>257</v>
      </c>
      <c r="C45" s="206"/>
      <c r="D45" s="206"/>
      <c r="E45" s="206"/>
      <c r="F45" s="206"/>
      <c r="G45" s="206"/>
      <c r="H45" s="206">
        <f t="shared" si="0"/>
        <v>0</v>
      </c>
      <c r="J45" s="357"/>
      <c r="K45" s="357"/>
      <c r="L45" s="357"/>
      <c r="M45" s="361"/>
      <c r="N45" s="357"/>
      <c r="O45" s="357"/>
      <c r="P45" s="357"/>
    </row>
    <row r="46" spans="1:16" x14ac:dyDescent="0.2">
      <c r="A46" s="213" t="s">
        <v>252</v>
      </c>
      <c r="B46" s="214" t="s">
        <v>253</v>
      </c>
      <c r="C46" s="206"/>
      <c r="D46" s="206"/>
      <c r="E46" s="206"/>
      <c r="F46" s="206"/>
      <c r="G46" s="206"/>
      <c r="H46" s="206">
        <f t="shared" si="0"/>
        <v>0</v>
      </c>
      <c r="J46" s="357"/>
      <c r="K46" s="357"/>
      <c r="L46" s="357"/>
      <c r="M46" s="362">
        <f>SUM(M9:M45)</f>
        <v>498494.41000000003</v>
      </c>
      <c r="N46" s="357"/>
      <c r="O46" s="357"/>
      <c r="P46" s="357"/>
    </row>
    <row r="47" spans="1:16" x14ac:dyDescent="0.2">
      <c r="A47" s="213" t="s">
        <v>90</v>
      </c>
      <c r="B47" s="214" t="s">
        <v>258</v>
      </c>
      <c r="C47" s="206">
        <v>2385.94</v>
      </c>
      <c r="D47" s="206">
        <v>537.29</v>
      </c>
      <c r="E47" s="206"/>
      <c r="F47" s="206">
        <v>16795.669999999998</v>
      </c>
      <c r="G47" s="206">
        <v>352.37</v>
      </c>
      <c r="H47" s="206">
        <f t="shared" si="0"/>
        <v>20071.269999999997</v>
      </c>
      <c r="J47" s="360"/>
      <c r="K47" s="357"/>
      <c r="L47" s="357"/>
      <c r="M47" s="357"/>
      <c r="N47" s="357"/>
      <c r="O47" s="357"/>
      <c r="P47" s="357"/>
    </row>
    <row r="48" spans="1:16" x14ac:dyDescent="0.2">
      <c r="A48" s="479" t="s">
        <v>254</v>
      </c>
      <c r="B48" s="480" t="s">
        <v>91</v>
      </c>
      <c r="C48" s="478">
        <v>261438.48</v>
      </c>
      <c r="D48" s="478">
        <f>262570.08</f>
        <v>262570.08</v>
      </c>
      <c r="E48" s="478"/>
      <c r="F48" s="478"/>
      <c r="G48" s="478">
        <v>784315.44</v>
      </c>
      <c r="H48" s="478">
        <f>SUM(C48:G48)</f>
        <v>1308324</v>
      </c>
      <c r="I48" s="119"/>
      <c r="J48" s="357"/>
      <c r="K48" s="357"/>
      <c r="L48" s="357"/>
      <c r="M48" s="363">
        <f>J41-M46</f>
        <v>-469790.46</v>
      </c>
      <c r="N48" s="357"/>
      <c r="O48" s="357"/>
      <c r="P48" s="357"/>
    </row>
    <row r="49" spans="1:16" x14ac:dyDescent="0.2">
      <c r="A49" s="473"/>
      <c r="B49" s="480"/>
      <c r="C49" s="478"/>
      <c r="D49" s="478"/>
      <c r="E49" s="478"/>
      <c r="F49" s="478"/>
      <c r="G49" s="478"/>
      <c r="H49" s="478"/>
      <c r="I49" s="119"/>
      <c r="J49" s="357"/>
      <c r="K49" s="357"/>
      <c r="L49" s="357"/>
      <c r="M49" s="363"/>
      <c r="N49" s="357"/>
      <c r="O49" s="357"/>
      <c r="P49" s="357"/>
    </row>
    <row r="50" spans="1:16" x14ac:dyDescent="0.2">
      <c r="A50" s="473">
        <v>41201</v>
      </c>
      <c r="B50" s="480" t="s">
        <v>501</v>
      </c>
      <c r="C50" s="478"/>
      <c r="D50" s="478"/>
      <c r="E50" s="478"/>
      <c r="F50" s="478">
        <f>ANALISIS!G44</f>
        <v>118800.8695</v>
      </c>
      <c r="G50" s="478"/>
      <c r="H50" s="478">
        <f>SUM(C50:G50)</f>
        <v>118800.8695</v>
      </c>
      <c r="I50" s="119"/>
      <c r="J50" s="357"/>
      <c r="K50" s="357"/>
      <c r="L50" s="357"/>
      <c r="M50" s="363"/>
      <c r="N50" s="357"/>
      <c r="O50" s="357"/>
      <c r="P50" s="357"/>
    </row>
    <row r="51" spans="1:16" s="84" customFormat="1" ht="24.95" customHeight="1" thickBot="1" x14ac:dyDescent="0.25">
      <c r="A51" s="481"/>
      <c r="B51" s="482" t="s">
        <v>161</v>
      </c>
      <c r="C51" s="291">
        <f>SUM(C42:C50)</f>
        <v>655982.14</v>
      </c>
      <c r="D51" s="291">
        <f>SUM(D9:D48)</f>
        <v>1439580.53</v>
      </c>
      <c r="E51" s="291">
        <f>SUM(E9:E48)</f>
        <v>0</v>
      </c>
      <c r="F51" s="487">
        <f>SUM(F9:F50)-0.01</f>
        <v>1423153.7769000002</v>
      </c>
      <c r="G51" s="487">
        <f>SUM(G9:G48)</f>
        <v>1178522.93</v>
      </c>
      <c r="H51" s="487">
        <f>SUM(C51:G51)+0.01</f>
        <v>4697239.3868999993</v>
      </c>
      <c r="J51" s="364"/>
      <c r="K51" s="364"/>
      <c r="L51" s="364"/>
      <c r="M51" s="364"/>
      <c r="N51" s="364"/>
      <c r="O51" s="364"/>
      <c r="P51" s="364"/>
    </row>
    <row r="52" spans="1:16" ht="15" customHeight="1" x14ac:dyDescent="0.2">
      <c r="A52" s="676"/>
      <c r="B52" s="677"/>
      <c r="C52" s="678">
        <v>0.25</v>
      </c>
      <c r="D52" s="678">
        <v>0.75</v>
      </c>
      <c r="E52" s="679" t="s">
        <v>416</v>
      </c>
      <c r="F52" s="679" t="s">
        <v>417</v>
      </c>
      <c r="G52" s="679" t="s">
        <v>418</v>
      </c>
      <c r="H52" s="680"/>
      <c r="J52" s="357"/>
      <c r="K52" s="357"/>
      <c r="L52" s="357"/>
      <c r="M52" s="357"/>
      <c r="N52" s="357"/>
      <c r="O52" s="357"/>
      <c r="P52" s="357"/>
    </row>
    <row r="53" spans="1:16" s="20" customFormat="1" ht="20.25" customHeight="1" x14ac:dyDescent="0.2">
      <c r="A53" s="681" t="s">
        <v>14</v>
      </c>
      <c r="B53" s="680"/>
      <c r="C53" s="680"/>
      <c r="D53" s="682">
        <f>D51-'Deuda Pub 75%'!H19</f>
        <v>1156201.2391729848</v>
      </c>
      <c r="E53" s="680"/>
      <c r="F53" s="680"/>
      <c r="G53" s="680"/>
      <c r="H53" s="682">
        <f>SUM(H9:H50)</f>
        <v>4697239.3869000003</v>
      </c>
      <c r="J53" s="365"/>
      <c r="K53" s="365"/>
      <c r="L53" s="365"/>
      <c r="M53" s="365"/>
      <c r="N53" s="365"/>
      <c r="O53" s="365"/>
      <c r="P53" s="365"/>
    </row>
    <row r="54" spans="1:16" x14ac:dyDescent="0.2">
      <c r="A54" s="683" t="s">
        <v>3</v>
      </c>
      <c r="B54" s="683"/>
      <c r="C54" s="683"/>
      <c r="D54" s="683"/>
      <c r="E54" s="683"/>
      <c r="F54" s="683"/>
      <c r="G54" s="684"/>
      <c r="H54" s="682"/>
      <c r="J54" s="357"/>
      <c r="K54" s="357"/>
      <c r="L54" s="357"/>
      <c r="M54" s="357"/>
      <c r="N54" s="357"/>
      <c r="O54" s="357">
        <f>60000*12</f>
        <v>720000</v>
      </c>
      <c r="P54" s="357"/>
    </row>
    <row r="55" spans="1:16" x14ac:dyDescent="0.2">
      <c r="A55" s="683" t="s">
        <v>4</v>
      </c>
      <c r="B55" s="683"/>
      <c r="C55" s="683"/>
      <c r="D55" s="683"/>
      <c r="E55" s="683"/>
      <c r="F55" s="683"/>
      <c r="G55" s="684"/>
      <c r="H55" s="680"/>
      <c r="J55" s="357"/>
      <c r="K55" s="357"/>
      <c r="L55" s="357"/>
      <c r="M55" s="357"/>
      <c r="N55" s="357"/>
      <c r="O55" s="357"/>
      <c r="P55" s="357"/>
    </row>
    <row r="56" spans="1:16" x14ac:dyDescent="0.2">
      <c r="A56" s="683" t="s">
        <v>1</v>
      </c>
      <c r="B56" s="683"/>
      <c r="C56" s="683"/>
      <c r="D56" s="683"/>
      <c r="E56" s="683"/>
      <c r="F56" s="683"/>
      <c r="G56" s="684"/>
      <c r="H56" s="680"/>
      <c r="J56" s="357"/>
      <c r="K56" s="357"/>
      <c r="L56" s="357"/>
      <c r="M56" s="357"/>
      <c r="N56" s="357"/>
      <c r="O56" s="357"/>
      <c r="P56" s="357"/>
    </row>
    <row r="57" spans="1:16" x14ac:dyDescent="0.2">
      <c r="A57" s="683" t="s">
        <v>5</v>
      </c>
      <c r="B57" s="683"/>
      <c r="C57" s="683"/>
      <c r="D57" s="683"/>
      <c r="E57" s="683"/>
      <c r="F57" s="683"/>
      <c r="G57" s="684"/>
      <c r="H57" s="680"/>
    </row>
    <row r="58" spans="1:16" x14ac:dyDescent="0.2">
      <c r="A58" s="683" t="s">
        <v>6</v>
      </c>
      <c r="B58" s="683"/>
      <c r="C58" s="683"/>
      <c r="D58" s="683"/>
      <c r="E58" s="683"/>
      <c r="F58" s="683"/>
      <c r="G58" s="684"/>
      <c r="H58" s="680"/>
    </row>
    <row r="59" spans="1:16" x14ac:dyDescent="0.2">
      <c r="A59" s="683" t="s">
        <v>7</v>
      </c>
      <c r="B59" s="683"/>
      <c r="C59" s="683"/>
      <c r="D59" s="683"/>
      <c r="E59" s="683"/>
      <c r="F59" s="683"/>
      <c r="G59" s="684"/>
      <c r="H59" s="680"/>
    </row>
    <row r="60" spans="1:16" x14ac:dyDescent="0.2">
      <c r="A60" s="679"/>
      <c r="B60" s="684"/>
      <c r="C60" s="684"/>
      <c r="D60" s="685">
        <f>D51+G51</f>
        <v>2618103.46</v>
      </c>
      <c r="E60" s="684"/>
      <c r="F60" s="684"/>
      <c r="G60" s="684"/>
      <c r="H60" s="680"/>
    </row>
    <row r="61" spans="1:16" x14ac:dyDescent="0.2">
      <c r="A61" s="679"/>
      <c r="B61" s="684"/>
      <c r="C61" s="684"/>
      <c r="D61" s="686">
        <f>D60-'Deuda Pub 75%'!H21</f>
        <v>2334724.17</v>
      </c>
      <c r="E61" s="684"/>
      <c r="F61" s="684"/>
      <c r="G61" s="684"/>
      <c r="H61" s="680"/>
    </row>
    <row r="62" spans="1:16" x14ac:dyDescent="0.2">
      <c r="A62" s="679"/>
      <c r="B62" s="684"/>
      <c r="C62" s="684"/>
      <c r="D62" s="684"/>
      <c r="E62" s="684"/>
      <c r="F62" s="687">
        <f>ANALISIS!D46</f>
        <v>0</v>
      </c>
      <c r="G62" s="684"/>
      <c r="H62" s="680"/>
    </row>
    <row r="63" spans="1:16" x14ac:dyDescent="0.2">
      <c r="A63" s="679"/>
      <c r="B63" s="684"/>
      <c r="C63" s="684"/>
      <c r="D63" s="684"/>
      <c r="E63" s="684"/>
      <c r="F63" s="688">
        <f>F47</f>
        <v>16795.669999999998</v>
      </c>
      <c r="G63" s="684"/>
      <c r="H63" s="680"/>
    </row>
    <row r="64" spans="1:16" x14ac:dyDescent="0.2">
      <c r="A64" s="679"/>
      <c r="B64" s="684"/>
      <c r="C64" s="684"/>
      <c r="D64" s="684"/>
      <c r="E64" s="684"/>
      <c r="F64" s="687">
        <f>SUM(F62:F63)</f>
        <v>16795.669999999998</v>
      </c>
      <c r="G64" s="684"/>
      <c r="H64" s="680"/>
    </row>
    <row r="65" spans="1:8" x14ac:dyDescent="0.2">
      <c r="A65" s="679"/>
      <c r="B65" s="684"/>
      <c r="C65" s="684"/>
      <c r="D65" s="684"/>
      <c r="E65" s="684"/>
      <c r="F65" s="684"/>
      <c r="G65" s="684"/>
      <c r="H65" s="680"/>
    </row>
  </sheetData>
  <sheetProtection algorithmName="SHA-512" hashValue="FKQlPAba1hm1F6QWLPd8iTCMeYz6G/rq+lmcXKmNe8BrN8imB+i0CSXjED7Nh9LrcBQ3PVHz3sNHuG6uTXOCIA==" saltValue="3Lh+yUbZIipQBz1z5LSF7A==" spinCount="100000" sheet="1" formatCells="0" formatColumns="0" formatRows="0" insertColumns="0" insertRows="0" insertHyperlinks="0" deleteColumns="0" deleteRows="0" sort="0" autoFilter="0" pivotTables="0"/>
  <autoFilter ref="A1:H51" xr:uid="{00000000-0009-0000-0000-000002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sortState xmlns:xlrd2="http://schemas.microsoft.com/office/spreadsheetml/2017/richdata2" ref="A10:B47">
    <sortCondition ref="A9"/>
  </sortState>
  <mergeCells count="18">
    <mergeCell ref="A54:F54"/>
    <mergeCell ref="A59:F59"/>
    <mergeCell ref="A55:F55"/>
    <mergeCell ref="A56:F56"/>
    <mergeCell ref="A57:F57"/>
    <mergeCell ref="A58:F58"/>
    <mergeCell ref="A4:H4"/>
    <mergeCell ref="F6:F8"/>
    <mergeCell ref="G6:G8"/>
    <mergeCell ref="A1:H1"/>
    <mergeCell ref="A2:H2"/>
    <mergeCell ref="A3:H3"/>
    <mergeCell ref="A5:H5"/>
    <mergeCell ref="B6:B8"/>
    <mergeCell ref="C6:E6"/>
    <mergeCell ref="H6:H8"/>
    <mergeCell ref="A6:A8"/>
    <mergeCell ref="C7:D7"/>
  </mergeCells>
  <phoneticPr fontId="2" type="noConversion"/>
  <printOptions horizontalCentered="1"/>
  <pageMargins left="0.59055118110236227" right="0.59055118110236227" top="0.59055118110236227" bottom="0.39370078740157483" header="0" footer="0"/>
  <pageSetup orientation="landscape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">
    <tabColor rgb="FFC00000"/>
  </sheetPr>
  <dimension ref="A1:U101"/>
  <sheetViews>
    <sheetView zoomScale="140" zoomScaleNormal="140" zoomScaleSheetLayoutView="96" zoomScalePageLayoutView="90" workbookViewId="0">
      <selection activeCell="F10" sqref="F10"/>
    </sheetView>
  </sheetViews>
  <sheetFormatPr baseColWidth="10" defaultColWidth="11.42578125" defaultRowHeight="12.75" x14ac:dyDescent="0.2"/>
  <cols>
    <col min="1" max="2" width="2.7109375" style="29" customWidth="1"/>
    <col min="3" max="3" width="4.85546875" style="29" customWidth="1"/>
    <col min="4" max="4" width="5.140625" style="29" customWidth="1"/>
    <col min="5" max="5" width="35.42578125" style="24" customWidth="1"/>
    <col min="6" max="6" width="11.85546875" style="24" customWidth="1"/>
    <col min="7" max="7" width="11.140625" style="24" customWidth="1"/>
    <col min="8" max="8" width="12.140625" style="24" customWidth="1"/>
    <col min="9" max="9" width="10.7109375" style="24" customWidth="1"/>
    <col min="10" max="10" width="11.7109375" style="24" customWidth="1"/>
    <col min="11" max="11" width="11" style="24" customWidth="1"/>
    <col min="12" max="12" width="12.42578125" style="26" customWidth="1"/>
    <col min="13" max="13" width="2.85546875" style="24" customWidth="1"/>
    <col min="14" max="14" width="13.85546875" style="25" bestFit="1" customWidth="1"/>
    <col min="15" max="15" width="14.85546875" style="25" customWidth="1"/>
    <col min="16" max="16" width="16.28515625" style="25" bestFit="1" customWidth="1"/>
    <col min="17" max="17" width="13.140625" style="25" customWidth="1"/>
    <col min="18" max="16384" width="11.42578125" style="25"/>
  </cols>
  <sheetData>
    <row r="1" spans="1:18" ht="18" x14ac:dyDescent="0.2">
      <c r="A1" s="540" t="s">
        <v>421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6"/>
      <c r="N1" s="547"/>
      <c r="O1" s="547"/>
    </row>
    <row r="2" spans="1:18" ht="18" x14ac:dyDescent="0.2">
      <c r="A2" s="540" t="s">
        <v>387</v>
      </c>
      <c r="B2" s="540"/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6"/>
      <c r="N2" s="547"/>
      <c r="O2" s="547"/>
    </row>
    <row r="3" spans="1:18" ht="15.75" x14ac:dyDescent="0.2">
      <c r="A3" s="550" t="s">
        <v>225</v>
      </c>
      <c r="B3" s="550"/>
      <c r="C3" s="550"/>
      <c r="D3" s="550"/>
      <c r="E3" s="550"/>
      <c r="F3" s="550"/>
      <c r="G3" s="550"/>
      <c r="H3" s="550"/>
      <c r="I3" s="550"/>
      <c r="J3" s="550"/>
      <c r="K3" s="550"/>
      <c r="L3" s="550"/>
      <c r="N3" s="366">
        <v>51</v>
      </c>
      <c r="O3" s="367">
        <f>SUM(L10:L23)</f>
        <v>1074799.6754999999</v>
      </c>
      <c r="P3" s="72"/>
      <c r="Q3" s="72"/>
      <c r="R3" s="232"/>
    </row>
    <row r="4" spans="1:18" ht="15.75" x14ac:dyDescent="0.2">
      <c r="A4" s="550" t="s">
        <v>513</v>
      </c>
      <c r="B4" s="550"/>
      <c r="C4" s="550"/>
      <c r="D4" s="550"/>
      <c r="E4" s="550"/>
      <c r="F4" s="550"/>
      <c r="G4" s="550"/>
      <c r="H4" s="550"/>
      <c r="I4" s="550"/>
      <c r="J4" s="550"/>
      <c r="K4" s="550"/>
      <c r="L4" s="550"/>
      <c r="N4" s="366">
        <v>54</v>
      </c>
      <c r="O4" s="367">
        <f>SUM(L24:L66)</f>
        <v>238228.8</v>
      </c>
      <c r="P4" s="72"/>
      <c r="Q4" s="72"/>
    </row>
    <row r="5" spans="1:18" ht="15.75" x14ac:dyDescent="0.2">
      <c r="A5" s="552" t="s">
        <v>13</v>
      </c>
      <c r="B5" s="552"/>
      <c r="C5" s="552"/>
      <c r="D5" s="552"/>
      <c r="E5" s="552"/>
      <c r="F5" s="552"/>
      <c r="G5" s="552"/>
      <c r="H5" s="552"/>
      <c r="I5" s="552"/>
      <c r="J5" s="552"/>
      <c r="K5" s="552"/>
      <c r="L5" s="552"/>
      <c r="N5" s="366">
        <v>55</v>
      </c>
      <c r="O5" s="367">
        <f>SUM(L67:L72)</f>
        <v>9800</v>
      </c>
      <c r="Q5" s="72"/>
    </row>
    <row r="6" spans="1:18" ht="15.75" x14ac:dyDescent="0.2">
      <c r="A6" s="550" t="s">
        <v>15</v>
      </c>
      <c r="B6" s="550"/>
      <c r="C6" s="550"/>
      <c r="D6" s="550"/>
      <c r="E6" s="550"/>
      <c r="F6" s="550"/>
      <c r="G6" s="550"/>
      <c r="H6" s="550"/>
      <c r="I6" s="550"/>
      <c r="J6" s="550"/>
      <c r="K6" s="550"/>
      <c r="L6" s="550"/>
      <c r="N6" s="366">
        <v>56</v>
      </c>
      <c r="O6" s="367">
        <f>SUM(L73:L75)</f>
        <v>35000</v>
      </c>
      <c r="Q6" s="72"/>
    </row>
    <row r="7" spans="1:18" ht="16.5" thickBot="1" x14ac:dyDescent="0.25">
      <c r="A7" s="553" t="s">
        <v>55</v>
      </c>
      <c r="B7" s="553"/>
      <c r="C7" s="553"/>
      <c r="D7" s="553"/>
      <c r="E7" s="553"/>
      <c r="F7" s="553"/>
      <c r="G7" s="553"/>
      <c r="H7" s="553"/>
      <c r="I7" s="553"/>
      <c r="J7" s="553"/>
      <c r="K7" s="553"/>
      <c r="L7" s="553"/>
      <c r="N7" s="366">
        <v>61</v>
      </c>
      <c r="O7" s="417">
        <f>SUM(L76:L80)</f>
        <v>4866.7</v>
      </c>
      <c r="P7" s="72"/>
      <c r="Q7" s="72"/>
    </row>
    <row r="8" spans="1:18" ht="13.5" customHeight="1" thickBot="1" x14ac:dyDescent="0.25">
      <c r="A8" s="554" t="s">
        <v>434</v>
      </c>
      <c r="B8" s="555"/>
      <c r="C8" s="555"/>
      <c r="D8" s="555"/>
      <c r="E8" s="556" t="s">
        <v>178</v>
      </c>
      <c r="F8" s="548" t="s">
        <v>335</v>
      </c>
      <c r="G8" s="548" t="s">
        <v>336</v>
      </c>
      <c r="H8" s="548" t="s">
        <v>405</v>
      </c>
      <c r="I8" s="548" t="s">
        <v>407</v>
      </c>
      <c r="J8" s="551" t="s">
        <v>541</v>
      </c>
      <c r="K8" s="548" t="s">
        <v>406</v>
      </c>
      <c r="L8" s="548" t="s">
        <v>82</v>
      </c>
      <c r="N8" s="366">
        <v>71</v>
      </c>
      <c r="O8" s="417">
        <f>SUM(O3:O7)</f>
        <v>1362695.1754999999</v>
      </c>
      <c r="Q8" s="72"/>
    </row>
    <row r="9" spans="1:18" ht="136.5" customHeight="1" thickBot="1" x14ac:dyDescent="0.25">
      <c r="A9" s="295" t="s">
        <v>169</v>
      </c>
      <c r="B9" s="296" t="s">
        <v>172</v>
      </c>
      <c r="C9" s="297" t="s">
        <v>180</v>
      </c>
      <c r="D9" s="298" t="s">
        <v>117</v>
      </c>
      <c r="E9" s="557"/>
      <c r="F9" s="549"/>
      <c r="G9" s="549"/>
      <c r="H9" s="549"/>
      <c r="I9" s="549"/>
      <c r="J9" s="549"/>
      <c r="K9" s="549"/>
      <c r="L9" s="549"/>
      <c r="N9" s="366" t="s">
        <v>493</v>
      </c>
      <c r="O9" s="368"/>
      <c r="Q9" s="72"/>
    </row>
    <row r="10" spans="1:18" s="122" customFormat="1" ht="15.75" customHeight="1" x14ac:dyDescent="0.2">
      <c r="A10" s="292">
        <v>1</v>
      </c>
      <c r="B10" s="299" t="s">
        <v>50</v>
      </c>
      <c r="C10" s="299" t="s">
        <v>56</v>
      </c>
      <c r="D10" s="438">
        <v>51101</v>
      </c>
      <c r="E10" s="512" t="s">
        <v>37</v>
      </c>
      <c r="F10" s="439">
        <v>40200</v>
      </c>
      <c r="G10" s="439">
        <f>11339.87*12</f>
        <v>136078.44</v>
      </c>
      <c r="H10" s="439">
        <f>25488.72*12</f>
        <v>305864.64</v>
      </c>
      <c r="I10" s="439">
        <f>3492.18*12</f>
        <v>41906.159999999996</v>
      </c>
      <c r="J10" s="439">
        <f>2150.84*12</f>
        <v>25810.080000000002</v>
      </c>
      <c r="K10" s="439">
        <f>19108.24*12</f>
        <v>229298.88</v>
      </c>
      <c r="L10" s="440">
        <f>SUM(F10:K10)</f>
        <v>779158.2</v>
      </c>
      <c r="M10" s="121"/>
      <c r="N10" s="369"/>
      <c r="O10" s="370">
        <f>SUM(L10:L23)</f>
        <v>1074799.6754999999</v>
      </c>
      <c r="P10" s="369"/>
      <c r="Q10" s="369"/>
    </row>
    <row r="11" spans="1:18" s="122" customFormat="1" ht="15.75" customHeight="1" x14ac:dyDescent="0.2">
      <c r="A11" s="292">
        <f>A10+1</f>
        <v>2</v>
      </c>
      <c r="B11" s="299" t="s">
        <v>50</v>
      </c>
      <c r="C11" s="299" t="s">
        <v>56</v>
      </c>
      <c r="D11" s="438">
        <v>51103</v>
      </c>
      <c r="E11" s="513" t="s">
        <v>38</v>
      </c>
      <c r="F11" s="439">
        <f>F10/12</f>
        <v>3350</v>
      </c>
      <c r="G11" s="439">
        <f>G10/12</f>
        <v>11339.87</v>
      </c>
      <c r="H11" s="439">
        <f t="shared" ref="H11:K11" si="0">H10/12</f>
        <v>25488.720000000001</v>
      </c>
      <c r="I11" s="439">
        <f t="shared" si="0"/>
        <v>3492.18</v>
      </c>
      <c r="J11" s="439">
        <f t="shared" si="0"/>
        <v>2150.84</v>
      </c>
      <c r="K11" s="439">
        <f t="shared" si="0"/>
        <v>19108.240000000002</v>
      </c>
      <c r="L11" s="439">
        <f>SUM(F11:K11)</f>
        <v>64929.850000000006</v>
      </c>
      <c r="M11" s="121"/>
      <c r="N11" s="371"/>
      <c r="O11" s="369">
        <v>51</v>
      </c>
      <c r="P11" s="371">
        <f>SUM(L10:L23)</f>
        <v>1074799.6754999999</v>
      </c>
      <c r="Q11" s="369"/>
    </row>
    <row r="12" spans="1:18" s="122" customFormat="1" ht="15.75" customHeight="1" x14ac:dyDescent="0.2">
      <c r="A12" s="292">
        <f t="shared" ref="A12:A76" si="1">A11+1</f>
        <v>3</v>
      </c>
      <c r="B12" s="299" t="s">
        <v>50</v>
      </c>
      <c r="C12" s="299" t="s">
        <v>56</v>
      </c>
      <c r="D12" s="438">
        <v>51105</v>
      </c>
      <c r="E12" s="441" t="s">
        <v>75</v>
      </c>
      <c r="F12" s="439">
        <v>0</v>
      </c>
      <c r="G12" s="439"/>
      <c r="H12" s="439"/>
      <c r="I12" s="439"/>
      <c r="J12" s="439"/>
      <c r="K12" s="439"/>
      <c r="L12" s="440">
        <f t="shared" ref="L12:L74" si="2">SUM(F12:K12)</f>
        <v>0</v>
      </c>
      <c r="M12" s="121"/>
      <c r="N12" s="369"/>
      <c r="O12" s="371">
        <v>54</v>
      </c>
      <c r="P12" s="371">
        <f>SUM(L24:L66)</f>
        <v>238228.8</v>
      </c>
      <c r="Q12" s="369"/>
    </row>
    <row r="13" spans="1:18" s="122" customFormat="1" ht="15.75" customHeight="1" x14ac:dyDescent="0.2">
      <c r="A13" s="292">
        <f t="shared" si="1"/>
        <v>4</v>
      </c>
      <c r="B13" s="299" t="s">
        <v>50</v>
      </c>
      <c r="C13" s="299" t="s">
        <v>56</v>
      </c>
      <c r="D13" s="438">
        <v>51107</v>
      </c>
      <c r="E13" s="441" t="s">
        <v>340</v>
      </c>
      <c r="F13" s="439">
        <v>300</v>
      </c>
      <c r="G13" s="439">
        <v>1100</v>
      </c>
      <c r="H13" s="439">
        <v>2700</v>
      </c>
      <c r="I13" s="439">
        <v>450</v>
      </c>
      <c r="J13" s="439">
        <v>200</v>
      </c>
      <c r="K13" s="439">
        <v>2350</v>
      </c>
      <c r="L13" s="440">
        <f t="shared" si="2"/>
        <v>7100</v>
      </c>
      <c r="M13" s="121"/>
      <c r="N13" s="369"/>
      <c r="O13" s="369">
        <v>55</v>
      </c>
      <c r="P13" s="371">
        <f>SUM(L67:L72)</f>
        <v>9800</v>
      </c>
      <c r="Q13" s="369"/>
    </row>
    <row r="14" spans="1:18" s="122" customFormat="1" ht="15.75" customHeight="1" x14ac:dyDescent="0.2">
      <c r="A14" s="292">
        <f t="shared" si="1"/>
        <v>5</v>
      </c>
      <c r="B14" s="299" t="s">
        <v>50</v>
      </c>
      <c r="C14" s="299" t="s">
        <v>56</v>
      </c>
      <c r="D14" s="438">
        <v>51201</v>
      </c>
      <c r="E14" s="441" t="s">
        <v>37</v>
      </c>
      <c r="F14" s="439">
        <v>1000</v>
      </c>
      <c r="G14" s="439">
        <v>1000</v>
      </c>
      <c r="H14" s="439">
        <v>2000</v>
      </c>
      <c r="I14" s="439">
        <v>800</v>
      </c>
      <c r="J14" s="439">
        <v>800</v>
      </c>
      <c r="K14" s="439">
        <v>2000</v>
      </c>
      <c r="L14" s="440">
        <f t="shared" si="2"/>
        <v>7600</v>
      </c>
      <c r="M14" s="121"/>
      <c r="N14" s="369"/>
      <c r="O14" s="369">
        <v>56</v>
      </c>
      <c r="P14" s="371">
        <f>SUM(L73:L75)</f>
        <v>35000</v>
      </c>
      <c r="Q14" s="369"/>
    </row>
    <row r="15" spans="1:18" s="122" customFormat="1" ht="15.75" customHeight="1" x14ac:dyDescent="0.2">
      <c r="A15" s="292">
        <f t="shared" si="1"/>
        <v>6</v>
      </c>
      <c r="B15" s="299" t="s">
        <v>50</v>
      </c>
      <c r="C15" s="293" t="s">
        <v>56</v>
      </c>
      <c r="D15" s="438">
        <v>51202</v>
      </c>
      <c r="E15" s="441" t="s">
        <v>206</v>
      </c>
      <c r="F15" s="439"/>
      <c r="G15" s="439">
        <v>0</v>
      </c>
      <c r="H15" s="439">
        <v>0</v>
      </c>
      <c r="I15" s="439"/>
      <c r="J15" s="439"/>
      <c r="K15" s="439">
        <v>1000</v>
      </c>
      <c r="L15" s="440">
        <f t="shared" ref="L15:L24" si="3">SUM(F15:K15)</f>
        <v>1000</v>
      </c>
      <c r="M15" s="121"/>
      <c r="N15" s="369"/>
      <c r="O15" s="369">
        <v>61</v>
      </c>
      <c r="P15" s="371">
        <f>SUM(L76:L80)</f>
        <v>4866.7</v>
      </c>
      <c r="Q15" s="369"/>
    </row>
    <row r="16" spans="1:18" s="122" customFormat="1" ht="15.75" customHeight="1" x14ac:dyDescent="0.2">
      <c r="A16" s="292">
        <f t="shared" si="1"/>
        <v>7</v>
      </c>
      <c r="B16" s="299" t="s">
        <v>50</v>
      </c>
      <c r="C16" s="293" t="s">
        <v>56</v>
      </c>
      <c r="D16" s="438">
        <v>51301</v>
      </c>
      <c r="E16" s="441" t="s">
        <v>408</v>
      </c>
      <c r="F16" s="439">
        <v>500</v>
      </c>
      <c r="G16" s="439">
        <v>500</v>
      </c>
      <c r="H16" s="439">
        <v>1500</v>
      </c>
      <c r="I16" s="439">
        <v>1500</v>
      </c>
      <c r="J16" s="439">
        <v>0</v>
      </c>
      <c r="K16" s="439">
        <v>1500</v>
      </c>
      <c r="L16" s="440">
        <f t="shared" si="3"/>
        <v>5500</v>
      </c>
      <c r="M16" s="121"/>
      <c r="N16" s="369"/>
      <c r="O16" s="369">
        <v>72</v>
      </c>
      <c r="P16" s="371">
        <f>SUM(L81)</f>
        <v>60458.6</v>
      </c>
      <c r="Q16" s="369"/>
    </row>
    <row r="17" spans="1:17" s="122" customFormat="1" ht="15.75" customHeight="1" x14ac:dyDescent="0.2">
      <c r="A17" s="292">
        <f t="shared" si="1"/>
        <v>8</v>
      </c>
      <c r="B17" s="299" t="s">
        <v>50</v>
      </c>
      <c r="C17" s="293" t="s">
        <v>56</v>
      </c>
      <c r="D17" s="438">
        <v>51401</v>
      </c>
      <c r="E17" s="441" t="s">
        <v>481</v>
      </c>
      <c r="F17" s="439">
        <f>F10*7.5%+900</f>
        <v>3915</v>
      </c>
      <c r="G17" s="439">
        <f t="shared" ref="G17:K17" si="4">G10*7.5%</f>
        <v>10205.883</v>
      </c>
      <c r="H17" s="439">
        <f>H10*7.5%</f>
        <v>22939.848000000002</v>
      </c>
      <c r="I17" s="439">
        <f t="shared" si="4"/>
        <v>3142.9619999999995</v>
      </c>
      <c r="J17" s="439">
        <f t="shared" si="4"/>
        <v>1935.7560000000001</v>
      </c>
      <c r="K17" s="439">
        <f t="shared" si="4"/>
        <v>17197.416000000001</v>
      </c>
      <c r="L17" s="439">
        <f t="shared" si="3"/>
        <v>59336.865000000005</v>
      </c>
      <c r="M17" s="121"/>
      <c r="N17" s="369"/>
      <c r="O17" s="369"/>
      <c r="P17" s="369"/>
      <c r="Q17" s="369"/>
    </row>
    <row r="18" spans="1:17" s="122" customFormat="1" ht="15.75" customHeight="1" x14ac:dyDescent="0.2">
      <c r="A18" s="292">
        <f t="shared" si="1"/>
        <v>9</v>
      </c>
      <c r="B18" s="299" t="s">
        <v>50</v>
      </c>
      <c r="C18" s="293" t="s">
        <v>56</v>
      </c>
      <c r="D18" s="438">
        <v>51501</v>
      </c>
      <c r="E18" s="441" t="s">
        <v>482</v>
      </c>
      <c r="F18" s="439">
        <f>F10*7.75%+2790</f>
        <v>5905.5</v>
      </c>
      <c r="G18" s="439">
        <f t="shared" ref="G18:K18" si="5">G10*7.75%</f>
        <v>10546.079100000001</v>
      </c>
      <c r="H18" s="439">
        <f>H10*7.75%</f>
        <v>23704.509600000001</v>
      </c>
      <c r="I18" s="439">
        <f t="shared" si="5"/>
        <v>3247.7273999999998</v>
      </c>
      <c r="J18" s="439">
        <f t="shared" si="5"/>
        <v>2000.2812000000001</v>
      </c>
      <c r="K18" s="439">
        <f t="shared" si="5"/>
        <v>17770.663199999999</v>
      </c>
      <c r="L18" s="439">
        <f t="shared" si="3"/>
        <v>63174.760500000004</v>
      </c>
      <c r="M18" s="121"/>
      <c r="N18" s="372">
        <f>SUM(L10:L23)</f>
        <v>1074799.6754999999</v>
      </c>
      <c r="O18" s="369"/>
      <c r="P18" s="369"/>
      <c r="Q18" s="369"/>
    </row>
    <row r="19" spans="1:17" s="122" customFormat="1" ht="15.75" customHeight="1" x14ac:dyDescent="0.2">
      <c r="A19" s="292">
        <f t="shared" si="1"/>
        <v>10</v>
      </c>
      <c r="B19" s="293" t="s">
        <v>50</v>
      </c>
      <c r="C19" s="293" t="s">
        <v>56</v>
      </c>
      <c r="D19" s="442">
        <v>51601</v>
      </c>
      <c r="E19" s="443" t="s">
        <v>261</v>
      </c>
      <c r="F19" s="444">
        <v>18000</v>
      </c>
      <c r="G19" s="444"/>
      <c r="H19" s="444"/>
      <c r="I19" s="444">
        <v>0</v>
      </c>
      <c r="J19" s="444"/>
      <c r="K19" s="439"/>
      <c r="L19" s="440">
        <f t="shared" si="3"/>
        <v>18000</v>
      </c>
      <c r="M19" s="121"/>
      <c r="N19" s="369"/>
      <c r="O19" s="484"/>
      <c r="P19" s="484"/>
    </row>
    <row r="20" spans="1:17" s="122" customFormat="1" ht="15.75" customHeight="1" x14ac:dyDescent="0.2">
      <c r="A20" s="292">
        <f t="shared" si="1"/>
        <v>11</v>
      </c>
      <c r="B20" s="293" t="s">
        <v>50</v>
      </c>
      <c r="C20" s="293" t="s">
        <v>56</v>
      </c>
      <c r="D20" s="442">
        <v>51602</v>
      </c>
      <c r="E20" s="443" t="s">
        <v>409</v>
      </c>
      <c r="F20" s="444">
        <v>7000</v>
      </c>
      <c r="G20" s="444"/>
      <c r="H20" s="444"/>
      <c r="I20" s="444">
        <v>0</v>
      </c>
      <c r="J20" s="444"/>
      <c r="K20" s="439"/>
      <c r="L20" s="440">
        <f t="shared" si="3"/>
        <v>7000</v>
      </c>
      <c r="M20" s="121"/>
      <c r="N20" s="129"/>
      <c r="O20" s="484"/>
      <c r="P20" s="484"/>
    </row>
    <row r="21" spans="1:17" s="122" customFormat="1" ht="15.75" customHeight="1" x14ac:dyDescent="0.2">
      <c r="A21" s="292">
        <f t="shared" si="1"/>
        <v>12</v>
      </c>
      <c r="B21" s="293" t="s">
        <v>50</v>
      </c>
      <c r="C21" s="293" t="s">
        <v>56</v>
      </c>
      <c r="D21" s="442">
        <v>51701</v>
      </c>
      <c r="E21" s="443" t="s">
        <v>339</v>
      </c>
      <c r="F21" s="444">
        <v>2000</v>
      </c>
      <c r="G21" s="444">
        <v>3000</v>
      </c>
      <c r="H21" s="444">
        <v>6000</v>
      </c>
      <c r="I21" s="444">
        <v>2000</v>
      </c>
      <c r="J21" s="444">
        <v>1000</v>
      </c>
      <c r="K21" s="439">
        <v>8000</v>
      </c>
      <c r="L21" s="440">
        <f t="shared" si="3"/>
        <v>22000</v>
      </c>
      <c r="M21" s="121"/>
      <c r="O21" s="484"/>
      <c r="P21" s="484"/>
    </row>
    <row r="22" spans="1:17" s="122" customFormat="1" ht="15.75" customHeight="1" x14ac:dyDescent="0.2">
      <c r="A22" s="292">
        <f t="shared" si="1"/>
        <v>13</v>
      </c>
      <c r="B22" s="293" t="s">
        <v>50</v>
      </c>
      <c r="C22" s="293" t="s">
        <v>56</v>
      </c>
      <c r="D22" s="442">
        <v>51901</v>
      </c>
      <c r="E22" s="443" t="s">
        <v>275</v>
      </c>
      <c r="F22" s="444">
        <v>38500</v>
      </c>
      <c r="G22" s="445">
        <v>0</v>
      </c>
      <c r="H22" s="445">
        <v>0</v>
      </c>
      <c r="I22" s="445">
        <v>0</v>
      </c>
      <c r="J22" s="445">
        <v>0</v>
      </c>
      <c r="K22" s="445">
        <v>0</v>
      </c>
      <c r="L22" s="440">
        <f t="shared" si="3"/>
        <v>38500</v>
      </c>
      <c r="M22" s="121"/>
      <c r="N22" s="129"/>
      <c r="O22" s="484"/>
      <c r="P22" s="484"/>
    </row>
    <row r="23" spans="1:17" s="122" customFormat="1" ht="15.75" customHeight="1" x14ac:dyDescent="0.2">
      <c r="A23" s="292">
        <f t="shared" si="1"/>
        <v>14</v>
      </c>
      <c r="B23" s="293" t="s">
        <v>50</v>
      </c>
      <c r="C23" s="293" t="s">
        <v>56</v>
      </c>
      <c r="D23" s="442">
        <v>51999</v>
      </c>
      <c r="E23" s="443" t="s">
        <v>223</v>
      </c>
      <c r="F23" s="444">
        <v>1500</v>
      </c>
      <c r="G23" s="445">
        <v>0</v>
      </c>
      <c r="H23" s="445">
        <v>0</v>
      </c>
      <c r="I23" s="445">
        <v>0</v>
      </c>
      <c r="J23" s="445">
        <v>0</v>
      </c>
      <c r="K23" s="445">
        <v>0</v>
      </c>
      <c r="L23" s="440">
        <f t="shared" si="3"/>
        <v>1500</v>
      </c>
      <c r="M23" s="121"/>
      <c r="N23" s="129"/>
      <c r="O23" s="484"/>
      <c r="P23" s="484"/>
    </row>
    <row r="24" spans="1:17" s="122" customFormat="1" ht="15.75" customHeight="1" x14ac:dyDescent="0.2">
      <c r="A24" s="292">
        <f t="shared" si="1"/>
        <v>15</v>
      </c>
      <c r="B24" s="293" t="s">
        <v>50</v>
      </c>
      <c r="C24" s="293" t="s">
        <v>56</v>
      </c>
      <c r="D24" s="442">
        <v>54101</v>
      </c>
      <c r="E24" s="443" t="s">
        <v>40</v>
      </c>
      <c r="F24" s="444">
        <v>1500</v>
      </c>
      <c r="G24" s="445">
        <v>0</v>
      </c>
      <c r="H24" s="445">
        <v>0</v>
      </c>
      <c r="I24" s="445">
        <v>0</v>
      </c>
      <c r="J24" s="445">
        <v>0</v>
      </c>
      <c r="K24" s="445">
        <v>0</v>
      </c>
      <c r="L24" s="440">
        <f t="shared" si="3"/>
        <v>1500</v>
      </c>
      <c r="M24" s="121"/>
      <c r="N24" s="369"/>
      <c r="O24" s="371"/>
    </row>
    <row r="25" spans="1:17" s="122" customFormat="1" ht="15.75" customHeight="1" x14ac:dyDescent="0.2">
      <c r="A25" s="292">
        <f t="shared" si="1"/>
        <v>16</v>
      </c>
      <c r="B25" s="293" t="s">
        <v>50</v>
      </c>
      <c r="C25" s="293" t="s">
        <v>56</v>
      </c>
      <c r="D25" s="442">
        <v>54103</v>
      </c>
      <c r="E25" s="443" t="s">
        <v>227</v>
      </c>
      <c r="F25" s="444">
        <v>800</v>
      </c>
      <c r="G25" s="445">
        <v>0</v>
      </c>
      <c r="H25" s="445">
        <v>0</v>
      </c>
      <c r="I25" s="445">
        <v>0</v>
      </c>
      <c r="J25" s="445">
        <v>0</v>
      </c>
      <c r="K25" s="445">
        <v>0</v>
      </c>
      <c r="L25" s="440">
        <f t="shared" si="2"/>
        <v>800</v>
      </c>
      <c r="M25" s="121"/>
      <c r="N25" s="371"/>
      <c r="O25" s="369"/>
    </row>
    <row r="26" spans="1:17" s="122" customFormat="1" ht="15.75" customHeight="1" x14ac:dyDescent="0.2">
      <c r="A26" s="292">
        <f t="shared" si="1"/>
        <v>17</v>
      </c>
      <c r="B26" s="293" t="s">
        <v>50</v>
      </c>
      <c r="C26" s="293" t="s">
        <v>56</v>
      </c>
      <c r="D26" s="442">
        <v>54104</v>
      </c>
      <c r="E26" s="443" t="s">
        <v>207</v>
      </c>
      <c r="F26" s="444">
        <v>3000</v>
      </c>
      <c r="G26" s="445">
        <v>0</v>
      </c>
      <c r="H26" s="445">
        <v>0</v>
      </c>
      <c r="I26" s="445">
        <v>0</v>
      </c>
      <c r="J26" s="445">
        <v>0</v>
      </c>
      <c r="K26" s="445">
        <v>0</v>
      </c>
      <c r="L26" s="440">
        <f t="shared" si="2"/>
        <v>3000</v>
      </c>
      <c r="M26" s="121"/>
      <c r="N26" s="383">
        <v>4000</v>
      </c>
      <c r="O26" s="369"/>
    </row>
    <row r="27" spans="1:17" s="122" customFormat="1" ht="15.75" customHeight="1" x14ac:dyDescent="0.2">
      <c r="A27" s="292">
        <f t="shared" si="1"/>
        <v>18</v>
      </c>
      <c r="B27" s="293" t="s">
        <v>50</v>
      </c>
      <c r="C27" s="293" t="s">
        <v>56</v>
      </c>
      <c r="D27" s="442">
        <v>54105</v>
      </c>
      <c r="E27" s="443" t="s">
        <v>41</v>
      </c>
      <c r="F27" s="444">
        <v>500</v>
      </c>
      <c r="G27" s="445">
        <v>0</v>
      </c>
      <c r="H27" s="445">
        <v>0</v>
      </c>
      <c r="I27" s="445">
        <v>0</v>
      </c>
      <c r="J27" s="445">
        <v>0</v>
      </c>
      <c r="K27" s="445">
        <v>0</v>
      </c>
      <c r="L27" s="440">
        <f t="shared" si="2"/>
        <v>500</v>
      </c>
      <c r="M27" s="121"/>
      <c r="N27" s="372"/>
      <c r="O27" s="369"/>
    </row>
    <row r="28" spans="1:17" s="122" customFormat="1" ht="15.75" customHeight="1" x14ac:dyDescent="0.2">
      <c r="A28" s="292">
        <f t="shared" si="1"/>
        <v>19</v>
      </c>
      <c r="B28" s="293" t="s">
        <v>50</v>
      </c>
      <c r="C28" s="293" t="s">
        <v>56</v>
      </c>
      <c r="D28" s="442">
        <v>54106</v>
      </c>
      <c r="E28" s="443" t="s">
        <v>208</v>
      </c>
      <c r="F28" s="444">
        <v>500</v>
      </c>
      <c r="G28" s="445">
        <v>0</v>
      </c>
      <c r="H28" s="445">
        <v>0</v>
      </c>
      <c r="I28" s="445">
        <v>0</v>
      </c>
      <c r="J28" s="445">
        <v>0</v>
      </c>
      <c r="K28" s="445">
        <v>0</v>
      </c>
      <c r="L28" s="440">
        <f t="shared" si="2"/>
        <v>500</v>
      </c>
      <c r="M28" s="121"/>
      <c r="N28" s="369"/>
      <c r="O28" s="369"/>
    </row>
    <row r="29" spans="1:17" s="122" customFormat="1" ht="15.75" customHeight="1" x14ac:dyDescent="0.2">
      <c r="A29" s="292">
        <f t="shared" si="1"/>
        <v>20</v>
      </c>
      <c r="B29" s="293" t="s">
        <v>50</v>
      </c>
      <c r="C29" s="293" t="s">
        <v>56</v>
      </c>
      <c r="D29" s="442">
        <v>54107</v>
      </c>
      <c r="E29" s="443" t="s">
        <v>209</v>
      </c>
      <c r="F29" s="444">
        <v>3500</v>
      </c>
      <c r="G29" s="445">
        <v>0</v>
      </c>
      <c r="H29" s="445">
        <v>0</v>
      </c>
      <c r="I29" s="445">
        <v>0</v>
      </c>
      <c r="J29" s="445">
        <v>0</v>
      </c>
      <c r="K29" s="445">
        <v>0</v>
      </c>
      <c r="L29" s="440">
        <f t="shared" si="2"/>
        <v>3500</v>
      </c>
      <c r="M29" s="121"/>
      <c r="N29" s="371">
        <v>3000</v>
      </c>
      <c r="O29" s="369"/>
    </row>
    <row r="30" spans="1:17" s="122" customFormat="1" ht="15.75" customHeight="1" x14ac:dyDescent="0.2">
      <c r="A30" s="292">
        <f t="shared" si="1"/>
        <v>21</v>
      </c>
      <c r="B30" s="293" t="s">
        <v>50</v>
      </c>
      <c r="C30" s="293" t="s">
        <v>56</v>
      </c>
      <c r="D30" s="442">
        <v>54109</v>
      </c>
      <c r="E30" s="443" t="s">
        <v>210</v>
      </c>
      <c r="F30" s="444">
        <v>0</v>
      </c>
      <c r="G30" s="445">
        <v>0</v>
      </c>
      <c r="H30" s="445">
        <v>0</v>
      </c>
      <c r="I30" s="445">
        <v>0</v>
      </c>
      <c r="J30" s="445">
        <v>0</v>
      </c>
      <c r="K30" s="445">
        <v>0</v>
      </c>
      <c r="L30" s="440">
        <f>SUM(F30:K30)</f>
        <v>0</v>
      </c>
      <c r="M30" s="121"/>
      <c r="N30" s="369"/>
      <c r="O30" s="369"/>
    </row>
    <row r="31" spans="1:17" s="122" customFormat="1" ht="15.75" customHeight="1" x14ac:dyDescent="0.2">
      <c r="A31" s="292">
        <f t="shared" si="1"/>
        <v>22</v>
      </c>
      <c r="B31" s="293" t="s">
        <v>50</v>
      </c>
      <c r="C31" s="293" t="s">
        <v>56</v>
      </c>
      <c r="D31" s="442">
        <v>54110</v>
      </c>
      <c r="E31" s="443" t="s">
        <v>42</v>
      </c>
      <c r="F31" s="444">
        <v>800</v>
      </c>
      <c r="G31" s="445">
        <v>0</v>
      </c>
      <c r="H31" s="445">
        <v>0</v>
      </c>
      <c r="I31" s="445">
        <v>0</v>
      </c>
      <c r="J31" s="445">
        <v>0</v>
      </c>
      <c r="K31" s="445">
        <v>0</v>
      </c>
      <c r="L31" s="440">
        <f t="shared" si="2"/>
        <v>800</v>
      </c>
      <c r="M31" s="121"/>
      <c r="N31" s="369"/>
      <c r="O31" s="369"/>
    </row>
    <row r="32" spans="1:17" s="122" customFormat="1" ht="15.75" customHeight="1" x14ac:dyDescent="0.2">
      <c r="A32" s="292">
        <f t="shared" si="1"/>
        <v>23</v>
      </c>
      <c r="B32" s="293" t="s">
        <v>50</v>
      </c>
      <c r="C32" s="293" t="s">
        <v>56</v>
      </c>
      <c r="D32" s="442">
        <v>54111</v>
      </c>
      <c r="E32" s="443" t="s">
        <v>211</v>
      </c>
      <c r="F32" s="444">
        <v>1000</v>
      </c>
      <c r="G32" s="445">
        <v>0</v>
      </c>
      <c r="H32" s="445">
        <v>0</v>
      </c>
      <c r="I32" s="445">
        <v>0</v>
      </c>
      <c r="J32" s="445">
        <v>0</v>
      </c>
      <c r="K32" s="445">
        <v>0</v>
      </c>
      <c r="L32" s="440">
        <f t="shared" si="2"/>
        <v>1000</v>
      </c>
      <c r="M32" s="121"/>
      <c r="N32" s="369"/>
      <c r="O32" s="369"/>
    </row>
    <row r="33" spans="1:15" s="122" customFormat="1" ht="15.75" customHeight="1" x14ac:dyDescent="0.2">
      <c r="A33" s="292">
        <f t="shared" si="1"/>
        <v>24</v>
      </c>
      <c r="B33" s="293" t="s">
        <v>50</v>
      </c>
      <c r="C33" s="293" t="s">
        <v>56</v>
      </c>
      <c r="D33" s="442">
        <v>54112</v>
      </c>
      <c r="E33" s="443" t="s">
        <v>212</v>
      </c>
      <c r="F33" s="444">
        <v>1000</v>
      </c>
      <c r="G33" s="445">
        <v>0</v>
      </c>
      <c r="H33" s="445">
        <v>0</v>
      </c>
      <c r="I33" s="445">
        <v>0</v>
      </c>
      <c r="J33" s="445">
        <v>0</v>
      </c>
      <c r="K33" s="445">
        <v>0</v>
      </c>
      <c r="L33" s="440">
        <f t="shared" si="2"/>
        <v>1000</v>
      </c>
      <c r="M33" s="121"/>
      <c r="N33" s="369"/>
      <c r="O33" s="369"/>
    </row>
    <row r="34" spans="1:15" s="122" customFormat="1" ht="15.75" customHeight="1" x14ac:dyDescent="0.2">
      <c r="A34" s="292">
        <f t="shared" si="1"/>
        <v>25</v>
      </c>
      <c r="B34" s="293" t="s">
        <v>50</v>
      </c>
      <c r="C34" s="293" t="s">
        <v>56</v>
      </c>
      <c r="D34" s="442">
        <v>54114</v>
      </c>
      <c r="E34" s="443" t="s">
        <v>43</v>
      </c>
      <c r="F34" s="444">
        <v>9000</v>
      </c>
      <c r="G34" s="445">
        <v>0</v>
      </c>
      <c r="H34" s="445">
        <v>0</v>
      </c>
      <c r="I34" s="445">
        <v>0</v>
      </c>
      <c r="J34" s="445">
        <v>0</v>
      </c>
      <c r="K34" s="445">
        <v>0</v>
      </c>
      <c r="L34" s="440">
        <f t="shared" si="2"/>
        <v>9000</v>
      </c>
      <c r="M34" s="121"/>
      <c r="N34" s="369"/>
      <c r="O34" s="369"/>
    </row>
    <row r="35" spans="1:15" s="122" customFormat="1" ht="15.75" customHeight="1" x14ac:dyDescent="0.2">
      <c r="A35" s="292">
        <f t="shared" si="1"/>
        <v>26</v>
      </c>
      <c r="B35" s="293" t="s">
        <v>50</v>
      </c>
      <c r="C35" s="293" t="s">
        <v>56</v>
      </c>
      <c r="D35" s="442">
        <v>54115</v>
      </c>
      <c r="E35" s="443" t="s">
        <v>80</v>
      </c>
      <c r="F35" s="444">
        <v>2500</v>
      </c>
      <c r="G35" s="445">
        <v>0</v>
      </c>
      <c r="H35" s="445">
        <v>0</v>
      </c>
      <c r="I35" s="445">
        <v>0</v>
      </c>
      <c r="J35" s="445">
        <v>0</v>
      </c>
      <c r="K35" s="445">
        <v>0</v>
      </c>
      <c r="L35" s="440">
        <f t="shared" si="2"/>
        <v>2500</v>
      </c>
      <c r="M35" s="121"/>
      <c r="N35" s="369"/>
      <c r="O35" s="369"/>
    </row>
    <row r="36" spans="1:15" s="122" customFormat="1" ht="15.75" customHeight="1" x14ac:dyDescent="0.2">
      <c r="A36" s="292">
        <f t="shared" si="1"/>
        <v>27</v>
      </c>
      <c r="B36" s="293" t="s">
        <v>50</v>
      </c>
      <c r="C36" s="293" t="s">
        <v>56</v>
      </c>
      <c r="D36" s="442">
        <v>54116</v>
      </c>
      <c r="E36" s="443" t="s">
        <v>435</v>
      </c>
      <c r="F36" s="444">
        <v>500</v>
      </c>
      <c r="G36" s="445">
        <v>0</v>
      </c>
      <c r="H36" s="445">
        <v>0</v>
      </c>
      <c r="I36" s="445">
        <v>0</v>
      </c>
      <c r="J36" s="445">
        <v>0</v>
      </c>
      <c r="K36" s="445">
        <v>0</v>
      </c>
      <c r="L36" s="440">
        <f t="shared" si="2"/>
        <v>500</v>
      </c>
      <c r="M36" s="121"/>
      <c r="N36" s="369"/>
      <c r="O36" s="369"/>
    </row>
    <row r="37" spans="1:15" s="122" customFormat="1" ht="15.75" customHeight="1" x14ac:dyDescent="0.2">
      <c r="A37" s="292">
        <f t="shared" si="1"/>
        <v>28</v>
      </c>
      <c r="B37" s="293" t="s">
        <v>50</v>
      </c>
      <c r="C37" s="293" t="s">
        <v>56</v>
      </c>
      <c r="D37" s="442">
        <v>54117</v>
      </c>
      <c r="E37" s="443" t="s">
        <v>410</v>
      </c>
      <c r="F37" s="444">
        <v>0</v>
      </c>
      <c r="G37" s="445">
        <v>0</v>
      </c>
      <c r="H37" s="445">
        <v>0</v>
      </c>
      <c r="I37" s="445">
        <v>0</v>
      </c>
      <c r="J37" s="445">
        <v>0</v>
      </c>
      <c r="K37" s="445">
        <v>0</v>
      </c>
      <c r="L37" s="440">
        <f t="shared" si="2"/>
        <v>0</v>
      </c>
      <c r="M37" s="121"/>
      <c r="N37" s="369"/>
      <c r="O37" s="369"/>
    </row>
    <row r="38" spans="1:15" s="122" customFormat="1" ht="15.75" customHeight="1" x14ac:dyDescent="0.2">
      <c r="A38" s="292">
        <f t="shared" si="1"/>
        <v>29</v>
      </c>
      <c r="B38" s="293" t="s">
        <v>50</v>
      </c>
      <c r="C38" s="293" t="s">
        <v>56</v>
      </c>
      <c r="D38" s="442">
        <v>54118</v>
      </c>
      <c r="E38" s="443" t="s">
        <v>213</v>
      </c>
      <c r="F38" s="444">
        <v>3000</v>
      </c>
      <c r="G38" s="445">
        <v>0</v>
      </c>
      <c r="H38" s="445">
        <v>0</v>
      </c>
      <c r="I38" s="445">
        <v>0</v>
      </c>
      <c r="J38" s="445">
        <v>0</v>
      </c>
      <c r="K38" s="445">
        <v>0</v>
      </c>
      <c r="L38" s="440">
        <f t="shared" si="2"/>
        <v>3000</v>
      </c>
      <c r="M38" s="121"/>
      <c r="N38" s="369"/>
      <c r="O38" s="369"/>
    </row>
    <row r="39" spans="1:15" s="122" customFormat="1" ht="15.75" customHeight="1" x14ac:dyDescent="0.2">
      <c r="A39" s="292">
        <f t="shared" si="1"/>
        <v>30</v>
      </c>
      <c r="B39" s="293" t="s">
        <v>50</v>
      </c>
      <c r="C39" s="293" t="s">
        <v>56</v>
      </c>
      <c r="D39" s="442">
        <v>54119</v>
      </c>
      <c r="E39" s="443" t="s">
        <v>104</v>
      </c>
      <c r="F39" s="444">
        <v>2500</v>
      </c>
      <c r="G39" s="445">
        <v>0</v>
      </c>
      <c r="H39" s="445">
        <v>0</v>
      </c>
      <c r="I39" s="445">
        <v>0</v>
      </c>
      <c r="J39" s="445">
        <v>0</v>
      </c>
      <c r="K39" s="445">
        <v>0</v>
      </c>
      <c r="L39" s="440">
        <f t="shared" si="2"/>
        <v>2500</v>
      </c>
      <c r="M39" s="121"/>
      <c r="N39" s="369"/>
      <c r="O39" s="369"/>
    </row>
    <row r="40" spans="1:15" s="122" customFormat="1" ht="15.75" customHeight="1" x14ac:dyDescent="0.2">
      <c r="A40" s="292">
        <f t="shared" si="1"/>
        <v>31</v>
      </c>
      <c r="B40" s="293" t="s">
        <v>50</v>
      </c>
      <c r="C40" s="293" t="s">
        <v>56</v>
      </c>
      <c r="D40" s="442">
        <v>54199</v>
      </c>
      <c r="E40" s="443" t="s">
        <v>214</v>
      </c>
      <c r="F40" s="444">
        <v>20000</v>
      </c>
      <c r="G40" s="445">
        <v>0</v>
      </c>
      <c r="H40" s="445">
        <v>0</v>
      </c>
      <c r="I40" s="445">
        <v>0</v>
      </c>
      <c r="J40" s="445">
        <v>0</v>
      </c>
      <c r="K40" s="445">
        <v>0</v>
      </c>
      <c r="L40" s="440">
        <f t="shared" si="2"/>
        <v>20000</v>
      </c>
      <c r="M40" s="121"/>
      <c r="N40" s="383">
        <v>11000</v>
      </c>
      <c r="O40" s="369"/>
    </row>
    <row r="41" spans="1:15" s="122" customFormat="1" ht="15.75" customHeight="1" x14ac:dyDescent="0.2">
      <c r="A41" s="292">
        <f t="shared" si="1"/>
        <v>32</v>
      </c>
      <c r="B41" s="293" t="s">
        <v>50</v>
      </c>
      <c r="C41" s="293" t="s">
        <v>56</v>
      </c>
      <c r="D41" s="442">
        <v>54201</v>
      </c>
      <c r="E41" s="443" t="s">
        <v>338</v>
      </c>
      <c r="F41" s="444">
        <v>100</v>
      </c>
      <c r="G41" s="445">
        <v>0</v>
      </c>
      <c r="H41" s="445">
        <v>0</v>
      </c>
      <c r="I41" s="445">
        <v>0</v>
      </c>
      <c r="J41" s="445">
        <v>0</v>
      </c>
      <c r="K41" s="445">
        <v>0</v>
      </c>
      <c r="L41" s="440">
        <f t="shared" si="2"/>
        <v>100</v>
      </c>
      <c r="N41" s="369"/>
      <c r="O41" s="369"/>
    </row>
    <row r="42" spans="1:15" s="122" customFormat="1" ht="15.75" customHeight="1" x14ac:dyDescent="0.2">
      <c r="A42" s="292">
        <f t="shared" si="1"/>
        <v>33</v>
      </c>
      <c r="B42" s="293" t="s">
        <v>50</v>
      </c>
      <c r="C42" s="293" t="s">
        <v>56</v>
      </c>
      <c r="D42" s="442">
        <v>54202</v>
      </c>
      <c r="E42" s="443" t="s">
        <v>45</v>
      </c>
      <c r="F42" s="444">
        <v>100</v>
      </c>
      <c r="G42" s="445">
        <v>0</v>
      </c>
      <c r="H42" s="445">
        <v>0</v>
      </c>
      <c r="I42" s="445">
        <v>0</v>
      </c>
      <c r="J42" s="445">
        <v>0</v>
      </c>
      <c r="K42" s="445">
        <v>0</v>
      </c>
      <c r="L42" s="440">
        <f t="shared" si="2"/>
        <v>100</v>
      </c>
      <c r="N42" s="369"/>
      <c r="O42" s="369"/>
    </row>
    <row r="43" spans="1:15" s="122" customFormat="1" ht="15.75" customHeight="1" x14ac:dyDescent="0.2">
      <c r="A43" s="292">
        <f t="shared" si="1"/>
        <v>34</v>
      </c>
      <c r="B43" s="293" t="s">
        <v>50</v>
      </c>
      <c r="C43" s="293" t="s">
        <v>56</v>
      </c>
      <c r="D43" s="442">
        <v>54203</v>
      </c>
      <c r="E43" s="443" t="s">
        <v>46</v>
      </c>
      <c r="F43" s="444">
        <v>100</v>
      </c>
      <c r="G43" s="445">
        <v>0</v>
      </c>
      <c r="H43" s="445">
        <v>0</v>
      </c>
      <c r="I43" s="445">
        <v>0</v>
      </c>
      <c r="J43" s="445">
        <v>0</v>
      </c>
      <c r="K43" s="445">
        <v>0</v>
      </c>
      <c r="L43" s="440">
        <f t="shared" si="2"/>
        <v>100</v>
      </c>
      <c r="N43" s="369"/>
      <c r="O43" s="369"/>
    </row>
    <row r="44" spans="1:15" s="122" customFormat="1" ht="15.75" customHeight="1" x14ac:dyDescent="0.2">
      <c r="A44" s="292">
        <f t="shared" si="1"/>
        <v>35</v>
      </c>
      <c r="B44" s="293" t="s">
        <v>50</v>
      </c>
      <c r="C44" s="293" t="s">
        <v>56</v>
      </c>
      <c r="D44" s="442">
        <v>54205</v>
      </c>
      <c r="E44" s="443" t="s">
        <v>25</v>
      </c>
      <c r="F44" s="444">
        <v>47000</v>
      </c>
      <c r="G44" s="445">
        <v>0</v>
      </c>
      <c r="H44" s="445">
        <v>0</v>
      </c>
      <c r="I44" s="445">
        <v>0</v>
      </c>
      <c r="J44" s="445">
        <v>0</v>
      </c>
      <c r="K44" s="445">
        <v>0</v>
      </c>
      <c r="L44" s="440">
        <f t="shared" si="2"/>
        <v>47000</v>
      </c>
      <c r="M44" s="121"/>
      <c r="N44" s="185"/>
    </row>
    <row r="45" spans="1:15" s="122" customFormat="1" ht="15.75" customHeight="1" x14ac:dyDescent="0.2">
      <c r="A45" s="292">
        <f t="shared" si="1"/>
        <v>36</v>
      </c>
      <c r="B45" s="293" t="s">
        <v>50</v>
      </c>
      <c r="C45" s="293" t="s">
        <v>56</v>
      </c>
      <c r="D45" s="442">
        <v>54301</v>
      </c>
      <c r="E45" s="443" t="s">
        <v>215</v>
      </c>
      <c r="F45" s="444">
        <v>2500</v>
      </c>
      <c r="G45" s="445">
        <v>0</v>
      </c>
      <c r="H45" s="445">
        <v>0</v>
      </c>
      <c r="I45" s="445">
        <v>0</v>
      </c>
      <c r="J45" s="445">
        <v>0</v>
      </c>
      <c r="K45" s="445">
        <v>0</v>
      </c>
      <c r="L45" s="440">
        <f t="shared" si="2"/>
        <v>2500</v>
      </c>
      <c r="M45" s="121"/>
    </row>
    <row r="46" spans="1:15" s="122" customFormat="1" ht="15.75" customHeight="1" x14ac:dyDescent="0.2">
      <c r="A46" s="292">
        <f t="shared" si="1"/>
        <v>37</v>
      </c>
      <c r="B46" s="293" t="s">
        <v>50</v>
      </c>
      <c r="C46" s="293" t="s">
        <v>56</v>
      </c>
      <c r="D46" s="442">
        <v>54302</v>
      </c>
      <c r="E46" s="443" t="s">
        <v>216</v>
      </c>
      <c r="F46" s="444">
        <v>1000</v>
      </c>
      <c r="G46" s="445">
        <v>0</v>
      </c>
      <c r="H46" s="445">
        <v>0</v>
      </c>
      <c r="I46" s="445">
        <v>0</v>
      </c>
      <c r="J46" s="445">
        <v>0</v>
      </c>
      <c r="K46" s="445">
        <v>0</v>
      </c>
      <c r="L46" s="440">
        <f t="shared" si="2"/>
        <v>1000</v>
      </c>
      <c r="M46" s="121"/>
      <c r="N46" s="185"/>
    </row>
    <row r="47" spans="1:15" s="122" customFormat="1" ht="15.75" customHeight="1" x14ac:dyDescent="0.2">
      <c r="A47" s="292">
        <f t="shared" si="1"/>
        <v>38</v>
      </c>
      <c r="B47" s="293" t="s">
        <v>50</v>
      </c>
      <c r="C47" s="293" t="s">
        <v>56</v>
      </c>
      <c r="D47" s="442">
        <v>54303</v>
      </c>
      <c r="E47" s="443" t="s">
        <v>217</v>
      </c>
      <c r="F47" s="444">
        <v>500</v>
      </c>
      <c r="G47" s="445">
        <v>0</v>
      </c>
      <c r="H47" s="445">
        <v>0</v>
      </c>
      <c r="I47" s="445">
        <v>0</v>
      </c>
      <c r="J47" s="445">
        <v>0</v>
      </c>
      <c r="K47" s="445">
        <v>0</v>
      </c>
      <c r="L47" s="440">
        <f t="shared" si="2"/>
        <v>500</v>
      </c>
      <c r="M47" s="121"/>
    </row>
    <row r="48" spans="1:15" s="122" customFormat="1" ht="15.75" customHeight="1" x14ac:dyDescent="0.2">
      <c r="A48" s="292">
        <f t="shared" si="1"/>
        <v>39</v>
      </c>
      <c r="B48" s="293" t="s">
        <v>50</v>
      </c>
      <c r="C48" s="293" t="s">
        <v>56</v>
      </c>
      <c r="D48" s="442">
        <v>54304</v>
      </c>
      <c r="E48" s="443" t="s">
        <v>76</v>
      </c>
      <c r="F48" s="444">
        <v>6000</v>
      </c>
      <c r="G48" s="445">
        <v>0</v>
      </c>
      <c r="H48" s="445">
        <v>0</v>
      </c>
      <c r="I48" s="445">
        <v>0</v>
      </c>
      <c r="J48" s="445">
        <v>0</v>
      </c>
      <c r="K48" s="445">
        <v>0</v>
      </c>
      <c r="L48" s="440">
        <f t="shared" si="2"/>
        <v>6000</v>
      </c>
      <c r="M48" s="121"/>
    </row>
    <row r="49" spans="1:14" s="122" customFormat="1" ht="15.75" customHeight="1" x14ac:dyDescent="0.2">
      <c r="A49" s="292">
        <f t="shared" si="1"/>
        <v>40</v>
      </c>
      <c r="B49" s="293" t="s">
        <v>50</v>
      </c>
      <c r="C49" s="293" t="s">
        <v>56</v>
      </c>
      <c r="D49" s="442">
        <v>54305</v>
      </c>
      <c r="E49" s="443" t="s">
        <v>77</v>
      </c>
      <c r="F49" s="444">
        <v>2000</v>
      </c>
      <c r="G49" s="445">
        <v>0</v>
      </c>
      <c r="H49" s="445">
        <v>0</v>
      </c>
      <c r="I49" s="445">
        <v>0</v>
      </c>
      <c r="J49" s="445">
        <v>0</v>
      </c>
      <c r="K49" s="445">
        <v>0</v>
      </c>
      <c r="L49" s="440">
        <f t="shared" si="2"/>
        <v>2000</v>
      </c>
      <c r="M49" s="121"/>
    </row>
    <row r="50" spans="1:14" s="122" customFormat="1" ht="15.75" customHeight="1" x14ac:dyDescent="0.2">
      <c r="A50" s="292">
        <f t="shared" si="1"/>
        <v>41</v>
      </c>
      <c r="B50" s="293" t="s">
        <v>50</v>
      </c>
      <c r="C50" s="293" t="s">
        <v>56</v>
      </c>
      <c r="D50" s="442">
        <v>54307</v>
      </c>
      <c r="E50" s="443" t="s">
        <v>411</v>
      </c>
      <c r="F50" s="444">
        <v>800</v>
      </c>
      <c r="G50" s="445">
        <v>0</v>
      </c>
      <c r="H50" s="445">
        <v>0</v>
      </c>
      <c r="I50" s="445">
        <v>0</v>
      </c>
      <c r="J50" s="445">
        <v>0</v>
      </c>
      <c r="K50" s="445">
        <v>0</v>
      </c>
      <c r="L50" s="440">
        <f t="shared" si="2"/>
        <v>800</v>
      </c>
      <c r="M50" s="121"/>
    </row>
    <row r="51" spans="1:14" s="122" customFormat="1" ht="15.75" customHeight="1" x14ac:dyDescent="0.2">
      <c r="A51" s="292">
        <f t="shared" si="1"/>
        <v>42</v>
      </c>
      <c r="B51" s="293" t="s">
        <v>50</v>
      </c>
      <c r="C51" s="293" t="s">
        <v>56</v>
      </c>
      <c r="D51" s="442">
        <v>54308</v>
      </c>
      <c r="E51" s="443" t="s">
        <v>412</v>
      </c>
      <c r="F51" s="444">
        <v>300</v>
      </c>
      <c r="G51" s="445">
        <v>0</v>
      </c>
      <c r="H51" s="445">
        <v>0</v>
      </c>
      <c r="I51" s="445">
        <v>0</v>
      </c>
      <c r="J51" s="445">
        <v>0</v>
      </c>
      <c r="K51" s="445">
        <v>0</v>
      </c>
      <c r="L51" s="440">
        <f t="shared" si="2"/>
        <v>300</v>
      </c>
      <c r="M51" s="121"/>
    </row>
    <row r="52" spans="1:14" s="122" customFormat="1" ht="15.75" customHeight="1" x14ac:dyDescent="0.2">
      <c r="A52" s="292">
        <f t="shared" si="1"/>
        <v>43</v>
      </c>
      <c r="B52" s="293" t="s">
        <v>50</v>
      </c>
      <c r="C52" s="293" t="s">
        <v>56</v>
      </c>
      <c r="D52" s="442">
        <v>54310</v>
      </c>
      <c r="E52" s="443" t="s">
        <v>218</v>
      </c>
      <c r="F52" s="444">
        <v>1000</v>
      </c>
      <c r="G52" s="445">
        <v>0</v>
      </c>
      <c r="H52" s="445">
        <v>0</v>
      </c>
      <c r="I52" s="445">
        <v>0</v>
      </c>
      <c r="J52" s="445">
        <v>0</v>
      </c>
      <c r="K52" s="445">
        <v>0</v>
      </c>
      <c r="L52" s="440">
        <f t="shared" si="2"/>
        <v>1000</v>
      </c>
      <c r="M52" s="121"/>
    </row>
    <row r="53" spans="1:14" s="122" customFormat="1" ht="15.75" customHeight="1" x14ac:dyDescent="0.2">
      <c r="A53" s="292">
        <f t="shared" si="1"/>
        <v>44</v>
      </c>
      <c r="B53" s="293" t="s">
        <v>50</v>
      </c>
      <c r="C53" s="293" t="s">
        <v>56</v>
      </c>
      <c r="D53" s="442">
        <v>54313</v>
      </c>
      <c r="E53" s="443" t="s">
        <v>436</v>
      </c>
      <c r="F53" s="444">
        <v>2500</v>
      </c>
      <c r="G53" s="445">
        <v>0</v>
      </c>
      <c r="H53" s="445">
        <v>0</v>
      </c>
      <c r="I53" s="445">
        <v>0</v>
      </c>
      <c r="J53" s="445">
        <v>0</v>
      </c>
      <c r="K53" s="445">
        <v>0</v>
      </c>
      <c r="L53" s="440">
        <f t="shared" si="2"/>
        <v>2500</v>
      </c>
      <c r="M53" s="121"/>
    </row>
    <row r="54" spans="1:14" s="122" customFormat="1" ht="15.75" customHeight="1" x14ac:dyDescent="0.2">
      <c r="A54" s="292">
        <f t="shared" si="1"/>
        <v>45</v>
      </c>
      <c r="B54" s="293" t="s">
        <v>50</v>
      </c>
      <c r="C54" s="293" t="s">
        <v>56</v>
      </c>
      <c r="D54" s="442">
        <v>54314</v>
      </c>
      <c r="E54" s="443" t="s">
        <v>81</v>
      </c>
      <c r="F54" s="444">
        <v>25000</v>
      </c>
      <c r="G54" s="445">
        <v>0</v>
      </c>
      <c r="H54" s="445">
        <v>0</v>
      </c>
      <c r="I54" s="445">
        <v>0</v>
      </c>
      <c r="J54" s="445">
        <v>0</v>
      </c>
      <c r="K54" s="445">
        <v>0</v>
      </c>
      <c r="L54" s="440">
        <f t="shared" si="2"/>
        <v>25000</v>
      </c>
      <c r="M54" s="121"/>
      <c r="N54" s="129"/>
    </row>
    <row r="55" spans="1:14" s="122" customFormat="1" ht="15.75" customHeight="1" x14ac:dyDescent="0.2">
      <c r="A55" s="292">
        <f t="shared" si="1"/>
        <v>46</v>
      </c>
      <c r="B55" s="293" t="s">
        <v>50</v>
      </c>
      <c r="C55" s="293" t="s">
        <v>56</v>
      </c>
      <c r="D55" s="442">
        <v>54316</v>
      </c>
      <c r="E55" s="443" t="s">
        <v>413</v>
      </c>
      <c r="F55" s="444">
        <v>2500</v>
      </c>
      <c r="G55" s="445">
        <v>0</v>
      </c>
      <c r="H55" s="445">
        <v>0</v>
      </c>
      <c r="I55" s="445">
        <v>0</v>
      </c>
      <c r="J55" s="445">
        <v>0</v>
      </c>
      <c r="K55" s="445">
        <v>0</v>
      </c>
      <c r="L55" s="440">
        <f t="shared" si="2"/>
        <v>2500</v>
      </c>
      <c r="M55" s="121"/>
      <c r="N55" s="129"/>
    </row>
    <row r="56" spans="1:14" s="122" customFormat="1" ht="15.75" customHeight="1" x14ac:dyDescent="0.2">
      <c r="A56" s="292">
        <f t="shared" si="1"/>
        <v>47</v>
      </c>
      <c r="B56" s="293" t="s">
        <v>50</v>
      </c>
      <c r="C56" s="293" t="s">
        <v>56</v>
      </c>
      <c r="D56" s="442">
        <v>54399</v>
      </c>
      <c r="E56" s="443" t="s">
        <v>78</v>
      </c>
      <c r="F56" s="444">
        <v>10000</v>
      </c>
      <c r="G56" s="445">
        <v>0</v>
      </c>
      <c r="H56" s="445">
        <v>0</v>
      </c>
      <c r="I56" s="445">
        <v>0</v>
      </c>
      <c r="J56" s="445">
        <v>0</v>
      </c>
      <c r="K56" s="445">
        <v>0</v>
      </c>
      <c r="L56" s="440">
        <f t="shared" si="2"/>
        <v>10000</v>
      </c>
      <c r="M56" s="121"/>
    </row>
    <row r="57" spans="1:14" s="122" customFormat="1" ht="15.75" customHeight="1" x14ac:dyDescent="0.2">
      <c r="A57" s="292">
        <f t="shared" si="1"/>
        <v>48</v>
      </c>
      <c r="B57" s="293" t="s">
        <v>50</v>
      </c>
      <c r="C57" s="293" t="s">
        <v>56</v>
      </c>
      <c r="D57" s="442">
        <v>54401</v>
      </c>
      <c r="E57" s="443" t="s">
        <v>314</v>
      </c>
      <c r="F57" s="444">
        <v>100</v>
      </c>
      <c r="G57" s="445">
        <v>50</v>
      </c>
      <c r="H57" s="445">
        <v>200</v>
      </c>
      <c r="I57" s="445">
        <v>50</v>
      </c>
      <c r="J57" s="445">
        <v>50</v>
      </c>
      <c r="K57" s="446">
        <v>50</v>
      </c>
      <c r="L57" s="440">
        <f t="shared" si="2"/>
        <v>500</v>
      </c>
      <c r="M57" s="121"/>
    </row>
    <row r="58" spans="1:14" s="122" customFormat="1" ht="15.75" customHeight="1" x14ac:dyDescent="0.2">
      <c r="A58" s="292">
        <f t="shared" si="1"/>
        <v>49</v>
      </c>
      <c r="B58" s="293" t="s">
        <v>50</v>
      </c>
      <c r="C58" s="293" t="s">
        <v>56</v>
      </c>
      <c r="D58" s="442">
        <v>54403</v>
      </c>
      <c r="E58" s="443" t="s">
        <v>262</v>
      </c>
      <c r="F58" s="444">
        <v>300</v>
      </c>
      <c r="G58" s="445">
        <v>100</v>
      </c>
      <c r="H58" s="445">
        <v>100</v>
      </c>
      <c r="I58" s="445">
        <v>50</v>
      </c>
      <c r="J58" s="445">
        <v>50</v>
      </c>
      <c r="K58" s="446">
        <v>50</v>
      </c>
      <c r="L58" s="440">
        <f t="shared" si="2"/>
        <v>650</v>
      </c>
      <c r="M58" s="121"/>
    </row>
    <row r="59" spans="1:14" s="122" customFormat="1" ht="15.75" customHeight="1" x14ac:dyDescent="0.2">
      <c r="A59" s="292">
        <f t="shared" si="1"/>
        <v>50</v>
      </c>
      <c r="B59" s="293" t="s">
        <v>50</v>
      </c>
      <c r="C59" s="293" t="s">
        <v>56</v>
      </c>
      <c r="D59" s="442">
        <v>54404</v>
      </c>
      <c r="E59" s="443" t="s">
        <v>463</v>
      </c>
      <c r="F59" s="444">
        <v>2500</v>
      </c>
      <c r="G59" s="445"/>
      <c r="H59" s="445"/>
      <c r="I59" s="445">
        <v>0</v>
      </c>
      <c r="J59" s="445"/>
      <c r="K59" s="446"/>
      <c r="L59" s="440">
        <f t="shared" si="2"/>
        <v>2500</v>
      </c>
      <c r="M59" s="121"/>
    </row>
    <row r="60" spans="1:14" s="122" customFormat="1" ht="15.75" customHeight="1" x14ac:dyDescent="0.2">
      <c r="A60" s="292">
        <f t="shared" si="1"/>
        <v>51</v>
      </c>
      <c r="B60" s="293" t="s">
        <v>50</v>
      </c>
      <c r="C60" s="293" t="s">
        <v>56</v>
      </c>
      <c r="D60" s="442">
        <v>54503</v>
      </c>
      <c r="E60" s="443" t="s">
        <v>79</v>
      </c>
      <c r="F60" s="444">
        <v>1500</v>
      </c>
      <c r="G60" s="445"/>
      <c r="H60" s="445"/>
      <c r="I60" s="445">
        <v>0</v>
      </c>
      <c r="J60" s="445"/>
      <c r="K60" s="446"/>
      <c r="L60" s="440">
        <f t="shared" si="2"/>
        <v>1500</v>
      </c>
      <c r="M60" s="121"/>
    </row>
    <row r="61" spans="1:14" s="122" customFormat="1" ht="15.75" customHeight="1" x14ac:dyDescent="0.2">
      <c r="A61" s="292">
        <f t="shared" si="1"/>
        <v>52</v>
      </c>
      <c r="B61" s="293" t="s">
        <v>50</v>
      </c>
      <c r="C61" s="293" t="s">
        <v>56</v>
      </c>
      <c r="D61" s="442">
        <v>54504</v>
      </c>
      <c r="E61" s="443" t="s">
        <v>85</v>
      </c>
      <c r="F61" s="444">
        <v>1000</v>
      </c>
      <c r="G61" s="445"/>
      <c r="H61" s="445"/>
      <c r="I61" s="445">
        <v>0</v>
      </c>
      <c r="J61" s="445"/>
      <c r="K61" s="446"/>
      <c r="L61" s="440">
        <f t="shared" si="2"/>
        <v>1000</v>
      </c>
      <c r="M61" s="121"/>
    </row>
    <row r="62" spans="1:14" s="122" customFormat="1" ht="15.75" customHeight="1" x14ac:dyDescent="0.2">
      <c r="A62" s="292">
        <f t="shared" si="1"/>
        <v>53</v>
      </c>
      <c r="B62" s="293" t="s">
        <v>50</v>
      </c>
      <c r="C62" s="293" t="s">
        <v>56</v>
      </c>
      <c r="D62" s="442">
        <v>54505</v>
      </c>
      <c r="E62" s="443" t="s">
        <v>233</v>
      </c>
      <c r="F62" s="444">
        <v>2000</v>
      </c>
      <c r="G62" s="445"/>
      <c r="H62" s="445"/>
      <c r="I62" s="445">
        <v>0</v>
      </c>
      <c r="J62" s="445"/>
      <c r="K62" s="446"/>
      <c r="L62" s="440">
        <f t="shared" si="2"/>
        <v>2000</v>
      </c>
      <c r="M62" s="121"/>
    </row>
    <row r="63" spans="1:14" s="122" customFormat="1" ht="15.75" customHeight="1" x14ac:dyDescent="0.2">
      <c r="A63" s="292">
        <f t="shared" si="1"/>
        <v>54</v>
      </c>
      <c r="B63" s="293" t="s">
        <v>50</v>
      </c>
      <c r="C63" s="293" t="s">
        <v>56</v>
      </c>
      <c r="D63" s="442">
        <v>54508</v>
      </c>
      <c r="E63" s="443" t="s">
        <v>234</v>
      </c>
      <c r="F63" s="444"/>
      <c r="G63" s="445"/>
      <c r="H63" s="445"/>
      <c r="I63" s="445">
        <v>0</v>
      </c>
      <c r="J63" s="445"/>
      <c r="K63" s="446"/>
      <c r="L63" s="440">
        <f t="shared" si="2"/>
        <v>0</v>
      </c>
      <c r="M63" s="121"/>
    </row>
    <row r="64" spans="1:14" s="122" customFormat="1" ht="15.75" customHeight="1" x14ac:dyDescent="0.2">
      <c r="A64" s="292">
        <f t="shared" si="1"/>
        <v>55</v>
      </c>
      <c r="B64" s="293" t="s">
        <v>50</v>
      </c>
      <c r="C64" s="293" t="s">
        <v>56</v>
      </c>
      <c r="D64" s="442">
        <v>54601</v>
      </c>
      <c r="E64" s="443" t="s">
        <v>414</v>
      </c>
      <c r="F64" s="444"/>
      <c r="G64" s="445"/>
      <c r="H64" s="445"/>
      <c r="I64" s="445">
        <v>500</v>
      </c>
      <c r="J64" s="445"/>
      <c r="K64" s="446">
        <v>500</v>
      </c>
      <c r="L64" s="440">
        <f t="shared" si="2"/>
        <v>1000</v>
      </c>
      <c r="M64" s="121"/>
    </row>
    <row r="65" spans="1:15" s="122" customFormat="1" ht="15.75" customHeight="1" x14ac:dyDescent="0.2">
      <c r="A65" s="292">
        <f t="shared" si="1"/>
        <v>56</v>
      </c>
      <c r="B65" s="293" t="s">
        <v>50</v>
      </c>
      <c r="C65" s="293" t="s">
        <v>56</v>
      </c>
      <c r="D65" s="442">
        <v>54602</v>
      </c>
      <c r="E65" s="443" t="s">
        <v>236</v>
      </c>
      <c r="F65" s="444">
        <v>16558.8</v>
      </c>
      <c r="G65" s="445"/>
      <c r="H65" s="445"/>
      <c r="I65" s="445"/>
      <c r="J65" s="445"/>
      <c r="K65" s="446"/>
      <c r="L65" s="440">
        <f t="shared" si="2"/>
        <v>16558.8</v>
      </c>
      <c r="M65" s="121"/>
    </row>
    <row r="66" spans="1:15" s="122" customFormat="1" ht="15.75" customHeight="1" x14ac:dyDescent="0.2">
      <c r="A66" s="292">
        <f t="shared" si="1"/>
        <v>57</v>
      </c>
      <c r="B66" s="293" t="s">
        <v>50</v>
      </c>
      <c r="C66" s="293" t="s">
        <v>56</v>
      </c>
      <c r="D66" s="442">
        <v>54603</v>
      </c>
      <c r="E66" s="443" t="s">
        <v>415</v>
      </c>
      <c r="F66" s="444">
        <v>61020</v>
      </c>
      <c r="G66" s="445"/>
      <c r="H66" s="445"/>
      <c r="I66" s="445"/>
      <c r="J66" s="445"/>
      <c r="K66" s="446"/>
      <c r="L66" s="440">
        <f t="shared" si="2"/>
        <v>61020</v>
      </c>
      <c r="M66" s="121"/>
    </row>
    <row r="67" spans="1:15" s="122" customFormat="1" ht="15.75" customHeight="1" x14ac:dyDescent="0.2">
      <c r="A67" s="292">
        <f t="shared" si="1"/>
        <v>58</v>
      </c>
      <c r="B67" s="293" t="s">
        <v>50</v>
      </c>
      <c r="C67" s="293" t="s">
        <v>56</v>
      </c>
      <c r="D67" s="442">
        <v>55401</v>
      </c>
      <c r="E67" s="443" t="s">
        <v>452</v>
      </c>
      <c r="F67" s="444">
        <v>0</v>
      </c>
      <c r="G67" s="445"/>
      <c r="H67" s="445"/>
      <c r="I67" s="445"/>
      <c r="J67" s="445"/>
      <c r="K67" s="446"/>
      <c r="L67" s="440">
        <f t="shared" si="2"/>
        <v>0</v>
      </c>
      <c r="M67" s="121"/>
      <c r="N67" s="129"/>
      <c r="O67" s="129"/>
    </row>
    <row r="68" spans="1:15" s="122" customFormat="1" ht="15.75" customHeight="1" x14ac:dyDescent="0.2">
      <c r="A68" s="292">
        <f t="shared" si="1"/>
        <v>59</v>
      </c>
      <c r="B68" s="293" t="s">
        <v>50</v>
      </c>
      <c r="C68" s="293" t="s">
        <v>56</v>
      </c>
      <c r="D68" s="442">
        <v>55508</v>
      </c>
      <c r="E68" s="443" t="s">
        <v>86</v>
      </c>
      <c r="F68" s="444">
        <v>2000</v>
      </c>
      <c r="G68" s="445"/>
      <c r="H68" s="445"/>
      <c r="I68" s="445"/>
      <c r="J68" s="445"/>
      <c r="K68" s="446"/>
      <c r="L68" s="440">
        <f t="shared" si="2"/>
        <v>2000</v>
      </c>
      <c r="M68" s="121"/>
    </row>
    <row r="69" spans="1:15" s="122" customFormat="1" ht="15.75" customHeight="1" x14ac:dyDescent="0.2">
      <c r="A69" s="292">
        <v>60</v>
      </c>
      <c r="B69" s="293" t="s">
        <v>50</v>
      </c>
      <c r="C69" s="293" t="s">
        <v>56</v>
      </c>
      <c r="D69" s="442">
        <v>55601</v>
      </c>
      <c r="E69" s="443" t="s">
        <v>487</v>
      </c>
      <c r="F69" s="444">
        <v>1500</v>
      </c>
      <c r="G69" s="445"/>
      <c r="H69" s="445"/>
      <c r="I69" s="445"/>
      <c r="J69" s="445"/>
      <c r="K69" s="446"/>
      <c r="L69" s="440">
        <f t="shared" si="2"/>
        <v>1500</v>
      </c>
      <c r="M69" s="121"/>
    </row>
    <row r="70" spans="1:15" s="122" customFormat="1" ht="15.75" customHeight="1" x14ac:dyDescent="0.2">
      <c r="A70" s="292">
        <v>61</v>
      </c>
      <c r="B70" s="293" t="s">
        <v>50</v>
      </c>
      <c r="C70" s="293" t="s">
        <v>56</v>
      </c>
      <c r="D70" s="442">
        <v>55602</v>
      </c>
      <c r="E70" s="443" t="s">
        <v>451</v>
      </c>
      <c r="F70" s="444">
        <v>4000</v>
      </c>
      <c r="G70" s="445"/>
      <c r="H70" s="445"/>
      <c r="I70" s="445"/>
      <c r="J70" s="445"/>
      <c r="K70" s="446"/>
      <c r="L70" s="440">
        <f t="shared" si="2"/>
        <v>4000</v>
      </c>
      <c r="M70" s="121"/>
    </row>
    <row r="71" spans="1:15" s="122" customFormat="1" ht="15.75" customHeight="1" x14ac:dyDescent="0.2">
      <c r="A71" s="292">
        <f t="shared" si="1"/>
        <v>62</v>
      </c>
      <c r="B71" s="293" t="s">
        <v>50</v>
      </c>
      <c r="C71" s="293" t="s">
        <v>56</v>
      </c>
      <c r="D71" s="442">
        <v>55603</v>
      </c>
      <c r="E71" s="443" t="s">
        <v>219</v>
      </c>
      <c r="F71" s="444">
        <v>800</v>
      </c>
      <c r="G71" s="445"/>
      <c r="H71" s="445"/>
      <c r="I71" s="445"/>
      <c r="J71" s="445"/>
      <c r="K71" s="446"/>
      <c r="L71" s="440">
        <f t="shared" si="2"/>
        <v>800</v>
      </c>
      <c r="M71" s="121"/>
    </row>
    <row r="72" spans="1:15" s="122" customFormat="1" ht="15.75" customHeight="1" x14ac:dyDescent="0.2">
      <c r="A72" s="292">
        <f t="shared" si="1"/>
        <v>63</v>
      </c>
      <c r="B72" s="293" t="s">
        <v>50</v>
      </c>
      <c r="C72" s="293" t="s">
        <v>56</v>
      </c>
      <c r="D72" s="442">
        <v>55703</v>
      </c>
      <c r="E72" s="443" t="s">
        <v>220</v>
      </c>
      <c r="F72" s="444">
        <v>1500</v>
      </c>
      <c r="G72" s="445"/>
      <c r="H72" s="445"/>
      <c r="I72" s="445"/>
      <c r="J72" s="445"/>
      <c r="K72" s="446"/>
      <c r="L72" s="440">
        <f t="shared" si="2"/>
        <v>1500</v>
      </c>
      <c r="M72" s="121"/>
    </row>
    <row r="73" spans="1:15" s="122" customFormat="1" ht="15.75" customHeight="1" x14ac:dyDescent="0.2">
      <c r="A73" s="292">
        <f t="shared" si="1"/>
        <v>64</v>
      </c>
      <c r="B73" s="293" t="s">
        <v>50</v>
      </c>
      <c r="C73" s="293" t="s">
        <v>56</v>
      </c>
      <c r="D73" s="442">
        <v>56201</v>
      </c>
      <c r="E73" s="443" t="s">
        <v>433</v>
      </c>
      <c r="F73" s="444">
        <v>0</v>
      </c>
      <c r="G73" s="445"/>
      <c r="H73" s="445"/>
      <c r="I73" s="445"/>
      <c r="J73" s="445"/>
      <c r="K73" s="446"/>
      <c r="L73" s="440">
        <f t="shared" si="2"/>
        <v>0</v>
      </c>
      <c r="M73" s="121"/>
      <c r="N73" s="129"/>
    </row>
    <row r="74" spans="1:15" s="122" customFormat="1" ht="15.75" customHeight="1" x14ac:dyDescent="0.2">
      <c r="A74" s="292">
        <f t="shared" si="1"/>
        <v>65</v>
      </c>
      <c r="B74" s="293" t="s">
        <v>50</v>
      </c>
      <c r="C74" s="293" t="s">
        <v>56</v>
      </c>
      <c r="D74" s="442">
        <v>56303</v>
      </c>
      <c r="E74" s="443" t="s">
        <v>315</v>
      </c>
      <c r="F74" s="444">
        <v>0</v>
      </c>
      <c r="G74" s="445"/>
      <c r="H74" s="445"/>
      <c r="I74" s="445"/>
      <c r="J74" s="445"/>
      <c r="K74" s="446"/>
      <c r="L74" s="440">
        <f t="shared" si="2"/>
        <v>0</v>
      </c>
      <c r="M74" s="121"/>
      <c r="N74" s="129"/>
    </row>
    <row r="75" spans="1:15" s="122" customFormat="1" ht="15.75" customHeight="1" x14ac:dyDescent="0.2">
      <c r="A75" s="292">
        <f t="shared" si="1"/>
        <v>66</v>
      </c>
      <c r="B75" s="293" t="s">
        <v>50</v>
      </c>
      <c r="C75" s="293" t="s">
        <v>56</v>
      </c>
      <c r="D75" s="442">
        <v>56304</v>
      </c>
      <c r="E75" s="443" t="s">
        <v>263</v>
      </c>
      <c r="F75" s="444">
        <v>35000</v>
      </c>
      <c r="G75" s="445"/>
      <c r="H75" s="445"/>
      <c r="I75" s="445"/>
      <c r="J75" s="445"/>
      <c r="K75" s="446"/>
      <c r="L75" s="440">
        <f>SUM(F75:K75)</f>
        <v>35000</v>
      </c>
      <c r="M75" s="121"/>
      <c r="O75" s="129"/>
    </row>
    <row r="76" spans="1:15" s="122" customFormat="1" ht="15.75" customHeight="1" x14ac:dyDescent="0.2">
      <c r="A76" s="292">
        <f t="shared" si="1"/>
        <v>67</v>
      </c>
      <c r="B76" s="293" t="s">
        <v>50</v>
      </c>
      <c r="C76" s="293" t="s">
        <v>56</v>
      </c>
      <c r="D76" s="442">
        <v>61101</v>
      </c>
      <c r="E76" s="443" t="s">
        <v>222</v>
      </c>
      <c r="F76" s="444">
        <v>1500</v>
      </c>
      <c r="G76" s="445"/>
      <c r="H76" s="445"/>
      <c r="I76" s="445"/>
      <c r="J76" s="445"/>
      <c r="K76" s="446"/>
      <c r="L76" s="440">
        <f>SUM(F76:K76)</f>
        <v>1500</v>
      </c>
      <c r="M76" s="121"/>
    </row>
    <row r="77" spans="1:15" s="122" customFormat="1" ht="15.75" customHeight="1" x14ac:dyDescent="0.2">
      <c r="A77" s="292">
        <v>67</v>
      </c>
      <c r="B77" s="293" t="s">
        <v>50</v>
      </c>
      <c r="C77" s="293" t="s">
        <v>56</v>
      </c>
      <c r="D77" s="442">
        <v>61104</v>
      </c>
      <c r="E77" s="443" t="s">
        <v>346</v>
      </c>
      <c r="F77" s="444">
        <v>1500</v>
      </c>
      <c r="G77" s="445"/>
      <c r="H77" s="445"/>
      <c r="I77" s="445"/>
      <c r="J77" s="445"/>
      <c r="K77" s="446"/>
      <c r="L77" s="440">
        <f>SUM(F77:K77)</f>
        <v>1500</v>
      </c>
      <c r="M77" s="121"/>
    </row>
    <row r="78" spans="1:15" s="122" customFormat="1" ht="15.75" customHeight="1" x14ac:dyDescent="0.2">
      <c r="A78" s="292">
        <v>68</v>
      </c>
      <c r="B78" s="293" t="s">
        <v>50</v>
      </c>
      <c r="C78" s="293" t="s">
        <v>56</v>
      </c>
      <c r="D78" s="442">
        <v>61105</v>
      </c>
      <c r="E78" s="443" t="s">
        <v>450</v>
      </c>
      <c r="F78" s="444">
        <v>0</v>
      </c>
      <c r="G78" s="445"/>
      <c r="H78" s="445"/>
      <c r="I78" s="445"/>
      <c r="J78" s="445"/>
      <c r="K78" s="446"/>
      <c r="L78" s="440">
        <f t="shared" ref="L78" si="6">SUM(F78:K78)</f>
        <v>0</v>
      </c>
      <c r="M78" s="121"/>
      <c r="N78" s="129"/>
      <c r="O78" s="129"/>
    </row>
    <row r="79" spans="1:15" s="122" customFormat="1" ht="15.75" customHeight="1" x14ac:dyDescent="0.2">
      <c r="A79" s="292">
        <f t="shared" ref="A79:A80" si="7">A78+1</f>
        <v>69</v>
      </c>
      <c r="B79" s="293" t="s">
        <v>50</v>
      </c>
      <c r="C79" s="293" t="s">
        <v>56</v>
      </c>
      <c r="D79" s="442">
        <v>61108</v>
      </c>
      <c r="E79" s="443" t="s">
        <v>213</v>
      </c>
      <c r="F79" s="444">
        <f>1513.94-164.24-483</f>
        <v>866.7</v>
      </c>
      <c r="G79" s="445"/>
      <c r="H79" s="445"/>
      <c r="I79" s="445"/>
      <c r="J79" s="445"/>
      <c r="K79" s="446"/>
      <c r="L79" s="440">
        <f>F79</f>
        <v>866.7</v>
      </c>
      <c r="M79" s="121"/>
    </row>
    <row r="80" spans="1:15" s="122" customFormat="1" ht="15.75" customHeight="1" x14ac:dyDescent="0.2">
      <c r="A80" s="292">
        <f t="shared" si="7"/>
        <v>70</v>
      </c>
      <c r="B80" s="293" t="s">
        <v>50</v>
      </c>
      <c r="C80" s="293" t="s">
        <v>56</v>
      </c>
      <c r="D80" s="442">
        <v>61199</v>
      </c>
      <c r="E80" s="443" t="s">
        <v>221</v>
      </c>
      <c r="F80" s="444">
        <v>1000</v>
      </c>
      <c r="G80" s="445"/>
      <c r="H80" s="445"/>
      <c r="I80" s="445"/>
      <c r="J80" s="445"/>
      <c r="K80" s="446"/>
      <c r="L80" s="440">
        <f>SUM(F80:K80)</f>
        <v>1000</v>
      </c>
      <c r="M80" s="121"/>
    </row>
    <row r="81" spans="1:21" s="122" customFormat="1" ht="15.75" customHeight="1" thickBot="1" x14ac:dyDescent="0.25">
      <c r="A81" s="294">
        <v>71</v>
      </c>
      <c r="B81" s="293" t="s">
        <v>50</v>
      </c>
      <c r="C81" s="293" t="s">
        <v>56</v>
      </c>
      <c r="D81" s="447" t="s">
        <v>581</v>
      </c>
      <c r="E81" s="462" t="s">
        <v>580</v>
      </c>
      <c r="F81" s="448">
        <f>39695.29+20599.07+164.24</f>
        <v>60458.6</v>
      </c>
      <c r="G81" s="449"/>
      <c r="H81" s="449"/>
      <c r="I81" s="449"/>
      <c r="J81" s="449"/>
      <c r="K81" s="449"/>
      <c r="L81" s="440">
        <f>F81</f>
        <v>60458.6</v>
      </c>
      <c r="M81" s="121"/>
      <c r="N81" s="129"/>
    </row>
    <row r="82" spans="1:21" ht="30" customHeight="1" thickBot="1" x14ac:dyDescent="0.25">
      <c r="A82" s="558" t="s">
        <v>341</v>
      </c>
      <c r="B82" s="559"/>
      <c r="C82" s="559"/>
      <c r="D82" s="559"/>
      <c r="E82" s="560"/>
      <c r="F82" s="300">
        <f>SUM(F10:F81)</f>
        <v>468774.6</v>
      </c>
      <c r="G82" s="300">
        <f t="shared" ref="G82:K82" si="8">SUM(G10:G81)</f>
        <v>173920.2721</v>
      </c>
      <c r="H82" s="300">
        <f t="shared" si="8"/>
        <v>390497.71759999997</v>
      </c>
      <c r="I82" s="300">
        <f t="shared" si="8"/>
        <v>57139.029399999999</v>
      </c>
      <c r="J82" s="300">
        <f t="shared" si="8"/>
        <v>33996.957200000004</v>
      </c>
      <c r="K82" s="300">
        <f t="shared" si="8"/>
        <v>298825.19920000003</v>
      </c>
      <c r="L82" s="300">
        <f>SUM(L10:L81)</f>
        <v>1423153.7755</v>
      </c>
    </row>
    <row r="83" spans="1:21" x14ac:dyDescent="0.2">
      <c r="A83" s="691"/>
      <c r="B83" s="691"/>
      <c r="C83" s="691"/>
      <c r="D83" s="691"/>
      <c r="E83" s="692"/>
      <c r="F83" s="692"/>
      <c r="G83" s="692"/>
      <c r="H83" s="692"/>
      <c r="I83" s="692"/>
      <c r="J83" s="692"/>
      <c r="K83" s="692"/>
      <c r="L83" s="693"/>
      <c r="M83" s="692"/>
      <c r="N83" s="366"/>
      <c r="O83" s="367"/>
      <c r="P83" s="366"/>
      <c r="Q83" s="366"/>
    </row>
    <row r="84" spans="1:21" ht="13.5" thickBot="1" x14ac:dyDescent="0.25">
      <c r="A84" s="691"/>
      <c r="B84" s="691"/>
      <c r="C84" s="691"/>
      <c r="D84" s="691"/>
      <c r="E84" s="692"/>
      <c r="F84" s="692"/>
      <c r="G84" s="692"/>
      <c r="H84" s="692"/>
      <c r="I84" s="692"/>
      <c r="J84" s="692"/>
      <c r="K84" s="692"/>
      <c r="L84" s="693"/>
      <c r="M84" s="692"/>
      <c r="N84" s="366"/>
      <c r="O84" s="366"/>
      <c r="P84" s="366"/>
      <c r="Q84" s="366"/>
    </row>
    <row r="85" spans="1:21" ht="18.75" thickBot="1" x14ac:dyDescent="0.25">
      <c r="A85" s="694" t="s">
        <v>82</v>
      </c>
      <c r="B85" s="694"/>
      <c r="C85" s="694"/>
      <c r="D85" s="694"/>
      <c r="E85" s="695"/>
      <c r="F85" s="695"/>
      <c r="G85" s="695"/>
      <c r="H85" s="695"/>
      <c r="I85" s="695"/>
      <c r="J85" s="695"/>
      <c r="K85" s="695"/>
      <c r="L85" s="696">
        <f>SUM(L82)</f>
        <v>1423153.7755</v>
      </c>
      <c r="M85" s="692"/>
      <c r="N85" s="367"/>
      <c r="O85" s="697">
        <f>SUM(O10:O79)</f>
        <v>1075148.6754999999</v>
      </c>
      <c r="P85" s="366"/>
      <c r="Q85" s="366"/>
    </row>
    <row r="86" spans="1:21" ht="19.5" customHeight="1" x14ac:dyDescent="0.2">
      <c r="A86" s="698" t="s">
        <v>14</v>
      </c>
      <c r="B86" s="698"/>
      <c r="C86" s="698"/>
      <c r="D86" s="698"/>
      <c r="E86" s="692"/>
      <c r="F86" s="692"/>
      <c r="G86" s="692"/>
      <c r="H86" s="692"/>
      <c r="I86" s="692"/>
      <c r="J86" s="692"/>
      <c r="K86" s="692"/>
      <c r="L86" s="699"/>
      <c r="M86" s="692"/>
      <c r="N86" s="367"/>
      <c r="O86" s="366"/>
      <c r="P86" s="366"/>
      <c r="Q86" s="366"/>
    </row>
    <row r="87" spans="1:21" x14ac:dyDescent="0.2">
      <c r="A87" s="700" t="s">
        <v>2</v>
      </c>
      <c r="B87" s="700"/>
      <c r="C87" s="700"/>
      <c r="D87" s="700"/>
      <c r="E87" s="700"/>
      <c r="F87" s="701"/>
      <c r="G87" s="701"/>
      <c r="H87" s="701"/>
      <c r="I87" s="701"/>
      <c r="J87" s="701"/>
      <c r="K87" s="701"/>
      <c r="L87" s="699">
        <f>SUM(Ingresos!F51)</f>
        <v>1423153.7769000002</v>
      </c>
      <c r="M87" s="692"/>
      <c r="N87" s="366"/>
      <c r="O87" s="366"/>
      <c r="P87" s="366"/>
      <c r="Q87" s="366"/>
    </row>
    <row r="88" spans="1:21" x14ac:dyDescent="0.2">
      <c r="A88" s="700" t="s">
        <v>8</v>
      </c>
      <c r="B88" s="700"/>
      <c r="C88" s="700"/>
      <c r="D88" s="700"/>
      <c r="E88" s="700"/>
      <c r="F88" s="701"/>
      <c r="G88" s="701"/>
      <c r="H88" s="701"/>
      <c r="I88" s="701"/>
      <c r="J88" s="701"/>
      <c r="K88" s="701"/>
      <c r="L88" s="699"/>
      <c r="M88" s="692"/>
      <c r="N88" s="370">
        <f>L85-N85</f>
        <v>1423153.7755</v>
      </c>
      <c r="O88" s="366"/>
      <c r="P88" s="366"/>
      <c r="Q88" s="366"/>
    </row>
    <row r="89" spans="1:21" x14ac:dyDescent="0.2">
      <c r="A89" s="700" t="s">
        <v>9</v>
      </c>
      <c r="B89" s="700"/>
      <c r="C89" s="700"/>
      <c r="D89" s="700"/>
      <c r="E89" s="700"/>
      <c r="F89" s="701"/>
      <c r="G89" s="701"/>
      <c r="H89" s="701"/>
      <c r="I89" s="701"/>
      <c r="J89" s="701"/>
      <c r="K89" s="701"/>
      <c r="L89" s="699">
        <f>L87-L82</f>
        <v>1.4000001829117537E-3</v>
      </c>
      <c r="M89" s="692"/>
      <c r="N89" s="366"/>
      <c r="O89" s="366"/>
      <c r="P89" s="366"/>
      <c r="Q89" s="366"/>
    </row>
    <row r="90" spans="1:21" x14ac:dyDescent="0.2">
      <c r="A90" s="700"/>
      <c r="B90" s="700"/>
      <c r="C90" s="700"/>
      <c r="D90" s="700"/>
      <c r="E90" s="700"/>
      <c r="F90" s="701"/>
      <c r="G90" s="701"/>
      <c r="H90" s="701"/>
      <c r="I90" s="701"/>
      <c r="J90" s="701"/>
      <c r="K90" s="701"/>
      <c r="L90" s="702"/>
      <c r="M90" s="692"/>
      <c r="N90" s="366"/>
      <c r="O90" s="366"/>
      <c r="P90" s="366"/>
      <c r="Q90" s="366"/>
      <c r="S90" s="25" t="s">
        <v>428</v>
      </c>
      <c r="T90" s="25" t="s">
        <v>429</v>
      </c>
    </row>
    <row r="91" spans="1:21" x14ac:dyDescent="0.2">
      <c r="A91" s="691"/>
      <c r="B91" s="691"/>
      <c r="C91" s="691"/>
      <c r="D91" s="691"/>
      <c r="E91" s="692"/>
      <c r="F91" s="692"/>
      <c r="G91" s="692"/>
      <c r="H91" s="692"/>
      <c r="I91" s="692"/>
      <c r="J91" s="692"/>
      <c r="K91" s="692"/>
      <c r="L91" s="703"/>
      <c r="M91" s="692"/>
      <c r="N91" s="366"/>
      <c r="O91" s="366"/>
      <c r="P91" s="366"/>
      <c r="Q91" s="366"/>
    </row>
    <row r="92" spans="1:21" x14ac:dyDescent="0.2">
      <c r="A92" s="704"/>
      <c r="B92" s="704"/>
      <c r="C92" s="704"/>
      <c r="D92" s="704"/>
      <c r="E92" s="692"/>
      <c r="F92" s="692"/>
      <c r="G92" s="692">
        <f>60000*12</f>
        <v>720000</v>
      </c>
      <c r="H92" s="692"/>
      <c r="I92" s="692"/>
      <c r="J92" s="692"/>
      <c r="K92" s="692"/>
      <c r="L92" s="703"/>
      <c r="M92" s="692"/>
      <c r="N92" s="366"/>
      <c r="O92" s="366"/>
      <c r="P92" s="366">
        <v>1</v>
      </c>
      <c r="Q92" s="366">
        <v>285</v>
      </c>
      <c r="R92" s="25">
        <f>P92*Q92*12</f>
        <v>3420</v>
      </c>
    </row>
    <row r="93" spans="1:21" x14ac:dyDescent="0.2">
      <c r="A93" s="704"/>
      <c r="B93" s="704"/>
      <c r="C93" s="704"/>
      <c r="D93" s="704"/>
      <c r="E93" s="692"/>
      <c r="F93" s="692"/>
      <c r="G93" s="692"/>
      <c r="H93" s="692"/>
      <c r="I93" s="692"/>
      <c r="J93" s="692"/>
      <c r="K93" s="692"/>
      <c r="L93" s="703"/>
      <c r="M93" s="692"/>
      <c r="N93" s="366"/>
      <c r="O93" s="366"/>
      <c r="P93" s="366">
        <v>3</v>
      </c>
      <c r="Q93" s="366">
        <v>260</v>
      </c>
      <c r="R93" s="25">
        <f>P93*Q93*12</f>
        <v>9360</v>
      </c>
    </row>
    <row r="94" spans="1:21" x14ac:dyDescent="0.2">
      <c r="A94" s="704"/>
      <c r="B94" s="704"/>
      <c r="C94" s="704"/>
      <c r="D94" s="704"/>
      <c r="E94" s="692"/>
      <c r="F94" s="692"/>
      <c r="G94" s="692"/>
      <c r="H94" s="692"/>
      <c r="I94" s="692"/>
      <c r="J94" s="692"/>
      <c r="K94" s="692"/>
      <c r="L94" s="703"/>
      <c r="M94" s="692"/>
      <c r="N94" s="366"/>
      <c r="O94" s="366"/>
      <c r="P94" s="366"/>
      <c r="Q94" s="366"/>
      <c r="R94" s="25">
        <f>SUM(R92:R93)</f>
        <v>12780</v>
      </c>
      <c r="S94" s="25">
        <f>R94*7.5%</f>
        <v>958.5</v>
      </c>
      <c r="T94" s="25">
        <f>R94*6.75%</f>
        <v>862.65000000000009</v>
      </c>
      <c r="U94" s="25">
        <f>SUM(R94:T94)</f>
        <v>14601.15</v>
      </c>
    </row>
    <row r="95" spans="1:21" x14ac:dyDescent="0.2">
      <c r="A95" s="704"/>
      <c r="B95" s="704"/>
      <c r="C95" s="704"/>
      <c r="D95" s="704"/>
      <c r="E95" s="692"/>
      <c r="F95" s="692"/>
      <c r="G95" s="692"/>
      <c r="H95" s="692"/>
      <c r="I95" s="692"/>
      <c r="J95" s="692"/>
      <c r="K95" s="692"/>
      <c r="L95" s="703"/>
      <c r="M95" s="692"/>
      <c r="N95" s="366"/>
      <c r="O95" s="366"/>
      <c r="P95" s="366"/>
      <c r="Q95" s="366"/>
    </row>
    <row r="100" spans="18:18" x14ac:dyDescent="0.2">
      <c r="R100" s="25">
        <f>102960/12</f>
        <v>8580</v>
      </c>
    </row>
    <row r="101" spans="18:18" x14ac:dyDescent="0.2">
      <c r="R101" s="25">
        <f>14601.15-8580-1000</f>
        <v>5021.1499999999996</v>
      </c>
    </row>
  </sheetData>
  <sheetProtection algorithmName="SHA-512" hashValue="UR7Hu4j/kreFdFT2Dh2T0ntrzJ977ITcFWHxjZ7qYo06Xzf5aaSTDAvy9t61UIXfVjQwhO/kLk1Q/BzBTtn7ng==" saltValue="Ko0tO/5x0P3xW3n9bcQWBA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D10:E45">
    <sortCondition ref="D10"/>
  </sortState>
  <mergeCells count="24">
    <mergeCell ref="A90:E90"/>
    <mergeCell ref="A87:E87"/>
    <mergeCell ref="A3:L3"/>
    <mergeCell ref="A4:L4"/>
    <mergeCell ref="A85:D85"/>
    <mergeCell ref="A88:E88"/>
    <mergeCell ref="A89:E89"/>
    <mergeCell ref="A5:L5"/>
    <mergeCell ref="A7:L7"/>
    <mergeCell ref="A8:D8"/>
    <mergeCell ref="E8:E9"/>
    <mergeCell ref="A82:E82"/>
    <mergeCell ref="M2:O2"/>
    <mergeCell ref="M1:O1"/>
    <mergeCell ref="L8:L9"/>
    <mergeCell ref="A6:L6"/>
    <mergeCell ref="A1:L1"/>
    <mergeCell ref="A2:L2"/>
    <mergeCell ref="F8:F9"/>
    <mergeCell ref="G8:G9"/>
    <mergeCell ref="I8:I9"/>
    <mergeCell ref="J8:J9"/>
    <mergeCell ref="H8:H9"/>
    <mergeCell ref="K8:K9"/>
  </mergeCells>
  <phoneticPr fontId="2" type="noConversion"/>
  <printOptions horizontalCentered="1"/>
  <pageMargins left="0.19685039370078741" right="0.19685039370078741" top="0.59055118110236227" bottom="0.27559055118110237" header="0" footer="0"/>
  <pageSetup scale="80" orientation="landscape" horizont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</sheetPr>
  <dimension ref="A1:S74"/>
  <sheetViews>
    <sheetView view="pageBreakPreview" zoomScaleNormal="100" zoomScaleSheetLayoutView="100" workbookViewId="0">
      <selection sqref="A1:L1"/>
    </sheetView>
  </sheetViews>
  <sheetFormatPr baseColWidth="10" defaultColWidth="11.42578125" defaultRowHeight="12.75" x14ac:dyDescent="0.2"/>
  <cols>
    <col min="1" max="1" width="3.7109375" style="23" customWidth="1"/>
    <col min="2" max="2" width="4.42578125" style="23" customWidth="1"/>
    <col min="3" max="3" width="6.28515625" style="23" customWidth="1"/>
    <col min="4" max="4" width="9.42578125" style="23" customWidth="1"/>
    <col min="5" max="5" width="40.28515625" style="19" customWidth="1"/>
    <col min="6" max="6" width="15.28515625" style="19" customWidth="1"/>
    <col min="7" max="7" width="12.85546875" style="19" customWidth="1"/>
    <col min="8" max="8" width="13" style="19" customWidth="1"/>
    <col min="9" max="10" width="13.28515625" style="19" customWidth="1"/>
    <col min="11" max="11" width="12.85546875" style="19" customWidth="1"/>
    <col min="12" max="12" width="16.85546875" style="4" customWidth="1"/>
    <col min="13" max="13" width="16.7109375" style="21" customWidth="1"/>
    <col min="14" max="15" width="15.140625" style="21" customWidth="1"/>
    <col min="16" max="16" width="15" style="21" bestFit="1" customWidth="1"/>
    <col min="17" max="17" width="11.42578125" style="21"/>
    <col min="18" max="18" width="15" style="21" bestFit="1" customWidth="1"/>
    <col min="19" max="16384" width="11.42578125" style="21"/>
  </cols>
  <sheetData>
    <row r="1" spans="1:19" ht="18" x14ac:dyDescent="0.25">
      <c r="A1" s="571" t="s">
        <v>388</v>
      </c>
      <c r="B1" s="571"/>
      <c r="C1" s="571"/>
      <c r="D1" s="571"/>
      <c r="E1" s="571"/>
      <c r="F1" s="571"/>
      <c r="G1" s="571"/>
      <c r="H1" s="571"/>
      <c r="I1" s="571"/>
      <c r="J1" s="571"/>
      <c r="K1" s="571"/>
      <c r="L1" s="571"/>
      <c r="M1" s="5"/>
    </row>
    <row r="2" spans="1:19" ht="18" x14ac:dyDescent="0.25">
      <c r="A2" s="571" t="s">
        <v>387</v>
      </c>
      <c r="B2" s="571"/>
      <c r="C2" s="571"/>
      <c r="D2" s="571"/>
      <c r="E2" s="571"/>
      <c r="F2" s="571"/>
      <c r="G2" s="571"/>
      <c r="H2" s="571"/>
      <c r="I2" s="571"/>
      <c r="J2" s="571"/>
      <c r="K2" s="571"/>
      <c r="L2" s="571"/>
      <c r="M2" s="373"/>
      <c r="N2" s="374"/>
      <c r="O2" s="374"/>
      <c r="P2" s="374"/>
      <c r="Q2" s="374"/>
      <c r="R2" s="374"/>
      <c r="S2" s="374"/>
    </row>
    <row r="3" spans="1:19" ht="15.75" x14ac:dyDescent="0.2">
      <c r="A3" s="573" t="s">
        <v>225</v>
      </c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374"/>
      <c r="N3" s="374"/>
      <c r="O3" s="374"/>
      <c r="P3" s="374"/>
      <c r="Q3" s="374"/>
      <c r="R3" s="374"/>
      <c r="S3" s="374"/>
    </row>
    <row r="4" spans="1:19" ht="15.75" x14ac:dyDescent="0.2">
      <c r="A4" s="573" t="s">
        <v>513</v>
      </c>
      <c r="B4" s="573"/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374"/>
      <c r="N4" s="374"/>
      <c r="O4" s="374"/>
      <c r="P4" s="374">
        <f>850*13</f>
        <v>11050</v>
      </c>
      <c r="Q4" s="374"/>
      <c r="R4" s="374"/>
      <c r="S4" s="374"/>
    </row>
    <row r="5" spans="1:19" ht="15" x14ac:dyDescent="0.2">
      <c r="A5" s="572" t="s">
        <v>13</v>
      </c>
      <c r="B5" s="572"/>
      <c r="C5" s="572"/>
      <c r="D5" s="572"/>
      <c r="E5" s="572"/>
      <c r="F5" s="572"/>
      <c r="G5" s="572"/>
      <c r="H5" s="572"/>
      <c r="I5" s="572"/>
      <c r="J5" s="572"/>
      <c r="K5" s="572"/>
      <c r="L5" s="572"/>
      <c r="M5" s="374"/>
      <c r="N5" s="374"/>
      <c r="O5" s="374"/>
      <c r="P5" s="374">
        <f>P4*12</f>
        <v>132600</v>
      </c>
      <c r="Q5" s="374"/>
      <c r="R5" s="374"/>
      <c r="S5" s="374"/>
    </row>
    <row r="6" spans="1:19" ht="8.25" customHeight="1" x14ac:dyDescent="0.25">
      <c r="A6" s="576"/>
      <c r="B6" s="576"/>
      <c r="C6" s="576"/>
      <c r="D6" s="576"/>
      <c r="E6" s="576"/>
      <c r="F6" s="576"/>
      <c r="G6" s="576"/>
      <c r="H6" s="576"/>
      <c r="I6" s="576"/>
      <c r="J6" s="576"/>
      <c r="K6" s="576"/>
      <c r="L6" s="576"/>
      <c r="M6" s="374"/>
      <c r="N6" s="374"/>
      <c r="O6" s="374"/>
      <c r="P6" s="374"/>
      <c r="Q6" s="374"/>
      <c r="R6" s="374"/>
      <c r="S6" s="374"/>
    </row>
    <row r="7" spans="1:19" ht="15" x14ac:dyDescent="0.25">
      <c r="A7" s="577" t="s">
        <v>15</v>
      </c>
      <c r="B7" s="577"/>
      <c r="C7" s="577"/>
      <c r="D7" s="577"/>
      <c r="E7" s="577"/>
      <c r="F7" s="577"/>
      <c r="G7" s="577"/>
      <c r="H7" s="577"/>
      <c r="I7" s="577"/>
      <c r="J7" s="577"/>
      <c r="K7" s="577"/>
      <c r="L7" s="577"/>
      <c r="M7" s="374"/>
      <c r="N7" s="374"/>
      <c r="O7" s="374"/>
      <c r="P7" s="374"/>
      <c r="Q7" s="374"/>
      <c r="R7" s="374"/>
      <c r="S7" s="374"/>
    </row>
    <row r="8" spans="1:19" ht="15.75" thickBot="1" x14ac:dyDescent="0.3">
      <c r="A8" s="566" t="s">
        <v>279</v>
      </c>
      <c r="B8" s="566"/>
      <c r="C8" s="566"/>
      <c r="D8" s="566"/>
      <c r="E8" s="566"/>
      <c r="F8" s="566"/>
      <c r="G8" s="566"/>
      <c r="H8" s="566"/>
      <c r="I8" s="566"/>
      <c r="J8" s="566"/>
      <c r="K8" s="566"/>
      <c r="L8" s="566"/>
      <c r="M8" s="374"/>
      <c r="N8" s="374"/>
      <c r="O8" s="374"/>
      <c r="P8" s="374"/>
      <c r="Q8" s="374"/>
      <c r="R8" s="374"/>
      <c r="S8" s="374"/>
    </row>
    <row r="9" spans="1:19" ht="13.5" customHeight="1" thickBot="1" x14ac:dyDescent="0.25">
      <c r="A9" s="567" t="s">
        <v>0</v>
      </c>
      <c r="B9" s="568"/>
      <c r="C9" s="568"/>
      <c r="D9" s="568"/>
      <c r="E9" s="569" t="s">
        <v>178</v>
      </c>
      <c r="F9" s="561" t="s">
        <v>335</v>
      </c>
      <c r="G9" s="561" t="s">
        <v>336</v>
      </c>
      <c r="H9" s="561" t="s">
        <v>419</v>
      </c>
      <c r="I9" s="561" t="s">
        <v>337</v>
      </c>
      <c r="J9" s="561" t="s">
        <v>344</v>
      </c>
      <c r="K9" s="561" t="s">
        <v>406</v>
      </c>
      <c r="L9" s="574" t="s">
        <v>342</v>
      </c>
      <c r="M9" s="374"/>
      <c r="N9" s="374"/>
      <c r="O9" s="374"/>
      <c r="P9" s="374"/>
      <c r="Q9" s="374"/>
      <c r="R9" s="374"/>
      <c r="S9" s="374"/>
    </row>
    <row r="10" spans="1:19" ht="173.25" customHeight="1" thickBot="1" x14ac:dyDescent="0.25">
      <c r="A10" s="301" t="s">
        <v>169</v>
      </c>
      <c r="B10" s="302" t="s">
        <v>177</v>
      </c>
      <c r="C10" s="303" t="s">
        <v>173</v>
      </c>
      <c r="D10" s="304" t="s">
        <v>174</v>
      </c>
      <c r="E10" s="570"/>
      <c r="F10" s="562"/>
      <c r="G10" s="562"/>
      <c r="H10" s="562"/>
      <c r="I10" s="562"/>
      <c r="J10" s="562"/>
      <c r="K10" s="562"/>
      <c r="L10" s="575"/>
      <c r="M10" s="374"/>
      <c r="N10" s="374"/>
      <c r="O10" s="374"/>
      <c r="P10" s="374"/>
      <c r="Q10" s="374"/>
      <c r="R10" s="374"/>
      <c r="S10" s="374"/>
    </row>
    <row r="11" spans="1:19" s="118" customFormat="1" ht="15.75" customHeight="1" x14ac:dyDescent="0.2">
      <c r="A11" s="305">
        <v>1</v>
      </c>
      <c r="B11" s="306" t="s">
        <v>51</v>
      </c>
      <c r="C11" s="307" t="s">
        <v>52</v>
      </c>
      <c r="D11" s="450" t="s">
        <v>36</v>
      </c>
      <c r="E11" s="511" t="s">
        <v>37</v>
      </c>
      <c r="F11" s="451">
        <v>36000</v>
      </c>
      <c r="G11" s="451"/>
      <c r="H11" s="451"/>
      <c r="I11" s="452"/>
      <c r="J11" s="451"/>
      <c r="K11" s="451"/>
      <c r="L11" s="200">
        <f>SUM(F11:K11)</f>
        <v>36000</v>
      </c>
      <c r="M11" s="361">
        <v>131024.28</v>
      </c>
      <c r="N11" s="361">
        <v>51</v>
      </c>
      <c r="O11" s="359">
        <f>SUM(L11:L20)</f>
        <v>206600</v>
      </c>
      <c r="P11" s="361"/>
      <c r="Q11" s="361"/>
      <c r="R11" s="359">
        <f>SUM(L11:L20)</f>
        <v>206600</v>
      </c>
      <c r="S11" s="361"/>
    </row>
    <row r="12" spans="1:19" s="118" customFormat="1" ht="15.75" customHeight="1" x14ac:dyDescent="0.2">
      <c r="A12" s="308">
        <v>1</v>
      </c>
      <c r="B12" s="309" t="s">
        <v>51</v>
      </c>
      <c r="C12" s="310" t="s">
        <v>52</v>
      </c>
      <c r="D12" s="311">
        <v>51103</v>
      </c>
      <c r="E12" s="453" t="s">
        <v>38</v>
      </c>
      <c r="F12" s="454">
        <v>3000</v>
      </c>
      <c r="G12" s="454"/>
      <c r="H12" s="454"/>
      <c r="I12" s="455"/>
      <c r="J12" s="454"/>
      <c r="K12" s="454"/>
      <c r="L12" s="200">
        <f t="shared" ref="L12:L58" si="0">SUM(F12:K12)</f>
        <v>3000</v>
      </c>
      <c r="M12" s="361">
        <v>21837.38</v>
      </c>
      <c r="N12" s="361">
        <v>54</v>
      </c>
      <c r="O12" s="359">
        <f>SUM(L21:L48)</f>
        <v>310367.34999999998</v>
      </c>
      <c r="P12" s="361"/>
      <c r="Q12" s="361"/>
      <c r="R12" s="361"/>
      <c r="S12" s="361"/>
    </row>
    <row r="13" spans="1:19" s="118" customFormat="1" ht="15.75" customHeight="1" x14ac:dyDescent="0.2">
      <c r="A13" s="308">
        <v>1</v>
      </c>
      <c r="B13" s="309" t="s">
        <v>51</v>
      </c>
      <c r="C13" s="307" t="s">
        <v>52</v>
      </c>
      <c r="D13" s="311">
        <v>51105</v>
      </c>
      <c r="E13" s="453" t="s">
        <v>75</v>
      </c>
      <c r="F13" s="454">
        <v>132600</v>
      </c>
      <c r="G13" s="454"/>
      <c r="H13" s="454"/>
      <c r="I13" s="455"/>
      <c r="J13" s="454"/>
      <c r="K13" s="454"/>
      <c r="L13" s="200">
        <f t="shared" si="0"/>
        <v>132600</v>
      </c>
      <c r="M13" s="361">
        <v>8580</v>
      </c>
      <c r="N13" s="361">
        <v>55</v>
      </c>
      <c r="O13" s="359">
        <f>SUM(L49:L53)</f>
        <v>22500</v>
      </c>
      <c r="P13" s="361"/>
      <c r="Q13" s="361"/>
      <c r="R13" s="361"/>
      <c r="S13" s="361"/>
    </row>
    <row r="14" spans="1:19" s="118" customFormat="1" ht="15.75" customHeight="1" x14ac:dyDescent="0.2">
      <c r="A14" s="308">
        <v>1</v>
      </c>
      <c r="B14" s="309" t="s">
        <v>51</v>
      </c>
      <c r="C14" s="307" t="s">
        <v>52</v>
      </c>
      <c r="D14" s="311">
        <v>51201</v>
      </c>
      <c r="E14" s="453" t="s">
        <v>37</v>
      </c>
      <c r="F14" s="454"/>
      <c r="G14" s="454"/>
      <c r="H14" s="454"/>
      <c r="I14" s="455"/>
      <c r="J14" s="454"/>
      <c r="K14" s="454"/>
      <c r="L14" s="200">
        <f t="shared" si="0"/>
        <v>0</v>
      </c>
      <c r="M14" s="361"/>
      <c r="N14" s="361">
        <v>56</v>
      </c>
      <c r="O14" s="359">
        <f>SUM(L54:L56)</f>
        <v>30176.1</v>
      </c>
      <c r="P14" s="361"/>
      <c r="Q14" s="361"/>
      <c r="R14" s="359">
        <f>SUM(L11:L20)</f>
        <v>206600</v>
      </c>
      <c r="S14" s="361"/>
    </row>
    <row r="15" spans="1:19" s="118" customFormat="1" ht="15.75" customHeight="1" x14ac:dyDescent="0.2">
      <c r="A15" s="312">
        <v>1</v>
      </c>
      <c r="B15" s="313" t="s">
        <v>51</v>
      </c>
      <c r="C15" s="314" t="s">
        <v>52</v>
      </c>
      <c r="D15" s="311">
        <v>51202</v>
      </c>
      <c r="E15" s="197" t="s">
        <v>206</v>
      </c>
      <c r="F15" s="198"/>
      <c r="G15" s="198"/>
      <c r="H15" s="198"/>
      <c r="I15" s="199"/>
      <c r="J15" s="198"/>
      <c r="K15" s="198"/>
      <c r="L15" s="200">
        <f t="shared" si="0"/>
        <v>0</v>
      </c>
      <c r="M15" s="361">
        <v>1782.04</v>
      </c>
      <c r="N15" s="361">
        <v>61</v>
      </c>
      <c r="O15" s="359">
        <f>SUM(L57:L58)</f>
        <v>41048.959999999999</v>
      </c>
      <c r="P15" s="361"/>
      <c r="Q15" s="361"/>
      <c r="R15" s="361"/>
      <c r="S15" s="361"/>
    </row>
    <row r="16" spans="1:19" s="118" customFormat="1" ht="15.75" customHeight="1" thickBot="1" x14ac:dyDescent="0.25">
      <c r="A16" s="312">
        <v>1</v>
      </c>
      <c r="B16" s="313" t="s">
        <v>51</v>
      </c>
      <c r="C16" s="315" t="s">
        <v>52</v>
      </c>
      <c r="D16" s="311">
        <v>51401</v>
      </c>
      <c r="E16" s="197" t="s">
        <v>39</v>
      </c>
      <c r="F16" s="198"/>
      <c r="G16" s="198"/>
      <c r="H16" s="198"/>
      <c r="I16" s="199"/>
      <c r="J16" s="198"/>
      <c r="K16" s="198"/>
      <c r="L16" s="200">
        <f t="shared" si="0"/>
        <v>0</v>
      </c>
      <c r="M16" s="361"/>
      <c r="N16" s="361">
        <v>72</v>
      </c>
      <c r="O16" s="705">
        <f>SUM(L59)</f>
        <v>45289.73</v>
      </c>
      <c r="P16" s="361"/>
      <c r="Q16" s="361"/>
      <c r="R16" s="361"/>
      <c r="S16" s="361"/>
    </row>
    <row r="17" spans="1:19" s="118" customFormat="1" ht="15.75" customHeight="1" thickTop="1" x14ac:dyDescent="0.2">
      <c r="A17" s="312">
        <v>1</v>
      </c>
      <c r="B17" s="313" t="s">
        <v>51</v>
      </c>
      <c r="C17" s="315" t="s">
        <v>52</v>
      </c>
      <c r="D17" s="311">
        <v>51501</v>
      </c>
      <c r="E17" s="197" t="s">
        <v>39</v>
      </c>
      <c r="F17" s="198"/>
      <c r="G17" s="198"/>
      <c r="H17" s="198"/>
      <c r="I17" s="199"/>
      <c r="J17" s="198"/>
      <c r="K17" s="198"/>
      <c r="L17" s="200">
        <f t="shared" si="0"/>
        <v>0</v>
      </c>
      <c r="M17" s="361"/>
      <c r="N17" s="361"/>
      <c r="O17" s="361"/>
      <c r="P17" s="361"/>
      <c r="Q17" s="361"/>
      <c r="R17" s="361"/>
      <c r="S17" s="361"/>
    </row>
    <row r="18" spans="1:19" s="118" customFormat="1" ht="15.75" customHeight="1" x14ac:dyDescent="0.2">
      <c r="A18" s="312">
        <v>1</v>
      </c>
      <c r="B18" s="313" t="s">
        <v>51</v>
      </c>
      <c r="C18" s="315" t="s">
        <v>52</v>
      </c>
      <c r="D18" s="311">
        <v>51601</v>
      </c>
      <c r="E18" s="197" t="s">
        <v>261</v>
      </c>
      <c r="F18" s="198"/>
      <c r="G18" s="198"/>
      <c r="H18" s="198"/>
      <c r="I18" s="199"/>
      <c r="J18" s="198"/>
      <c r="K18" s="198"/>
      <c r="L18" s="200">
        <f t="shared" si="0"/>
        <v>0</v>
      </c>
      <c r="M18" s="361"/>
      <c r="N18" s="361"/>
      <c r="O18" s="361"/>
      <c r="P18" s="361"/>
      <c r="Q18" s="361"/>
      <c r="R18" s="361"/>
      <c r="S18" s="361"/>
    </row>
    <row r="19" spans="1:19" s="118" customFormat="1" ht="15.75" customHeight="1" x14ac:dyDescent="0.2">
      <c r="A19" s="312">
        <v>1</v>
      </c>
      <c r="B19" s="313" t="s">
        <v>51</v>
      </c>
      <c r="C19" s="315" t="s">
        <v>52</v>
      </c>
      <c r="D19" s="311">
        <v>51901</v>
      </c>
      <c r="E19" s="197" t="s">
        <v>275</v>
      </c>
      <c r="F19" s="198">
        <v>5000</v>
      </c>
      <c r="G19" s="198"/>
      <c r="H19" s="198"/>
      <c r="I19" s="199"/>
      <c r="J19" s="198"/>
      <c r="K19" s="198"/>
      <c r="L19" s="200">
        <f t="shared" si="0"/>
        <v>5000</v>
      </c>
      <c r="M19" s="361">
        <v>4000</v>
      </c>
      <c r="N19" s="361"/>
      <c r="O19" s="361"/>
      <c r="P19" s="361"/>
      <c r="Q19" s="361"/>
      <c r="R19" s="361"/>
      <c r="S19" s="361"/>
    </row>
    <row r="20" spans="1:19" s="118" customFormat="1" ht="15.75" customHeight="1" x14ac:dyDescent="0.2">
      <c r="A20" s="312">
        <v>1</v>
      </c>
      <c r="B20" s="313" t="s">
        <v>51</v>
      </c>
      <c r="C20" s="315" t="s">
        <v>52</v>
      </c>
      <c r="D20" s="311">
        <v>51999</v>
      </c>
      <c r="E20" s="197" t="s">
        <v>223</v>
      </c>
      <c r="F20" s="198">
        <v>30000</v>
      </c>
      <c r="G20" s="198"/>
      <c r="H20" s="198"/>
      <c r="I20" s="199"/>
      <c r="J20" s="198"/>
      <c r="K20" s="198"/>
      <c r="L20" s="200">
        <f t="shared" si="0"/>
        <v>30000</v>
      </c>
      <c r="M20" s="361">
        <v>5000</v>
      </c>
      <c r="N20" s="485"/>
      <c r="O20" s="485"/>
      <c r="P20" s="485"/>
      <c r="Q20" s="361"/>
      <c r="R20" s="361"/>
      <c r="S20" s="361"/>
    </row>
    <row r="21" spans="1:19" s="118" customFormat="1" ht="15.75" customHeight="1" x14ac:dyDescent="0.2">
      <c r="A21" s="312">
        <v>1</v>
      </c>
      <c r="B21" s="313" t="s">
        <v>51</v>
      </c>
      <c r="C21" s="315" t="s">
        <v>52</v>
      </c>
      <c r="D21" s="311">
        <v>54101</v>
      </c>
      <c r="E21" s="197" t="s">
        <v>40</v>
      </c>
      <c r="F21" s="198">
        <v>5000</v>
      </c>
      <c r="G21" s="198"/>
      <c r="H21" s="198"/>
      <c r="I21" s="199"/>
      <c r="J21" s="198"/>
      <c r="K21" s="198"/>
      <c r="L21" s="200">
        <f t="shared" si="0"/>
        <v>5000</v>
      </c>
      <c r="M21" s="361">
        <v>1000</v>
      </c>
      <c r="N21" s="485"/>
      <c r="O21" s="485"/>
      <c r="P21" s="485"/>
      <c r="Q21" s="361">
        <f>11050+3000</f>
        <v>14050</v>
      </c>
      <c r="R21" s="361"/>
      <c r="S21" s="361"/>
    </row>
    <row r="22" spans="1:19" s="118" customFormat="1" ht="15.75" customHeight="1" x14ac:dyDescent="0.2">
      <c r="A22" s="312">
        <v>1</v>
      </c>
      <c r="B22" s="313" t="s">
        <v>51</v>
      </c>
      <c r="C22" s="315" t="s">
        <v>52</v>
      </c>
      <c r="D22" s="311">
        <v>54104</v>
      </c>
      <c r="E22" s="197" t="s">
        <v>207</v>
      </c>
      <c r="F22" s="198">
        <v>6000</v>
      </c>
      <c r="G22" s="198"/>
      <c r="H22" s="198"/>
      <c r="I22" s="199"/>
      <c r="J22" s="198"/>
      <c r="K22" s="198">
        <v>0</v>
      </c>
      <c r="L22" s="200">
        <f t="shared" si="0"/>
        <v>6000</v>
      </c>
      <c r="M22" s="361"/>
      <c r="N22" s="361"/>
      <c r="O22" s="361"/>
      <c r="P22" s="361"/>
      <c r="Q22" s="361"/>
      <c r="R22" s="361"/>
      <c r="S22" s="361"/>
    </row>
    <row r="23" spans="1:19" s="118" customFormat="1" ht="15.75" customHeight="1" x14ac:dyDescent="0.2">
      <c r="A23" s="312">
        <v>1</v>
      </c>
      <c r="B23" s="313" t="s">
        <v>51</v>
      </c>
      <c r="C23" s="315" t="s">
        <v>52</v>
      </c>
      <c r="D23" s="311">
        <v>54105</v>
      </c>
      <c r="E23" s="197" t="s">
        <v>41</v>
      </c>
      <c r="F23" s="198">
        <v>1500</v>
      </c>
      <c r="G23" s="198"/>
      <c r="H23" s="198"/>
      <c r="I23" s="199"/>
      <c r="J23" s="198"/>
      <c r="K23" s="198"/>
      <c r="L23" s="200">
        <f t="shared" si="0"/>
        <v>1500</v>
      </c>
      <c r="M23" s="361"/>
      <c r="N23" s="361"/>
      <c r="O23" s="361">
        <f>14000*12</f>
        <v>168000</v>
      </c>
      <c r="P23" s="361"/>
      <c r="Q23" s="361"/>
      <c r="R23" s="361"/>
      <c r="S23" s="361"/>
    </row>
    <row r="24" spans="1:19" s="118" customFormat="1" ht="15.75" customHeight="1" x14ac:dyDescent="0.2">
      <c r="A24" s="312">
        <v>1</v>
      </c>
      <c r="B24" s="313" t="s">
        <v>51</v>
      </c>
      <c r="C24" s="315" t="s">
        <v>52</v>
      </c>
      <c r="D24" s="311">
        <v>54109</v>
      </c>
      <c r="E24" s="197" t="s">
        <v>210</v>
      </c>
      <c r="F24" s="198">
        <v>10000</v>
      </c>
      <c r="G24" s="198"/>
      <c r="H24" s="198"/>
      <c r="I24" s="199"/>
      <c r="J24" s="198"/>
      <c r="K24" s="198"/>
      <c r="L24" s="200">
        <f t="shared" si="0"/>
        <v>10000</v>
      </c>
      <c r="M24" s="361">
        <v>4000</v>
      </c>
      <c r="N24" s="361"/>
      <c r="O24" s="361"/>
      <c r="P24" s="361"/>
      <c r="Q24" s="361"/>
      <c r="R24" s="361"/>
      <c r="S24" s="361"/>
    </row>
    <row r="25" spans="1:19" s="118" customFormat="1" ht="15.75" customHeight="1" x14ac:dyDescent="0.2">
      <c r="A25" s="312">
        <v>1</v>
      </c>
      <c r="B25" s="313" t="s">
        <v>51</v>
      </c>
      <c r="C25" s="315" t="s">
        <v>52</v>
      </c>
      <c r="D25" s="311">
        <v>54110</v>
      </c>
      <c r="E25" s="197" t="s">
        <v>42</v>
      </c>
      <c r="F25" s="198">
        <v>35000</v>
      </c>
      <c r="G25" s="198"/>
      <c r="H25" s="198"/>
      <c r="I25" s="199"/>
      <c r="J25" s="198"/>
      <c r="K25" s="198"/>
      <c r="L25" s="200">
        <f t="shared" si="0"/>
        <v>35000</v>
      </c>
      <c r="M25" s="361">
        <v>44000</v>
      </c>
      <c r="N25" s="361">
        <v>35000</v>
      </c>
      <c r="O25" s="361"/>
      <c r="P25" s="361"/>
      <c r="Q25" s="361"/>
      <c r="R25" s="361"/>
      <c r="S25" s="361"/>
    </row>
    <row r="26" spans="1:19" s="118" customFormat="1" ht="15.75" customHeight="1" x14ac:dyDescent="0.2">
      <c r="A26" s="312">
        <v>1</v>
      </c>
      <c r="B26" s="313" t="s">
        <v>51</v>
      </c>
      <c r="C26" s="315" t="s">
        <v>52</v>
      </c>
      <c r="D26" s="311">
        <v>54111</v>
      </c>
      <c r="E26" s="197" t="s">
        <v>48</v>
      </c>
      <c r="F26" s="198">
        <v>2000</v>
      </c>
      <c r="G26" s="198"/>
      <c r="H26" s="198"/>
      <c r="I26" s="199"/>
      <c r="J26" s="198"/>
      <c r="K26" s="198"/>
      <c r="L26" s="200">
        <f t="shared" si="0"/>
        <v>2000</v>
      </c>
      <c r="M26" s="361">
        <v>1500</v>
      </c>
      <c r="N26" s="361"/>
      <c r="O26" s="361"/>
      <c r="P26" s="361"/>
      <c r="Q26" s="361"/>
      <c r="R26" s="361"/>
      <c r="S26" s="361"/>
    </row>
    <row r="27" spans="1:19" s="118" customFormat="1" ht="15.75" customHeight="1" x14ac:dyDescent="0.2">
      <c r="A27" s="312">
        <v>1</v>
      </c>
      <c r="B27" s="313" t="s">
        <v>51</v>
      </c>
      <c r="C27" s="315" t="s">
        <v>52</v>
      </c>
      <c r="D27" s="311">
        <v>54112</v>
      </c>
      <c r="E27" s="197" t="s">
        <v>47</v>
      </c>
      <c r="F27" s="198">
        <v>1500</v>
      </c>
      <c r="G27" s="198"/>
      <c r="H27" s="198"/>
      <c r="I27" s="199"/>
      <c r="J27" s="198"/>
      <c r="K27" s="198"/>
      <c r="L27" s="200">
        <f t="shared" si="0"/>
        <v>1500</v>
      </c>
      <c r="M27" s="361">
        <v>1300</v>
      </c>
      <c r="N27" s="361"/>
      <c r="O27" s="361">
        <v>36000</v>
      </c>
      <c r="P27" s="361"/>
      <c r="Q27" s="361"/>
      <c r="R27" s="361"/>
      <c r="S27" s="361"/>
    </row>
    <row r="28" spans="1:19" s="118" customFormat="1" ht="15.75" customHeight="1" x14ac:dyDescent="0.2">
      <c r="A28" s="312">
        <v>1</v>
      </c>
      <c r="B28" s="313" t="s">
        <v>51</v>
      </c>
      <c r="C28" s="315" t="s">
        <v>52</v>
      </c>
      <c r="D28" s="311">
        <v>54114</v>
      </c>
      <c r="E28" s="197" t="s">
        <v>43</v>
      </c>
      <c r="F28" s="198">
        <v>1500</v>
      </c>
      <c r="G28" s="198">
        <v>800</v>
      </c>
      <c r="H28" s="198">
        <v>800</v>
      </c>
      <c r="I28" s="199">
        <v>200</v>
      </c>
      <c r="J28" s="198">
        <v>400</v>
      </c>
      <c r="K28" s="198">
        <v>500</v>
      </c>
      <c r="L28" s="200">
        <f t="shared" si="0"/>
        <v>4200</v>
      </c>
      <c r="M28" s="361">
        <v>1200</v>
      </c>
      <c r="N28" s="361"/>
      <c r="O28" s="361">
        <v>132000</v>
      </c>
      <c r="P28" s="361"/>
      <c r="Q28" s="361"/>
      <c r="R28" s="361"/>
      <c r="S28" s="361"/>
    </row>
    <row r="29" spans="1:19" s="118" customFormat="1" ht="15.75" customHeight="1" x14ac:dyDescent="0.2">
      <c r="A29" s="312">
        <v>1</v>
      </c>
      <c r="B29" s="313" t="s">
        <v>51</v>
      </c>
      <c r="C29" s="315" t="s">
        <v>52</v>
      </c>
      <c r="D29" s="311">
        <v>54115</v>
      </c>
      <c r="E29" s="197" t="s">
        <v>80</v>
      </c>
      <c r="F29" s="198">
        <v>2000</v>
      </c>
      <c r="G29" s="198">
        <v>2500</v>
      </c>
      <c r="H29" s="198">
        <v>2000</v>
      </c>
      <c r="I29" s="199">
        <v>500</v>
      </c>
      <c r="J29" s="198">
        <v>1000</v>
      </c>
      <c r="K29" s="198">
        <v>1500</v>
      </c>
      <c r="L29" s="200">
        <f t="shared" si="0"/>
        <v>9500</v>
      </c>
      <c r="M29" s="361">
        <v>1000</v>
      </c>
      <c r="N29" s="361"/>
      <c r="O29" s="361">
        <f>SUM(O27:O28)</f>
        <v>168000</v>
      </c>
      <c r="P29" s="361"/>
      <c r="Q29" s="361"/>
      <c r="R29" s="361"/>
      <c r="S29" s="361"/>
    </row>
    <row r="30" spans="1:19" s="118" customFormat="1" ht="15.75" customHeight="1" x14ac:dyDescent="0.2">
      <c r="A30" s="312">
        <v>1</v>
      </c>
      <c r="B30" s="313" t="s">
        <v>51</v>
      </c>
      <c r="C30" s="315" t="s">
        <v>52</v>
      </c>
      <c r="D30" s="311">
        <v>54118</v>
      </c>
      <c r="E30" s="197" t="s">
        <v>264</v>
      </c>
      <c r="F30" s="198">
        <v>20000</v>
      </c>
      <c r="G30" s="198"/>
      <c r="H30" s="198"/>
      <c r="I30" s="199"/>
      <c r="J30" s="198"/>
      <c r="K30" s="198"/>
      <c r="L30" s="200">
        <f t="shared" si="0"/>
        <v>20000</v>
      </c>
      <c r="M30" s="361">
        <v>19000</v>
      </c>
      <c r="N30" s="361"/>
      <c r="O30" s="361"/>
      <c r="P30" s="361"/>
      <c r="Q30" s="361"/>
      <c r="R30" s="361"/>
      <c r="S30" s="361"/>
    </row>
    <row r="31" spans="1:19" s="118" customFormat="1" ht="15.75" customHeight="1" x14ac:dyDescent="0.2">
      <c r="A31" s="312">
        <v>1</v>
      </c>
      <c r="B31" s="313" t="s">
        <v>51</v>
      </c>
      <c r="C31" s="315" t="s">
        <v>52</v>
      </c>
      <c r="D31" s="311">
        <v>54119</v>
      </c>
      <c r="E31" s="197" t="s">
        <v>104</v>
      </c>
      <c r="F31" s="198">
        <v>5000</v>
      </c>
      <c r="G31" s="198"/>
      <c r="H31" s="198"/>
      <c r="I31" s="199"/>
      <c r="J31" s="198"/>
      <c r="K31" s="198">
        <v>1500</v>
      </c>
      <c r="L31" s="200">
        <f t="shared" si="0"/>
        <v>6500</v>
      </c>
      <c r="M31" s="361">
        <v>2000</v>
      </c>
      <c r="N31" s="361"/>
      <c r="O31" s="361"/>
      <c r="P31" s="361"/>
      <c r="Q31" s="361"/>
      <c r="R31" s="361"/>
      <c r="S31" s="361"/>
    </row>
    <row r="32" spans="1:19" s="118" customFormat="1" ht="15.75" customHeight="1" x14ac:dyDescent="0.2">
      <c r="A32" s="312">
        <v>1</v>
      </c>
      <c r="B32" s="313" t="s">
        <v>51</v>
      </c>
      <c r="C32" s="315" t="s">
        <v>52</v>
      </c>
      <c r="D32" s="311">
        <v>54121</v>
      </c>
      <c r="E32" s="197" t="s">
        <v>83</v>
      </c>
      <c r="F32" s="198">
        <v>2000</v>
      </c>
      <c r="G32" s="198"/>
      <c r="H32" s="198"/>
      <c r="I32" s="199"/>
      <c r="J32" s="198"/>
      <c r="K32" s="198"/>
      <c r="L32" s="200">
        <f t="shared" si="0"/>
        <v>2000</v>
      </c>
      <c r="M32" s="361">
        <v>1500</v>
      </c>
      <c r="N32" s="361"/>
      <c r="O32" s="361"/>
      <c r="P32" s="361"/>
      <c r="Q32" s="361"/>
      <c r="R32" s="361"/>
      <c r="S32" s="361"/>
    </row>
    <row r="33" spans="1:19" s="118" customFormat="1" ht="15.75" customHeight="1" x14ac:dyDescent="0.2">
      <c r="A33" s="312">
        <v>1</v>
      </c>
      <c r="B33" s="313" t="s">
        <v>51</v>
      </c>
      <c r="C33" s="315" t="s">
        <v>52</v>
      </c>
      <c r="D33" s="311">
        <v>54199</v>
      </c>
      <c r="E33" s="197" t="s">
        <v>269</v>
      </c>
      <c r="F33" s="198">
        <v>40961.31</v>
      </c>
      <c r="G33" s="198"/>
      <c r="H33" s="198"/>
      <c r="I33" s="199"/>
      <c r="J33" s="198"/>
      <c r="K33" s="198"/>
      <c r="L33" s="200">
        <f t="shared" si="0"/>
        <v>40961.31</v>
      </c>
      <c r="M33" s="361">
        <v>2000</v>
      </c>
      <c r="N33" s="361"/>
      <c r="O33" s="361"/>
      <c r="P33" s="361"/>
      <c r="Q33" s="361"/>
      <c r="R33" s="361"/>
      <c r="S33" s="361"/>
    </row>
    <row r="34" spans="1:19" s="118" customFormat="1" ht="15.75" customHeight="1" x14ac:dyDescent="0.2">
      <c r="A34" s="312">
        <v>1</v>
      </c>
      <c r="B34" s="313" t="s">
        <v>51</v>
      </c>
      <c r="C34" s="315" t="s">
        <v>52</v>
      </c>
      <c r="D34" s="311">
        <v>54201</v>
      </c>
      <c r="E34" s="197" t="s">
        <v>44</v>
      </c>
      <c r="F34" s="198">
        <v>22884.48</v>
      </c>
      <c r="G34" s="198"/>
      <c r="H34" s="198"/>
      <c r="I34" s="199"/>
      <c r="J34" s="198"/>
      <c r="K34" s="198"/>
      <c r="L34" s="200">
        <f t="shared" si="0"/>
        <v>22884.48</v>
      </c>
      <c r="M34" s="361">
        <v>21452</v>
      </c>
      <c r="N34" s="361"/>
      <c r="O34" s="361"/>
      <c r="P34" s="361"/>
      <c r="Q34" s="361"/>
      <c r="R34" s="361"/>
      <c r="S34" s="361"/>
    </row>
    <row r="35" spans="1:19" s="118" customFormat="1" ht="15.75" customHeight="1" x14ac:dyDescent="0.2">
      <c r="A35" s="312">
        <v>1</v>
      </c>
      <c r="B35" s="313" t="s">
        <v>51</v>
      </c>
      <c r="C35" s="315" t="s">
        <v>52</v>
      </c>
      <c r="D35" s="311">
        <v>54202</v>
      </c>
      <c r="E35" s="197" t="s">
        <v>45</v>
      </c>
      <c r="F35" s="198">
        <v>11000</v>
      </c>
      <c r="G35" s="198"/>
      <c r="H35" s="198"/>
      <c r="I35" s="199"/>
      <c r="J35" s="198"/>
      <c r="K35" s="198"/>
      <c r="L35" s="200">
        <f t="shared" si="0"/>
        <v>11000</v>
      </c>
      <c r="M35" s="361">
        <v>3000</v>
      </c>
      <c r="N35" s="361"/>
      <c r="O35" s="361"/>
      <c r="P35" s="359">
        <f>SUM(L21:L48)</f>
        <v>310367.34999999998</v>
      </c>
      <c r="Q35" s="361"/>
      <c r="R35" s="361"/>
      <c r="S35" s="361"/>
    </row>
    <row r="36" spans="1:19" s="118" customFormat="1" ht="15.75" customHeight="1" x14ac:dyDescent="0.2">
      <c r="A36" s="312">
        <v>1</v>
      </c>
      <c r="B36" s="313" t="s">
        <v>51</v>
      </c>
      <c r="C36" s="315" t="s">
        <v>52</v>
      </c>
      <c r="D36" s="311">
        <v>54203</v>
      </c>
      <c r="E36" s="197" t="s">
        <v>46</v>
      </c>
      <c r="F36" s="198">
        <v>74221.56</v>
      </c>
      <c r="G36" s="198"/>
      <c r="H36" s="198"/>
      <c r="I36" s="199"/>
      <c r="J36" s="198"/>
      <c r="K36" s="198"/>
      <c r="L36" s="200">
        <f t="shared" si="0"/>
        <v>74221.56</v>
      </c>
      <c r="M36" s="361">
        <v>23000</v>
      </c>
      <c r="N36" s="375">
        <v>60000</v>
      </c>
      <c r="O36" s="361"/>
      <c r="P36" s="361"/>
      <c r="Q36" s="361"/>
      <c r="R36" s="361"/>
      <c r="S36" s="361"/>
    </row>
    <row r="37" spans="1:19" s="118" customFormat="1" ht="15.75" customHeight="1" x14ac:dyDescent="0.2">
      <c r="A37" s="312">
        <v>1</v>
      </c>
      <c r="B37" s="313" t="s">
        <v>51</v>
      </c>
      <c r="C37" s="315" t="s">
        <v>52</v>
      </c>
      <c r="D37" s="311">
        <v>54205</v>
      </c>
      <c r="E37" s="197" t="s">
        <v>25</v>
      </c>
      <c r="F37" s="198"/>
      <c r="G37" s="198"/>
      <c r="H37" s="198"/>
      <c r="I37" s="199"/>
      <c r="J37" s="198"/>
      <c r="K37" s="198"/>
      <c r="L37" s="200">
        <f t="shared" si="0"/>
        <v>0</v>
      </c>
      <c r="M37" s="361"/>
      <c r="N37" s="361"/>
      <c r="O37" s="361"/>
      <c r="P37" s="361"/>
      <c r="Q37" s="361"/>
      <c r="R37" s="361"/>
      <c r="S37" s="361"/>
    </row>
    <row r="38" spans="1:19" s="118" customFormat="1" ht="15.75" customHeight="1" x14ac:dyDescent="0.2">
      <c r="A38" s="312">
        <v>1</v>
      </c>
      <c r="B38" s="313" t="s">
        <v>51</v>
      </c>
      <c r="C38" s="315" t="s">
        <v>52</v>
      </c>
      <c r="D38" s="311">
        <v>54301</v>
      </c>
      <c r="E38" s="197" t="s">
        <v>267</v>
      </c>
      <c r="F38" s="198">
        <v>3000</v>
      </c>
      <c r="G38" s="198"/>
      <c r="H38" s="198"/>
      <c r="I38" s="199"/>
      <c r="J38" s="198"/>
      <c r="K38" s="198"/>
      <c r="L38" s="200">
        <f t="shared" si="0"/>
        <v>3000</v>
      </c>
      <c r="M38" s="361">
        <v>2000</v>
      </c>
      <c r="N38" s="361"/>
      <c r="O38" s="361"/>
      <c r="P38" s="361"/>
      <c r="Q38" s="361"/>
      <c r="R38" s="361"/>
      <c r="S38" s="361"/>
    </row>
    <row r="39" spans="1:19" s="118" customFormat="1" ht="15.75" customHeight="1" x14ac:dyDescent="0.2">
      <c r="A39" s="312">
        <v>1</v>
      </c>
      <c r="B39" s="313" t="s">
        <v>51</v>
      </c>
      <c r="C39" s="315" t="s">
        <v>52</v>
      </c>
      <c r="D39" s="311">
        <v>54302</v>
      </c>
      <c r="E39" s="197" t="s">
        <v>266</v>
      </c>
      <c r="F39" s="198">
        <v>12000</v>
      </c>
      <c r="G39" s="198"/>
      <c r="H39" s="198"/>
      <c r="I39" s="199"/>
      <c r="J39" s="198"/>
      <c r="K39" s="198"/>
      <c r="L39" s="200">
        <f t="shared" si="0"/>
        <v>12000</v>
      </c>
      <c r="M39" s="361">
        <v>28000</v>
      </c>
      <c r="N39" s="361"/>
      <c r="O39" s="361"/>
      <c r="P39" s="361"/>
      <c r="Q39" s="361"/>
      <c r="R39" s="361"/>
      <c r="S39" s="361"/>
    </row>
    <row r="40" spans="1:19" s="118" customFormat="1" ht="15.75" customHeight="1" x14ac:dyDescent="0.2">
      <c r="A40" s="312">
        <v>1</v>
      </c>
      <c r="B40" s="313" t="s">
        <v>51</v>
      </c>
      <c r="C40" s="315" t="s">
        <v>52</v>
      </c>
      <c r="D40" s="311">
        <v>54303</v>
      </c>
      <c r="E40" s="197" t="s">
        <v>265</v>
      </c>
      <c r="F40" s="198">
        <v>2500</v>
      </c>
      <c r="G40" s="198"/>
      <c r="H40" s="198"/>
      <c r="I40" s="456"/>
      <c r="J40" s="198"/>
      <c r="K40" s="198"/>
      <c r="L40" s="200">
        <f t="shared" si="0"/>
        <v>2500</v>
      </c>
      <c r="M40" s="361">
        <v>1000</v>
      </c>
      <c r="N40" s="361"/>
      <c r="O40" s="361"/>
      <c r="P40" s="361"/>
      <c r="Q40" s="361"/>
      <c r="R40" s="361"/>
      <c r="S40" s="361"/>
    </row>
    <row r="41" spans="1:19" s="118" customFormat="1" ht="15.75" customHeight="1" x14ac:dyDescent="0.2">
      <c r="A41" s="312">
        <v>1</v>
      </c>
      <c r="B41" s="313" t="s">
        <v>51</v>
      </c>
      <c r="C41" s="315" t="s">
        <v>52</v>
      </c>
      <c r="D41" s="311">
        <v>54304</v>
      </c>
      <c r="E41" s="197" t="s">
        <v>89</v>
      </c>
      <c r="F41" s="198">
        <v>2000</v>
      </c>
      <c r="G41" s="198"/>
      <c r="H41" s="198"/>
      <c r="I41" s="199"/>
      <c r="J41" s="198"/>
      <c r="K41" s="198"/>
      <c r="L41" s="200">
        <f t="shared" si="0"/>
        <v>2000</v>
      </c>
      <c r="M41" s="361">
        <v>1000</v>
      </c>
      <c r="N41" s="361"/>
      <c r="O41" s="361"/>
      <c r="P41" s="361"/>
      <c r="Q41" s="361"/>
      <c r="R41" s="361"/>
      <c r="S41" s="361"/>
    </row>
    <row r="42" spans="1:19" s="118" customFormat="1" ht="15.75" customHeight="1" x14ac:dyDescent="0.2">
      <c r="A42" s="312">
        <v>1</v>
      </c>
      <c r="B42" s="313" t="s">
        <v>51</v>
      </c>
      <c r="C42" s="315" t="s">
        <v>52</v>
      </c>
      <c r="D42" s="311">
        <v>54310</v>
      </c>
      <c r="E42" s="197" t="s">
        <v>218</v>
      </c>
      <c r="F42" s="198">
        <v>1000</v>
      </c>
      <c r="G42" s="198"/>
      <c r="H42" s="198"/>
      <c r="I42" s="199"/>
      <c r="J42" s="198"/>
      <c r="K42" s="198"/>
      <c r="L42" s="200">
        <f t="shared" si="0"/>
        <v>1000</v>
      </c>
      <c r="M42" s="361">
        <v>1000</v>
      </c>
      <c r="N42" s="361"/>
      <c r="O42" s="361"/>
      <c r="P42" s="361"/>
      <c r="Q42" s="361"/>
      <c r="R42" s="361"/>
      <c r="S42" s="361"/>
    </row>
    <row r="43" spans="1:19" s="118" customFormat="1" ht="15.75" customHeight="1" x14ac:dyDescent="0.2">
      <c r="A43" s="312">
        <v>1</v>
      </c>
      <c r="B43" s="313" t="s">
        <v>51</v>
      </c>
      <c r="C43" s="315" t="s">
        <v>52</v>
      </c>
      <c r="D43" s="311">
        <v>54314</v>
      </c>
      <c r="E43" s="197" t="s">
        <v>84</v>
      </c>
      <c r="F43" s="198">
        <v>3000</v>
      </c>
      <c r="G43" s="198"/>
      <c r="H43" s="198"/>
      <c r="I43" s="199"/>
      <c r="J43" s="198"/>
      <c r="K43" s="198"/>
      <c r="L43" s="200">
        <f t="shared" si="0"/>
        <v>3000</v>
      </c>
      <c r="M43" s="361">
        <v>1000</v>
      </c>
      <c r="N43" s="361"/>
      <c r="O43" s="361"/>
      <c r="P43" s="361"/>
      <c r="Q43" s="361"/>
      <c r="R43" s="361"/>
      <c r="S43" s="361"/>
    </row>
    <row r="44" spans="1:19" s="118" customFormat="1" ht="15.75" customHeight="1" x14ac:dyDescent="0.2">
      <c r="A44" s="312">
        <v>1</v>
      </c>
      <c r="B44" s="313" t="s">
        <v>51</v>
      </c>
      <c r="C44" s="315" t="s">
        <v>52</v>
      </c>
      <c r="D44" s="311">
        <v>54399</v>
      </c>
      <c r="E44" s="197" t="s">
        <v>380</v>
      </c>
      <c r="F44" s="198">
        <v>20000</v>
      </c>
      <c r="G44" s="198"/>
      <c r="H44" s="198"/>
      <c r="I44" s="199"/>
      <c r="J44" s="198"/>
      <c r="K44" s="198"/>
      <c r="L44" s="200">
        <f t="shared" si="0"/>
        <v>20000</v>
      </c>
      <c r="M44" s="361"/>
      <c r="N44" s="361"/>
      <c r="O44" s="361"/>
      <c r="P44" s="361"/>
      <c r="Q44" s="361"/>
      <c r="R44" s="361"/>
      <c r="S44" s="361"/>
    </row>
    <row r="45" spans="1:19" s="118" customFormat="1" ht="15.75" customHeight="1" x14ac:dyDescent="0.2">
      <c r="A45" s="312">
        <v>1</v>
      </c>
      <c r="B45" s="313" t="s">
        <v>51</v>
      </c>
      <c r="C45" s="315" t="s">
        <v>52</v>
      </c>
      <c r="D45" s="311">
        <v>54401</v>
      </c>
      <c r="E45" s="197" t="s">
        <v>268</v>
      </c>
      <c r="F45" s="198">
        <v>1000</v>
      </c>
      <c r="G45" s="198"/>
      <c r="H45" s="198"/>
      <c r="I45" s="199"/>
      <c r="J45" s="198"/>
      <c r="K45" s="198"/>
      <c r="L45" s="200">
        <f t="shared" si="0"/>
        <v>1000</v>
      </c>
      <c r="M45" s="361"/>
      <c r="N45" s="361"/>
      <c r="O45" s="361"/>
      <c r="P45" s="361"/>
      <c r="Q45" s="361"/>
      <c r="R45" s="361"/>
      <c r="S45" s="361"/>
    </row>
    <row r="46" spans="1:19" s="118" customFormat="1" ht="15.75" customHeight="1" x14ac:dyDescent="0.2">
      <c r="A46" s="312">
        <v>1</v>
      </c>
      <c r="B46" s="313" t="s">
        <v>51</v>
      </c>
      <c r="C46" s="315" t="s">
        <v>52</v>
      </c>
      <c r="D46" s="311">
        <v>54403</v>
      </c>
      <c r="E46" s="197" t="s">
        <v>262</v>
      </c>
      <c r="F46" s="198">
        <v>1000</v>
      </c>
      <c r="G46" s="198"/>
      <c r="H46" s="198"/>
      <c r="I46" s="199"/>
      <c r="J46" s="198"/>
      <c r="K46" s="198"/>
      <c r="L46" s="200">
        <f t="shared" si="0"/>
        <v>1000</v>
      </c>
      <c r="M46" s="361"/>
      <c r="N46" s="361"/>
      <c r="O46" s="361"/>
      <c r="P46" s="361"/>
      <c r="Q46" s="361"/>
      <c r="R46" s="361"/>
      <c r="S46" s="361"/>
    </row>
    <row r="47" spans="1:19" s="118" customFormat="1" ht="15.75" customHeight="1" x14ac:dyDescent="0.2">
      <c r="A47" s="312">
        <v>1</v>
      </c>
      <c r="B47" s="313" t="s">
        <v>51</v>
      </c>
      <c r="C47" s="315" t="s">
        <v>52</v>
      </c>
      <c r="D47" s="311">
        <v>54503</v>
      </c>
      <c r="E47" s="197" t="s">
        <v>79</v>
      </c>
      <c r="F47" s="198">
        <v>3000</v>
      </c>
      <c r="G47" s="198"/>
      <c r="H47" s="198"/>
      <c r="I47" s="199"/>
      <c r="J47" s="198"/>
      <c r="K47" s="198"/>
      <c r="L47" s="200">
        <f t="shared" si="0"/>
        <v>3000</v>
      </c>
      <c r="M47" s="361">
        <v>800</v>
      </c>
      <c r="N47" s="361"/>
      <c r="O47" s="361"/>
      <c r="P47" s="361"/>
      <c r="Q47" s="361"/>
      <c r="R47" s="361"/>
      <c r="S47" s="361"/>
    </row>
    <row r="48" spans="1:19" s="118" customFormat="1" ht="15.75" customHeight="1" x14ac:dyDescent="0.2">
      <c r="A48" s="312">
        <v>1</v>
      </c>
      <c r="B48" s="313" t="s">
        <v>51</v>
      </c>
      <c r="C48" s="315" t="s">
        <v>52</v>
      </c>
      <c r="D48" s="311">
        <v>54504</v>
      </c>
      <c r="E48" s="197" t="s">
        <v>85</v>
      </c>
      <c r="F48" s="198"/>
      <c r="G48" s="198">
        <v>9600</v>
      </c>
      <c r="H48" s="198"/>
      <c r="I48" s="199"/>
      <c r="J48" s="198"/>
      <c r="K48" s="198"/>
      <c r="L48" s="200">
        <f t="shared" si="0"/>
        <v>9600</v>
      </c>
      <c r="M48" s="361">
        <v>2500</v>
      </c>
      <c r="N48" s="361"/>
      <c r="O48" s="361"/>
      <c r="P48" s="361"/>
      <c r="Q48" s="361"/>
      <c r="R48" s="361"/>
      <c r="S48" s="361"/>
    </row>
    <row r="49" spans="1:19" s="118" customFormat="1" ht="15.75" customHeight="1" x14ac:dyDescent="0.2">
      <c r="A49" s="312">
        <v>1</v>
      </c>
      <c r="B49" s="313" t="s">
        <v>51</v>
      </c>
      <c r="C49" s="315" t="s">
        <v>52</v>
      </c>
      <c r="D49" s="311">
        <v>55508</v>
      </c>
      <c r="E49" s="197" t="s">
        <v>86</v>
      </c>
      <c r="F49" s="198">
        <v>2000</v>
      </c>
      <c r="G49" s="198"/>
      <c r="H49" s="198"/>
      <c r="I49" s="199"/>
      <c r="J49" s="198"/>
      <c r="K49" s="198"/>
      <c r="L49" s="200">
        <f t="shared" si="0"/>
        <v>2000</v>
      </c>
      <c r="M49" s="361">
        <v>300</v>
      </c>
      <c r="N49" s="361"/>
      <c r="O49" s="361"/>
      <c r="P49" s="361"/>
      <c r="Q49" s="361"/>
      <c r="R49" s="361"/>
      <c r="S49" s="361"/>
    </row>
    <row r="50" spans="1:19" s="118" customFormat="1" ht="15.75" customHeight="1" x14ac:dyDescent="0.2">
      <c r="A50" s="312">
        <v>1</v>
      </c>
      <c r="B50" s="313" t="s">
        <v>51</v>
      </c>
      <c r="C50" s="315" t="s">
        <v>52</v>
      </c>
      <c r="D50" s="311">
        <v>55601</v>
      </c>
      <c r="E50" s="197" t="s">
        <v>107</v>
      </c>
      <c r="F50" s="198">
        <v>2000</v>
      </c>
      <c r="G50" s="198"/>
      <c r="H50" s="198"/>
      <c r="I50" s="199"/>
      <c r="J50" s="198"/>
      <c r="K50" s="198"/>
      <c r="L50" s="200">
        <f t="shared" si="0"/>
        <v>2000</v>
      </c>
      <c r="M50" s="361"/>
      <c r="N50" s="361"/>
      <c r="O50" s="361"/>
      <c r="P50" s="361"/>
      <c r="Q50" s="361"/>
      <c r="R50" s="361"/>
      <c r="S50" s="361"/>
    </row>
    <row r="51" spans="1:19" s="118" customFormat="1" ht="15.75" customHeight="1" x14ac:dyDescent="0.2">
      <c r="A51" s="312">
        <v>1</v>
      </c>
      <c r="B51" s="313" t="s">
        <v>51</v>
      </c>
      <c r="C51" s="315" t="s">
        <v>52</v>
      </c>
      <c r="D51" s="311">
        <v>55603</v>
      </c>
      <c r="E51" s="197" t="s">
        <v>87</v>
      </c>
      <c r="F51" s="198">
        <v>2000</v>
      </c>
      <c r="G51" s="198"/>
      <c r="H51" s="198"/>
      <c r="I51" s="199"/>
      <c r="J51" s="198"/>
      <c r="K51" s="198"/>
      <c r="L51" s="200">
        <f t="shared" si="0"/>
        <v>2000</v>
      </c>
      <c r="M51" s="361">
        <v>250</v>
      </c>
      <c r="N51" s="361"/>
      <c r="O51" s="361"/>
      <c r="P51" s="361"/>
      <c r="Q51" s="361"/>
      <c r="R51" s="361"/>
      <c r="S51" s="361"/>
    </row>
    <row r="52" spans="1:19" s="118" customFormat="1" ht="15.75" customHeight="1" x14ac:dyDescent="0.2">
      <c r="A52" s="312">
        <v>1</v>
      </c>
      <c r="B52" s="313" t="s">
        <v>51</v>
      </c>
      <c r="C52" s="315" t="s">
        <v>52</v>
      </c>
      <c r="D52" s="311">
        <v>55703</v>
      </c>
      <c r="E52" s="197" t="s">
        <v>88</v>
      </c>
      <c r="F52" s="198">
        <v>1500</v>
      </c>
      <c r="G52" s="198"/>
      <c r="H52" s="198"/>
      <c r="I52" s="199"/>
      <c r="J52" s="198"/>
      <c r="K52" s="198"/>
      <c r="L52" s="200">
        <f t="shared" si="0"/>
        <v>1500</v>
      </c>
      <c r="M52" s="361">
        <v>300</v>
      </c>
      <c r="N52" s="361"/>
      <c r="O52" s="361"/>
      <c r="P52" s="361"/>
      <c r="Q52" s="361"/>
      <c r="R52" s="361"/>
      <c r="S52" s="361"/>
    </row>
    <row r="53" spans="1:19" s="118" customFormat="1" ht="15.75" customHeight="1" x14ac:dyDescent="0.2">
      <c r="A53" s="312">
        <v>1</v>
      </c>
      <c r="B53" s="313" t="s">
        <v>51</v>
      </c>
      <c r="C53" s="315" t="s">
        <v>52</v>
      </c>
      <c r="D53" s="311">
        <v>55799</v>
      </c>
      <c r="E53" s="197" t="s">
        <v>270</v>
      </c>
      <c r="F53" s="198">
        <v>15000</v>
      </c>
      <c r="G53" s="198"/>
      <c r="H53" s="198"/>
      <c r="I53" s="199"/>
      <c r="J53" s="198"/>
      <c r="K53" s="198"/>
      <c r="L53" s="200">
        <f t="shared" si="0"/>
        <v>15000</v>
      </c>
      <c r="M53" s="361">
        <v>7000.11</v>
      </c>
      <c r="N53" s="361"/>
      <c r="O53" s="361"/>
      <c r="P53" s="361"/>
      <c r="Q53" s="361"/>
      <c r="R53" s="361"/>
      <c r="S53" s="361"/>
    </row>
    <row r="54" spans="1:19" s="118" customFormat="1" ht="15.75" customHeight="1" x14ac:dyDescent="0.2">
      <c r="A54" s="312">
        <v>1</v>
      </c>
      <c r="B54" s="313" t="s">
        <v>51</v>
      </c>
      <c r="C54" s="315" t="s">
        <v>52</v>
      </c>
      <c r="D54" s="311">
        <v>56201</v>
      </c>
      <c r="E54" s="197" t="s">
        <v>420</v>
      </c>
      <c r="F54" s="198"/>
      <c r="G54" s="198"/>
      <c r="H54" s="198"/>
      <c r="I54" s="199"/>
      <c r="J54" s="198"/>
      <c r="K54" s="198"/>
      <c r="L54" s="200">
        <f t="shared" si="0"/>
        <v>0</v>
      </c>
      <c r="M54" s="361">
        <v>3000</v>
      </c>
      <c r="N54" s="361"/>
      <c r="O54" s="361"/>
      <c r="P54" s="361"/>
      <c r="Q54" s="361"/>
      <c r="R54" s="361"/>
      <c r="S54" s="361"/>
    </row>
    <row r="55" spans="1:19" s="118" customFormat="1" ht="15.75" customHeight="1" x14ac:dyDescent="0.2">
      <c r="A55" s="312">
        <v>1</v>
      </c>
      <c r="B55" s="313" t="s">
        <v>51</v>
      </c>
      <c r="C55" s="315" t="s">
        <v>52</v>
      </c>
      <c r="D55" s="311">
        <v>56303</v>
      </c>
      <c r="E55" s="197" t="s">
        <v>345</v>
      </c>
      <c r="F55" s="198">
        <v>12000</v>
      </c>
      <c r="G55" s="198"/>
      <c r="H55" s="198"/>
      <c r="I55" s="199"/>
      <c r="J55" s="198"/>
      <c r="K55" s="198"/>
      <c r="L55" s="200">
        <f t="shared" si="0"/>
        <v>12000</v>
      </c>
      <c r="M55" s="361">
        <v>21000</v>
      </c>
      <c r="N55" s="361"/>
      <c r="O55" s="361"/>
      <c r="P55" s="361"/>
      <c r="Q55" s="361"/>
      <c r="R55" s="361"/>
      <c r="S55" s="361"/>
    </row>
    <row r="56" spans="1:19" s="118" customFormat="1" ht="15.75" customHeight="1" x14ac:dyDescent="0.2">
      <c r="A56" s="312">
        <v>1</v>
      </c>
      <c r="B56" s="313" t="s">
        <v>51</v>
      </c>
      <c r="C56" s="315" t="s">
        <v>52</v>
      </c>
      <c r="D56" s="311">
        <v>56304</v>
      </c>
      <c r="E56" s="197" t="s">
        <v>263</v>
      </c>
      <c r="F56" s="198">
        <v>18176.099999999999</v>
      </c>
      <c r="G56" s="198"/>
      <c r="H56" s="198"/>
      <c r="I56" s="199"/>
      <c r="J56" s="198"/>
      <c r="K56" s="198"/>
      <c r="L56" s="200">
        <f t="shared" si="0"/>
        <v>18176.099999999999</v>
      </c>
      <c r="M56" s="361">
        <v>3000</v>
      </c>
      <c r="N56" s="361"/>
      <c r="O56" s="361"/>
      <c r="P56" s="361"/>
      <c r="Q56" s="361"/>
      <c r="R56" s="361"/>
      <c r="S56" s="361"/>
    </row>
    <row r="57" spans="1:19" s="118" customFormat="1" ht="15.75" customHeight="1" x14ac:dyDescent="0.2">
      <c r="A57" s="316">
        <v>1</v>
      </c>
      <c r="B57" s="317" t="s">
        <v>51</v>
      </c>
      <c r="C57" s="318" t="s">
        <v>52</v>
      </c>
      <c r="D57" s="457">
        <v>61101</v>
      </c>
      <c r="E57" s="319" t="s">
        <v>222</v>
      </c>
      <c r="F57" s="203">
        <f>3000-1251.04</f>
        <v>1748.96</v>
      </c>
      <c r="G57" s="203">
        <v>5000</v>
      </c>
      <c r="H57" s="203">
        <v>6000</v>
      </c>
      <c r="I57" s="458">
        <v>1000</v>
      </c>
      <c r="J57" s="203">
        <v>1500</v>
      </c>
      <c r="K57" s="203">
        <v>3000</v>
      </c>
      <c r="L57" s="200">
        <f t="shared" si="0"/>
        <v>18248.96</v>
      </c>
      <c r="M57" s="361">
        <v>3000</v>
      </c>
      <c r="N57" s="361"/>
      <c r="O57" s="361"/>
      <c r="P57" s="361"/>
      <c r="Q57" s="359">
        <f>SUM(F49:F53)</f>
        <v>22500</v>
      </c>
      <c r="R57" s="361"/>
      <c r="S57" s="361"/>
    </row>
    <row r="58" spans="1:19" s="118" customFormat="1" ht="15.75" customHeight="1" x14ac:dyDescent="0.2">
      <c r="A58" s="316">
        <v>1</v>
      </c>
      <c r="B58" s="317" t="s">
        <v>51</v>
      </c>
      <c r="C58" s="318" t="s">
        <v>52</v>
      </c>
      <c r="D58" s="457">
        <v>61104</v>
      </c>
      <c r="E58" s="319" t="s">
        <v>346</v>
      </c>
      <c r="F58" s="203">
        <v>2800</v>
      </c>
      <c r="G58" s="203">
        <v>6000</v>
      </c>
      <c r="H58" s="203">
        <v>7000</v>
      </c>
      <c r="I58" s="458">
        <v>1000</v>
      </c>
      <c r="J58" s="203">
        <v>1000</v>
      </c>
      <c r="K58" s="203">
        <v>5000</v>
      </c>
      <c r="L58" s="200">
        <f t="shared" si="0"/>
        <v>22800</v>
      </c>
      <c r="M58" s="361">
        <v>1500</v>
      </c>
      <c r="N58" s="361"/>
      <c r="O58" s="361"/>
      <c r="P58" s="361"/>
      <c r="Q58" s="361"/>
      <c r="R58" s="361"/>
      <c r="S58" s="361"/>
    </row>
    <row r="59" spans="1:19" s="118" customFormat="1" ht="15.75" customHeight="1" thickBot="1" x14ac:dyDescent="0.25">
      <c r="A59" s="316"/>
      <c r="B59" s="317"/>
      <c r="C59" s="293" t="s">
        <v>56</v>
      </c>
      <c r="D59" s="447" t="s">
        <v>581</v>
      </c>
      <c r="E59" s="462" t="s">
        <v>580</v>
      </c>
      <c r="F59" s="203">
        <f>44038.69+1251.04</f>
        <v>45289.73</v>
      </c>
      <c r="G59" s="203"/>
      <c r="H59" s="203"/>
      <c r="I59" s="320"/>
      <c r="J59" s="203"/>
      <c r="K59" s="203"/>
      <c r="L59" s="321">
        <f>F59</f>
        <v>45289.73</v>
      </c>
      <c r="M59" s="361"/>
      <c r="N59" s="361"/>
      <c r="O59" s="361"/>
      <c r="P59" s="361"/>
      <c r="Q59" s="361"/>
      <c r="R59" s="361"/>
      <c r="S59" s="361"/>
    </row>
    <row r="60" spans="1:19" ht="30" customHeight="1" thickBot="1" x14ac:dyDescent="0.25">
      <c r="A60" s="563" t="s">
        <v>341</v>
      </c>
      <c r="B60" s="564"/>
      <c r="C60" s="564"/>
      <c r="D60" s="564"/>
      <c r="E60" s="565"/>
      <c r="F60" s="322">
        <f t="shared" ref="F60:K60" si="1">SUM(F11:F59)</f>
        <v>598182.1399999999</v>
      </c>
      <c r="G60" s="322">
        <f t="shared" si="1"/>
        <v>23900</v>
      </c>
      <c r="H60" s="322">
        <f t="shared" si="1"/>
        <v>15800</v>
      </c>
      <c r="I60" s="322">
        <f t="shared" si="1"/>
        <v>2700</v>
      </c>
      <c r="J60" s="322">
        <f t="shared" si="1"/>
        <v>3900</v>
      </c>
      <c r="K60" s="322">
        <f t="shared" si="1"/>
        <v>11500</v>
      </c>
      <c r="L60" s="323">
        <f>SUM(L11:L59)</f>
        <v>655982.1399999999</v>
      </c>
      <c r="M60" s="374"/>
      <c r="N60" s="374"/>
      <c r="O60" s="374"/>
      <c r="P60" s="374"/>
      <c r="Q60" s="374"/>
      <c r="R60" s="374"/>
      <c r="S60" s="374"/>
    </row>
    <row r="61" spans="1:19" x14ac:dyDescent="0.2">
      <c r="M61" s="374"/>
      <c r="N61" s="374"/>
      <c r="O61" s="374"/>
      <c r="P61" s="374"/>
      <c r="Q61" s="374"/>
      <c r="R61" s="374"/>
      <c r="S61" s="374"/>
    </row>
    <row r="62" spans="1:19" x14ac:dyDescent="0.2">
      <c r="L62" s="104"/>
    </row>
    <row r="63" spans="1:19" x14ac:dyDescent="0.2">
      <c r="K63" s="706"/>
      <c r="L63" s="707"/>
      <c r="M63" s="374"/>
    </row>
    <row r="64" spans="1:19" x14ac:dyDescent="0.2">
      <c r="K64" s="706"/>
      <c r="L64" s="708">
        <f>SUM(Ingresos!C51)</f>
        <v>655982.14</v>
      </c>
      <c r="M64" s="374"/>
    </row>
    <row r="65" spans="11:14" x14ac:dyDescent="0.2">
      <c r="K65" s="706"/>
      <c r="L65" s="707"/>
      <c r="M65" s="374"/>
      <c r="N65" s="125"/>
    </row>
    <row r="66" spans="11:14" x14ac:dyDescent="0.2">
      <c r="K66" s="706"/>
      <c r="L66" s="707"/>
      <c r="M66" s="374"/>
    </row>
    <row r="67" spans="11:14" x14ac:dyDescent="0.2">
      <c r="K67" s="706"/>
      <c r="L67" s="707">
        <f>SUM(L60-L64)</f>
        <v>-1.1641532182693481E-10</v>
      </c>
      <c r="M67" s="374"/>
    </row>
    <row r="68" spans="11:14" x14ac:dyDescent="0.2">
      <c r="K68" s="706"/>
      <c r="L68" s="707"/>
      <c r="M68" s="374"/>
    </row>
    <row r="69" spans="11:14" x14ac:dyDescent="0.2">
      <c r="K69" s="706"/>
      <c r="L69" s="707"/>
      <c r="M69" s="374"/>
    </row>
    <row r="70" spans="11:14" x14ac:dyDescent="0.2">
      <c r="K70" s="706"/>
      <c r="L70" s="707"/>
      <c r="M70" s="374"/>
    </row>
    <row r="71" spans="11:14" x14ac:dyDescent="0.2">
      <c r="L71" s="104"/>
    </row>
    <row r="74" spans="11:14" x14ac:dyDescent="0.2">
      <c r="L74" s="130"/>
    </row>
  </sheetData>
  <sheetProtection algorithmName="SHA-512" hashValue="SUDzehUwJQAMi+wU638MTpPmLe/TXluQFEXFzdAj7+8eMVdAI6qFo/Tt8mlfutTp14XWGDn/g1fVf4Kvg3SEVA==" saltValue="z+qbwD73ONc4MnYP/KlAQw==" spinCount="100000" sheet="1" formatCells="0" formatColumns="0" formatRows="0" insertColumns="0" insertRows="0" insertHyperlinks="0" deleteColumns="0" deleteRows="0" sort="0" autoFilter="0" pivotTables="0"/>
  <autoFilter ref="A7:L10" xr:uid="{00000000-0009-0000-0000-000004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hiddenButton="1" showButton="0"/>
    <filterColumn colId="8" showButton="0"/>
    <filterColumn colId="9" showButton="0"/>
    <filterColumn colId="10" hiddenButton="1" showButton="0"/>
  </autoFilter>
  <sortState xmlns:xlrd2="http://schemas.microsoft.com/office/spreadsheetml/2017/richdata2" ref="D12:E51">
    <sortCondition ref="D11"/>
  </sortState>
  <mergeCells count="18">
    <mergeCell ref="A1:L1"/>
    <mergeCell ref="A5:L5"/>
    <mergeCell ref="A3:L3"/>
    <mergeCell ref="A4:L4"/>
    <mergeCell ref="L9:L10"/>
    <mergeCell ref="A2:L2"/>
    <mergeCell ref="A6:L6"/>
    <mergeCell ref="A7:L7"/>
    <mergeCell ref="F9:F10"/>
    <mergeCell ref="G9:G10"/>
    <mergeCell ref="I9:I10"/>
    <mergeCell ref="J9:J10"/>
    <mergeCell ref="K9:K10"/>
    <mergeCell ref="H9:H10"/>
    <mergeCell ref="A60:E60"/>
    <mergeCell ref="A8:L8"/>
    <mergeCell ref="A9:D9"/>
    <mergeCell ref="E9:E10"/>
  </mergeCells>
  <phoneticPr fontId="2" type="noConversion"/>
  <printOptions horizontalCentered="1"/>
  <pageMargins left="0.19685039370078741" right="0.19685039370078741" top="0.78740157480314965" bottom="0.47244094488188981" header="0" footer="0"/>
  <pageSetup scale="80" orientation="landscape" horizontalDpi="4294967293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</sheetPr>
  <dimension ref="A1:M80"/>
  <sheetViews>
    <sheetView view="pageBreakPreview" topLeftCell="C1" zoomScale="120" zoomScaleSheetLayoutView="120" workbookViewId="0">
      <selection activeCell="K73" sqref="K73"/>
    </sheetView>
  </sheetViews>
  <sheetFormatPr baseColWidth="10" defaultColWidth="11.42578125" defaultRowHeight="12.75" x14ac:dyDescent="0.2"/>
  <cols>
    <col min="1" max="2" width="4.5703125" style="23" customWidth="1"/>
    <col min="3" max="3" width="6.140625" style="23" customWidth="1"/>
    <col min="4" max="4" width="10.28515625" style="23" customWidth="1"/>
    <col min="5" max="5" width="48.7109375" style="19" customWidth="1"/>
    <col min="6" max="6" width="18.28515625" style="19" customWidth="1"/>
    <col min="7" max="7" width="15.7109375" style="19" customWidth="1"/>
    <col min="8" max="8" width="17.7109375" style="19" customWidth="1"/>
    <col min="9" max="9" width="17.85546875" style="4" customWidth="1"/>
    <col min="10" max="10" width="17.140625" style="21" customWidth="1"/>
    <col min="11" max="11" width="11" style="21" customWidth="1"/>
    <col min="12" max="12" width="15.85546875" style="21" customWidth="1"/>
    <col min="13" max="16384" width="11.42578125" style="21"/>
  </cols>
  <sheetData>
    <row r="1" spans="1:13" ht="18" x14ac:dyDescent="0.25">
      <c r="A1" s="540" t="s">
        <v>388</v>
      </c>
      <c r="B1" s="540"/>
      <c r="C1" s="540"/>
      <c r="D1" s="540"/>
      <c r="E1" s="540"/>
      <c r="F1" s="540"/>
      <c r="G1" s="540"/>
      <c r="H1" s="540"/>
      <c r="I1" s="540"/>
      <c r="J1" s="5"/>
    </row>
    <row r="2" spans="1:13" ht="18" x14ac:dyDescent="0.25">
      <c r="A2" s="540" t="s">
        <v>387</v>
      </c>
      <c r="B2" s="540"/>
      <c r="C2" s="540"/>
      <c r="D2" s="540"/>
      <c r="E2" s="540"/>
      <c r="F2" s="540"/>
      <c r="G2" s="540"/>
      <c r="H2" s="540"/>
      <c r="I2" s="540"/>
      <c r="J2" s="5"/>
    </row>
    <row r="3" spans="1:13" ht="15.75" x14ac:dyDescent="0.2">
      <c r="A3" s="550" t="s">
        <v>225</v>
      </c>
      <c r="B3" s="550"/>
      <c r="C3" s="550"/>
      <c r="D3" s="550"/>
      <c r="E3" s="550"/>
      <c r="F3" s="550"/>
      <c r="G3" s="550"/>
      <c r="H3" s="550"/>
      <c r="I3" s="550"/>
    </row>
    <row r="4" spans="1:13" ht="15.75" x14ac:dyDescent="0.2">
      <c r="A4" s="550" t="s">
        <v>513</v>
      </c>
      <c r="B4" s="550"/>
      <c r="C4" s="550"/>
      <c r="D4" s="550"/>
      <c r="E4" s="550"/>
      <c r="F4" s="550"/>
      <c r="G4" s="550"/>
      <c r="H4" s="550"/>
      <c r="I4" s="550"/>
    </row>
    <row r="5" spans="1:13" ht="15.75" x14ac:dyDescent="0.25">
      <c r="A5" s="591" t="s">
        <v>13</v>
      </c>
      <c r="B5" s="591"/>
      <c r="C5" s="591"/>
      <c r="D5" s="591"/>
      <c r="E5" s="591"/>
      <c r="F5" s="591"/>
      <c r="G5" s="591"/>
      <c r="H5" s="591"/>
      <c r="I5" s="591"/>
    </row>
    <row r="6" spans="1:13" ht="15.75" x14ac:dyDescent="0.25">
      <c r="A6" s="579" t="s">
        <v>226</v>
      </c>
      <c r="B6" s="579"/>
      <c r="C6" s="579"/>
      <c r="D6" s="579"/>
      <c r="E6" s="579"/>
      <c r="F6" s="579"/>
      <c r="G6" s="579"/>
      <c r="H6" s="579"/>
      <c r="I6" s="579"/>
    </row>
    <row r="7" spans="1:13" ht="16.5" thickBot="1" x14ac:dyDescent="0.3">
      <c r="A7" s="580" t="s">
        <v>280</v>
      </c>
      <c r="B7" s="580"/>
      <c r="C7" s="580"/>
      <c r="D7" s="580"/>
      <c r="E7" s="580"/>
      <c r="F7" s="580"/>
      <c r="G7" s="580"/>
      <c r="H7" s="580"/>
      <c r="I7" s="580"/>
    </row>
    <row r="8" spans="1:13" ht="15" thickBot="1" x14ac:dyDescent="0.25">
      <c r="A8" s="581" t="s">
        <v>434</v>
      </c>
      <c r="B8" s="582"/>
      <c r="C8" s="582"/>
      <c r="D8" s="582"/>
      <c r="E8" s="583" t="s">
        <v>178</v>
      </c>
      <c r="F8" s="585" t="s">
        <v>350</v>
      </c>
      <c r="G8" s="585" t="s">
        <v>351</v>
      </c>
      <c r="H8" s="585" t="s">
        <v>603</v>
      </c>
      <c r="I8" s="585" t="s">
        <v>604</v>
      </c>
    </row>
    <row r="9" spans="1:13" ht="180.75" customHeight="1" thickBot="1" x14ac:dyDescent="0.25">
      <c r="A9" s="201" t="s">
        <v>385</v>
      </c>
      <c r="B9" s="201" t="s">
        <v>172</v>
      </c>
      <c r="C9" s="201" t="s">
        <v>386</v>
      </c>
      <c r="D9" s="202" t="s">
        <v>117</v>
      </c>
      <c r="E9" s="584"/>
      <c r="F9" s="586"/>
      <c r="G9" s="586"/>
      <c r="H9" s="586"/>
      <c r="I9" s="586"/>
      <c r="J9" s="374"/>
      <c r="K9" s="374"/>
      <c r="L9" s="374"/>
      <c r="M9" s="374"/>
    </row>
    <row r="10" spans="1:13" s="118" customFormat="1" ht="15.75" customHeight="1" x14ac:dyDescent="0.2">
      <c r="A10" s="324"/>
      <c r="B10" s="325" t="s">
        <v>51</v>
      </c>
      <c r="C10" s="325" t="s">
        <v>54</v>
      </c>
      <c r="D10" s="326">
        <v>51101</v>
      </c>
      <c r="E10" s="327" t="s">
        <v>37</v>
      </c>
      <c r="F10" s="224"/>
      <c r="G10" s="224">
        <f>proyectos!G78</f>
        <v>0</v>
      </c>
      <c r="H10" s="224">
        <f>SUM(proyectos!G47:G62)</f>
        <v>0</v>
      </c>
      <c r="I10" s="225">
        <f>SUM(F10:H10)</f>
        <v>0</v>
      </c>
      <c r="J10" s="376">
        <f>SUM(F10:I10)</f>
        <v>0</v>
      </c>
      <c r="K10" s="361">
        <v>51</v>
      </c>
      <c r="L10" s="377">
        <f>SUM(I10:I15)</f>
        <v>274042.25</v>
      </c>
      <c r="M10" s="361"/>
    </row>
    <row r="11" spans="1:13" s="118" customFormat="1" ht="15.75" customHeight="1" x14ac:dyDescent="0.2">
      <c r="A11" s="324"/>
      <c r="B11" s="325" t="s">
        <v>51</v>
      </c>
      <c r="C11" s="325" t="s">
        <v>54</v>
      </c>
      <c r="D11" s="326">
        <v>51103</v>
      </c>
      <c r="E11" s="327" t="s">
        <v>38</v>
      </c>
      <c r="F11" s="224"/>
      <c r="G11" s="224">
        <f>proyectos!H78</f>
        <v>0</v>
      </c>
      <c r="H11" s="224">
        <f>SUM(proyectos!H47:H62)</f>
        <v>0</v>
      </c>
      <c r="I11" s="225">
        <f t="shared" ref="I11:I13" si="0">SUM(F11:H11)</f>
        <v>0</v>
      </c>
      <c r="J11" s="376">
        <f t="shared" ref="J11:J67" si="1">SUM(F11:H11)</f>
        <v>0</v>
      </c>
      <c r="K11" s="361"/>
      <c r="L11" s="377"/>
      <c r="M11" s="361"/>
    </row>
    <row r="12" spans="1:13" s="118" customFormat="1" ht="15.75" customHeight="1" x14ac:dyDescent="0.2">
      <c r="A12" s="324"/>
      <c r="B12" s="325" t="s">
        <v>51</v>
      </c>
      <c r="C12" s="325" t="s">
        <v>54</v>
      </c>
      <c r="D12" s="326">
        <v>51401</v>
      </c>
      <c r="E12" s="327" t="s">
        <v>364</v>
      </c>
      <c r="F12" s="224"/>
      <c r="G12" s="224">
        <f>proyectos!I78</f>
        <v>0</v>
      </c>
      <c r="H12" s="224"/>
      <c r="I12" s="225">
        <f t="shared" si="0"/>
        <v>0</v>
      </c>
      <c r="J12" s="376">
        <f t="shared" si="1"/>
        <v>0</v>
      </c>
      <c r="K12" s="361">
        <v>51</v>
      </c>
      <c r="L12" s="377">
        <f>SUM(I10:I15)</f>
        <v>274042.25</v>
      </c>
      <c r="M12" s="361"/>
    </row>
    <row r="13" spans="1:13" s="118" customFormat="1" ht="15.75" customHeight="1" x14ac:dyDescent="0.2">
      <c r="A13" s="324"/>
      <c r="B13" s="325" t="s">
        <v>51</v>
      </c>
      <c r="C13" s="325" t="s">
        <v>54</v>
      </c>
      <c r="D13" s="326">
        <v>51501</v>
      </c>
      <c r="E13" s="327" t="s">
        <v>365</v>
      </c>
      <c r="F13" s="224"/>
      <c r="G13" s="224">
        <f>proyectos!J78</f>
        <v>0</v>
      </c>
      <c r="H13" s="224"/>
      <c r="I13" s="225">
        <f t="shared" si="0"/>
        <v>0</v>
      </c>
      <c r="J13" s="376">
        <f t="shared" si="1"/>
        <v>0</v>
      </c>
      <c r="K13" s="361">
        <v>54</v>
      </c>
      <c r="L13" s="377">
        <f>SUM(I16:I47)</f>
        <v>1028028.4400000001</v>
      </c>
    </row>
    <row r="14" spans="1:13" s="118" customFormat="1" ht="15.75" customHeight="1" x14ac:dyDescent="0.2">
      <c r="A14" s="324"/>
      <c r="B14" s="325" t="s">
        <v>51</v>
      </c>
      <c r="C14" s="325" t="s">
        <v>54</v>
      </c>
      <c r="D14" s="326" t="s">
        <v>224</v>
      </c>
      <c r="E14" s="327" t="s">
        <v>206</v>
      </c>
      <c r="F14" s="224">
        <f>SUM(proyectos!M27:M45)</f>
        <v>80000</v>
      </c>
      <c r="G14" s="224"/>
      <c r="H14" s="224">
        <f>SUM(proyectos!M47:M62)</f>
        <v>186242.25</v>
      </c>
      <c r="I14" s="225">
        <f>SUM(F14:H14)</f>
        <v>266242.25</v>
      </c>
      <c r="J14" s="376">
        <f t="shared" si="1"/>
        <v>266242.25</v>
      </c>
      <c r="K14" s="361">
        <v>56</v>
      </c>
      <c r="L14" s="377">
        <f>SUM(I51:I52)</f>
        <v>92813.08</v>
      </c>
    </row>
    <row r="15" spans="1:13" s="118" customFormat="1" ht="15.75" customHeight="1" x14ac:dyDescent="0.2">
      <c r="A15" s="324"/>
      <c r="B15" s="325" t="s">
        <v>51</v>
      </c>
      <c r="C15" s="325" t="s">
        <v>54</v>
      </c>
      <c r="D15" s="326" t="s">
        <v>274</v>
      </c>
      <c r="E15" s="327" t="s">
        <v>275</v>
      </c>
      <c r="F15" s="224"/>
      <c r="G15" s="224">
        <f>SUM(proyectos!N8:N25)</f>
        <v>7800</v>
      </c>
      <c r="H15" s="224">
        <f>SUM(proyectos!N47:N62)</f>
        <v>0</v>
      </c>
      <c r="I15" s="225">
        <f t="shared" ref="I15:I68" si="2">SUM(F15:H15)</f>
        <v>7800</v>
      </c>
      <c r="J15" s="376">
        <f t="shared" si="1"/>
        <v>7800</v>
      </c>
      <c r="K15" s="361">
        <v>61</v>
      </c>
      <c r="L15" s="377">
        <f>SUM(I53:I65)</f>
        <v>776263.85000000009</v>
      </c>
    </row>
    <row r="16" spans="1:13" s="118" customFormat="1" ht="15.75" customHeight="1" x14ac:dyDescent="0.2">
      <c r="A16" s="324"/>
      <c r="B16" s="325" t="s">
        <v>51</v>
      </c>
      <c r="C16" s="325" t="s">
        <v>54</v>
      </c>
      <c r="D16" s="326">
        <v>54101</v>
      </c>
      <c r="E16" s="327" t="s">
        <v>40</v>
      </c>
      <c r="F16" s="224"/>
      <c r="G16" s="224"/>
      <c r="H16" s="224"/>
      <c r="I16" s="225">
        <f t="shared" si="2"/>
        <v>0</v>
      </c>
      <c r="J16" s="376">
        <f t="shared" si="1"/>
        <v>0</v>
      </c>
      <c r="K16" s="361"/>
      <c r="L16" s="377"/>
    </row>
    <row r="17" spans="1:13" s="118" customFormat="1" ht="15.75" customHeight="1" x14ac:dyDescent="0.2">
      <c r="A17" s="324"/>
      <c r="B17" s="325" t="s">
        <v>51</v>
      </c>
      <c r="C17" s="325" t="s">
        <v>54</v>
      </c>
      <c r="D17" s="326">
        <v>54103</v>
      </c>
      <c r="E17" s="327" t="s">
        <v>227</v>
      </c>
      <c r="F17" s="224"/>
      <c r="G17" s="224">
        <f>proyectos!P78</f>
        <v>15000</v>
      </c>
      <c r="H17" s="224"/>
      <c r="I17" s="225">
        <f t="shared" si="2"/>
        <v>15000</v>
      </c>
      <c r="J17" s="376">
        <f t="shared" si="1"/>
        <v>15000</v>
      </c>
      <c r="K17" s="361">
        <v>72</v>
      </c>
      <c r="L17" s="709">
        <f>I66</f>
        <v>163576.54999999999</v>
      </c>
    </row>
    <row r="18" spans="1:13" s="118" customFormat="1" ht="15.75" customHeight="1" thickBot="1" x14ac:dyDescent="0.25">
      <c r="A18" s="324"/>
      <c r="B18" s="328" t="s">
        <v>51</v>
      </c>
      <c r="C18" s="325" t="s">
        <v>54</v>
      </c>
      <c r="D18" s="329">
        <v>54104</v>
      </c>
      <c r="E18" s="330" t="s">
        <v>207</v>
      </c>
      <c r="F18" s="254"/>
      <c r="G18" s="254"/>
      <c r="H18" s="254"/>
      <c r="I18" s="225">
        <f t="shared" si="2"/>
        <v>0</v>
      </c>
      <c r="J18" s="376">
        <f t="shared" si="1"/>
        <v>0</v>
      </c>
      <c r="K18" s="361"/>
      <c r="L18" s="710">
        <f>SUM(L12:L17)</f>
        <v>2334724.17</v>
      </c>
    </row>
    <row r="19" spans="1:13" s="118" customFormat="1" ht="15.75" customHeight="1" thickTop="1" x14ac:dyDescent="0.2">
      <c r="A19" s="324"/>
      <c r="B19" s="328" t="s">
        <v>51</v>
      </c>
      <c r="C19" s="325" t="s">
        <v>54</v>
      </c>
      <c r="D19" s="329">
        <v>54106</v>
      </c>
      <c r="E19" s="330" t="s">
        <v>228</v>
      </c>
      <c r="F19" s="254"/>
      <c r="G19" s="254"/>
      <c r="H19" s="254"/>
      <c r="I19" s="225">
        <f t="shared" si="2"/>
        <v>0</v>
      </c>
      <c r="J19" s="376">
        <f t="shared" si="1"/>
        <v>0</v>
      </c>
      <c r="K19" s="361"/>
      <c r="L19" s="361"/>
      <c r="M19" s="361"/>
    </row>
    <row r="20" spans="1:13" s="118" customFormat="1" ht="15.75" customHeight="1" x14ac:dyDescent="0.2">
      <c r="A20" s="324"/>
      <c r="B20" s="328" t="s">
        <v>51</v>
      </c>
      <c r="C20" s="325" t="s">
        <v>54</v>
      </c>
      <c r="D20" s="329">
        <v>54107</v>
      </c>
      <c r="E20" s="330" t="s">
        <v>209</v>
      </c>
      <c r="F20" s="254"/>
      <c r="G20" s="254">
        <f>SUM(proyectos!R8:R25)</f>
        <v>1000</v>
      </c>
      <c r="H20" s="254"/>
      <c r="I20" s="225">
        <f t="shared" si="2"/>
        <v>1000</v>
      </c>
      <c r="J20" s="376">
        <f t="shared" si="1"/>
        <v>1000</v>
      </c>
      <c r="K20" s="361"/>
      <c r="L20" s="361"/>
      <c r="M20" s="361"/>
    </row>
    <row r="21" spans="1:13" s="118" customFormat="1" ht="15.75" customHeight="1" x14ac:dyDescent="0.2">
      <c r="A21" s="324"/>
      <c r="B21" s="328" t="s">
        <v>51</v>
      </c>
      <c r="C21" s="325" t="s">
        <v>54</v>
      </c>
      <c r="D21" s="329">
        <v>54109</v>
      </c>
      <c r="E21" s="330" t="s">
        <v>210</v>
      </c>
      <c r="F21" s="254"/>
      <c r="G21" s="254"/>
      <c r="H21" s="254"/>
      <c r="I21" s="225">
        <f t="shared" si="2"/>
        <v>0</v>
      </c>
      <c r="J21" s="376">
        <f t="shared" si="1"/>
        <v>0</v>
      </c>
      <c r="K21" s="361"/>
      <c r="L21" s="361"/>
      <c r="M21" s="361"/>
    </row>
    <row r="22" spans="1:13" s="118" customFormat="1" ht="15.75" customHeight="1" x14ac:dyDescent="0.2">
      <c r="A22" s="324"/>
      <c r="B22" s="328" t="s">
        <v>51</v>
      </c>
      <c r="C22" s="325" t="s">
        <v>54</v>
      </c>
      <c r="D22" s="329">
        <v>54110</v>
      </c>
      <c r="E22" s="330" t="s">
        <v>42</v>
      </c>
      <c r="F22" s="254">
        <f>SUM(proyectos!S27:S45)</f>
        <v>5500</v>
      </c>
      <c r="G22" s="254">
        <f>SUM(proyectos!S8:S25)</f>
        <v>2000</v>
      </c>
      <c r="H22" s="254">
        <f>SUM(proyectos!S47:S62)</f>
        <v>6200</v>
      </c>
      <c r="I22" s="225">
        <f t="shared" si="2"/>
        <v>13700</v>
      </c>
      <c r="J22" s="376">
        <f t="shared" si="1"/>
        <v>13700</v>
      </c>
      <c r="K22" s="361"/>
      <c r="L22" s="361"/>
      <c r="M22" s="361"/>
    </row>
    <row r="23" spans="1:13" s="118" customFormat="1" ht="15.75" customHeight="1" x14ac:dyDescent="0.2">
      <c r="A23" s="324"/>
      <c r="B23" s="328" t="s">
        <v>51</v>
      </c>
      <c r="C23" s="325" t="s">
        <v>54</v>
      </c>
      <c r="D23" s="329">
        <v>54111</v>
      </c>
      <c r="E23" s="330" t="s">
        <v>48</v>
      </c>
      <c r="F23" s="254">
        <f>SUM(proyectos!T27:T45)</f>
        <v>208616.91999999998</v>
      </c>
      <c r="G23" s="254"/>
      <c r="H23" s="254">
        <f>SUM(proyectos!T47:T62)</f>
        <v>226499.9</v>
      </c>
      <c r="I23" s="225">
        <f t="shared" si="2"/>
        <v>435116.81999999995</v>
      </c>
      <c r="J23" s="376">
        <f t="shared" si="1"/>
        <v>435116.81999999995</v>
      </c>
      <c r="K23" s="361"/>
      <c r="L23" s="361"/>
      <c r="M23" s="361"/>
    </row>
    <row r="24" spans="1:13" s="118" customFormat="1" ht="15.75" customHeight="1" x14ac:dyDescent="0.2">
      <c r="A24" s="324"/>
      <c r="B24" s="328" t="s">
        <v>51</v>
      </c>
      <c r="C24" s="325" t="s">
        <v>54</v>
      </c>
      <c r="D24" s="329">
        <v>54112</v>
      </c>
      <c r="E24" s="330" t="s">
        <v>47</v>
      </c>
      <c r="F24" s="254">
        <f>SUM(proyectos!AV27:AV45)</f>
        <v>20000</v>
      </c>
      <c r="G24" s="254"/>
      <c r="H24" s="254">
        <f>SUM(proyectos!AV47:AV62)</f>
        <v>21000</v>
      </c>
      <c r="I24" s="225">
        <f t="shared" si="2"/>
        <v>41000</v>
      </c>
      <c r="J24" s="376">
        <f t="shared" si="1"/>
        <v>41000</v>
      </c>
      <c r="K24" s="361"/>
      <c r="L24" s="361"/>
      <c r="M24" s="361"/>
    </row>
    <row r="25" spans="1:13" s="118" customFormat="1" ht="15.75" customHeight="1" x14ac:dyDescent="0.2">
      <c r="A25" s="324"/>
      <c r="B25" s="328" t="s">
        <v>51</v>
      </c>
      <c r="C25" s="325" t="s">
        <v>54</v>
      </c>
      <c r="D25" s="329">
        <v>54114</v>
      </c>
      <c r="E25" s="330" t="s">
        <v>43</v>
      </c>
      <c r="F25" s="254"/>
      <c r="G25" s="254">
        <f>proyectos!U78</f>
        <v>0</v>
      </c>
      <c r="H25" s="254"/>
      <c r="I25" s="225">
        <f t="shared" si="2"/>
        <v>0</v>
      </c>
      <c r="J25" s="376">
        <f t="shared" si="1"/>
        <v>0</v>
      </c>
      <c r="K25" s="361"/>
      <c r="L25" s="361"/>
      <c r="M25" s="361"/>
    </row>
    <row r="26" spans="1:13" s="118" customFormat="1" ht="15.75" customHeight="1" x14ac:dyDescent="0.2">
      <c r="A26" s="324"/>
      <c r="B26" s="328" t="s">
        <v>51</v>
      </c>
      <c r="C26" s="325" t="s">
        <v>54</v>
      </c>
      <c r="D26" s="329">
        <v>54115</v>
      </c>
      <c r="E26" s="330" t="s">
        <v>80</v>
      </c>
      <c r="F26" s="254"/>
      <c r="G26" s="254"/>
      <c r="H26" s="254"/>
      <c r="I26" s="225">
        <f t="shared" si="2"/>
        <v>0</v>
      </c>
      <c r="J26" s="376">
        <f t="shared" si="1"/>
        <v>0</v>
      </c>
      <c r="K26" s="361"/>
      <c r="L26" s="361"/>
      <c r="M26" s="361"/>
    </row>
    <row r="27" spans="1:13" s="118" customFormat="1" ht="15.75" customHeight="1" x14ac:dyDescent="0.2">
      <c r="A27" s="324"/>
      <c r="B27" s="328" t="s">
        <v>51</v>
      </c>
      <c r="C27" s="325" t="s">
        <v>54</v>
      </c>
      <c r="D27" s="329">
        <v>54116</v>
      </c>
      <c r="E27" s="330" t="s">
        <v>423</v>
      </c>
      <c r="F27" s="331"/>
      <c r="G27" s="254">
        <f>proyectos!V78</f>
        <v>3000</v>
      </c>
      <c r="H27" s="254"/>
      <c r="I27" s="225">
        <f t="shared" si="2"/>
        <v>3000</v>
      </c>
      <c r="J27" s="376">
        <f t="shared" si="1"/>
        <v>3000</v>
      </c>
      <c r="K27" s="361"/>
      <c r="L27" s="361"/>
      <c r="M27" s="361"/>
    </row>
    <row r="28" spans="1:13" s="118" customFormat="1" ht="15.75" customHeight="1" x14ac:dyDescent="0.2">
      <c r="A28" s="324"/>
      <c r="B28" s="328" t="s">
        <v>51</v>
      </c>
      <c r="C28" s="325" t="s">
        <v>54</v>
      </c>
      <c r="D28" s="329">
        <v>54118</v>
      </c>
      <c r="E28" s="332" t="s">
        <v>317</v>
      </c>
      <c r="F28" s="254">
        <f>SUM(proyectos!X27:X45)</f>
        <v>17000</v>
      </c>
      <c r="G28" s="254"/>
      <c r="H28" s="254">
        <f>SUM(proyectos!X47:X62)</f>
        <v>6500</v>
      </c>
      <c r="I28" s="225">
        <f t="shared" si="2"/>
        <v>23500</v>
      </c>
      <c r="J28" s="376">
        <f t="shared" si="1"/>
        <v>23500</v>
      </c>
      <c r="K28" s="361"/>
      <c r="L28" s="361"/>
      <c r="M28" s="361"/>
    </row>
    <row r="29" spans="1:13" s="118" customFormat="1" ht="15.75" customHeight="1" x14ac:dyDescent="0.2">
      <c r="A29" s="324"/>
      <c r="B29" s="328" t="s">
        <v>51</v>
      </c>
      <c r="C29" s="325" t="s">
        <v>54</v>
      </c>
      <c r="D29" s="329">
        <v>54119</v>
      </c>
      <c r="E29" s="330" t="s">
        <v>104</v>
      </c>
      <c r="F29" s="254">
        <f>SUM(proyectos!AB27:AB45)</f>
        <v>42568.67</v>
      </c>
      <c r="G29" s="254">
        <f>SUM(proyectos!AB8:AB25)</f>
        <v>1000</v>
      </c>
      <c r="H29" s="254">
        <f>SUM(proyectos!AB47:AB62)</f>
        <v>0</v>
      </c>
      <c r="I29" s="225">
        <f t="shared" si="2"/>
        <v>43568.67</v>
      </c>
      <c r="J29" s="376">
        <f t="shared" si="1"/>
        <v>43568.67</v>
      </c>
      <c r="K29" s="361"/>
      <c r="L29" s="361"/>
      <c r="M29" s="361"/>
    </row>
    <row r="30" spans="1:13" s="118" customFormat="1" ht="15.75" customHeight="1" x14ac:dyDescent="0.2">
      <c r="A30" s="324"/>
      <c r="B30" s="328" t="s">
        <v>51</v>
      </c>
      <c r="C30" s="325" t="s">
        <v>54</v>
      </c>
      <c r="D30" s="329">
        <v>54199</v>
      </c>
      <c r="E30" s="330" t="s">
        <v>269</v>
      </c>
      <c r="F30" s="254"/>
      <c r="G30" s="254">
        <f>SUM(proyectos!AC8:AC25)</f>
        <v>10000</v>
      </c>
      <c r="H30" s="254"/>
      <c r="I30" s="225">
        <f t="shared" si="2"/>
        <v>10000</v>
      </c>
      <c r="J30" s="376">
        <f t="shared" si="1"/>
        <v>10000</v>
      </c>
      <c r="K30" s="361"/>
      <c r="L30" s="361"/>
      <c r="M30" s="361"/>
    </row>
    <row r="31" spans="1:13" s="118" customFormat="1" ht="15.75" customHeight="1" x14ac:dyDescent="0.2">
      <c r="A31" s="324"/>
      <c r="B31" s="328" t="s">
        <v>51</v>
      </c>
      <c r="C31" s="325" t="s">
        <v>54</v>
      </c>
      <c r="D31" s="329">
        <v>54201</v>
      </c>
      <c r="E31" s="330" t="s">
        <v>366</v>
      </c>
      <c r="F31" s="254"/>
      <c r="G31" s="254"/>
      <c r="H31" s="254"/>
      <c r="I31" s="225">
        <f t="shared" si="2"/>
        <v>0</v>
      </c>
      <c r="J31" s="376">
        <f t="shared" si="1"/>
        <v>0</v>
      </c>
      <c r="K31" s="361"/>
      <c r="L31" s="377">
        <f>SUM(I16:I47)</f>
        <v>1028028.4400000001</v>
      </c>
      <c r="M31" s="361"/>
    </row>
    <row r="32" spans="1:13" s="118" customFormat="1" ht="15.75" customHeight="1" x14ac:dyDescent="0.2">
      <c r="A32" s="324"/>
      <c r="B32" s="328" t="s">
        <v>51</v>
      </c>
      <c r="C32" s="325" t="s">
        <v>54</v>
      </c>
      <c r="D32" s="329">
        <v>54205</v>
      </c>
      <c r="E32" s="330" t="s">
        <v>25</v>
      </c>
      <c r="F32" s="254"/>
      <c r="G32" s="254"/>
      <c r="H32" s="254"/>
      <c r="I32" s="225">
        <f t="shared" si="2"/>
        <v>0</v>
      </c>
      <c r="J32" s="376">
        <f t="shared" si="1"/>
        <v>0</v>
      </c>
      <c r="K32" s="361"/>
      <c r="L32" s="361"/>
      <c r="M32" s="361"/>
    </row>
    <row r="33" spans="1:13" s="118" customFormat="1" ht="15.75" customHeight="1" x14ac:dyDescent="0.2">
      <c r="A33" s="324"/>
      <c r="B33" s="328" t="s">
        <v>51</v>
      </c>
      <c r="C33" s="325" t="s">
        <v>54</v>
      </c>
      <c r="D33" s="329">
        <v>54301</v>
      </c>
      <c r="E33" s="330" t="s">
        <v>318</v>
      </c>
      <c r="F33" s="254">
        <f>proyectos!AD78</f>
        <v>0</v>
      </c>
      <c r="G33" s="254"/>
      <c r="H33" s="254"/>
      <c r="I33" s="225">
        <f t="shared" si="2"/>
        <v>0</v>
      </c>
      <c r="J33" s="376">
        <f t="shared" si="1"/>
        <v>0</v>
      </c>
      <c r="K33" s="361"/>
      <c r="L33" s="361"/>
      <c r="M33" s="361"/>
    </row>
    <row r="34" spans="1:13" s="118" customFormat="1" ht="15.75" customHeight="1" x14ac:dyDescent="0.2">
      <c r="A34" s="324"/>
      <c r="B34" s="328" t="s">
        <v>51</v>
      </c>
      <c r="C34" s="325" t="s">
        <v>54</v>
      </c>
      <c r="D34" s="329">
        <v>54302</v>
      </c>
      <c r="E34" s="330" t="s">
        <v>319</v>
      </c>
      <c r="F34" s="254">
        <f>proyectos!AE78</f>
        <v>0</v>
      </c>
      <c r="G34" s="254"/>
      <c r="H34" s="254"/>
      <c r="I34" s="225">
        <f t="shared" si="2"/>
        <v>0</v>
      </c>
      <c r="J34" s="376">
        <f t="shared" si="1"/>
        <v>0</v>
      </c>
      <c r="K34" s="361"/>
      <c r="L34" s="361"/>
      <c r="M34" s="361"/>
    </row>
    <row r="35" spans="1:13" s="118" customFormat="1" ht="15.75" customHeight="1" x14ac:dyDescent="0.2">
      <c r="A35" s="324"/>
      <c r="B35" s="328" t="s">
        <v>51</v>
      </c>
      <c r="C35" s="325" t="s">
        <v>54</v>
      </c>
      <c r="D35" s="329">
        <v>54303</v>
      </c>
      <c r="E35" s="330" t="s">
        <v>376</v>
      </c>
      <c r="F35" s="254"/>
      <c r="G35" s="254"/>
      <c r="H35" s="254"/>
      <c r="I35" s="225">
        <f t="shared" si="2"/>
        <v>0</v>
      </c>
      <c r="J35" s="376">
        <f t="shared" si="1"/>
        <v>0</v>
      </c>
      <c r="K35" s="361"/>
      <c r="L35" s="361"/>
      <c r="M35" s="361"/>
    </row>
    <row r="36" spans="1:13" s="118" customFormat="1" ht="15.75" customHeight="1" x14ac:dyDescent="0.2">
      <c r="A36" s="324"/>
      <c r="B36" s="328" t="s">
        <v>51</v>
      </c>
      <c r="C36" s="325" t="s">
        <v>54</v>
      </c>
      <c r="D36" s="329">
        <v>54304</v>
      </c>
      <c r="E36" s="330" t="s">
        <v>89</v>
      </c>
      <c r="F36" s="254">
        <f>SUM(proyectos!AF27:AF45)</f>
        <v>11000</v>
      </c>
      <c r="G36" s="254">
        <f>SUM(proyectos!AF8:AF25)</f>
        <v>3600</v>
      </c>
      <c r="H36" s="254">
        <f>SUM(proyectos!AF47:AF62)</f>
        <v>12500</v>
      </c>
      <c r="I36" s="225">
        <f t="shared" si="2"/>
        <v>27100</v>
      </c>
      <c r="J36" s="376">
        <f t="shared" si="1"/>
        <v>27100</v>
      </c>
      <c r="K36" s="361"/>
      <c r="L36" s="361"/>
      <c r="M36" s="361"/>
    </row>
    <row r="37" spans="1:13" s="118" customFormat="1" ht="15.75" customHeight="1" x14ac:dyDescent="0.2">
      <c r="A37" s="324"/>
      <c r="B37" s="328" t="s">
        <v>51</v>
      </c>
      <c r="C37" s="325" t="s">
        <v>54</v>
      </c>
      <c r="D37" s="329">
        <v>54305</v>
      </c>
      <c r="E37" s="330" t="s">
        <v>229</v>
      </c>
      <c r="F37" s="254"/>
      <c r="G37" s="254"/>
      <c r="H37" s="254"/>
      <c r="I37" s="225">
        <f t="shared" si="2"/>
        <v>0</v>
      </c>
      <c r="J37" s="376">
        <f t="shared" si="1"/>
        <v>0</v>
      </c>
      <c r="K37" s="361"/>
      <c r="L37" s="361"/>
      <c r="M37" s="361"/>
    </row>
    <row r="38" spans="1:13" s="118" customFormat="1" ht="15.75" customHeight="1" x14ac:dyDescent="0.2">
      <c r="A38" s="324"/>
      <c r="B38" s="328" t="s">
        <v>51</v>
      </c>
      <c r="C38" s="325" t="s">
        <v>54</v>
      </c>
      <c r="D38" s="329">
        <v>54307</v>
      </c>
      <c r="E38" s="330" t="s">
        <v>320</v>
      </c>
      <c r="F38" s="254"/>
      <c r="G38" s="254">
        <f>proyectos!AR78</f>
        <v>0</v>
      </c>
      <c r="H38" s="254"/>
      <c r="I38" s="225">
        <f t="shared" si="2"/>
        <v>0</v>
      </c>
      <c r="J38" s="376">
        <f t="shared" si="1"/>
        <v>0</v>
      </c>
      <c r="K38" s="361"/>
      <c r="L38" s="361"/>
      <c r="M38" s="361"/>
    </row>
    <row r="39" spans="1:13" s="118" customFormat="1" ht="15.75" customHeight="1" x14ac:dyDescent="0.2">
      <c r="A39" s="324"/>
      <c r="B39" s="328" t="s">
        <v>51</v>
      </c>
      <c r="C39" s="325" t="s">
        <v>54</v>
      </c>
      <c r="D39" s="329">
        <v>54310</v>
      </c>
      <c r="E39" s="330" t="s">
        <v>218</v>
      </c>
      <c r="F39" s="254"/>
      <c r="G39" s="254"/>
      <c r="H39" s="254"/>
      <c r="I39" s="225">
        <f t="shared" si="2"/>
        <v>0</v>
      </c>
      <c r="J39" s="376">
        <f t="shared" si="1"/>
        <v>0</v>
      </c>
      <c r="K39" s="361"/>
      <c r="L39" s="361"/>
      <c r="M39" s="361"/>
    </row>
    <row r="40" spans="1:13" s="118" customFormat="1" ht="15.75" customHeight="1" x14ac:dyDescent="0.2">
      <c r="A40" s="324"/>
      <c r="B40" s="328" t="s">
        <v>51</v>
      </c>
      <c r="C40" s="325" t="s">
        <v>54</v>
      </c>
      <c r="D40" s="329">
        <v>54313</v>
      </c>
      <c r="E40" s="330" t="s">
        <v>230</v>
      </c>
      <c r="F40" s="254"/>
      <c r="G40" s="254"/>
      <c r="H40" s="254"/>
      <c r="I40" s="225">
        <f t="shared" si="2"/>
        <v>0</v>
      </c>
      <c r="J40" s="376">
        <f t="shared" si="1"/>
        <v>0</v>
      </c>
      <c r="K40" s="361"/>
      <c r="L40" s="361"/>
      <c r="M40" s="361"/>
    </row>
    <row r="41" spans="1:13" s="118" customFormat="1" ht="15.75" customHeight="1" x14ac:dyDescent="0.2">
      <c r="A41" s="324"/>
      <c r="B41" s="328" t="s">
        <v>51</v>
      </c>
      <c r="C41" s="325" t="s">
        <v>54</v>
      </c>
      <c r="D41" s="329">
        <v>54314</v>
      </c>
      <c r="E41" s="330" t="s">
        <v>84</v>
      </c>
      <c r="F41" s="254"/>
      <c r="G41" s="254">
        <f>SUM(proyectos!AG8:AG25)</f>
        <v>104000</v>
      </c>
      <c r="H41" s="254"/>
      <c r="I41" s="225">
        <f t="shared" si="2"/>
        <v>104000</v>
      </c>
      <c r="J41" s="376">
        <f t="shared" si="1"/>
        <v>104000</v>
      </c>
      <c r="K41" s="361"/>
      <c r="L41" s="361"/>
      <c r="M41" s="361"/>
    </row>
    <row r="42" spans="1:13" s="118" customFormat="1" ht="15.75" customHeight="1" x14ac:dyDescent="0.2">
      <c r="A42" s="324"/>
      <c r="B42" s="328" t="s">
        <v>51</v>
      </c>
      <c r="C42" s="325" t="s">
        <v>54</v>
      </c>
      <c r="D42" s="329">
        <v>54316</v>
      </c>
      <c r="E42" s="330" t="s">
        <v>231</v>
      </c>
      <c r="F42" s="254"/>
      <c r="G42" s="254"/>
      <c r="H42" s="254"/>
      <c r="I42" s="225">
        <f t="shared" si="2"/>
        <v>0</v>
      </c>
      <c r="J42" s="376">
        <f t="shared" si="1"/>
        <v>0</v>
      </c>
      <c r="K42" s="361"/>
      <c r="L42" s="361"/>
      <c r="M42" s="361"/>
    </row>
    <row r="43" spans="1:13" s="118" customFormat="1" ht="15.75" customHeight="1" x14ac:dyDescent="0.2">
      <c r="A43" s="324"/>
      <c r="B43" s="328" t="s">
        <v>51</v>
      </c>
      <c r="C43" s="325" t="s">
        <v>54</v>
      </c>
      <c r="D43" s="329">
        <v>54399</v>
      </c>
      <c r="E43" s="330" t="s">
        <v>232</v>
      </c>
      <c r="F43" s="254">
        <f>SUM(proyectos!AH27:AH45)</f>
        <v>96172.03</v>
      </c>
      <c r="G43" s="254">
        <f>SUM(proyectos!AH8:AH25)</f>
        <v>15600</v>
      </c>
      <c r="H43" s="254">
        <f>SUM(proyectos!AH47:AH62)</f>
        <v>22800</v>
      </c>
      <c r="I43" s="225">
        <f t="shared" si="2"/>
        <v>134572.03</v>
      </c>
      <c r="J43" s="376">
        <f t="shared" si="1"/>
        <v>134572.03</v>
      </c>
      <c r="K43" s="361"/>
      <c r="L43" s="361"/>
      <c r="M43" s="361"/>
    </row>
    <row r="44" spans="1:13" s="118" customFormat="1" ht="14.25" customHeight="1" x14ac:dyDescent="0.2">
      <c r="A44" s="324"/>
      <c r="B44" s="328" t="s">
        <v>51</v>
      </c>
      <c r="C44" s="325" t="s">
        <v>54</v>
      </c>
      <c r="D44" s="329">
        <v>54508</v>
      </c>
      <c r="E44" s="330" t="s">
        <v>234</v>
      </c>
      <c r="F44" s="254"/>
      <c r="G44" s="254"/>
      <c r="H44" s="254"/>
      <c r="I44" s="225">
        <f t="shared" si="2"/>
        <v>0</v>
      </c>
      <c r="J44" s="376">
        <f t="shared" si="1"/>
        <v>0</v>
      </c>
      <c r="K44" s="361"/>
      <c r="L44" s="361"/>
      <c r="M44" s="361"/>
    </row>
    <row r="45" spans="1:13" s="118" customFormat="1" ht="15.75" customHeight="1" x14ac:dyDescent="0.2">
      <c r="A45" s="324"/>
      <c r="B45" s="328" t="s">
        <v>51</v>
      </c>
      <c r="C45" s="325" t="s">
        <v>54</v>
      </c>
      <c r="D45" s="329">
        <v>54599</v>
      </c>
      <c r="E45" s="330" t="s">
        <v>235</v>
      </c>
      <c r="F45" s="254"/>
      <c r="G45" s="254"/>
      <c r="H45" s="254"/>
      <c r="I45" s="225">
        <f t="shared" si="2"/>
        <v>0</v>
      </c>
      <c r="J45" s="376">
        <f t="shared" si="1"/>
        <v>0</v>
      </c>
      <c r="K45" s="361"/>
      <c r="L45" s="361"/>
      <c r="M45" s="361"/>
    </row>
    <row r="46" spans="1:13" s="118" customFormat="1" ht="15.75" customHeight="1" x14ac:dyDescent="0.2">
      <c r="A46" s="324"/>
      <c r="B46" s="328" t="s">
        <v>51</v>
      </c>
      <c r="C46" s="325" t="s">
        <v>54</v>
      </c>
      <c r="D46" s="329">
        <v>54602</v>
      </c>
      <c r="E46" s="330" t="s">
        <v>236</v>
      </c>
      <c r="F46" s="254"/>
      <c r="G46" s="254">
        <f>proyectos!AL78</f>
        <v>115450.92</v>
      </c>
      <c r="H46" s="254"/>
      <c r="I46" s="225">
        <f t="shared" si="2"/>
        <v>115450.92</v>
      </c>
      <c r="J46" s="376">
        <f t="shared" si="1"/>
        <v>115450.92</v>
      </c>
      <c r="K46" s="361"/>
      <c r="L46" s="361"/>
      <c r="M46" s="361"/>
    </row>
    <row r="47" spans="1:13" s="118" customFormat="1" ht="15.75" customHeight="1" x14ac:dyDescent="0.2">
      <c r="A47" s="324"/>
      <c r="B47" s="328" t="s">
        <v>51</v>
      </c>
      <c r="C47" s="325" t="s">
        <v>54</v>
      </c>
      <c r="D47" s="329">
        <v>54603</v>
      </c>
      <c r="E47" s="330" t="s">
        <v>426</v>
      </c>
      <c r="F47" s="254"/>
      <c r="G47" s="254">
        <f>proyectos!AM78</f>
        <v>61020</v>
      </c>
      <c r="H47" s="254"/>
      <c r="I47" s="225">
        <f t="shared" si="2"/>
        <v>61020</v>
      </c>
      <c r="J47" s="376">
        <f t="shared" si="1"/>
        <v>61020</v>
      </c>
      <c r="K47" s="361"/>
      <c r="L47" s="361"/>
      <c r="M47" s="361"/>
    </row>
    <row r="48" spans="1:13" s="118" customFormat="1" ht="15.75" customHeight="1" x14ac:dyDescent="0.2">
      <c r="A48" s="324"/>
      <c r="B48" s="328" t="s">
        <v>51</v>
      </c>
      <c r="C48" s="325" t="s">
        <v>54</v>
      </c>
      <c r="D48" s="329">
        <v>55307</v>
      </c>
      <c r="E48" s="330" t="s">
        <v>475</v>
      </c>
      <c r="F48" s="254">
        <f>proyectos!AA78</f>
        <v>0</v>
      </c>
      <c r="G48" s="254"/>
      <c r="H48" s="254"/>
      <c r="I48" s="225">
        <f t="shared" si="2"/>
        <v>0</v>
      </c>
      <c r="J48" s="376">
        <f t="shared" si="1"/>
        <v>0</v>
      </c>
      <c r="K48" s="361"/>
      <c r="L48" s="361"/>
      <c r="M48" s="361"/>
    </row>
    <row r="49" spans="1:13" s="118" customFormat="1" ht="13.5" customHeight="1" x14ac:dyDescent="0.2">
      <c r="A49" s="324"/>
      <c r="B49" s="328" t="s">
        <v>51</v>
      </c>
      <c r="C49" s="325" t="s">
        <v>54</v>
      </c>
      <c r="D49" s="329">
        <v>55602</v>
      </c>
      <c r="E49" s="330" t="s">
        <v>474</v>
      </c>
      <c r="F49" s="254">
        <f>proyectos!Z78</f>
        <v>0</v>
      </c>
      <c r="G49" s="254"/>
      <c r="H49" s="254"/>
      <c r="I49" s="225">
        <f t="shared" si="2"/>
        <v>0</v>
      </c>
      <c r="J49" s="376">
        <f t="shared" si="1"/>
        <v>0</v>
      </c>
      <c r="K49" s="361"/>
      <c r="L49" s="361"/>
      <c r="M49" s="361"/>
    </row>
    <row r="50" spans="1:13" s="118" customFormat="1" ht="15.75" customHeight="1" x14ac:dyDescent="0.2">
      <c r="A50" s="324"/>
      <c r="B50" s="328" t="s">
        <v>51</v>
      </c>
      <c r="C50" s="325" t="s">
        <v>54</v>
      </c>
      <c r="D50" s="329">
        <v>55603</v>
      </c>
      <c r="E50" s="330" t="s">
        <v>219</v>
      </c>
      <c r="F50" s="254"/>
      <c r="G50" s="254"/>
      <c r="H50" s="254"/>
      <c r="I50" s="225">
        <f t="shared" si="2"/>
        <v>0</v>
      </c>
      <c r="J50" s="376">
        <f t="shared" si="1"/>
        <v>0</v>
      </c>
      <c r="K50" s="361"/>
      <c r="L50" s="361"/>
      <c r="M50" s="361"/>
    </row>
    <row r="51" spans="1:13" s="118" customFormat="1" ht="15.75" customHeight="1" x14ac:dyDescent="0.2">
      <c r="A51" s="324"/>
      <c r="B51" s="328" t="s">
        <v>51</v>
      </c>
      <c r="C51" s="325" t="s">
        <v>54</v>
      </c>
      <c r="D51" s="329">
        <v>56304</v>
      </c>
      <c r="E51" s="330" t="s">
        <v>263</v>
      </c>
      <c r="F51" s="254">
        <f>SUM(proyectos!AI31)</f>
        <v>5813.08</v>
      </c>
      <c r="G51" s="254">
        <f>SUM(proyectos!AI8:AI24)</f>
        <v>65000</v>
      </c>
      <c r="H51" s="254"/>
      <c r="I51" s="225">
        <f t="shared" si="2"/>
        <v>70813.08</v>
      </c>
      <c r="J51" s="376">
        <f t="shared" si="1"/>
        <v>70813.08</v>
      </c>
      <c r="K51" s="361"/>
      <c r="L51" s="361"/>
      <c r="M51" s="361"/>
    </row>
    <row r="52" spans="1:13" s="118" customFormat="1" ht="15.75" customHeight="1" x14ac:dyDescent="0.2">
      <c r="A52" s="324"/>
      <c r="B52" s="328" t="s">
        <v>51</v>
      </c>
      <c r="C52" s="325" t="s">
        <v>54</v>
      </c>
      <c r="D52" s="329">
        <v>56305</v>
      </c>
      <c r="E52" s="330" t="s">
        <v>321</v>
      </c>
      <c r="F52" s="254"/>
      <c r="G52" s="254">
        <f>SUM(proyectos!AJ8:AJ25)</f>
        <v>22000</v>
      </c>
      <c r="H52" s="254"/>
      <c r="I52" s="225">
        <f t="shared" si="2"/>
        <v>22000</v>
      </c>
      <c r="J52" s="376">
        <f t="shared" si="1"/>
        <v>22000</v>
      </c>
      <c r="K52" s="361"/>
      <c r="L52" s="377">
        <f>SUM(I53:I64)</f>
        <v>772263.85000000009</v>
      </c>
      <c r="M52" s="361"/>
    </row>
    <row r="53" spans="1:13" s="118" customFormat="1" ht="15.75" customHeight="1" x14ac:dyDescent="0.2">
      <c r="A53" s="324"/>
      <c r="B53" s="328" t="s">
        <v>51</v>
      </c>
      <c r="C53" s="325" t="s">
        <v>54</v>
      </c>
      <c r="D53" s="329">
        <v>61101</v>
      </c>
      <c r="E53" s="330" t="s">
        <v>222</v>
      </c>
      <c r="F53" s="254"/>
      <c r="G53" s="254"/>
      <c r="H53" s="254"/>
      <c r="I53" s="225">
        <f t="shared" si="2"/>
        <v>0</v>
      </c>
      <c r="J53" s="376">
        <f t="shared" si="1"/>
        <v>0</v>
      </c>
      <c r="K53" s="361"/>
      <c r="L53" s="361"/>
      <c r="M53" s="361"/>
    </row>
    <row r="54" spans="1:13" s="118" customFormat="1" ht="15.75" customHeight="1" x14ac:dyDescent="0.2">
      <c r="A54" s="324"/>
      <c r="B54" s="328" t="s">
        <v>51</v>
      </c>
      <c r="C54" s="325" t="s">
        <v>54</v>
      </c>
      <c r="D54" s="329">
        <v>61102</v>
      </c>
      <c r="E54" s="330" t="str">
        <f>proyectos!B64</f>
        <v>Maquinaria y Equipos (61102)</v>
      </c>
      <c r="F54" s="254">
        <f>SUM(proyectos!AK27:AK45)</f>
        <v>5000</v>
      </c>
      <c r="G54" s="254">
        <f>SUM(proyectos!AK8:AK25)</f>
        <v>1000</v>
      </c>
      <c r="H54" s="254">
        <f>SUM(proyectos!AK47:AK62)</f>
        <v>7000</v>
      </c>
      <c r="I54" s="225">
        <f t="shared" si="2"/>
        <v>13000</v>
      </c>
      <c r="J54" s="376">
        <f t="shared" si="1"/>
        <v>13000</v>
      </c>
      <c r="K54" s="361"/>
      <c r="L54" s="361"/>
      <c r="M54" s="361"/>
    </row>
    <row r="55" spans="1:13" s="118" customFormat="1" ht="15.75" customHeight="1" x14ac:dyDescent="0.2">
      <c r="A55" s="324"/>
      <c r="B55" s="328" t="s">
        <v>51</v>
      </c>
      <c r="C55" s="325" t="s">
        <v>54</v>
      </c>
      <c r="D55" s="329">
        <v>61105</v>
      </c>
      <c r="E55" s="330" t="s">
        <v>450</v>
      </c>
      <c r="F55" s="254">
        <f>proyectos!E65</f>
        <v>56503.4</v>
      </c>
      <c r="G55" s="254"/>
      <c r="H55" s="254"/>
      <c r="I55" s="225">
        <f t="shared" si="2"/>
        <v>56503.4</v>
      </c>
      <c r="J55" s="376">
        <f t="shared" si="1"/>
        <v>56503.4</v>
      </c>
      <c r="K55" s="361"/>
      <c r="L55" s="361"/>
      <c r="M55" s="361"/>
    </row>
    <row r="56" spans="1:13" s="118" customFormat="1" ht="15.75" customHeight="1" x14ac:dyDescent="0.2">
      <c r="A56" s="324"/>
      <c r="B56" s="328" t="s">
        <v>51</v>
      </c>
      <c r="C56" s="325" t="s">
        <v>54</v>
      </c>
      <c r="D56" s="329">
        <v>61201</v>
      </c>
      <c r="E56" s="330" t="str">
        <f>proyectos!B66</f>
        <v>Terrenos  (61201)</v>
      </c>
      <c r="F56" s="254">
        <f>proyectos!E66</f>
        <v>75000</v>
      </c>
      <c r="G56" s="254"/>
      <c r="H56" s="254"/>
      <c r="I56" s="225">
        <f t="shared" si="2"/>
        <v>75000</v>
      </c>
      <c r="J56" s="376">
        <f t="shared" si="1"/>
        <v>75000</v>
      </c>
      <c r="K56" s="361"/>
      <c r="L56" s="361"/>
      <c r="M56" s="361"/>
    </row>
    <row r="57" spans="1:13" s="118" customFormat="1" ht="15.75" customHeight="1" x14ac:dyDescent="0.2">
      <c r="A57" s="324"/>
      <c r="B57" s="328" t="s">
        <v>51</v>
      </c>
      <c r="C57" s="325" t="s">
        <v>54</v>
      </c>
      <c r="D57" s="329">
        <v>61501</v>
      </c>
      <c r="E57" s="330" t="str">
        <f>proyectos!B67</f>
        <v>Estudios de Preinversión (de Construcciones). (61501)</v>
      </c>
      <c r="F57" s="254">
        <f>proyectos!E67</f>
        <v>4000</v>
      </c>
      <c r="G57" s="254"/>
      <c r="H57" s="254"/>
      <c r="I57" s="225">
        <f t="shared" si="2"/>
        <v>4000</v>
      </c>
      <c r="J57" s="376">
        <f t="shared" si="1"/>
        <v>4000</v>
      </c>
      <c r="K57" s="361"/>
      <c r="L57" s="361"/>
      <c r="M57" s="361"/>
    </row>
    <row r="58" spans="1:13" s="118" customFormat="1" ht="15.75" customHeight="1" x14ac:dyDescent="0.2">
      <c r="A58" s="324"/>
      <c r="B58" s="328" t="s">
        <v>51</v>
      </c>
      <c r="C58" s="325" t="s">
        <v>54</v>
      </c>
      <c r="D58" s="329">
        <v>61599</v>
      </c>
      <c r="E58" s="330" t="str">
        <f>proyectos!B68</f>
        <v>Estudios de Preinversión  (proy.progr.divers). (61599)</v>
      </c>
      <c r="F58" s="254">
        <f>proyectos!E68</f>
        <v>4000</v>
      </c>
      <c r="G58" s="254">
        <f>proyectos!D68</f>
        <v>0</v>
      </c>
      <c r="H58" s="254"/>
      <c r="I58" s="225">
        <f t="shared" si="2"/>
        <v>4000</v>
      </c>
      <c r="J58" s="376">
        <f t="shared" si="1"/>
        <v>4000</v>
      </c>
      <c r="K58" s="361"/>
      <c r="L58" s="361">
        <v>8900</v>
      </c>
      <c r="M58" s="361"/>
    </row>
    <row r="59" spans="1:13" s="118" customFormat="1" ht="15.75" customHeight="1" x14ac:dyDescent="0.2">
      <c r="A59" s="324"/>
      <c r="B59" s="328" t="s">
        <v>51</v>
      </c>
      <c r="C59" s="325" t="s">
        <v>54</v>
      </c>
      <c r="D59" s="329">
        <v>61601</v>
      </c>
      <c r="E59" s="436" t="str">
        <f>proyectos!B69</f>
        <v>Viales  (61601) 2%</v>
      </c>
      <c r="F59" s="254"/>
      <c r="G59" s="254"/>
      <c r="H59" s="254">
        <f>proyectos!E69</f>
        <v>568594.07000000007</v>
      </c>
      <c r="I59" s="225">
        <f t="shared" si="2"/>
        <v>568594.07000000007</v>
      </c>
      <c r="J59" s="376">
        <f t="shared" si="1"/>
        <v>568594.07000000007</v>
      </c>
      <c r="K59" s="361"/>
      <c r="L59" s="361">
        <v>3500</v>
      </c>
      <c r="M59" s="361"/>
    </row>
    <row r="60" spans="1:13" s="118" customFormat="1" ht="15.75" customHeight="1" x14ac:dyDescent="0.2">
      <c r="A60" s="324"/>
      <c r="B60" s="328" t="s">
        <v>51</v>
      </c>
      <c r="C60" s="325" t="s">
        <v>54</v>
      </c>
      <c r="D60" s="329">
        <v>61601</v>
      </c>
      <c r="E60" s="437" t="str">
        <f>proyectos!B70</f>
        <v>VIALES (61601) 75%</v>
      </c>
      <c r="F60" s="254">
        <f>proyectos!E70</f>
        <v>44166.380000000005</v>
      </c>
      <c r="G60" s="254"/>
      <c r="H60" s="254"/>
      <c r="I60" s="225">
        <f t="shared" si="2"/>
        <v>44166.380000000005</v>
      </c>
      <c r="J60" s="376"/>
      <c r="K60" s="361"/>
      <c r="L60" s="361"/>
      <c r="M60" s="361"/>
    </row>
    <row r="61" spans="1:13" s="118" customFormat="1" ht="15.75" customHeight="1" x14ac:dyDescent="0.2">
      <c r="A61" s="324"/>
      <c r="B61" s="328" t="s">
        <v>51</v>
      </c>
      <c r="C61" s="325" t="s">
        <v>54</v>
      </c>
      <c r="D61" s="329">
        <v>61602</v>
      </c>
      <c r="E61" s="330" t="str">
        <f>proyectos!B71</f>
        <v>De Salud y Saneamiento Ambiental  (61602)</v>
      </c>
      <c r="F61" s="254"/>
      <c r="G61" s="254"/>
      <c r="H61" s="254"/>
      <c r="I61" s="225">
        <f t="shared" si="2"/>
        <v>0</v>
      </c>
      <c r="J61" s="376">
        <f t="shared" si="1"/>
        <v>0</v>
      </c>
      <c r="K61" s="361"/>
      <c r="L61" s="377">
        <v>140764.45000000001</v>
      </c>
      <c r="M61" s="361"/>
    </row>
    <row r="62" spans="1:13" s="118" customFormat="1" ht="15.75" customHeight="1" x14ac:dyDescent="0.2">
      <c r="A62" s="324"/>
      <c r="B62" s="328" t="s">
        <v>51</v>
      </c>
      <c r="C62" s="325" t="s">
        <v>54</v>
      </c>
      <c r="D62" s="329">
        <v>61603</v>
      </c>
      <c r="E62" s="330" t="str">
        <f>proyectos!B72</f>
        <v>De Educación y Recreación  (61603)</v>
      </c>
      <c r="F62" s="254"/>
      <c r="G62" s="254"/>
      <c r="H62" s="254"/>
      <c r="I62" s="225">
        <f t="shared" si="2"/>
        <v>0</v>
      </c>
      <c r="J62" s="376">
        <f t="shared" si="1"/>
        <v>0</v>
      </c>
      <c r="K62" s="361"/>
      <c r="L62" s="377">
        <v>5000</v>
      </c>
      <c r="M62" s="361"/>
    </row>
    <row r="63" spans="1:13" s="118" customFormat="1" ht="15.75" customHeight="1" x14ac:dyDescent="0.2">
      <c r="A63" s="324"/>
      <c r="B63" s="328" t="s">
        <v>51</v>
      </c>
      <c r="C63" s="325" t="s">
        <v>54</v>
      </c>
      <c r="D63" s="329">
        <v>61606</v>
      </c>
      <c r="E63" s="330" t="str">
        <f>proyectos!B73</f>
        <v>Eléctricas y Comunicaciones  (61606)</v>
      </c>
      <c r="F63" s="254"/>
      <c r="G63" s="254"/>
      <c r="H63" s="254"/>
      <c r="I63" s="225">
        <f t="shared" si="2"/>
        <v>0</v>
      </c>
      <c r="J63" s="376">
        <f t="shared" si="1"/>
        <v>0</v>
      </c>
      <c r="K63" s="361"/>
      <c r="L63" s="377">
        <f>SUM(L58:L62)</f>
        <v>158164.45000000001</v>
      </c>
      <c r="M63" s="361"/>
    </row>
    <row r="64" spans="1:13" s="118" customFormat="1" ht="15.75" customHeight="1" x14ac:dyDescent="0.2">
      <c r="A64" s="324"/>
      <c r="B64" s="328" t="s">
        <v>51</v>
      </c>
      <c r="C64" s="325" t="s">
        <v>54</v>
      </c>
      <c r="D64" s="329">
        <v>61608</v>
      </c>
      <c r="E64" s="330" t="str">
        <f>proyectos!B74</f>
        <v>Supervición de Infraestructura (61608)</v>
      </c>
      <c r="F64" s="254">
        <f>proyectos!E74</f>
        <v>7000</v>
      </c>
      <c r="G64" s="254"/>
      <c r="H64" s="254"/>
      <c r="I64" s="225">
        <f t="shared" si="2"/>
        <v>7000</v>
      </c>
      <c r="J64" s="376">
        <f t="shared" si="1"/>
        <v>7000</v>
      </c>
      <c r="K64" s="361"/>
      <c r="L64" s="376"/>
      <c r="M64" s="361"/>
    </row>
    <row r="65" spans="1:13" s="118" customFormat="1" ht="15.75" customHeight="1" x14ac:dyDescent="0.2">
      <c r="A65" s="324"/>
      <c r="B65" s="328" t="s">
        <v>51</v>
      </c>
      <c r="C65" s="325" t="s">
        <v>54</v>
      </c>
      <c r="D65" s="329">
        <v>61699</v>
      </c>
      <c r="E65" s="330" t="str">
        <f>proyectos!B75</f>
        <v>Obras de Infraestructura Diversa  (11699)</v>
      </c>
      <c r="F65" s="254">
        <f>proyectos!E75</f>
        <v>4000</v>
      </c>
      <c r="G65" s="254"/>
      <c r="H65" s="254"/>
      <c r="I65" s="225">
        <f>SUM(F65:H65)</f>
        <v>4000</v>
      </c>
      <c r="J65" s="376">
        <f t="shared" si="1"/>
        <v>4000</v>
      </c>
      <c r="K65" s="361"/>
      <c r="L65" s="376"/>
      <c r="M65" s="361"/>
    </row>
    <row r="66" spans="1:13" s="118" customFormat="1" ht="15.75" customHeight="1" x14ac:dyDescent="0.2">
      <c r="A66" s="333"/>
      <c r="B66" s="328" t="s">
        <v>51</v>
      </c>
      <c r="C66" s="325" t="s">
        <v>54</v>
      </c>
      <c r="D66" s="329">
        <v>72101</v>
      </c>
      <c r="E66" s="330" t="s">
        <v>476</v>
      </c>
      <c r="F66" s="254">
        <f>proyectos!E77</f>
        <v>42389.84</v>
      </c>
      <c r="G66" s="254"/>
      <c r="H66" s="254">
        <f>proyectos!E76</f>
        <v>121186.71</v>
      </c>
      <c r="I66" s="225">
        <f>SUM(F66:H66)</f>
        <v>163576.54999999999</v>
      </c>
      <c r="J66" s="376">
        <f t="shared" si="1"/>
        <v>163576.54999999999</v>
      </c>
      <c r="K66" s="361"/>
      <c r="L66" s="376"/>
      <c r="M66" s="361"/>
    </row>
    <row r="67" spans="1:13" s="118" customFormat="1" ht="15.75" customHeight="1" x14ac:dyDescent="0.2">
      <c r="A67" s="333"/>
      <c r="B67" s="328"/>
      <c r="C67" s="325"/>
      <c r="D67" s="329"/>
      <c r="E67" s="330"/>
      <c r="F67" s="254"/>
      <c r="G67" s="254"/>
      <c r="H67" s="254"/>
      <c r="I67" s="225"/>
      <c r="J67" s="376">
        <f t="shared" si="1"/>
        <v>0</v>
      </c>
      <c r="K67" s="361"/>
      <c r="L67" s="377"/>
      <c r="M67" s="361"/>
    </row>
    <row r="68" spans="1:13" s="118" customFormat="1" ht="15.75" customHeight="1" thickBot="1" x14ac:dyDescent="0.25">
      <c r="A68" s="334"/>
      <c r="B68" s="335"/>
      <c r="C68" s="335"/>
      <c r="D68" s="336"/>
      <c r="E68" s="337"/>
      <c r="F68" s="338"/>
      <c r="G68" s="338"/>
      <c r="H68" s="338"/>
      <c r="I68" s="225">
        <f t="shared" si="2"/>
        <v>0</v>
      </c>
      <c r="J68" s="376">
        <f t="shared" ref="J68" si="3">SUM(F68:H68)</f>
        <v>0</v>
      </c>
      <c r="K68" s="361"/>
      <c r="L68" s="376"/>
      <c r="M68" s="361"/>
    </row>
    <row r="69" spans="1:13" ht="30" customHeight="1" thickBot="1" x14ac:dyDescent="0.25">
      <c r="A69" s="588" t="s">
        <v>326</v>
      </c>
      <c r="B69" s="589"/>
      <c r="C69" s="589"/>
      <c r="D69" s="589"/>
      <c r="E69" s="590"/>
      <c r="F69" s="339">
        <f>SUM(F10:F68)</f>
        <v>728730.32</v>
      </c>
      <c r="G69" s="339">
        <f>SUM(G10:G68)</f>
        <v>427470.92</v>
      </c>
      <c r="H69" s="339">
        <f>SUM(H10:H68)</f>
        <v>1178522.9300000002</v>
      </c>
      <c r="I69" s="339">
        <f>SUM(I10:I68)</f>
        <v>2334724.17</v>
      </c>
      <c r="J69" s="376">
        <f t="shared" ref="J69" si="4">SUM(F69:H69)</f>
        <v>2334724.17</v>
      </c>
      <c r="K69" s="378"/>
      <c r="L69" s="379"/>
      <c r="M69" s="374"/>
    </row>
    <row r="70" spans="1:13" x14ac:dyDescent="0.2">
      <c r="A70" s="711"/>
      <c r="B70" s="711"/>
      <c r="C70" s="711"/>
      <c r="D70" s="711"/>
      <c r="E70" s="706"/>
      <c r="F70" s="706"/>
      <c r="G70" s="706"/>
      <c r="H70" s="706"/>
      <c r="I70" s="712"/>
      <c r="J70" s="374"/>
      <c r="K70" s="374"/>
      <c r="L70" s="379"/>
      <c r="M70" s="374"/>
    </row>
    <row r="71" spans="1:13" ht="15.75" x14ac:dyDescent="0.25">
      <c r="A71" s="711"/>
      <c r="B71" s="711"/>
      <c r="C71" s="711"/>
      <c r="D71" s="711"/>
      <c r="E71" s="713"/>
      <c r="F71" s="713"/>
      <c r="G71" s="713"/>
      <c r="H71" s="713"/>
      <c r="I71" s="714">
        <f>SUM(Ingresos!D51)+Ingresos!G51</f>
        <v>2618103.46</v>
      </c>
      <c r="J71" s="374" t="s">
        <v>361</v>
      </c>
      <c r="K71" s="374"/>
      <c r="L71" s="374"/>
      <c r="M71" s="374"/>
    </row>
    <row r="72" spans="1:13" ht="19.5" customHeight="1" x14ac:dyDescent="0.2">
      <c r="A72" s="715" t="s">
        <v>14</v>
      </c>
      <c r="B72" s="715"/>
      <c r="C72" s="715"/>
      <c r="D72" s="715"/>
      <c r="E72" s="706"/>
      <c r="F72" s="716">
        <f>SUM(F54:F65)</f>
        <v>199669.78</v>
      </c>
      <c r="G72" s="706"/>
      <c r="H72" s="706"/>
      <c r="I72" s="707">
        <f>'Deuda Pub 75%'!H19</f>
        <v>283379.29082701518</v>
      </c>
      <c r="J72" s="374" t="s">
        <v>362</v>
      </c>
      <c r="K72" s="374"/>
      <c r="L72" s="379"/>
      <c r="M72" s="374"/>
    </row>
    <row r="73" spans="1:13" ht="27" customHeight="1" thickBot="1" x14ac:dyDescent="0.3">
      <c r="A73" s="717" t="s">
        <v>2</v>
      </c>
      <c r="B73" s="717"/>
      <c r="C73" s="717"/>
      <c r="D73" s="717"/>
      <c r="E73" s="717"/>
      <c r="F73" s="718" t="s">
        <v>457</v>
      </c>
      <c r="G73" s="719"/>
      <c r="H73" s="719"/>
      <c r="I73" s="720">
        <f>SUM(I71-I72)</f>
        <v>2334724.1691729845</v>
      </c>
      <c r="J73" s="374" t="s">
        <v>363</v>
      </c>
      <c r="K73" s="374"/>
      <c r="L73" s="374"/>
      <c r="M73" s="374"/>
    </row>
    <row r="74" spans="1:13" ht="20.25" customHeight="1" thickTop="1" x14ac:dyDescent="0.2">
      <c r="A74" s="717" t="s">
        <v>8</v>
      </c>
      <c r="B74" s="717"/>
      <c r="C74" s="717"/>
      <c r="D74" s="717"/>
      <c r="E74" s="717"/>
      <c r="F74" s="719" t="s">
        <v>458</v>
      </c>
      <c r="G74" s="719"/>
      <c r="H74" s="719"/>
      <c r="I74" s="707"/>
      <c r="J74" s="374"/>
      <c r="K74" s="374"/>
      <c r="L74" s="379"/>
      <c r="M74" s="374"/>
    </row>
    <row r="75" spans="1:13" ht="21.75" customHeight="1" x14ac:dyDescent="0.2">
      <c r="A75" s="717" t="s">
        <v>9</v>
      </c>
      <c r="B75" s="717"/>
      <c r="C75" s="717"/>
      <c r="D75" s="717"/>
      <c r="E75" s="717"/>
      <c r="F75" s="719" t="s">
        <v>459</v>
      </c>
      <c r="G75" s="719"/>
      <c r="H75" s="719"/>
      <c r="I75" s="707"/>
      <c r="J75" s="374"/>
      <c r="K75" s="374"/>
      <c r="L75" s="374"/>
      <c r="M75" s="374"/>
    </row>
    <row r="76" spans="1:13" x14ac:dyDescent="0.2">
      <c r="A76" s="717"/>
      <c r="B76" s="717"/>
      <c r="C76" s="717"/>
      <c r="D76" s="717"/>
      <c r="E76" s="717"/>
      <c r="F76" s="719" t="s">
        <v>460</v>
      </c>
      <c r="G76" s="719"/>
      <c r="H76" s="719"/>
      <c r="I76" s="707">
        <f>SUM(I73-I69)</f>
        <v>-8.2701537758111954E-4</v>
      </c>
      <c r="J76" s="374"/>
      <c r="K76" s="374"/>
      <c r="L76" s="374">
        <f>1119752.54-252955.08</f>
        <v>866797.46000000008</v>
      </c>
      <c r="M76" s="374"/>
    </row>
    <row r="77" spans="1:13" x14ac:dyDescent="0.2">
      <c r="A77" s="721"/>
      <c r="B77" s="721"/>
      <c r="C77" s="721"/>
      <c r="D77" s="721"/>
      <c r="E77" s="706"/>
      <c r="F77" s="716">
        <f>SUM(F73:F76)</f>
        <v>0</v>
      </c>
      <c r="G77" s="706"/>
      <c r="H77" s="706"/>
      <c r="I77" s="707"/>
      <c r="J77" s="374"/>
      <c r="K77" s="374"/>
      <c r="L77" s="374"/>
      <c r="M77" s="374"/>
    </row>
    <row r="78" spans="1:13" x14ac:dyDescent="0.2">
      <c r="A78" s="721"/>
      <c r="B78" s="721"/>
      <c r="C78" s="721"/>
      <c r="D78" s="721"/>
      <c r="E78" s="706"/>
      <c r="F78" s="706"/>
      <c r="G78" s="706"/>
      <c r="H78" s="706"/>
      <c r="I78" s="707"/>
      <c r="J78" s="374"/>
      <c r="K78" s="374"/>
      <c r="L78" s="374"/>
      <c r="M78" s="374"/>
    </row>
    <row r="79" spans="1:13" x14ac:dyDescent="0.2">
      <c r="A79" s="721"/>
      <c r="B79" s="721"/>
      <c r="C79" s="721"/>
      <c r="D79" s="721"/>
      <c r="E79" s="706"/>
      <c r="F79" s="706"/>
      <c r="G79" s="706"/>
      <c r="H79" s="706"/>
      <c r="I79" s="707"/>
      <c r="J79" s="374"/>
      <c r="K79" s="374"/>
      <c r="L79" s="374"/>
      <c r="M79" s="374"/>
    </row>
    <row r="80" spans="1:13" x14ac:dyDescent="0.2">
      <c r="I80" s="104"/>
    </row>
  </sheetData>
  <sheetProtection algorithmName="SHA-512" hashValue="se5OtsUls9oRZSX3fwErnrPzU33fjH8E39lfGupVBGwXJQF5Nq0jnctyK1QsQSm92OvsZW7PnqcZzGx/mnBufw==" saltValue="F73e7mZLqoCGyRU/eN6ing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D10:E44">
    <sortCondition ref="D10"/>
  </sortState>
  <mergeCells count="19">
    <mergeCell ref="A1:I1"/>
    <mergeCell ref="A2:I2"/>
    <mergeCell ref="A3:I3"/>
    <mergeCell ref="A4:I4"/>
    <mergeCell ref="A5:I5"/>
    <mergeCell ref="A73:E73"/>
    <mergeCell ref="A74:E74"/>
    <mergeCell ref="A75:E75"/>
    <mergeCell ref="A76:E76"/>
    <mergeCell ref="A6:I6"/>
    <mergeCell ref="A7:I7"/>
    <mergeCell ref="A8:D8"/>
    <mergeCell ref="E8:E9"/>
    <mergeCell ref="I8:I9"/>
    <mergeCell ref="A72:D72"/>
    <mergeCell ref="A69:E69"/>
    <mergeCell ref="F8:F9"/>
    <mergeCell ref="G8:G9"/>
    <mergeCell ref="H8:H9"/>
  </mergeCells>
  <printOptions horizontalCentered="1"/>
  <pageMargins left="0.23622047244094491" right="0.23622047244094491" top="0.55118110236220474" bottom="0.35433070866141736" header="0.31496062992125984" footer="0.31496062992125984"/>
  <pageSetup scale="76" orientation="landscape" r:id="rId1"/>
  <rowBreaks count="2" manualBreakCount="2">
    <brk id="26" max="8" man="1"/>
    <brk id="54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3">
    <tabColor indexed="57"/>
  </sheetPr>
  <dimension ref="A1:L26"/>
  <sheetViews>
    <sheetView view="pageBreakPreview" zoomScaleSheetLayoutView="100" workbookViewId="0">
      <selection activeCell="K11" sqref="K11:K13"/>
    </sheetView>
  </sheetViews>
  <sheetFormatPr baseColWidth="10" defaultColWidth="11.42578125" defaultRowHeight="12.75" x14ac:dyDescent="0.2"/>
  <cols>
    <col min="1" max="1" width="6.28515625" style="30" customWidth="1"/>
    <col min="2" max="2" width="7.42578125" style="30" customWidth="1"/>
    <col min="3" max="3" width="7.85546875" style="31" customWidth="1"/>
    <col min="4" max="4" width="7.42578125" style="29" customWidth="1"/>
    <col min="5" max="5" width="7.28515625" style="29" customWidth="1"/>
    <col min="6" max="6" width="10.140625" style="29" customWidth="1"/>
    <col min="7" max="7" width="36.28515625" style="24" customWidth="1"/>
    <col min="8" max="8" width="18.140625" style="24" customWidth="1"/>
    <col min="9" max="10" width="11.42578125" style="25"/>
    <col min="11" max="11" width="17.42578125" style="25" customWidth="1"/>
    <col min="12" max="16384" width="11.42578125" style="25"/>
  </cols>
  <sheetData>
    <row r="1" spans="1:12" ht="18" x14ac:dyDescent="0.2">
      <c r="A1" s="540" t="s">
        <v>421</v>
      </c>
      <c r="B1" s="540"/>
      <c r="C1" s="540"/>
      <c r="D1" s="540"/>
      <c r="E1" s="540"/>
      <c r="F1" s="540"/>
      <c r="G1" s="540"/>
      <c r="H1" s="540"/>
    </row>
    <row r="2" spans="1:12" ht="18" x14ac:dyDescent="0.2">
      <c r="A2" s="540" t="s">
        <v>387</v>
      </c>
      <c r="B2" s="540"/>
      <c r="C2" s="540"/>
      <c r="D2" s="540"/>
      <c r="E2" s="540"/>
      <c r="F2" s="540"/>
      <c r="G2" s="540"/>
      <c r="H2" s="540"/>
    </row>
    <row r="3" spans="1:12" ht="15.75" x14ac:dyDescent="0.2">
      <c r="A3" s="550" t="s">
        <v>12</v>
      </c>
      <c r="B3" s="550"/>
      <c r="C3" s="550"/>
      <c r="D3" s="550"/>
      <c r="E3" s="550"/>
      <c r="F3" s="550"/>
      <c r="G3" s="550"/>
      <c r="H3" s="550"/>
    </row>
    <row r="4" spans="1:12" ht="15.75" x14ac:dyDescent="0.2">
      <c r="A4" s="550" t="s">
        <v>513</v>
      </c>
      <c r="B4" s="550"/>
      <c r="C4" s="550"/>
      <c r="D4" s="550"/>
      <c r="E4" s="550"/>
      <c r="F4" s="550"/>
      <c r="G4" s="550"/>
      <c r="H4" s="550"/>
    </row>
    <row r="5" spans="1:12" ht="15.75" x14ac:dyDescent="0.2">
      <c r="A5" s="552" t="s">
        <v>13</v>
      </c>
      <c r="B5" s="552"/>
      <c r="C5" s="552"/>
      <c r="D5" s="552"/>
      <c r="E5" s="552"/>
      <c r="F5" s="552"/>
      <c r="G5" s="552"/>
      <c r="H5" s="552"/>
    </row>
    <row r="6" spans="1:12" ht="20.25" customHeight="1" thickBot="1" x14ac:dyDescent="0.25">
      <c r="A6" s="553" t="s">
        <v>347</v>
      </c>
      <c r="B6" s="553"/>
      <c r="C6" s="553"/>
      <c r="D6" s="553"/>
      <c r="E6" s="553"/>
      <c r="F6" s="553"/>
      <c r="G6" s="553"/>
      <c r="H6" s="553"/>
    </row>
    <row r="7" spans="1:12" ht="99.95" customHeight="1" thickBot="1" x14ac:dyDescent="0.25">
      <c r="A7" s="592" t="s">
        <v>0</v>
      </c>
      <c r="B7" s="593"/>
      <c r="C7" s="593"/>
      <c r="D7" s="593"/>
      <c r="E7" s="593"/>
      <c r="F7" s="594"/>
      <c r="G7" s="595" t="s">
        <v>175</v>
      </c>
      <c r="H7" s="597" t="s">
        <v>176</v>
      </c>
      <c r="I7" s="357"/>
      <c r="J7" s="357"/>
      <c r="K7" s="357"/>
      <c r="L7" s="357"/>
    </row>
    <row r="8" spans="1:12" ht="99.95" customHeight="1" thickBot="1" x14ac:dyDescent="0.25">
      <c r="A8" s="340" t="s">
        <v>169</v>
      </c>
      <c r="B8" s="341" t="s">
        <v>170</v>
      </c>
      <c r="C8" s="341" t="s">
        <v>171</v>
      </c>
      <c r="D8" s="341" t="s">
        <v>172</v>
      </c>
      <c r="E8" s="342" t="s">
        <v>173</v>
      </c>
      <c r="F8" s="343" t="s">
        <v>174</v>
      </c>
      <c r="G8" s="596"/>
      <c r="H8" s="598"/>
      <c r="I8" s="357"/>
      <c r="J8" s="380"/>
      <c r="K8" s="357"/>
      <c r="L8" s="357"/>
    </row>
    <row r="9" spans="1:12" ht="36.75" customHeight="1" x14ac:dyDescent="0.2">
      <c r="A9" s="344">
        <v>5</v>
      </c>
      <c r="B9" s="345" t="s">
        <v>57</v>
      </c>
      <c r="C9" s="345" t="s">
        <v>49</v>
      </c>
      <c r="D9" s="345" t="s">
        <v>51</v>
      </c>
      <c r="E9" s="345" t="s">
        <v>54</v>
      </c>
      <c r="F9" s="346" t="s">
        <v>74</v>
      </c>
      <c r="G9" s="347" t="s">
        <v>537</v>
      </c>
      <c r="H9" s="348">
        <f>163.3*12</f>
        <v>1959.6000000000001</v>
      </c>
      <c r="I9" s="357"/>
      <c r="J9" s="357">
        <v>55</v>
      </c>
      <c r="K9" s="381">
        <f>SUM(H9:H12)</f>
        <v>113480.68908562533</v>
      </c>
      <c r="L9" s="357"/>
    </row>
    <row r="10" spans="1:12" ht="36.75" customHeight="1" x14ac:dyDescent="0.2">
      <c r="A10" s="226">
        <v>4</v>
      </c>
      <c r="B10" s="227" t="s">
        <v>535</v>
      </c>
      <c r="C10" s="227" t="s">
        <v>49</v>
      </c>
      <c r="D10" s="227" t="s">
        <v>51</v>
      </c>
      <c r="E10" s="227" t="s">
        <v>54</v>
      </c>
      <c r="F10" s="416" t="s">
        <v>74</v>
      </c>
      <c r="G10" s="347" t="s">
        <v>538</v>
      </c>
      <c r="H10" s="348">
        <f>'analisis deuda'!C289</f>
        <v>929.29277936147525</v>
      </c>
      <c r="I10" s="357"/>
      <c r="J10" s="357"/>
      <c r="K10" s="381"/>
      <c r="L10" s="357"/>
    </row>
    <row r="11" spans="1:12" ht="36.75" customHeight="1" x14ac:dyDescent="0.2">
      <c r="A11" s="228">
        <v>5</v>
      </c>
      <c r="B11" s="229" t="s">
        <v>57</v>
      </c>
      <c r="C11" s="229" t="s">
        <v>49</v>
      </c>
      <c r="D11" s="229" t="s">
        <v>51</v>
      </c>
      <c r="E11" s="229" t="s">
        <v>54</v>
      </c>
      <c r="F11" s="349" t="s">
        <v>455</v>
      </c>
      <c r="G11" s="347" t="s">
        <v>140</v>
      </c>
      <c r="H11" s="348">
        <f>'analisis deuda'!C252</f>
        <v>227.45999999999998</v>
      </c>
      <c r="I11" s="357"/>
      <c r="J11" s="357">
        <v>71</v>
      </c>
      <c r="K11" s="771">
        <f>+H13+H15+H14+0.01</f>
        <v>169898.61174138985</v>
      </c>
      <c r="L11" s="357"/>
    </row>
    <row r="12" spans="1:12" ht="36.75" customHeight="1" x14ac:dyDescent="0.2">
      <c r="A12" s="228">
        <v>5</v>
      </c>
      <c r="B12" s="229" t="s">
        <v>57</v>
      </c>
      <c r="C12" s="229" t="s">
        <v>49</v>
      </c>
      <c r="D12" s="229" t="s">
        <v>51</v>
      </c>
      <c r="E12" s="229" t="s">
        <v>54</v>
      </c>
      <c r="F12" s="349" t="s">
        <v>271</v>
      </c>
      <c r="G12" s="350" t="s">
        <v>273</v>
      </c>
      <c r="H12" s="348">
        <f>'analisis deuda'!C197</f>
        <v>110364.33630626385</v>
      </c>
      <c r="I12" s="357"/>
      <c r="J12" s="357"/>
      <c r="K12" s="771">
        <f>SUM(K9:K11)</f>
        <v>283379.30082701519</v>
      </c>
      <c r="L12" s="357"/>
    </row>
    <row r="13" spans="1:12" ht="36.75" customHeight="1" x14ac:dyDescent="0.2">
      <c r="A13" s="228">
        <v>5</v>
      </c>
      <c r="B13" s="229" t="s">
        <v>57</v>
      </c>
      <c r="C13" s="229" t="s">
        <v>49</v>
      </c>
      <c r="D13" s="229" t="s">
        <v>51</v>
      </c>
      <c r="E13" s="229" t="s">
        <v>54</v>
      </c>
      <c r="F13" s="349" t="s">
        <v>456</v>
      </c>
      <c r="G13" s="350" t="s">
        <v>140</v>
      </c>
      <c r="H13" s="348">
        <f>'analisis deuda'!D252</f>
        <v>22989.61</v>
      </c>
      <c r="I13" s="357"/>
      <c r="J13" s="357"/>
      <c r="K13" s="766"/>
      <c r="L13" s="357"/>
    </row>
    <row r="14" spans="1:12" ht="36.75" customHeight="1" x14ac:dyDescent="0.2">
      <c r="A14" s="228">
        <v>4</v>
      </c>
      <c r="B14" s="229" t="s">
        <v>535</v>
      </c>
      <c r="C14" s="229" t="s">
        <v>49</v>
      </c>
      <c r="D14" s="229" t="s">
        <v>51</v>
      </c>
      <c r="E14" s="229" t="s">
        <v>54</v>
      </c>
      <c r="F14" s="349" t="s">
        <v>536</v>
      </c>
      <c r="G14" s="347" t="s">
        <v>538</v>
      </c>
      <c r="H14" s="348">
        <f>'analisis deuda'!D289</f>
        <v>17136.168047653682</v>
      </c>
      <c r="I14" s="357"/>
      <c r="J14" s="357"/>
      <c r="K14" s="357"/>
      <c r="L14" s="357"/>
    </row>
    <row r="15" spans="1:12" ht="36.75" customHeight="1" x14ac:dyDescent="0.2">
      <c r="A15" s="228">
        <v>5</v>
      </c>
      <c r="B15" s="229" t="s">
        <v>57</v>
      </c>
      <c r="C15" s="229" t="s">
        <v>49</v>
      </c>
      <c r="D15" s="229" t="s">
        <v>51</v>
      </c>
      <c r="E15" s="229" t="s">
        <v>54</v>
      </c>
      <c r="F15" s="349" t="s">
        <v>272</v>
      </c>
      <c r="G15" s="350" t="s">
        <v>273</v>
      </c>
      <c r="H15" s="348">
        <f>'analisis deuda'!D197</f>
        <v>129772.82369373614</v>
      </c>
      <c r="I15" s="357"/>
      <c r="J15" s="357"/>
      <c r="K15" s="357">
        <f>178749.22+8710</f>
        <v>187459.22</v>
      </c>
      <c r="L15" s="357"/>
    </row>
    <row r="16" spans="1:12" ht="0.75" customHeight="1" thickBot="1" x14ac:dyDescent="0.25">
      <c r="A16" s="228"/>
      <c r="B16" s="229"/>
      <c r="C16" s="229"/>
      <c r="D16" s="229"/>
      <c r="E16" s="229"/>
      <c r="F16" s="349"/>
      <c r="G16" s="347"/>
      <c r="H16" s="348"/>
      <c r="I16" s="357"/>
      <c r="J16" s="357"/>
      <c r="K16" s="357"/>
      <c r="L16" s="357"/>
    </row>
    <row r="17" spans="1:12" ht="30" hidden="1" customHeight="1" thickBot="1" x14ac:dyDescent="0.25">
      <c r="A17" s="228"/>
      <c r="B17" s="229"/>
      <c r="C17" s="229"/>
      <c r="D17" s="229"/>
      <c r="E17" s="229"/>
      <c r="F17" s="349"/>
      <c r="G17" s="347"/>
      <c r="H17" s="348">
        <v>0</v>
      </c>
      <c r="I17" s="357"/>
      <c r="J17" s="357"/>
      <c r="K17" s="357" t="s">
        <v>383</v>
      </c>
      <c r="L17" s="357"/>
    </row>
    <row r="18" spans="1:12" ht="30" hidden="1" customHeight="1" thickBot="1" x14ac:dyDescent="0.25">
      <c r="A18" s="351"/>
      <c r="B18" s="230"/>
      <c r="C18" s="230"/>
      <c r="D18" s="230"/>
      <c r="E18" s="230"/>
      <c r="F18" s="352"/>
      <c r="G18" s="353"/>
      <c r="H18" s="354"/>
      <c r="I18" s="357"/>
      <c r="J18" s="357"/>
      <c r="K18" s="357"/>
      <c r="L18" s="357"/>
    </row>
    <row r="19" spans="1:12" s="32" customFormat="1" ht="30" customHeight="1" x14ac:dyDescent="0.2">
      <c r="A19" s="760" t="s">
        <v>316</v>
      </c>
      <c r="B19" s="761"/>
      <c r="C19" s="761"/>
      <c r="D19" s="761"/>
      <c r="E19" s="761"/>
      <c r="F19" s="761"/>
      <c r="G19" s="762"/>
      <c r="H19" s="763">
        <f>SUM(H9:H15)</f>
        <v>283379.29082701518</v>
      </c>
      <c r="I19" s="382"/>
      <c r="J19" s="382"/>
      <c r="K19" s="382"/>
      <c r="L19" s="382"/>
    </row>
    <row r="20" spans="1:12" ht="19.5" customHeight="1" x14ac:dyDescent="0.2">
      <c r="A20" s="764"/>
      <c r="B20" s="764"/>
      <c r="C20" s="764"/>
      <c r="D20" s="764"/>
      <c r="E20" s="764"/>
      <c r="F20" s="764"/>
      <c r="G20" s="765"/>
      <c r="H20" s="765"/>
      <c r="I20" s="766"/>
    </row>
    <row r="21" spans="1:12" ht="24" customHeight="1" x14ac:dyDescent="0.2">
      <c r="A21" s="767" t="s">
        <v>14</v>
      </c>
      <c r="B21" s="767"/>
      <c r="C21" s="767"/>
      <c r="D21" s="767"/>
      <c r="E21" s="767"/>
      <c r="F21" s="767"/>
      <c r="G21" s="765"/>
      <c r="H21" s="768">
        <v>283379.28999999998</v>
      </c>
      <c r="I21" s="766"/>
    </row>
    <row r="22" spans="1:12" ht="17.25" customHeight="1" x14ac:dyDescent="0.2">
      <c r="A22" s="769" t="s">
        <v>2</v>
      </c>
      <c r="B22" s="769"/>
      <c r="C22" s="769"/>
      <c r="D22" s="769"/>
      <c r="E22" s="769"/>
      <c r="F22" s="769"/>
      <c r="G22" s="769"/>
      <c r="H22" s="770">
        <f>SUM(H19-H21)</f>
        <v>8.270152029581368E-4</v>
      </c>
      <c r="I22" s="766"/>
    </row>
    <row r="23" spans="1:12" ht="24.75" customHeight="1" x14ac:dyDescent="0.2">
      <c r="A23" s="769" t="s">
        <v>10</v>
      </c>
      <c r="B23" s="769"/>
      <c r="C23" s="769"/>
      <c r="D23" s="769"/>
      <c r="E23" s="769"/>
      <c r="F23" s="769"/>
      <c r="G23" s="769"/>
      <c r="H23" s="770"/>
      <c r="I23" s="766"/>
    </row>
    <row r="24" spans="1:12" x14ac:dyDescent="0.2">
      <c r="A24" s="764"/>
      <c r="B24" s="764"/>
      <c r="C24" s="764"/>
      <c r="D24" s="764"/>
      <c r="E24" s="764"/>
      <c r="F24" s="764"/>
      <c r="G24" s="765"/>
      <c r="H24" s="768"/>
      <c r="I24" s="766"/>
    </row>
    <row r="25" spans="1:12" x14ac:dyDescent="0.2">
      <c r="A25" s="33"/>
      <c r="B25" s="33"/>
      <c r="C25" s="34"/>
      <c r="D25" s="27"/>
      <c r="E25" s="27"/>
      <c r="F25" s="27"/>
      <c r="H25" s="124"/>
    </row>
    <row r="26" spans="1:12" x14ac:dyDescent="0.2">
      <c r="H26" s="124"/>
    </row>
  </sheetData>
  <sheetProtection algorithmName="SHA-512" hashValue="D08thEzLjX9PfpI15gzXpt0pfRS8fx0xELNDmuumHXWUnBLjKNeQ1EYyjp0Ob7Eo/3aGZz9ZEL6FC06Bykv5AA==" saltValue="G8ewlx1OJFyRP8lCh50zFg==" spinCount="100000" sheet="1" formatCells="0" formatColumns="0" formatRows="0" insertColumns="0" insertRows="0" insertHyperlinks="0" deleteColumns="0" deleteRows="0" sort="0" autoFilter="0" pivotTables="0"/>
  <mergeCells count="13">
    <mergeCell ref="A2:H2"/>
    <mergeCell ref="A1:H1"/>
    <mergeCell ref="A23:G23"/>
    <mergeCell ref="A21:F21"/>
    <mergeCell ref="A6:H6"/>
    <mergeCell ref="A7:F7"/>
    <mergeCell ref="G7:G8"/>
    <mergeCell ref="A22:G22"/>
    <mergeCell ref="H7:H8"/>
    <mergeCell ref="A5:H5"/>
    <mergeCell ref="A3:H3"/>
    <mergeCell ref="A4:H4"/>
    <mergeCell ref="A19:G19"/>
  </mergeCells>
  <phoneticPr fontId="2" type="noConversion"/>
  <printOptions horizontalCentered="1"/>
  <pageMargins left="0.59055118110236227" right="0.19685039370078741" top="1.0236220472440944" bottom="0.19685039370078741" header="0" footer="0"/>
  <pageSetup scale="90" orientation="portrait" horizontalDpi="4294967293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I34"/>
  <sheetViews>
    <sheetView view="pageBreakPreview" zoomScale="106" zoomScaleSheetLayoutView="106" workbookViewId="0">
      <selection activeCell="A5" sqref="A5:H5"/>
    </sheetView>
  </sheetViews>
  <sheetFormatPr baseColWidth="10" defaultColWidth="11.42578125" defaultRowHeight="12.75" x14ac:dyDescent="0.2"/>
  <cols>
    <col min="1" max="1" width="4.5703125" style="23" customWidth="1"/>
    <col min="2" max="2" width="4.42578125" style="23" customWidth="1"/>
    <col min="3" max="4" width="4.5703125" style="23" customWidth="1"/>
    <col min="5" max="5" width="6.140625" style="23" customWidth="1"/>
    <col min="6" max="6" width="12.7109375" style="23" customWidth="1"/>
    <col min="7" max="7" width="42.5703125" style="19" customWidth="1"/>
    <col min="8" max="8" width="19.28515625" style="4" customWidth="1"/>
    <col min="9" max="16384" width="11.42578125" style="21"/>
  </cols>
  <sheetData>
    <row r="1" spans="1:9" ht="18" x14ac:dyDescent="0.25">
      <c r="A1" s="599" t="s">
        <v>388</v>
      </c>
      <c r="B1" s="600"/>
      <c r="C1" s="600"/>
      <c r="D1" s="600"/>
      <c r="E1" s="600"/>
      <c r="F1" s="600"/>
      <c r="G1" s="600"/>
      <c r="H1" s="600"/>
      <c r="I1" s="5"/>
    </row>
    <row r="2" spans="1:9" ht="18" x14ac:dyDescent="0.25">
      <c r="A2" s="599" t="s">
        <v>387</v>
      </c>
      <c r="B2" s="600"/>
      <c r="C2" s="600"/>
      <c r="D2" s="600"/>
      <c r="E2" s="600"/>
      <c r="F2" s="600"/>
      <c r="G2" s="600"/>
      <c r="H2" s="600"/>
      <c r="I2" s="5"/>
    </row>
    <row r="3" spans="1:9" ht="15.75" x14ac:dyDescent="0.2">
      <c r="A3" s="601" t="s">
        <v>225</v>
      </c>
      <c r="B3" s="602"/>
      <c r="C3" s="602"/>
      <c r="D3" s="602"/>
      <c r="E3" s="602"/>
      <c r="F3" s="602"/>
      <c r="G3" s="602"/>
      <c r="H3" s="602"/>
    </row>
    <row r="4" spans="1:9" ht="15.75" x14ac:dyDescent="0.2">
      <c r="A4" s="601" t="s">
        <v>500</v>
      </c>
      <c r="B4" s="602"/>
      <c r="C4" s="602"/>
      <c r="D4" s="602"/>
      <c r="E4" s="602"/>
      <c r="F4" s="602"/>
      <c r="G4" s="602"/>
      <c r="H4" s="602"/>
    </row>
    <row r="5" spans="1:9" ht="15" x14ac:dyDescent="0.2">
      <c r="A5" s="603" t="s">
        <v>13</v>
      </c>
      <c r="B5" s="604"/>
      <c r="C5" s="604"/>
      <c r="D5" s="604"/>
      <c r="E5" s="604"/>
      <c r="F5" s="604"/>
      <c r="G5" s="604"/>
      <c r="H5" s="604"/>
    </row>
    <row r="6" spans="1:9" ht="8.25" customHeight="1" x14ac:dyDescent="0.25">
      <c r="A6" s="605"/>
      <c r="B6" s="606"/>
      <c r="C6" s="606"/>
      <c r="D6" s="606"/>
      <c r="E6" s="606"/>
      <c r="F6" s="606"/>
      <c r="G6" s="606"/>
      <c r="H6" s="606"/>
    </row>
    <row r="7" spans="1:9" ht="15.75" x14ac:dyDescent="0.25">
      <c r="A7" s="607" t="s">
        <v>226</v>
      </c>
      <c r="B7" s="607"/>
      <c r="C7" s="607"/>
      <c r="D7" s="607"/>
      <c r="E7" s="607"/>
      <c r="F7" s="607"/>
      <c r="G7" s="607"/>
      <c r="H7" s="607"/>
    </row>
    <row r="8" spans="1:9" ht="16.5" thickBot="1" x14ac:dyDescent="0.3">
      <c r="A8" s="608" t="s">
        <v>276</v>
      </c>
      <c r="B8" s="608"/>
      <c r="C8" s="608"/>
      <c r="D8" s="608"/>
      <c r="E8" s="608"/>
      <c r="F8" s="608"/>
      <c r="G8" s="608"/>
      <c r="H8" s="608"/>
    </row>
    <row r="9" spans="1:9" ht="13.5" thickBot="1" x14ac:dyDescent="0.25">
      <c r="A9" s="609" t="s">
        <v>0</v>
      </c>
      <c r="B9" s="610"/>
      <c r="C9" s="610"/>
      <c r="D9" s="610"/>
      <c r="E9" s="610"/>
      <c r="F9" s="610"/>
      <c r="G9" s="611" t="s">
        <v>178</v>
      </c>
      <c r="H9" s="613" t="s">
        <v>179</v>
      </c>
    </row>
    <row r="10" spans="1:9" ht="200.25" customHeight="1" thickBot="1" x14ac:dyDescent="0.25">
      <c r="A10" s="149" t="s">
        <v>169</v>
      </c>
      <c r="B10" s="150" t="s">
        <v>170</v>
      </c>
      <c r="C10" s="150" t="s">
        <v>141</v>
      </c>
      <c r="D10" s="150" t="s">
        <v>172</v>
      </c>
      <c r="E10" s="151" t="s">
        <v>180</v>
      </c>
      <c r="F10" s="152" t="s">
        <v>117</v>
      </c>
      <c r="G10" s="612"/>
      <c r="H10" s="614"/>
    </row>
    <row r="11" spans="1:9" ht="15.75" customHeight="1" x14ac:dyDescent="0.2">
      <c r="A11" s="9">
        <v>3</v>
      </c>
      <c r="B11" s="10" t="s">
        <v>53</v>
      </c>
      <c r="C11" s="10" t="s">
        <v>324</v>
      </c>
      <c r="D11" s="10" t="s">
        <v>51</v>
      </c>
      <c r="E11" s="10" t="s">
        <v>244</v>
      </c>
      <c r="F11" s="11" t="s">
        <v>224</v>
      </c>
      <c r="G11" s="12" t="s">
        <v>206</v>
      </c>
      <c r="H11" s="13"/>
    </row>
    <row r="12" spans="1:9" ht="15.75" customHeight="1" x14ac:dyDescent="0.2">
      <c r="A12" s="8">
        <v>3</v>
      </c>
      <c r="B12" s="1" t="s">
        <v>53</v>
      </c>
      <c r="C12" s="10" t="s">
        <v>324</v>
      </c>
      <c r="D12" s="10" t="s">
        <v>51</v>
      </c>
      <c r="E12" s="10" t="s">
        <v>244</v>
      </c>
      <c r="F12" s="2">
        <v>54111</v>
      </c>
      <c r="G12" s="6" t="s">
        <v>48</v>
      </c>
      <c r="H12" s="14"/>
    </row>
    <row r="13" spans="1:9" ht="15.75" customHeight="1" x14ac:dyDescent="0.2">
      <c r="A13" s="8">
        <v>3</v>
      </c>
      <c r="B13" s="1" t="s">
        <v>53</v>
      </c>
      <c r="C13" s="10" t="s">
        <v>324</v>
      </c>
      <c r="D13" s="10" t="s">
        <v>51</v>
      </c>
      <c r="E13" s="10" t="s">
        <v>244</v>
      </c>
      <c r="F13" s="2">
        <v>54112</v>
      </c>
      <c r="G13" s="6" t="s">
        <v>47</v>
      </c>
      <c r="H13" s="14"/>
    </row>
    <row r="14" spans="1:9" ht="15.75" customHeight="1" x14ac:dyDescent="0.2">
      <c r="A14" s="8">
        <v>3</v>
      </c>
      <c r="B14" s="1" t="s">
        <v>53</v>
      </c>
      <c r="C14" s="10" t="s">
        <v>324</v>
      </c>
      <c r="D14" s="10" t="s">
        <v>51</v>
      </c>
      <c r="E14" s="10" t="s">
        <v>244</v>
      </c>
      <c r="F14" s="2">
        <v>54199</v>
      </c>
      <c r="G14" s="6" t="s">
        <v>243</v>
      </c>
      <c r="H14" s="14"/>
    </row>
    <row r="15" spans="1:9" ht="15.75" customHeight="1" x14ac:dyDescent="0.2">
      <c r="A15" s="8">
        <v>3</v>
      </c>
      <c r="B15" s="1" t="s">
        <v>53</v>
      </c>
      <c r="C15" s="10" t="s">
        <v>324</v>
      </c>
      <c r="D15" s="10" t="s">
        <v>51</v>
      </c>
      <c r="E15" s="10" t="s">
        <v>244</v>
      </c>
      <c r="F15" s="2">
        <v>54313</v>
      </c>
      <c r="G15" s="6" t="s">
        <v>230</v>
      </c>
      <c r="H15" s="14"/>
    </row>
    <row r="16" spans="1:9" ht="15.75" customHeight="1" x14ac:dyDescent="0.2">
      <c r="A16" s="8">
        <v>3</v>
      </c>
      <c r="B16" s="1" t="s">
        <v>53</v>
      </c>
      <c r="C16" s="10" t="s">
        <v>324</v>
      </c>
      <c r="D16" s="10" t="s">
        <v>51</v>
      </c>
      <c r="E16" s="10" t="s">
        <v>244</v>
      </c>
      <c r="F16" s="2">
        <v>54316</v>
      </c>
      <c r="G16" s="6" t="s">
        <v>231</v>
      </c>
      <c r="H16" s="14"/>
    </row>
    <row r="17" spans="1:8" ht="15.75" customHeight="1" x14ac:dyDescent="0.2">
      <c r="A17" s="8">
        <v>3</v>
      </c>
      <c r="B17" s="1" t="s">
        <v>53</v>
      </c>
      <c r="C17" s="10" t="s">
        <v>324</v>
      </c>
      <c r="D17" s="10" t="s">
        <v>51</v>
      </c>
      <c r="E17" s="10" t="s">
        <v>244</v>
      </c>
      <c r="F17" s="2">
        <v>54599</v>
      </c>
      <c r="G17" s="6" t="s">
        <v>235</v>
      </c>
      <c r="H17" s="14"/>
    </row>
    <row r="18" spans="1:8" ht="15.75" customHeight="1" x14ac:dyDescent="0.2">
      <c r="A18" s="8">
        <v>3</v>
      </c>
      <c r="B18" s="1" t="s">
        <v>53</v>
      </c>
      <c r="C18" s="10" t="s">
        <v>324</v>
      </c>
      <c r="D18" s="10" t="s">
        <v>51</v>
      </c>
      <c r="E18" s="10" t="s">
        <v>244</v>
      </c>
      <c r="F18" s="2">
        <v>55601</v>
      </c>
      <c r="G18" s="6" t="s">
        <v>107</v>
      </c>
      <c r="H18" s="14"/>
    </row>
    <row r="19" spans="1:8" ht="15.75" customHeight="1" x14ac:dyDescent="0.2">
      <c r="A19" s="8">
        <v>3</v>
      </c>
      <c r="B19" s="1" t="s">
        <v>53</v>
      </c>
      <c r="C19" s="10" t="s">
        <v>324</v>
      </c>
      <c r="D19" s="10" t="s">
        <v>51</v>
      </c>
      <c r="E19" s="10" t="s">
        <v>244</v>
      </c>
      <c r="F19" s="2">
        <v>55603</v>
      </c>
      <c r="G19" s="6" t="s">
        <v>219</v>
      </c>
      <c r="H19" s="14"/>
    </row>
    <row r="20" spans="1:8" ht="15.75" customHeight="1" x14ac:dyDescent="0.2">
      <c r="A20" s="8">
        <v>3</v>
      </c>
      <c r="B20" s="1" t="s">
        <v>53</v>
      </c>
      <c r="C20" s="10" t="s">
        <v>324</v>
      </c>
      <c r="D20" s="10" t="s">
        <v>51</v>
      </c>
      <c r="E20" s="10" t="s">
        <v>244</v>
      </c>
      <c r="F20" s="2">
        <v>61101</v>
      </c>
      <c r="G20" s="6" t="s">
        <v>237</v>
      </c>
      <c r="H20" s="14"/>
    </row>
    <row r="21" spans="1:8" ht="15.75" customHeight="1" x14ac:dyDescent="0.2">
      <c r="A21" s="8">
        <v>3</v>
      </c>
      <c r="B21" s="1" t="s">
        <v>53</v>
      </c>
      <c r="C21" s="10" t="s">
        <v>324</v>
      </c>
      <c r="D21" s="10" t="s">
        <v>51</v>
      </c>
      <c r="E21" s="10" t="s">
        <v>244</v>
      </c>
      <c r="F21" s="2">
        <v>61102</v>
      </c>
      <c r="G21" s="6" t="s">
        <v>238</v>
      </c>
      <c r="H21" s="14"/>
    </row>
    <row r="22" spans="1:8" ht="15.75" customHeight="1" x14ac:dyDescent="0.2">
      <c r="A22" s="8">
        <v>3</v>
      </c>
      <c r="B22" s="1" t="s">
        <v>53</v>
      </c>
      <c r="C22" s="10" t="s">
        <v>324</v>
      </c>
      <c r="D22" s="10" t="s">
        <v>51</v>
      </c>
      <c r="E22" s="10" t="s">
        <v>244</v>
      </c>
      <c r="F22" s="2">
        <v>61599</v>
      </c>
      <c r="G22" s="6" t="s">
        <v>239</v>
      </c>
      <c r="H22" s="14"/>
    </row>
    <row r="23" spans="1:8" ht="15.75" customHeight="1" x14ac:dyDescent="0.2">
      <c r="A23" s="8">
        <v>3</v>
      </c>
      <c r="B23" s="1" t="s">
        <v>53</v>
      </c>
      <c r="C23" s="10" t="s">
        <v>324</v>
      </c>
      <c r="D23" s="10" t="s">
        <v>51</v>
      </c>
      <c r="E23" s="10" t="s">
        <v>244</v>
      </c>
      <c r="F23" s="2">
        <v>61607</v>
      </c>
      <c r="G23" s="6" t="s">
        <v>240</v>
      </c>
      <c r="H23" s="14"/>
    </row>
    <row r="24" spans="1:8" ht="15.75" customHeight="1" x14ac:dyDescent="0.2">
      <c r="A24" s="8">
        <v>3</v>
      </c>
      <c r="B24" s="1" t="s">
        <v>53</v>
      </c>
      <c r="C24" s="10" t="s">
        <v>324</v>
      </c>
      <c r="D24" s="10" t="s">
        <v>51</v>
      </c>
      <c r="E24" s="10" t="s">
        <v>244</v>
      </c>
      <c r="F24" s="2">
        <v>61608</v>
      </c>
      <c r="G24" s="6" t="s">
        <v>241</v>
      </c>
      <c r="H24" s="14"/>
    </row>
    <row r="25" spans="1:8" ht="15.75" customHeight="1" x14ac:dyDescent="0.2">
      <c r="A25" s="8">
        <v>3</v>
      </c>
      <c r="B25" s="1" t="s">
        <v>53</v>
      </c>
      <c r="C25" s="10" t="s">
        <v>324</v>
      </c>
      <c r="D25" s="10" t="s">
        <v>51</v>
      </c>
      <c r="E25" s="10" t="s">
        <v>244</v>
      </c>
      <c r="F25" s="2">
        <v>61699</v>
      </c>
      <c r="G25" s="6" t="s">
        <v>242</v>
      </c>
      <c r="H25" s="14"/>
    </row>
    <row r="26" spans="1:8" ht="15.75" customHeight="1" thickBot="1" x14ac:dyDescent="0.25">
      <c r="A26" s="17"/>
      <c r="B26" s="15"/>
      <c r="C26" s="15"/>
      <c r="D26" s="15"/>
      <c r="E26" s="15"/>
      <c r="F26" s="3"/>
      <c r="G26" s="7"/>
      <c r="H26" s="16"/>
    </row>
    <row r="27" spans="1:8" ht="26.25" customHeight="1" thickBot="1" x14ac:dyDescent="0.25">
      <c r="A27" s="615" t="s">
        <v>325</v>
      </c>
      <c r="B27" s="616"/>
      <c r="C27" s="616"/>
      <c r="D27" s="616"/>
      <c r="E27" s="616"/>
      <c r="F27" s="616"/>
      <c r="G27" s="617"/>
      <c r="H27" s="153">
        <f>SUM(H11:H26)</f>
        <v>0</v>
      </c>
    </row>
    <row r="28" spans="1:8" x14ac:dyDescent="0.2">
      <c r="A28" s="22"/>
      <c r="B28" s="22"/>
      <c r="C28" s="22"/>
      <c r="D28" s="22"/>
      <c r="E28" s="22"/>
      <c r="F28" s="22"/>
      <c r="H28" s="35"/>
    </row>
    <row r="29" spans="1:8" ht="15.75" x14ac:dyDescent="0.25">
      <c r="A29" s="22"/>
      <c r="B29" s="22"/>
      <c r="C29" s="22"/>
      <c r="D29" s="22"/>
      <c r="E29" s="22"/>
      <c r="F29" s="22"/>
      <c r="G29" s="36"/>
      <c r="H29" s="36"/>
    </row>
    <row r="30" spans="1:8" ht="19.5" customHeight="1" x14ac:dyDescent="0.2">
      <c r="A30" s="587" t="s">
        <v>14</v>
      </c>
      <c r="B30" s="587"/>
      <c r="C30" s="587"/>
      <c r="D30" s="587"/>
      <c r="E30" s="587"/>
      <c r="F30" s="587"/>
    </row>
    <row r="31" spans="1:8" x14ac:dyDescent="0.2">
      <c r="A31" s="578" t="s">
        <v>2</v>
      </c>
      <c r="B31" s="578"/>
      <c r="C31" s="578"/>
      <c r="D31" s="578"/>
      <c r="E31" s="578"/>
      <c r="F31" s="578"/>
      <c r="G31" s="578"/>
    </row>
    <row r="32" spans="1:8" x14ac:dyDescent="0.2">
      <c r="A32" s="578" t="s">
        <v>8</v>
      </c>
      <c r="B32" s="578"/>
      <c r="C32" s="578"/>
      <c r="D32" s="578"/>
      <c r="E32" s="578"/>
      <c r="F32" s="578"/>
      <c r="G32" s="578"/>
    </row>
    <row r="33" spans="1:7" x14ac:dyDescent="0.2">
      <c r="A33" s="578" t="s">
        <v>9</v>
      </c>
      <c r="B33" s="578"/>
      <c r="C33" s="578"/>
      <c r="D33" s="578"/>
      <c r="E33" s="578"/>
      <c r="F33" s="578"/>
      <c r="G33" s="578"/>
    </row>
    <row r="34" spans="1:7" x14ac:dyDescent="0.2">
      <c r="A34" s="578"/>
      <c r="B34" s="578"/>
      <c r="C34" s="578"/>
      <c r="D34" s="578"/>
      <c r="E34" s="578"/>
      <c r="F34" s="578"/>
      <c r="G34" s="578"/>
    </row>
  </sheetData>
  <mergeCells count="17">
    <mergeCell ref="A34:G34"/>
    <mergeCell ref="A27:G27"/>
    <mergeCell ref="A30:F30"/>
    <mergeCell ref="A31:G31"/>
    <mergeCell ref="A32:G32"/>
    <mergeCell ref="A33:G33"/>
    <mergeCell ref="A6:H6"/>
    <mergeCell ref="A7:H7"/>
    <mergeCell ref="A8:H8"/>
    <mergeCell ref="A9:F9"/>
    <mergeCell ref="G9:G10"/>
    <mergeCell ref="H9:H10"/>
    <mergeCell ref="A1:H1"/>
    <mergeCell ref="A2:H2"/>
    <mergeCell ref="A3:H3"/>
    <mergeCell ref="A4:H4"/>
    <mergeCell ref="A5:H5"/>
  </mergeCells>
  <printOptions horizontalCentered="1"/>
  <pageMargins left="0.70866141732283472" right="0.70866141732283472" top="0.74803149606299213" bottom="0.74803149606299213" header="0.31496062992125984" footer="0.31496062992125984"/>
  <pageSetup scale="9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-0.249977111117893"/>
  </sheetPr>
  <dimension ref="B2:G19"/>
  <sheetViews>
    <sheetView topLeftCell="A4" workbookViewId="0">
      <selection activeCell="B4" sqref="B4"/>
    </sheetView>
  </sheetViews>
  <sheetFormatPr baseColWidth="10" defaultColWidth="11.42578125" defaultRowHeight="12.75" x14ac:dyDescent="0.2"/>
  <cols>
    <col min="1" max="1" width="7" style="73" customWidth="1"/>
    <col min="2" max="2" width="38.5703125" style="73" customWidth="1"/>
    <col min="3" max="3" width="23.42578125" style="73" customWidth="1"/>
    <col min="4" max="4" width="15.5703125" style="73" customWidth="1"/>
    <col min="5" max="5" width="11.42578125" style="73"/>
    <col min="6" max="6" width="15.140625" style="73" customWidth="1"/>
    <col min="7" max="7" width="15" style="73" customWidth="1"/>
    <col min="8" max="16384" width="11.42578125" style="73"/>
  </cols>
  <sheetData>
    <row r="2" spans="2:7" ht="15.75" x14ac:dyDescent="0.2">
      <c r="B2" s="602" t="s">
        <v>277</v>
      </c>
      <c r="C2" s="602"/>
      <c r="D2" s="602"/>
      <c r="E2" s="602"/>
      <c r="F2" s="602"/>
      <c r="G2" s="602"/>
    </row>
    <row r="3" spans="2:7" ht="12.75" customHeight="1" x14ac:dyDescent="0.2">
      <c r="B3" s="602" t="s">
        <v>278</v>
      </c>
      <c r="C3" s="602"/>
      <c r="D3" s="602"/>
      <c r="E3" s="602"/>
      <c r="F3" s="602"/>
      <c r="G3" s="602"/>
    </row>
    <row r="4" spans="2:7" ht="13.5" thickBot="1" x14ac:dyDescent="0.25"/>
    <row r="5" spans="2:7" ht="51" customHeight="1" thickBot="1" x14ac:dyDescent="0.25">
      <c r="B5" s="623" t="s">
        <v>95</v>
      </c>
      <c r="C5" s="624" t="s">
        <v>96</v>
      </c>
      <c r="D5" s="623" t="s">
        <v>97</v>
      </c>
      <c r="E5" s="623" t="s">
        <v>94</v>
      </c>
      <c r="F5" s="623" t="s">
        <v>98</v>
      </c>
      <c r="G5" s="623"/>
    </row>
    <row r="6" spans="2:7" ht="26.25" customHeight="1" thickBot="1" x14ac:dyDescent="0.25">
      <c r="B6" s="623"/>
      <c r="C6" s="625"/>
      <c r="D6" s="623"/>
      <c r="E6" s="623"/>
      <c r="F6" s="623" t="s">
        <v>99</v>
      </c>
      <c r="G6" s="623" t="s">
        <v>100</v>
      </c>
    </row>
    <row r="7" spans="2:7" ht="13.5" thickBot="1" x14ac:dyDescent="0.25">
      <c r="B7" s="623"/>
      <c r="C7" s="626"/>
      <c r="D7" s="623"/>
      <c r="E7" s="623"/>
      <c r="F7" s="623"/>
      <c r="G7" s="623"/>
    </row>
    <row r="8" spans="2:7" ht="30" customHeight="1" x14ac:dyDescent="0.2">
      <c r="B8" s="80"/>
      <c r="C8" s="82"/>
      <c r="D8" s="37" t="s">
        <v>103</v>
      </c>
      <c r="E8" s="74" t="s">
        <v>101</v>
      </c>
      <c r="F8" s="75">
        <v>300</v>
      </c>
      <c r="G8" s="76">
        <f t="shared" ref="G8:G14" si="0">F8*12</f>
        <v>3600</v>
      </c>
    </row>
    <row r="9" spans="2:7" ht="30" customHeight="1" x14ac:dyDescent="0.2">
      <c r="B9" s="81"/>
      <c r="C9" s="81"/>
      <c r="D9" s="79" t="s">
        <v>103</v>
      </c>
      <c r="E9" s="18" t="s">
        <v>101</v>
      </c>
      <c r="F9" s="75">
        <v>250</v>
      </c>
      <c r="G9" s="76">
        <f t="shared" si="0"/>
        <v>3000</v>
      </c>
    </row>
    <row r="10" spans="2:7" ht="30" customHeight="1" x14ac:dyDescent="0.2">
      <c r="B10" s="81"/>
      <c r="C10" s="81"/>
      <c r="D10" s="79" t="s">
        <v>103</v>
      </c>
      <c r="E10" s="18" t="s">
        <v>101</v>
      </c>
      <c r="F10" s="75">
        <v>250</v>
      </c>
      <c r="G10" s="76">
        <f t="shared" si="0"/>
        <v>3000</v>
      </c>
    </row>
    <row r="11" spans="2:7" ht="30" customHeight="1" x14ac:dyDescent="0.2">
      <c r="B11" s="81"/>
      <c r="C11" s="81"/>
      <c r="D11" s="79" t="s">
        <v>103</v>
      </c>
      <c r="E11" s="18" t="s">
        <v>101</v>
      </c>
      <c r="F11" s="75">
        <v>200</v>
      </c>
      <c r="G11" s="76">
        <f t="shared" si="0"/>
        <v>2400</v>
      </c>
    </row>
    <row r="12" spans="2:7" ht="30" customHeight="1" x14ac:dyDescent="0.2">
      <c r="B12" s="81"/>
      <c r="C12" s="81"/>
      <c r="D12" s="79" t="s">
        <v>103</v>
      </c>
      <c r="E12" s="18" t="s">
        <v>101</v>
      </c>
      <c r="F12" s="75">
        <v>200</v>
      </c>
      <c r="G12" s="76">
        <f t="shared" si="0"/>
        <v>2400</v>
      </c>
    </row>
    <row r="13" spans="2:7" ht="30" customHeight="1" x14ac:dyDescent="0.2">
      <c r="B13" s="81"/>
      <c r="C13" s="81"/>
      <c r="D13" s="79" t="s">
        <v>103</v>
      </c>
      <c r="E13" s="18" t="s">
        <v>101</v>
      </c>
      <c r="F13" s="75">
        <v>200</v>
      </c>
      <c r="G13" s="76">
        <f t="shared" si="0"/>
        <v>2400</v>
      </c>
    </row>
    <row r="14" spans="2:7" ht="30" customHeight="1" x14ac:dyDescent="0.2">
      <c r="B14" s="81"/>
      <c r="C14" s="81"/>
      <c r="D14" s="79" t="s">
        <v>103</v>
      </c>
      <c r="E14" s="18" t="s">
        <v>101</v>
      </c>
      <c r="F14" s="75">
        <v>200</v>
      </c>
      <c r="G14" s="76">
        <f t="shared" si="0"/>
        <v>2400</v>
      </c>
    </row>
    <row r="15" spans="2:7" ht="24.95" customHeight="1" thickBot="1" x14ac:dyDescent="0.25">
      <c r="B15" s="618" t="s">
        <v>102</v>
      </c>
      <c r="C15" s="619"/>
      <c r="D15" s="619"/>
      <c r="E15" s="619"/>
      <c r="F15" s="78">
        <f>SUM(F8:F14)</f>
        <v>1600</v>
      </c>
      <c r="G15" s="78">
        <f>SUM(G8:G14)</f>
        <v>19200</v>
      </c>
    </row>
    <row r="16" spans="2:7" ht="24.95" customHeight="1" thickBot="1" x14ac:dyDescent="0.25">
      <c r="B16" s="620" t="s">
        <v>205</v>
      </c>
      <c r="C16" s="621"/>
      <c r="D16" s="621"/>
      <c r="E16" s="621"/>
      <c r="F16" s="77"/>
      <c r="G16" s="77">
        <f>SUM(G8:G14)</f>
        <v>19200</v>
      </c>
    </row>
    <row r="17" spans="2:4" ht="24.95" customHeight="1" x14ac:dyDescent="0.2"/>
    <row r="18" spans="2:4" ht="24.95" customHeight="1" x14ac:dyDescent="0.2">
      <c r="B18" s="622"/>
      <c r="C18" s="622"/>
      <c r="D18" s="622"/>
    </row>
    <row r="19" spans="2:4" ht="24.95" customHeight="1" x14ac:dyDescent="0.2"/>
  </sheetData>
  <mergeCells count="12">
    <mergeCell ref="B2:G2"/>
    <mergeCell ref="F5:G5"/>
    <mergeCell ref="F6:F7"/>
    <mergeCell ref="G6:G7"/>
    <mergeCell ref="B5:B7"/>
    <mergeCell ref="C5:C7"/>
    <mergeCell ref="D5:D7"/>
    <mergeCell ref="B15:E15"/>
    <mergeCell ref="B16:E16"/>
    <mergeCell ref="B18:D18"/>
    <mergeCell ref="E5:E7"/>
    <mergeCell ref="B3:G3"/>
  </mergeCells>
  <phoneticPr fontId="2" type="noConversion"/>
  <printOptions horizontalCentered="1"/>
  <pageMargins left="0.78740157480314965" right="0.78740157480314965" top="0.98425196850393704" bottom="0.98425196850393704" header="0" footer="0"/>
  <pageSetup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13</vt:i4>
      </vt:variant>
    </vt:vector>
  </HeadingPairs>
  <TitlesOfParts>
    <vt:vector size="27" baseType="lpstr">
      <vt:lpstr>Estructura</vt:lpstr>
      <vt:lpstr>Rubros</vt:lpstr>
      <vt:lpstr>Ingresos</vt:lpstr>
      <vt:lpstr>Egresos F.P. </vt:lpstr>
      <vt:lpstr>Egr. FODES 25%</vt:lpstr>
      <vt:lpstr>Egr.FODES 75%</vt:lpstr>
      <vt:lpstr>Deuda Pub 75%</vt:lpstr>
      <vt:lpstr>FISDL</vt:lpstr>
      <vt:lpstr>Dietas</vt:lpstr>
      <vt:lpstr>auxiliares</vt:lpstr>
      <vt:lpstr>Hoja1</vt:lpstr>
      <vt:lpstr>ANALISIS</vt:lpstr>
      <vt:lpstr>analisis deuda</vt:lpstr>
      <vt:lpstr>proyectos</vt:lpstr>
      <vt:lpstr>'Deuda Pub 75%'!Área_de_impresión</vt:lpstr>
      <vt:lpstr>'Egr. FODES 25%'!Área_de_impresión</vt:lpstr>
      <vt:lpstr>'Egr.FODES 75%'!Área_de_impresión</vt:lpstr>
      <vt:lpstr>'Egresos F.P. '!Área_de_impresión</vt:lpstr>
      <vt:lpstr>FISDL!Área_de_impresión</vt:lpstr>
      <vt:lpstr>Ingresos!Área_de_impresión</vt:lpstr>
      <vt:lpstr>proyectos!Área_de_impresión</vt:lpstr>
      <vt:lpstr>Estructura!ESTRUCTURA</vt:lpstr>
      <vt:lpstr>ANALISIS!Títulos_a_imprimir</vt:lpstr>
      <vt:lpstr>'Egr. FODES 25%'!Títulos_a_imprimir</vt:lpstr>
      <vt:lpstr>'Egr.FODES 75%'!Títulos_a_imprimir</vt:lpstr>
      <vt:lpstr>'Egresos F.P. '!Títulos_a_imprimir</vt:lpstr>
      <vt:lpstr>Ingresos!Títulos_a_imprimir</vt:lpstr>
    </vt:vector>
  </TitlesOfParts>
  <Company>SUBDERE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Estructura de Presupuesto Municipal</dc:title>
  <dc:creator>Gastón Collao</dc:creator>
  <cp:lastModifiedBy>dayana chula</cp:lastModifiedBy>
  <cp:lastPrinted>2021-01-25T21:54:32Z</cp:lastPrinted>
  <dcterms:created xsi:type="dcterms:W3CDTF">2007-07-18T15:13:44Z</dcterms:created>
  <dcterms:modified xsi:type="dcterms:W3CDTF">2021-02-03T20:21:19Z</dcterms:modified>
</cp:coreProperties>
</file>