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0490" windowHeight="7155" tabRatio="903" activeTab="13"/>
  </bookViews>
  <sheets>
    <sheet name="Estructura" sheetId="56" r:id="rId1"/>
    <sheet name="Rubros" sheetId="57" r:id="rId2"/>
    <sheet name="Ingresos" sheetId="16" r:id="rId3"/>
    <sheet name="Egresos F.P. " sheetId="12" r:id="rId4"/>
    <sheet name="Egr. FODES 25%" sheetId="20" r:id="rId5"/>
    <sheet name="Egr.FODES 75%" sheetId="58" r:id="rId6"/>
    <sheet name="Deuda Pub 75%" sheetId="15" r:id="rId7"/>
    <sheet name="FISDL" sheetId="62" state="hidden" r:id="rId8"/>
    <sheet name="Ejec. Prestamo" sheetId="59" state="hidden" r:id="rId9"/>
    <sheet name="Dietas" sheetId="27" state="hidden" r:id="rId10"/>
    <sheet name="auxiliares" sheetId="61" state="hidden" r:id="rId11"/>
    <sheet name="Hoja1" sheetId="63" state="hidden" r:id="rId12"/>
    <sheet name="ESPECIFICOPROYECTOS" sheetId="66" state="hidden" r:id="rId13"/>
    <sheet name="ANALISIS" sheetId="64" r:id="rId14"/>
    <sheet name="analisis deuda" sheetId="65" state="hidden" r:id="rId15"/>
    <sheet name="proyectos" sheetId="67" state="hidden" r:id="rId16"/>
    <sheet name="Hoja5" sheetId="71" state="hidden" r:id="rId17"/>
    <sheet name="Hoja4" sheetId="70" state="hidden" r:id="rId18"/>
    <sheet name="Hoja2" sheetId="68" state="hidden" r:id="rId19"/>
    <sheet name="Hoja3" sheetId="69" state="hidden" r:id="rId20"/>
  </sheets>
  <definedNames>
    <definedName name="_xlnm._FilterDatabase" localSheetId="4" hidden="1">'Egr. FODES 25%'!$A$7:$L$10</definedName>
    <definedName name="_xlnm._FilterDatabase" localSheetId="2" hidden="1">Ingresos!$A$1:$H$50</definedName>
    <definedName name="_xlnm.Print_Area" localSheetId="6">'Deuda Pub 75%'!$A$1:$H$18</definedName>
    <definedName name="_xlnm.Print_Area" localSheetId="4">'Egr. FODES 25%'!$A$1:$L$60</definedName>
    <definedName name="_xlnm.Print_Area" localSheetId="5">'Egr.FODES 75%'!$A$1:$I$68</definedName>
    <definedName name="_xlnm.Print_Area" localSheetId="3">'Egresos F.P. '!$A$1:$L$82</definedName>
    <definedName name="_xlnm.Print_Area" localSheetId="8">'Ejec. Prestamo'!$A$1:$H$27</definedName>
    <definedName name="_xlnm.Print_Area" localSheetId="7">FISDL!$A$1:$H$27</definedName>
    <definedName name="_xlnm.Print_Area" localSheetId="2">Ingresos!$A$1:$H$50</definedName>
    <definedName name="_xlnm.Print_Area" localSheetId="15">proyectos!$A$1:$F$79</definedName>
    <definedName name="ESTRUCTURA" localSheetId="0">Estructura!$A$4</definedName>
    <definedName name="_xlnm.Print_Titles" localSheetId="13">ANALISIS!$5:$6</definedName>
    <definedName name="_xlnm.Print_Titles" localSheetId="4">'Egr. FODES 25%'!$1:$10</definedName>
    <definedName name="_xlnm.Print_Titles" localSheetId="5">'Egr.FODES 75%'!$8:$9</definedName>
    <definedName name="_xlnm.Print_Titles" localSheetId="3">'Egresos F.P. '!$1:$9</definedName>
    <definedName name="_xlnm.Print_Titles" localSheetId="2">Ingresos!$1:$8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57" l="1"/>
  <c r="D52" i="16" l="1"/>
  <c r="E7" i="67" l="1"/>
  <c r="H681" i="66" l="1"/>
  <c r="H680" i="66"/>
  <c r="A674" i="66"/>
  <c r="A676" i="66" s="1"/>
  <c r="H661" i="66"/>
  <c r="H664" i="66"/>
  <c r="H662" i="66"/>
  <c r="H660" i="66"/>
  <c r="H658" i="66"/>
  <c r="A652" i="66"/>
  <c r="A654" i="66" s="1"/>
  <c r="H642" i="66"/>
  <c r="A636" i="66"/>
  <c r="A638" i="66" s="1"/>
  <c r="H624" i="66"/>
  <c r="H626" i="66"/>
  <c r="H625" i="66"/>
  <c r="H623" i="66"/>
  <c r="H622" i="66"/>
  <c r="H621" i="66"/>
  <c r="H620" i="66"/>
  <c r="A614" i="66"/>
  <c r="A616" i="66" s="1"/>
  <c r="H605" i="66"/>
  <c r="H604" i="66"/>
  <c r="H603" i="66"/>
  <c r="H601" i="66"/>
  <c r="H602" i="66"/>
  <c r="H600" i="66"/>
  <c r="A594" i="66"/>
  <c r="A596" i="66" s="1"/>
  <c r="H584" i="66"/>
  <c r="H583" i="66"/>
  <c r="H582" i="66"/>
  <c r="H581" i="66"/>
  <c r="A575" i="66"/>
  <c r="A577" i="66" s="1"/>
  <c r="H565" i="66"/>
  <c r="G565" i="66"/>
  <c r="H564" i="66"/>
  <c r="H563" i="66"/>
  <c r="A557" i="66"/>
  <c r="A559" i="66" s="1"/>
  <c r="H546" i="66"/>
  <c r="H547" i="66"/>
  <c r="H545" i="66"/>
  <c r="H544" i="66"/>
  <c r="H543" i="66"/>
  <c r="A537" i="66"/>
  <c r="A539" i="66" s="1"/>
  <c r="H527" i="66"/>
  <c r="H526" i="66"/>
  <c r="H525" i="66"/>
  <c r="H524" i="66"/>
  <c r="H523" i="66"/>
  <c r="A517" i="66"/>
  <c r="A519" i="66" s="1"/>
  <c r="H507" i="66"/>
  <c r="H506" i="66"/>
  <c r="H505" i="66"/>
  <c r="H504" i="66"/>
  <c r="H503" i="66"/>
  <c r="A497" i="66"/>
  <c r="A499" i="66" s="1"/>
  <c r="H487" i="66"/>
  <c r="H486" i="66"/>
  <c r="H485" i="66"/>
  <c r="H484" i="66"/>
  <c r="A478" i="66"/>
  <c r="A480" i="66" s="1"/>
  <c r="H468" i="66"/>
  <c r="H467" i="66"/>
  <c r="H466" i="66"/>
  <c r="H465" i="66"/>
  <c r="A459" i="66"/>
  <c r="A461" i="66" s="1"/>
  <c r="H447" i="66"/>
  <c r="H446" i="66"/>
  <c r="H445" i="66"/>
  <c r="H444" i="66"/>
  <c r="H443" i="66"/>
  <c r="A437" i="66"/>
  <c r="A440" i="66" s="1"/>
  <c r="H423" i="66"/>
  <c r="H425" i="66"/>
  <c r="H424" i="66"/>
  <c r="H422" i="66"/>
  <c r="H421" i="66"/>
  <c r="H360" i="66"/>
  <c r="H359" i="66"/>
  <c r="H665" i="66" l="1"/>
  <c r="H682" i="66"/>
  <c r="H606" i="66"/>
  <c r="H643" i="66"/>
  <c r="H627" i="66"/>
  <c r="H585" i="66"/>
  <c r="H566" i="66"/>
  <c r="H548" i="66"/>
  <c r="H528" i="66"/>
  <c r="H448" i="66"/>
  <c r="E30" i="57"/>
  <c r="F43" i="58" l="1"/>
  <c r="G43" i="58"/>
  <c r="M64" i="67" l="1"/>
  <c r="G64" i="67"/>
  <c r="G65" i="67" s="1"/>
  <c r="AV64" i="67"/>
  <c r="BB28" i="67"/>
  <c r="BB27" i="67"/>
  <c r="G51" i="58"/>
  <c r="AH64" i="67"/>
  <c r="BA64" i="67"/>
  <c r="AZ64" i="67"/>
  <c r="AY64" i="67"/>
  <c r="AX64" i="67"/>
  <c r="AW64" i="67"/>
  <c r="AU64" i="67"/>
  <c r="AT64" i="67"/>
  <c r="AS64" i="67"/>
  <c r="AR64" i="67"/>
  <c r="G38" i="58" s="1"/>
  <c r="AQ64" i="67"/>
  <c r="AP64" i="67"/>
  <c r="AO64" i="67"/>
  <c r="AN64" i="67"/>
  <c r="AM64" i="67"/>
  <c r="AL64" i="67"/>
  <c r="AK64" i="67"/>
  <c r="AJ64" i="67"/>
  <c r="AI64" i="67"/>
  <c r="AG64" i="67"/>
  <c r="AF64" i="67"/>
  <c r="AE64" i="67"/>
  <c r="AD64" i="67"/>
  <c r="F33" i="58" s="1"/>
  <c r="AC64" i="67"/>
  <c r="AB64" i="67"/>
  <c r="F29" i="58" s="1"/>
  <c r="AA64" i="67"/>
  <c r="Z64" i="67"/>
  <c r="Y64" i="67"/>
  <c r="X64" i="67"/>
  <c r="W64" i="67"/>
  <c r="V64" i="67"/>
  <c r="U64" i="67"/>
  <c r="T64" i="67"/>
  <c r="S64" i="67"/>
  <c r="R64" i="67"/>
  <c r="Q64" i="67"/>
  <c r="P64" i="67"/>
  <c r="O64" i="67"/>
  <c r="N64" i="67"/>
  <c r="L64" i="67"/>
  <c r="K64" i="67"/>
  <c r="J64" i="67"/>
  <c r="I64" i="67"/>
  <c r="H64" i="67"/>
  <c r="BB63" i="67"/>
  <c r="BB62" i="67"/>
  <c r="BB61" i="67"/>
  <c r="BB60" i="67"/>
  <c r="BB59" i="67"/>
  <c r="BB58" i="67"/>
  <c r="BB57" i="67"/>
  <c r="BB56" i="67"/>
  <c r="BB55" i="67"/>
  <c r="BB54" i="67"/>
  <c r="BB53" i="67"/>
  <c r="BB52" i="67"/>
  <c r="BB51" i="67"/>
  <c r="BB50" i="67"/>
  <c r="BB49" i="67"/>
  <c r="BB48" i="67"/>
  <c r="BB47" i="67"/>
  <c r="BB46" i="67"/>
  <c r="BB45" i="67"/>
  <c r="BB44" i="67"/>
  <c r="BB43" i="67"/>
  <c r="BB42" i="67"/>
  <c r="BB41" i="67"/>
  <c r="BB40" i="67"/>
  <c r="BB39" i="67"/>
  <c r="BB38" i="67"/>
  <c r="BB37" i="67"/>
  <c r="BB36" i="67"/>
  <c r="BB35" i="67"/>
  <c r="BB34" i="67"/>
  <c r="BB33" i="67"/>
  <c r="BB32" i="67"/>
  <c r="BB31" i="67"/>
  <c r="BB30" i="67"/>
  <c r="BB29" i="67"/>
  <c r="BB26" i="67"/>
  <c r="BB25" i="67"/>
  <c r="BB24" i="67"/>
  <c r="BB23" i="67"/>
  <c r="BB22" i="67"/>
  <c r="BB21" i="67"/>
  <c r="BB20" i="67"/>
  <c r="BB19" i="67"/>
  <c r="BB18" i="67"/>
  <c r="BB17" i="67"/>
  <c r="BB16" i="67"/>
  <c r="BB15" i="67"/>
  <c r="BB14" i="67"/>
  <c r="BB13" i="67"/>
  <c r="BB12" i="67"/>
  <c r="BB11" i="67"/>
  <c r="BB10" i="67"/>
  <c r="BB9" i="67"/>
  <c r="BB8" i="67"/>
  <c r="BC40" i="67"/>
  <c r="BB64" i="67" l="1"/>
  <c r="I57" i="58"/>
  <c r="G25" i="58"/>
  <c r="I25" i="58" s="1"/>
  <c r="G20" i="58"/>
  <c r="G17" i="58"/>
  <c r="G15" i="58"/>
  <c r="E58" i="67"/>
  <c r="F59" i="58" s="1"/>
  <c r="F64" i="58"/>
  <c r="I64" i="58" s="1"/>
  <c r="F54" i="58"/>
  <c r="I54" i="58" s="1"/>
  <c r="F63" i="58"/>
  <c r="I63" i="58" s="1"/>
  <c r="F55" i="58"/>
  <c r="F56" i="58"/>
  <c r="G21" i="12"/>
  <c r="L75" i="12"/>
  <c r="L76" i="12"/>
  <c r="L77" i="12"/>
  <c r="L79" i="12"/>
  <c r="F11" i="12" l="1"/>
  <c r="A415" i="66" l="1"/>
  <c r="A417" i="66" s="1"/>
  <c r="H405" i="66"/>
  <c r="H404" i="66"/>
  <c r="H403" i="66"/>
  <c r="H378" i="66"/>
  <c r="H377" i="66"/>
  <c r="A398" i="66"/>
  <c r="A400" i="66" s="1"/>
  <c r="I29" i="58"/>
  <c r="A371" i="66"/>
  <c r="A374" i="66" s="1"/>
  <c r="H342" i="66"/>
  <c r="H343" i="66" s="1"/>
  <c r="D9" i="67"/>
  <c r="H324" i="66" l="1"/>
  <c r="H307" i="66"/>
  <c r="H306" i="66"/>
  <c r="H305" i="66"/>
  <c r="H304" i="66"/>
  <c r="A298" i="66"/>
  <c r="H287" i="66"/>
  <c r="G287" i="66"/>
  <c r="G306" i="66" s="1"/>
  <c r="H286" i="66"/>
  <c r="H285" i="66"/>
  <c r="H284" i="66"/>
  <c r="A353" i="66"/>
  <c r="A356" i="66" s="1"/>
  <c r="A336" i="66"/>
  <c r="A339" i="66" s="1"/>
  <c r="A318" i="66"/>
  <c r="A278" i="66"/>
  <c r="F57" i="20"/>
  <c r="F47" i="20"/>
  <c r="H288" i="66" l="1"/>
  <c r="A23" i="67"/>
  <c r="A24" i="67" s="1"/>
  <c r="A25" i="67" s="1"/>
  <c r="A26" i="67" s="1"/>
  <c r="A29" i="67" s="1"/>
  <c r="A30" i="67" s="1"/>
  <c r="A31" i="67" s="1"/>
  <c r="A32" i="67" s="1"/>
  <c r="A33" i="67" s="1"/>
  <c r="A34" i="67" s="1"/>
  <c r="A35" i="67" l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281" i="66" l="1"/>
  <c r="H268" i="66"/>
  <c r="H267" i="66"/>
  <c r="H266" i="66"/>
  <c r="H265" i="66"/>
  <c r="H264" i="66"/>
  <c r="A258" i="66" l="1"/>
  <c r="H246" i="66"/>
  <c r="A240" i="66"/>
  <c r="H230" i="66"/>
  <c r="G230" i="66"/>
  <c r="H229" i="66"/>
  <c r="H228" i="66"/>
  <c r="H227" i="66"/>
  <c r="H226" i="66"/>
  <c r="H225" i="66"/>
  <c r="H224" i="66"/>
  <c r="G224" i="66"/>
  <c r="A218" i="66"/>
  <c r="H201" i="66"/>
  <c r="H206" i="66"/>
  <c r="H205" i="66"/>
  <c r="H204" i="66"/>
  <c r="H203" i="66"/>
  <c r="H202" i="66"/>
  <c r="A194" i="66"/>
  <c r="H183" i="66"/>
  <c r="A176" i="66"/>
  <c r="A179" i="66" s="1"/>
  <c r="H165" i="66"/>
  <c r="A159" i="66"/>
  <c r="A162" i="66" s="1"/>
  <c r="H149" i="66"/>
  <c r="H131" i="66"/>
  <c r="H130" i="66"/>
  <c r="H129" i="66"/>
  <c r="H128" i="66"/>
  <c r="H127" i="66"/>
  <c r="H126" i="66"/>
  <c r="H110" i="66"/>
  <c r="H109" i="66"/>
  <c r="H108" i="66"/>
  <c r="H93" i="66"/>
  <c r="H92" i="66"/>
  <c r="H91" i="66"/>
  <c r="H90" i="66"/>
  <c r="H89" i="66"/>
  <c r="H88" i="66"/>
  <c r="H70" i="66"/>
  <c r="I17" i="58"/>
  <c r="H207" i="66" l="1"/>
  <c r="H231" i="66"/>
  <c r="A102" i="66"/>
  <c r="A105" i="66" s="1"/>
  <c r="H111" i="66"/>
  <c r="H87" i="66"/>
  <c r="H94" i="66" s="1"/>
  <c r="A64" i="66"/>
  <c r="A67" i="66" s="1"/>
  <c r="H53" i="66" l="1"/>
  <c r="H52" i="66"/>
  <c r="H16" i="66"/>
  <c r="H15" i="66"/>
  <c r="H55" i="66" l="1"/>
  <c r="F80" i="12" l="1"/>
  <c r="L80" i="12" s="1"/>
  <c r="G11" i="12" l="1"/>
  <c r="E21" i="67" l="1"/>
  <c r="C42" i="16" l="1"/>
  <c r="F43" i="64"/>
  <c r="F42" i="64"/>
  <c r="F41" i="64"/>
  <c r="F40" i="64"/>
  <c r="F39" i="64"/>
  <c r="F38" i="64"/>
  <c r="F36" i="64"/>
  <c r="F35" i="64"/>
  <c r="F34" i="64"/>
  <c r="F28" i="64"/>
  <c r="F25" i="64"/>
  <c r="F24" i="64"/>
  <c r="F18" i="64"/>
  <c r="F10" i="64"/>
  <c r="F9" i="64"/>
  <c r="K11" i="12"/>
  <c r="F18" i="12"/>
  <c r="F17" i="12"/>
  <c r="J17" i="12"/>
  <c r="I17" i="12"/>
  <c r="G17" i="12"/>
  <c r="K18" i="12"/>
  <c r="J18" i="12"/>
  <c r="I18" i="12"/>
  <c r="G18" i="12"/>
  <c r="J11" i="12"/>
  <c r="I11" i="12"/>
  <c r="H11" i="12"/>
  <c r="L11" i="12" l="1"/>
  <c r="K17" i="12"/>
  <c r="D5" i="67"/>
  <c r="L21" i="12" l="1"/>
  <c r="L20" i="12"/>
  <c r="D65" i="67" l="1"/>
  <c r="E65" i="67" l="1"/>
  <c r="A9" i="67"/>
  <c r="A10" i="67" s="1"/>
  <c r="A11" i="67" s="1"/>
  <c r="A12" i="67" s="1"/>
  <c r="D43" i="16"/>
  <c r="D44" i="16"/>
  <c r="J11" i="64" l="1"/>
  <c r="E8" i="64" l="1"/>
  <c r="E44" i="64"/>
  <c r="F44" i="64" s="1"/>
  <c r="F8" i="64" l="1"/>
  <c r="G8" i="64" s="1"/>
  <c r="E37" i="64"/>
  <c r="F37" i="64" s="1"/>
  <c r="E33" i="64"/>
  <c r="F33" i="64" s="1"/>
  <c r="E32" i="64"/>
  <c r="F32" i="64" s="1"/>
  <c r="E31" i="64"/>
  <c r="F31" i="64" s="1"/>
  <c r="E30" i="64"/>
  <c r="F30" i="64" s="1"/>
  <c r="E29" i="64"/>
  <c r="F29" i="64" s="1"/>
  <c r="E27" i="64"/>
  <c r="F27" i="64" s="1"/>
  <c r="E26" i="64" l="1"/>
  <c r="F26" i="64" s="1"/>
  <c r="E23" i="64" l="1"/>
  <c r="F23" i="64" s="1"/>
  <c r="E22" i="64"/>
  <c r="F22" i="64" s="1"/>
  <c r="E21" i="64"/>
  <c r="F21" i="64" s="1"/>
  <c r="E20" i="64"/>
  <c r="F20" i="64" s="1"/>
  <c r="E19" i="64"/>
  <c r="F19" i="64" s="1"/>
  <c r="E17" i="64"/>
  <c r="F17" i="64" s="1"/>
  <c r="E16" i="64"/>
  <c r="F16" i="64" s="1"/>
  <c r="E15" i="64"/>
  <c r="F15" i="64" s="1"/>
  <c r="E14" i="64"/>
  <c r="F14" i="64" s="1"/>
  <c r="E13" i="64"/>
  <c r="F13" i="64" s="1"/>
  <c r="E12" i="64"/>
  <c r="F12" i="64" s="1"/>
  <c r="E11" i="64"/>
  <c r="F11" i="64" l="1"/>
  <c r="G11" i="64" s="1"/>
  <c r="E7" i="64"/>
  <c r="F7" i="64" s="1"/>
  <c r="D8" i="64"/>
  <c r="D45" i="64" s="1"/>
  <c r="G44" i="64" l="1"/>
  <c r="G41" i="64"/>
  <c r="G39" i="64"/>
  <c r="G36" i="64"/>
  <c r="G28" i="64"/>
  <c r="G18" i="64"/>
  <c r="G42" i="64"/>
  <c r="G40" i="64"/>
  <c r="G38" i="64"/>
  <c r="G35" i="64"/>
  <c r="G25" i="64"/>
  <c r="F49" i="16" l="1"/>
  <c r="H49" i="16" s="1"/>
  <c r="C14" i="57" s="1"/>
  <c r="J13" i="64"/>
  <c r="G9" i="64"/>
  <c r="F15" i="16"/>
  <c r="G15" i="64"/>
  <c r="G20" i="64"/>
  <c r="G10" i="64"/>
  <c r="G12" i="64"/>
  <c r="F16" i="16" s="1"/>
  <c r="G14" i="64"/>
  <c r="F18" i="16" s="1"/>
  <c r="G16" i="64"/>
  <c r="G19" i="64"/>
  <c r="G21" i="64"/>
  <c r="G23" i="64"/>
  <c r="G26" i="64"/>
  <c r="G29" i="64"/>
  <c r="G31" i="64"/>
  <c r="G33" i="64"/>
  <c r="G37" i="64"/>
  <c r="G7" i="64"/>
  <c r="G13" i="64"/>
  <c r="G17" i="64"/>
  <c r="G22" i="64"/>
  <c r="G27" i="64"/>
  <c r="G30" i="64"/>
  <c r="G32" i="64"/>
  <c r="G34" i="64"/>
  <c r="E45" i="64"/>
  <c r="J12" i="64" l="1"/>
  <c r="F17" i="16"/>
  <c r="J10" i="64"/>
  <c r="J9" i="64"/>
  <c r="G45" i="64"/>
  <c r="H508" i="66" l="1"/>
  <c r="H488" i="66" l="1"/>
  <c r="H469" i="66" l="1"/>
  <c r="H380" i="66"/>
  <c r="J58" i="58"/>
  <c r="J57" i="58"/>
  <c r="J51" i="58"/>
  <c r="J47" i="58"/>
  <c r="J46" i="58"/>
  <c r="J52" i="58"/>
  <c r="J43" i="58"/>
  <c r="J41" i="58"/>
  <c r="J36" i="58"/>
  <c r="J29" i="58"/>
  <c r="J28" i="58"/>
  <c r="J27" i="58"/>
  <c r="J23" i="58"/>
  <c r="J22" i="58"/>
  <c r="J15" i="58"/>
  <c r="F14" i="58"/>
  <c r="I14" i="58" s="1"/>
  <c r="J13" i="58"/>
  <c r="J12" i="58"/>
  <c r="J11" i="58"/>
  <c r="F63" i="67"/>
  <c r="F62" i="67"/>
  <c r="F61" i="67"/>
  <c r="F60" i="67"/>
  <c r="F59" i="67"/>
  <c r="F58" i="67"/>
  <c r="F57" i="67"/>
  <c r="F56" i="67"/>
  <c r="F11" i="67"/>
  <c r="J24" i="58" l="1"/>
  <c r="F24" i="58"/>
  <c r="I24" i="58" s="1"/>
  <c r="J25" i="58"/>
  <c r="J14" i="58"/>
  <c r="H426" i="66"/>
  <c r="H407" i="66"/>
  <c r="G27" i="58"/>
  <c r="D15" i="71" l="1"/>
  <c r="D17" i="71" s="1"/>
  <c r="D2" i="71"/>
  <c r="D8" i="71" s="1"/>
  <c r="B2" i="71"/>
  <c r="B8" i="71" s="1"/>
  <c r="D13" i="71" l="1"/>
  <c r="B13" i="71"/>
  <c r="F13" i="71" l="1"/>
  <c r="H361" i="66"/>
  <c r="A321" i="66" l="1"/>
  <c r="H326" i="66"/>
  <c r="A301" i="66"/>
  <c r="H308" i="66"/>
  <c r="H269" i="66"/>
  <c r="A261" i="66"/>
  <c r="H247" i="66"/>
  <c r="A243" i="66"/>
  <c r="A221" i="66"/>
  <c r="A197" i="66" l="1"/>
  <c r="H167" i="66"/>
  <c r="H150" i="66"/>
  <c r="A142" i="66"/>
  <c r="A145" i="66" s="1"/>
  <c r="H132" i="66"/>
  <c r="A120" i="66"/>
  <c r="A123" i="66" s="1"/>
  <c r="A81" i="66"/>
  <c r="A84" i="66" s="1"/>
  <c r="H71" i="66"/>
  <c r="A49" i="66"/>
  <c r="A46" i="66" s="1"/>
  <c r="H34" i="66"/>
  <c r="H13" i="66" l="1"/>
  <c r="A31" i="66"/>
  <c r="A28" i="66" s="1"/>
  <c r="A10" i="66"/>
  <c r="H37" i="66" l="1"/>
  <c r="F69" i="67"/>
  <c r="F67" i="67"/>
  <c r="H27" i="59"/>
  <c r="G58" i="58"/>
  <c r="G47" i="58"/>
  <c r="G46" i="58"/>
  <c r="G52" i="58"/>
  <c r="G41" i="58"/>
  <c r="G36" i="58"/>
  <c r="G30" i="58"/>
  <c r="F23" i="58"/>
  <c r="I23" i="58" s="1"/>
  <c r="G11" i="58"/>
  <c r="G10" i="58"/>
  <c r="G66" i="67" l="1"/>
  <c r="G69" i="67" s="1"/>
  <c r="F64" i="67"/>
  <c r="G12" i="58"/>
  <c r="I65" i="67"/>
  <c r="G13" i="58"/>
  <c r="J65" i="67"/>
  <c r="BC14" i="67"/>
  <c r="L69" i="12"/>
  <c r="C65" i="67" l="1"/>
  <c r="I62" i="58" l="1"/>
  <c r="I61" i="58"/>
  <c r="I60" i="58"/>
  <c r="I59" i="58"/>
  <c r="I58" i="58"/>
  <c r="I56" i="58"/>
  <c r="I53" i="58"/>
  <c r="I50" i="58"/>
  <c r="I45" i="58"/>
  <c r="I44" i="58"/>
  <c r="I42" i="58"/>
  <c r="I40" i="58"/>
  <c r="I39" i="58"/>
  <c r="I38" i="58"/>
  <c r="I37" i="58"/>
  <c r="I35" i="58"/>
  <c r="I33" i="58"/>
  <c r="I32" i="58"/>
  <c r="I31" i="58"/>
  <c r="I26" i="58"/>
  <c r="I21" i="58"/>
  <c r="I20" i="58"/>
  <c r="I19" i="58"/>
  <c r="I18" i="58"/>
  <c r="I16" i="58"/>
  <c r="I13" i="58"/>
  <c r="I12" i="58"/>
  <c r="I11" i="58"/>
  <c r="I10" i="58"/>
  <c r="I43" i="58"/>
  <c r="F34" i="58"/>
  <c r="I34" i="58" s="1"/>
  <c r="F48" i="58"/>
  <c r="I48" i="58" s="1"/>
  <c r="F49" i="58"/>
  <c r="I49" i="58" s="1"/>
  <c r="I55" i="58"/>
  <c r="F28" i="58"/>
  <c r="I28" i="58" s="1"/>
  <c r="I46" i="58"/>
  <c r="I52" i="58"/>
  <c r="I36" i="58"/>
  <c r="I30" i="58"/>
  <c r="I27" i="58"/>
  <c r="I15" i="58"/>
  <c r="F22" i="58"/>
  <c r="I22" i="58" s="1"/>
  <c r="I41" i="58"/>
  <c r="I47" i="58"/>
  <c r="L15" i="58" l="1"/>
  <c r="L10" i="58"/>
  <c r="K65" i="67"/>
  <c r="O65" i="67"/>
  <c r="U65" i="67"/>
  <c r="AC65" i="67"/>
  <c r="AO65" i="67"/>
  <c r="AS65" i="67"/>
  <c r="AP65" i="67"/>
  <c r="I51" i="58"/>
  <c r="J10" i="58"/>
  <c r="Q65" i="67"/>
  <c r="AI65" i="67"/>
  <c r="AQ65" i="67"/>
  <c r="P65" i="67"/>
  <c r="BA65" i="67"/>
  <c r="H65" i="67"/>
  <c r="R65" i="67"/>
  <c r="AB65" i="67"/>
  <c r="AJ65" i="67"/>
  <c r="AR65" i="67"/>
  <c r="L65" i="67"/>
  <c r="V65" i="67"/>
  <c r="AD65" i="67"/>
  <c r="AL65" i="67"/>
  <c r="AU65" i="67"/>
  <c r="AK65" i="67"/>
  <c r="W65" i="67"/>
  <c r="AW65" i="67"/>
  <c r="AY65" i="67"/>
  <c r="N65" i="67"/>
  <c r="AF65" i="67"/>
  <c r="AN65" i="67"/>
  <c r="AX65" i="67"/>
  <c r="L13" i="58"/>
  <c r="AG65" i="67"/>
  <c r="AM65" i="67"/>
  <c r="Y65" i="67"/>
  <c r="AA65" i="67"/>
  <c r="AH65" i="67"/>
  <c r="Z65" i="67"/>
  <c r="AE65" i="67"/>
  <c r="X65" i="67"/>
  <c r="S65" i="67"/>
  <c r="M65" i="67"/>
  <c r="BC15" i="67"/>
  <c r="BC64" i="67" l="1"/>
  <c r="T65" i="67"/>
  <c r="AV65" i="67"/>
  <c r="L12" i="58"/>
  <c r="BC12" i="67"/>
  <c r="BC10" i="67"/>
  <c r="A11" i="12" l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71" i="12" s="1"/>
  <c r="A72" i="12" s="1"/>
  <c r="A73" i="12" s="1"/>
  <c r="A74" i="12" s="1"/>
  <c r="A75" i="12" s="1"/>
  <c r="A76" i="12" s="1"/>
  <c r="A79" i="12" s="1"/>
  <c r="A80" i="12" s="1"/>
  <c r="P258" i="65"/>
  <c r="C37" i="64" l="1"/>
  <c r="C45" i="64" s="1"/>
  <c r="L59" i="12" l="1"/>
  <c r="L81" i="12"/>
  <c r="L78" i="12"/>
  <c r="O7" i="12" s="1"/>
  <c r="L74" i="12"/>
  <c r="L73" i="12"/>
  <c r="L72" i="12"/>
  <c r="L71" i="12"/>
  <c r="L70" i="12"/>
  <c r="L68" i="12"/>
  <c r="L67" i="12"/>
  <c r="L65" i="12"/>
  <c r="L64" i="12"/>
  <c r="L63" i="12"/>
  <c r="L62" i="12"/>
  <c r="L61" i="12"/>
  <c r="L60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19" i="12"/>
  <c r="L16" i="12"/>
  <c r="L15" i="12"/>
  <c r="L14" i="12"/>
  <c r="L13" i="12"/>
  <c r="L12" i="12"/>
  <c r="O6" i="12" l="1"/>
  <c r="O5" i="12"/>
  <c r="N67" i="12"/>
  <c r="N73" i="12"/>
  <c r="N78" i="12"/>
  <c r="G92" i="12" l="1"/>
  <c r="L66" i="12" l="1"/>
  <c r="O4" i="12" s="1"/>
  <c r="H10" i="15" l="1"/>
  <c r="F62" i="16" l="1"/>
  <c r="L62" i="58" l="1"/>
  <c r="F76" i="58"/>
  <c r="K14" i="15"/>
  <c r="Q57" i="20"/>
  <c r="I67" i="58" l="1"/>
  <c r="I68" i="58" s="1"/>
  <c r="L229" i="65"/>
  <c r="L14" i="58" l="1"/>
  <c r="L31" i="58"/>
  <c r="O53" i="16"/>
  <c r="K82" i="12"/>
  <c r="H82" i="12" l="1"/>
  <c r="I82" i="12"/>
  <c r="J82" i="12"/>
  <c r="G82" i="12"/>
  <c r="L52" i="58" l="1"/>
  <c r="L58" i="20"/>
  <c r="L57" i="20"/>
  <c r="O15" i="20" s="1"/>
  <c r="L56" i="20"/>
  <c r="L55" i="20"/>
  <c r="L54" i="20"/>
  <c r="O14" i="20" s="1"/>
  <c r="C22" i="57" s="1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K60" i="20"/>
  <c r="Q21" i="20"/>
  <c r="P4" i="20"/>
  <c r="P5" i="20" s="1"/>
  <c r="O12" i="20" l="1"/>
  <c r="C20" i="57" s="1"/>
  <c r="O13" i="20"/>
  <c r="O11" i="20"/>
  <c r="P35" i="20"/>
  <c r="R11" i="20"/>
  <c r="R14" i="20"/>
  <c r="J41" i="16" l="1"/>
  <c r="O29" i="20"/>
  <c r="O23" i="20"/>
  <c r="F252" i="65" l="1"/>
  <c r="B252" i="65"/>
  <c r="L237" i="65"/>
  <c r="C230" i="65" l="1"/>
  <c r="H238" i="65" s="1"/>
  <c r="C239" i="65" s="1"/>
  <c r="D239" i="65" s="1"/>
  <c r="H60" i="20"/>
  <c r="O78" i="12"/>
  <c r="H48" i="16"/>
  <c r="C12" i="57" s="1"/>
  <c r="K21" i="59"/>
  <c r="L75" i="58"/>
  <c r="J67" i="58"/>
  <c r="J66" i="58"/>
  <c r="J65" i="58"/>
  <c r="J63" i="58"/>
  <c r="J62" i="58"/>
  <c r="J61" i="58"/>
  <c r="J60" i="58"/>
  <c r="J59" i="58"/>
  <c r="J56" i="58"/>
  <c r="J54" i="58"/>
  <c r="J53" i="58"/>
  <c r="O67" i="12" l="1"/>
  <c r="O75" i="12"/>
  <c r="H239" i="65"/>
  <c r="C240" i="65" s="1"/>
  <c r="E239" i="65"/>
  <c r="A7" i="66"/>
  <c r="R101" i="12"/>
  <c r="R100" i="12"/>
  <c r="R93" i="12"/>
  <c r="R92" i="12"/>
  <c r="E109" i="68"/>
  <c r="E106" i="68"/>
  <c r="E105" i="68"/>
  <c r="E104" i="68"/>
  <c r="E103" i="68"/>
  <c r="E102" i="68"/>
  <c r="E101" i="68"/>
  <c r="E100" i="68"/>
  <c r="E99" i="68"/>
  <c r="E98" i="68"/>
  <c r="E97" i="68"/>
  <c r="E96" i="68"/>
  <c r="E95" i="68"/>
  <c r="E94" i="68"/>
  <c r="E93" i="68"/>
  <c r="E92" i="68"/>
  <c r="E91" i="68"/>
  <c r="E90" i="68"/>
  <c r="E89" i="68"/>
  <c r="E88" i="68"/>
  <c r="E87" i="68"/>
  <c r="E86" i="68"/>
  <c r="E85" i="68"/>
  <c r="C53" i="68"/>
  <c r="C107" i="68"/>
  <c r="E107" i="68" s="1"/>
  <c r="L10" i="12"/>
  <c r="L172" i="65"/>
  <c r="L118" i="65"/>
  <c r="L63" i="65"/>
  <c r="L6" i="65"/>
  <c r="B18" i="16"/>
  <c r="B36" i="16"/>
  <c r="M46" i="16"/>
  <c r="B28" i="16"/>
  <c r="B17" i="16"/>
  <c r="F36" i="16"/>
  <c r="H36" i="16" s="1"/>
  <c r="L17" i="12" l="1"/>
  <c r="L18" i="12"/>
  <c r="C6" i="63"/>
  <c r="G239" i="65"/>
  <c r="R94" i="12"/>
  <c r="T94" i="12" s="1"/>
  <c r="BC55" i="67"/>
  <c r="BC9" i="67"/>
  <c r="O3" i="12" l="1"/>
  <c r="O8" i="12"/>
  <c r="C19" i="57"/>
  <c r="O10" i="12"/>
  <c r="L82" i="12"/>
  <c r="N18" i="12"/>
  <c r="O85" i="12"/>
  <c r="S94" i="12"/>
  <c r="U94" i="12" s="1"/>
  <c r="D240" i="65"/>
  <c r="BC8" i="67"/>
  <c r="J26" i="58"/>
  <c r="E58" i="58"/>
  <c r="E64" i="58"/>
  <c r="E63" i="58"/>
  <c r="E62" i="58"/>
  <c r="E61" i="58"/>
  <c r="E60" i="58"/>
  <c r="E59" i="58"/>
  <c r="E57" i="58"/>
  <c r="E56" i="58"/>
  <c r="E54" i="58"/>
  <c r="AK1" i="67" s="1"/>
  <c r="F195" i="65"/>
  <c r="B195" i="65"/>
  <c r="L180" i="65"/>
  <c r="C173" i="65" s="1"/>
  <c r="H181" i="65" s="1"/>
  <c r="F141" i="65"/>
  <c r="B141" i="65"/>
  <c r="L126" i="65"/>
  <c r="C119" i="65" s="1"/>
  <c r="H127" i="65" s="1"/>
  <c r="C128" i="65" s="1"/>
  <c r="F86" i="65"/>
  <c r="B86" i="65"/>
  <c r="L71" i="65"/>
  <c r="C64" i="65" s="1"/>
  <c r="H72" i="65" s="1"/>
  <c r="C73" i="65" s="1"/>
  <c r="H185" i="66"/>
  <c r="H14" i="66"/>
  <c r="J50" i="58"/>
  <c r="J45" i="58"/>
  <c r="J44" i="58"/>
  <c r="J42" i="58"/>
  <c r="J40" i="58"/>
  <c r="J39" i="58"/>
  <c r="J38" i="58"/>
  <c r="J37" i="58"/>
  <c r="J35" i="58"/>
  <c r="J34" i="58"/>
  <c r="J33" i="58"/>
  <c r="J32" i="58"/>
  <c r="J31" i="58"/>
  <c r="J30" i="58"/>
  <c r="J21" i="58"/>
  <c r="J20" i="58"/>
  <c r="J19" i="58"/>
  <c r="J18" i="58"/>
  <c r="J17" i="58"/>
  <c r="J16" i="58"/>
  <c r="H17" i="66" l="1"/>
  <c r="C182" i="65"/>
  <c r="H240" i="65"/>
  <c r="C241" i="65" s="1"/>
  <c r="E240" i="65"/>
  <c r="I36" i="66"/>
  <c r="I54" i="66"/>
  <c r="D73" i="65"/>
  <c r="E73" i="65" s="1"/>
  <c r="H19" i="66"/>
  <c r="S1" i="67"/>
  <c r="AJ1" i="67"/>
  <c r="AI1" i="67"/>
  <c r="U1" i="67"/>
  <c r="G226" i="66" s="1"/>
  <c r="AH1" i="67"/>
  <c r="G286" i="66" s="1"/>
  <c r="G307" i="66" s="1"/>
  <c r="AG1" i="67"/>
  <c r="AF1" i="67"/>
  <c r="AD1" i="67"/>
  <c r="AC1" i="67"/>
  <c r="AB1" i="67"/>
  <c r="X1" i="67"/>
  <c r="T1" i="67"/>
  <c r="G360" i="66" s="1"/>
  <c r="P1" i="67"/>
  <c r="G246" i="66" s="1"/>
  <c r="N1" i="67"/>
  <c r="G201" i="66" s="1"/>
  <c r="M1" i="67"/>
  <c r="G359" i="66" s="1"/>
  <c r="L1" i="67"/>
  <c r="K1" i="67"/>
  <c r="G1" i="67"/>
  <c r="H68" i="58"/>
  <c r="G68" i="58"/>
  <c r="L14" i="65"/>
  <c r="C7" i="65" s="1"/>
  <c r="H15" i="65" s="1"/>
  <c r="C16" i="65" s="1"/>
  <c r="F29" i="65"/>
  <c r="B29" i="65"/>
  <c r="G467" i="66" l="1"/>
  <c r="G662" i="66"/>
  <c r="G626" i="66"/>
  <c r="G446" i="66"/>
  <c r="G424" i="66"/>
  <c r="G227" i="66"/>
  <c r="G605" i="66"/>
  <c r="G225" i="66"/>
  <c r="G524" i="66"/>
  <c r="G284" i="66"/>
  <c r="G304" i="66" s="1"/>
  <c r="G285" i="66"/>
  <c r="G305" i="66" s="1"/>
  <c r="G88" i="66"/>
  <c r="G324" i="66"/>
  <c r="G202" i="66"/>
  <c r="G108" i="66"/>
  <c r="G89" i="66"/>
  <c r="G203" i="66"/>
  <c r="G91" i="66"/>
  <c r="G268" i="66"/>
  <c r="G205" i="66"/>
  <c r="G110" i="66"/>
  <c r="G93" i="66"/>
  <c r="G206" i="66"/>
  <c r="G165" i="66"/>
  <c r="G228" i="66"/>
  <c r="G90" i="66"/>
  <c r="G204" i="66"/>
  <c r="G229" i="66"/>
  <c r="G109" i="66"/>
  <c r="G92" i="66"/>
  <c r="H254" i="65"/>
  <c r="G240" i="65"/>
  <c r="D182" i="65"/>
  <c r="D128" i="65"/>
  <c r="G73" i="65"/>
  <c r="H73" i="65"/>
  <c r="C74" i="65" s="1"/>
  <c r="D16" i="65"/>
  <c r="D241" i="65" l="1"/>
  <c r="H182" i="65"/>
  <c r="C183" i="65" s="1"/>
  <c r="E182" i="65"/>
  <c r="H128" i="65"/>
  <c r="C129" i="65" s="1"/>
  <c r="E128" i="65"/>
  <c r="H16" i="65"/>
  <c r="C17" i="65" s="1"/>
  <c r="E16" i="65"/>
  <c r="H241" i="65" l="1"/>
  <c r="C242" i="65" s="1"/>
  <c r="E241" i="65"/>
  <c r="G182" i="65"/>
  <c r="G128" i="65"/>
  <c r="D74" i="65"/>
  <c r="G16" i="65"/>
  <c r="G241" i="65" l="1"/>
  <c r="D183" i="65"/>
  <c r="D129" i="65"/>
  <c r="H74" i="65"/>
  <c r="C75" i="65" s="1"/>
  <c r="E74" i="65"/>
  <c r="D17" i="65"/>
  <c r="E17" i="65" s="1"/>
  <c r="D242" i="65" l="1"/>
  <c r="E242" i="65" s="1"/>
  <c r="H183" i="65"/>
  <c r="C184" i="65" s="1"/>
  <c r="E183" i="65"/>
  <c r="H129" i="65"/>
  <c r="C130" i="65" s="1"/>
  <c r="E129" i="65"/>
  <c r="G74" i="65"/>
  <c r="G17" i="65"/>
  <c r="H17" i="65"/>
  <c r="C18" i="65" s="1"/>
  <c r="G242" i="65" l="1"/>
  <c r="H242" i="65"/>
  <c r="C243" i="65" s="1"/>
  <c r="G183" i="65"/>
  <c r="G129" i="65"/>
  <c r="D75" i="65"/>
  <c r="D18" i="65"/>
  <c r="D184" i="65" l="1"/>
  <c r="D130" i="65"/>
  <c r="H75" i="65"/>
  <c r="C76" i="65" s="1"/>
  <c r="E75" i="65"/>
  <c r="H18" i="65"/>
  <c r="C19" i="65" s="1"/>
  <c r="E18" i="65"/>
  <c r="D243" i="65" l="1"/>
  <c r="E243" i="65" s="1"/>
  <c r="H184" i="65"/>
  <c r="C185" i="65" s="1"/>
  <c r="E184" i="65"/>
  <c r="H130" i="65"/>
  <c r="C131" i="65" s="1"/>
  <c r="E130" i="65"/>
  <c r="G75" i="65"/>
  <c r="G18" i="65"/>
  <c r="G243" i="65" l="1"/>
  <c r="H243" i="65"/>
  <c r="C244" i="65" s="1"/>
  <c r="G184" i="65"/>
  <c r="G130" i="65"/>
  <c r="D76" i="65"/>
  <c r="E76" i="65" s="1"/>
  <c r="D19" i="65"/>
  <c r="D185" i="65" l="1"/>
  <c r="E185" i="65" s="1"/>
  <c r="D131" i="65"/>
  <c r="E131" i="65" s="1"/>
  <c r="G76" i="65"/>
  <c r="H76" i="65"/>
  <c r="C77" i="65" s="1"/>
  <c r="H19" i="65"/>
  <c r="C20" i="65" s="1"/>
  <c r="E19" i="65"/>
  <c r="D244" i="65" l="1"/>
  <c r="H244" i="65" s="1"/>
  <c r="C245" i="65" s="1"/>
  <c r="G185" i="65"/>
  <c r="H185" i="65"/>
  <c r="C186" i="65" s="1"/>
  <c r="G131" i="65"/>
  <c r="H131" i="65"/>
  <c r="C132" i="65" s="1"/>
  <c r="G19" i="65"/>
  <c r="E244" i="65" l="1"/>
  <c r="G244" i="65" s="1"/>
  <c r="D77" i="65"/>
  <c r="E77" i="65" s="1"/>
  <c r="D20" i="65"/>
  <c r="D245" i="65" l="1"/>
  <c r="H245" i="65" s="1"/>
  <c r="C246" i="65" s="1"/>
  <c r="D186" i="65"/>
  <c r="E186" i="65" s="1"/>
  <c r="D132" i="65"/>
  <c r="E132" i="65" s="1"/>
  <c r="G77" i="65"/>
  <c r="H77" i="65"/>
  <c r="C78" i="65" s="1"/>
  <c r="H20" i="65"/>
  <c r="C21" i="65" s="1"/>
  <c r="E20" i="65"/>
  <c r="E245" i="65" l="1"/>
  <c r="G245" i="65" s="1"/>
  <c r="G186" i="65"/>
  <c r="H186" i="65"/>
  <c r="C187" i="65" s="1"/>
  <c r="G132" i="65"/>
  <c r="H132" i="65"/>
  <c r="C133" i="65" s="1"/>
  <c r="G20" i="65"/>
  <c r="D246" i="65" l="1"/>
  <c r="H246" i="65" s="1"/>
  <c r="C247" i="65" s="1"/>
  <c r="D78" i="65"/>
  <c r="H78" i="65" s="1"/>
  <c r="C79" i="65" s="1"/>
  <c r="D21" i="65"/>
  <c r="H21" i="65" s="1"/>
  <c r="C22" i="65" s="1"/>
  <c r="E246" i="65" l="1"/>
  <c r="G246" i="65" s="1"/>
  <c r="D187" i="65"/>
  <c r="H187" i="65" s="1"/>
  <c r="C188" i="65" s="1"/>
  <c r="D133" i="65"/>
  <c r="H133" i="65" s="1"/>
  <c r="C134" i="65" s="1"/>
  <c r="E78" i="65"/>
  <c r="G78" i="65" s="1"/>
  <c r="E21" i="65"/>
  <c r="G21" i="65" s="1"/>
  <c r="D247" i="65" l="1"/>
  <c r="H247" i="65" s="1"/>
  <c r="C248" i="65" s="1"/>
  <c r="E187" i="65"/>
  <c r="G187" i="65" s="1"/>
  <c r="E133" i="65"/>
  <c r="G133" i="65" s="1"/>
  <c r="D79" i="65"/>
  <c r="H79" i="65" s="1"/>
  <c r="C80" i="65" s="1"/>
  <c r="D22" i="65"/>
  <c r="H22" i="65" s="1"/>
  <c r="C23" i="65" s="1"/>
  <c r="E247" i="65" l="1"/>
  <c r="G247" i="65" s="1"/>
  <c r="D188" i="65"/>
  <c r="H188" i="65" s="1"/>
  <c r="C189" i="65" s="1"/>
  <c r="D134" i="65"/>
  <c r="H134" i="65" s="1"/>
  <c r="C135" i="65" s="1"/>
  <c r="E79" i="65"/>
  <c r="G79" i="65" s="1"/>
  <c r="E22" i="65"/>
  <c r="G22" i="65" s="1"/>
  <c r="D248" i="65" l="1"/>
  <c r="H248" i="65" s="1"/>
  <c r="C249" i="65" s="1"/>
  <c r="E188" i="65"/>
  <c r="G188" i="65" s="1"/>
  <c r="E134" i="65"/>
  <c r="G134" i="65" s="1"/>
  <c r="D80" i="65"/>
  <c r="H80" i="65" s="1"/>
  <c r="C81" i="65" s="1"/>
  <c r="D23" i="65"/>
  <c r="H23" i="65" s="1"/>
  <c r="C24" i="65" s="1"/>
  <c r="E248" i="65" l="1"/>
  <c r="G248" i="65" s="1"/>
  <c r="D189" i="65"/>
  <c r="H189" i="65" s="1"/>
  <c r="C190" i="65" s="1"/>
  <c r="D135" i="65"/>
  <c r="H135" i="65" s="1"/>
  <c r="C136" i="65" s="1"/>
  <c r="E80" i="65"/>
  <c r="G80" i="65" s="1"/>
  <c r="E23" i="65"/>
  <c r="G23" i="65" s="1"/>
  <c r="D249" i="65" l="1"/>
  <c r="H249" i="65" s="1"/>
  <c r="C250" i="65" s="1"/>
  <c r="E189" i="65"/>
  <c r="G189" i="65" s="1"/>
  <c r="E135" i="65"/>
  <c r="G135" i="65" s="1"/>
  <c r="D81" i="65"/>
  <c r="H81" i="65" s="1"/>
  <c r="C82" i="65" s="1"/>
  <c r="D24" i="65"/>
  <c r="H24" i="65" s="1"/>
  <c r="C25" i="65" s="1"/>
  <c r="E249" i="65" l="1"/>
  <c r="G249" i="65" s="1"/>
  <c r="D190" i="65"/>
  <c r="H190" i="65" s="1"/>
  <c r="C191" i="65" s="1"/>
  <c r="D136" i="65"/>
  <c r="H136" i="65" s="1"/>
  <c r="C137" i="65" s="1"/>
  <c r="E81" i="65"/>
  <c r="G81" i="65" s="1"/>
  <c r="E24" i="65"/>
  <c r="G24" i="65" s="1"/>
  <c r="D250" i="65" l="1"/>
  <c r="E250" i="65" s="1"/>
  <c r="C252" i="65"/>
  <c r="H11" i="15" s="1"/>
  <c r="E190" i="65"/>
  <c r="G190" i="65" s="1"/>
  <c r="E136" i="65"/>
  <c r="G136" i="65" s="1"/>
  <c r="D82" i="65"/>
  <c r="H82" i="65" s="1"/>
  <c r="C83" i="65" s="1"/>
  <c r="D25" i="65"/>
  <c r="H25" i="65" s="1"/>
  <c r="C26" i="65" s="1"/>
  <c r="D252" i="65" l="1"/>
  <c r="H13" i="15" s="1"/>
  <c r="H250" i="65"/>
  <c r="G250" i="65"/>
  <c r="G252" i="65" s="1"/>
  <c r="E252" i="65"/>
  <c r="D191" i="65"/>
  <c r="H191" i="65" s="1"/>
  <c r="C192" i="65" s="1"/>
  <c r="D137" i="65"/>
  <c r="H137" i="65" s="1"/>
  <c r="C138" i="65" s="1"/>
  <c r="E82" i="65"/>
  <c r="G82" i="65" s="1"/>
  <c r="E25" i="65"/>
  <c r="G25" i="65" s="1"/>
  <c r="E191" i="65" l="1"/>
  <c r="G191" i="65" s="1"/>
  <c r="E137" i="65"/>
  <c r="G137" i="65" s="1"/>
  <c r="D83" i="65"/>
  <c r="H83" i="65" s="1"/>
  <c r="C84" i="65" s="1"/>
  <c r="D26" i="65"/>
  <c r="H26" i="65" s="1"/>
  <c r="C27" i="65" s="1"/>
  <c r="D192" i="65" l="1"/>
  <c r="H192" i="65" s="1"/>
  <c r="C193" i="65" s="1"/>
  <c r="D138" i="65"/>
  <c r="H138" i="65" s="1"/>
  <c r="C139" i="65" s="1"/>
  <c r="E83" i="65"/>
  <c r="G83" i="65" s="1"/>
  <c r="E26" i="65"/>
  <c r="G26" i="65" s="1"/>
  <c r="E192" i="65" l="1"/>
  <c r="G192" i="65" s="1"/>
  <c r="E138" i="65"/>
  <c r="G138" i="65" s="1"/>
  <c r="D84" i="65"/>
  <c r="E84" i="65" s="1"/>
  <c r="C86" i="65"/>
  <c r="D27" i="65"/>
  <c r="E27" i="65" s="1"/>
  <c r="E29" i="65" s="1"/>
  <c r="C29" i="65"/>
  <c r="J60" i="20"/>
  <c r="I60" i="20"/>
  <c r="G60" i="20"/>
  <c r="F60" i="20"/>
  <c r="F82" i="12"/>
  <c r="F37" i="16"/>
  <c r="F29" i="16"/>
  <c r="F19" i="16"/>
  <c r="F41" i="16"/>
  <c r="F40" i="16"/>
  <c r="F39" i="16"/>
  <c r="H39" i="16" s="1"/>
  <c r="F38" i="16"/>
  <c r="F35" i="16"/>
  <c r="F34" i="16"/>
  <c r="F33" i="16"/>
  <c r="F32" i="16"/>
  <c r="F31" i="16"/>
  <c r="F30" i="16"/>
  <c r="F28" i="16"/>
  <c r="F27" i="16"/>
  <c r="F26" i="16"/>
  <c r="F25" i="16"/>
  <c r="F24" i="16"/>
  <c r="F23" i="16"/>
  <c r="F22" i="16"/>
  <c r="F21" i="16"/>
  <c r="F20" i="16"/>
  <c r="F12" i="16"/>
  <c r="F11" i="16"/>
  <c r="H11" i="16" s="1"/>
  <c r="F10" i="16"/>
  <c r="H7" i="63"/>
  <c r="H5" i="63"/>
  <c r="H4" i="63"/>
  <c r="H3" i="63"/>
  <c r="G7" i="63"/>
  <c r="G5" i="63"/>
  <c r="G4" i="63"/>
  <c r="E6" i="63"/>
  <c r="E5" i="63"/>
  <c r="E4" i="63"/>
  <c r="E3" i="63"/>
  <c r="M33" i="61"/>
  <c r="N33" i="61"/>
  <c r="O33" i="61"/>
  <c r="P33" i="61"/>
  <c r="Q33" i="61"/>
  <c r="L33" i="61"/>
  <c r="C16" i="61"/>
  <c r="F9" i="16" l="1"/>
  <c r="M48" i="16"/>
  <c r="D5" i="63"/>
  <c r="C3" i="63"/>
  <c r="D193" i="65"/>
  <c r="C195" i="65"/>
  <c r="D139" i="65"/>
  <c r="C141" i="65"/>
  <c r="D86" i="65"/>
  <c r="H84" i="65"/>
  <c r="G84" i="65"/>
  <c r="G86" i="65" s="1"/>
  <c r="E86" i="65"/>
  <c r="G27" i="65"/>
  <c r="G29" i="65" s="1"/>
  <c r="D29" i="65"/>
  <c r="H27" i="65"/>
  <c r="L60" i="20"/>
  <c r="C4" i="63"/>
  <c r="F45" i="64"/>
  <c r="H10" i="63"/>
  <c r="H17" i="16"/>
  <c r="H19" i="16"/>
  <c r="H20" i="16"/>
  <c r="H18" i="16"/>
  <c r="H45" i="16"/>
  <c r="H46" i="16"/>
  <c r="I7" i="63"/>
  <c r="I10" i="63" s="1"/>
  <c r="J7" i="63"/>
  <c r="J10" i="63" s="1"/>
  <c r="G3" i="63"/>
  <c r="D6" i="63"/>
  <c r="K6" i="63" s="1"/>
  <c r="D4" i="63"/>
  <c r="D3" i="63"/>
  <c r="C7" i="63"/>
  <c r="C5" i="63"/>
  <c r="H27" i="62"/>
  <c r="H47" i="16"/>
  <c r="C13" i="57" s="1"/>
  <c r="F15" i="27"/>
  <c r="D16" i="61"/>
  <c r="I16" i="61" s="1"/>
  <c r="C17" i="61" s="1"/>
  <c r="G29" i="61"/>
  <c r="F29" i="61"/>
  <c r="B29" i="61"/>
  <c r="D50" i="16"/>
  <c r="H44" i="16"/>
  <c r="H33" i="16"/>
  <c r="H32" i="16"/>
  <c r="H29" i="16"/>
  <c r="H25" i="16"/>
  <c r="H23" i="16"/>
  <c r="H14" i="16"/>
  <c r="H15" i="16"/>
  <c r="H16" i="16"/>
  <c r="H10" i="16"/>
  <c r="H30" i="16"/>
  <c r="G8" i="27"/>
  <c r="C50" i="16"/>
  <c r="L64" i="20" s="1"/>
  <c r="H42" i="16"/>
  <c r="J15" i="16" s="1"/>
  <c r="C10" i="57" s="1"/>
  <c r="H43" i="16"/>
  <c r="H12" i="16"/>
  <c r="H13" i="16"/>
  <c r="H21" i="16"/>
  <c r="H22" i="16"/>
  <c r="H24" i="16"/>
  <c r="H26" i="16"/>
  <c r="H27" i="16"/>
  <c r="H28" i="16"/>
  <c r="H31" i="16"/>
  <c r="H34" i="16"/>
  <c r="H35" i="16"/>
  <c r="H37" i="16"/>
  <c r="H38" i="16"/>
  <c r="H40" i="16"/>
  <c r="H41" i="16"/>
  <c r="L85" i="12"/>
  <c r="N88" i="12" s="1"/>
  <c r="G13" i="27"/>
  <c r="G9" i="27"/>
  <c r="G10" i="27"/>
  <c r="G11" i="27"/>
  <c r="G12" i="27"/>
  <c r="G14" i="27"/>
  <c r="J16" i="16" l="1"/>
  <c r="F50" i="16"/>
  <c r="L87" i="12" s="1"/>
  <c r="L89" i="12" s="1"/>
  <c r="F61" i="16"/>
  <c r="F63" i="16" s="1"/>
  <c r="C197" i="65"/>
  <c r="J17" i="16"/>
  <c r="H9" i="16"/>
  <c r="J10" i="16" s="1"/>
  <c r="C6" i="57" s="1"/>
  <c r="E16" i="61"/>
  <c r="H16" i="61" s="1"/>
  <c r="G50" i="16"/>
  <c r="I70" i="58" s="1"/>
  <c r="J12" i="16"/>
  <c r="C7" i="57" s="1"/>
  <c r="J14" i="16"/>
  <c r="C9" i="57" s="1"/>
  <c r="J13" i="16"/>
  <c r="C8" i="57" s="1"/>
  <c r="D195" i="65"/>
  <c r="H193" i="65"/>
  <c r="E193" i="65"/>
  <c r="D141" i="65"/>
  <c r="H139" i="65"/>
  <c r="E139" i="65"/>
  <c r="L67" i="20"/>
  <c r="O16" i="20"/>
  <c r="H12" i="63"/>
  <c r="G16" i="27"/>
  <c r="E50" i="16"/>
  <c r="C10" i="63"/>
  <c r="G10" i="63"/>
  <c r="G15" i="27"/>
  <c r="D10" i="63"/>
  <c r="K3" i="63"/>
  <c r="K4" i="63"/>
  <c r="C15" i="57" l="1"/>
  <c r="H52" i="16"/>
  <c r="C255" i="65"/>
  <c r="H12" i="15"/>
  <c r="D197" i="65"/>
  <c r="H50" i="16"/>
  <c r="H29" i="59"/>
  <c r="H30" i="59" s="1"/>
  <c r="J18" i="16"/>
  <c r="G193" i="65"/>
  <c r="G195" i="65" s="1"/>
  <c r="E195" i="65"/>
  <c r="G139" i="65"/>
  <c r="G141" i="65" s="1"/>
  <c r="E141" i="65"/>
  <c r="D17" i="61"/>
  <c r="K10" i="15" l="1"/>
  <c r="C21" i="57" s="1"/>
  <c r="F5" i="63"/>
  <c r="K5" i="63" s="1"/>
  <c r="D255" i="65"/>
  <c r="H255" i="65" s="1"/>
  <c r="H256" i="65" s="1"/>
  <c r="H14" i="15"/>
  <c r="E197" i="65"/>
  <c r="E255" i="65" s="1"/>
  <c r="I17" i="61"/>
  <c r="C18" i="61" s="1"/>
  <c r="E17" i="61"/>
  <c r="K11" i="15" l="1"/>
  <c r="C25" i="57" s="1"/>
  <c r="H18" i="15"/>
  <c r="I71" i="58" s="1"/>
  <c r="I72" i="58" s="1"/>
  <c r="I75" i="58" s="1"/>
  <c r="F8" i="63"/>
  <c r="K8" i="63" s="1"/>
  <c r="H17" i="61"/>
  <c r="K12" i="15" l="1"/>
  <c r="D3" i="67"/>
  <c r="H21" i="15"/>
  <c r="F10" i="63"/>
  <c r="D18" i="61"/>
  <c r="D4" i="67" l="1"/>
  <c r="E66" i="67"/>
  <c r="E67" i="67" s="1"/>
  <c r="I18" i="61"/>
  <c r="C19" i="61" s="1"/>
  <c r="E18" i="61"/>
  <c r="B14" i="71" l="1"/>
  <c r="B15" i="71" s="1"/>
  <c r="L17" i="58"/>
  <c r="E9" i="63" s="1"/>
  <c r="K9" i="63" s="1"/>
  <c r="L16" i="58"/>
  <c r="F71" i="58"/>
  <c r="J64" i="58"/>
  <c r="F68" i="58"/>
  <c r="J68" i="58" s="1"/>
  <c r="H18" i="61"/>
  <c r="C23" i="57" l="1"/>
  <c r="C27" i="57" s="1"/>
  <c r="D30" i="57" s="1"/>
  <c r="E7" i="63"/>
  <c r="D19" i="61"/>
  <c r="E19" i="61" s="1"/>
  <c r="L18" i="58" l="1"/>
  <c r="E10" i="63"/>
  <c r="K7" i="63"/>
  <c r="H19" i="61"/>
  <c r="I19" i="61"/>
  <c r="C20" i="61" s="1"/>
  <c r="E12" i="63" l="1"/>
  <c r="K10" i="63"/>
  <c r="D20" i="61"/>
  <c r="E20" i="61" s="1"/>
  <c r="H20" i="61" l="1"/>
  <c r="I20" i="61"/>
  <c r="C21" i="61" s="1"/>
  <c r="D21" i="61" l="1"/>
  <c r="E21" i="61" s="1"/>
  <c r="H21" i="61" l="1"/>
  <c r="I21" i="61"/>
  <c r="C22" i="61" s="1"/>
  <c r="D22" i="61" l="1"/>
  <c r="I22" i="61" s="1"/>
  <c r="C23" i="61" s="1"/>
  <c r="E22" i="61" l="1"/>
  <c r="H22" i="61" s="1"/>
  <c r="D23" i="61" l="1"/>
  <c r="I23" i="61" s="1"/>
  <c r="C24" i="61" s="1"/>
  <c r="E23" i="61" l="1"/>
  <c r="H23" i="61" s="1"/>
  <c r="D24" i="61" l="1"/>
  <c r="I24" i="61" s="1"/>
  <c r="C25" i="61" s="1"/>
  <c r="E24" i="61" l="1"/>
  <c r="H24" i="61" s="1"/>
  <c r="D25" i="61" l="1"/>
  <c r="I25" i="61" s="1"/>
  <c r="C26" i="61" s="1"/>
  <c r="E25" i="61" l="1"/>
  <c r="H25" i="61" s="1"/>
  <c r="D26" i="61" l="1"/>
  <c r="I26" i="61" s="1"/>
  <c r="C27" i="61" s="1"/>
  <c r="E26" i="61" l="1"/>
  <c r="H26" i="61" s="1"/>
  <c r="D27" i="61" l="1"/>
  <c r="E27" i="61" s="1"/>
  <c r="C29" i="61"/>
  <c r="H27" i="61" l="1"/>
  <c r="H29" i="61" s="1"/>
  <c r="E29" i="61"/>
  <c r="D29" i="61"/>
  <c r="I27" i="61"/>
</calcChain>
</file>

<file path=xl/comments1.xml><?xml version="1.0" encoding="utf-8"?>
<comments xmlns="http://schemas.openxmlformats.org/spreadsheetml/2006/main">
  <authors>
    <author>usuario</author>
  </authors>
  <commentList>
    <comment ref="P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<sst xmlns="http://schemas.openxmlformats.org/spreadsheetml/2006/main" count="2718" uniqueCount="656">
  <si>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</si>
  <si>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</si>
  <si>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</si>
  <si>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</si>
  <si>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</si>
  <si>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</si>
  <si>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</si>
  <si>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</si>
  <si>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</si>
  <si>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</si>
  <si>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2. AMORTIZACION DE LA DEUDA PUBLICA MUNICIPAL</t>
  </si>
  <si>
    <t>(En Dolares de los Estados Unidos de America)</t>
  </si>
  <si>
    <t>FORMULACION DEL PRESUPUESTO MUNICIPAL DE EGRESOS</t>
  </si>
  <si>
    <t>(En Dolares de los Estados Unidos de América)</t>
  </si>
  <si>
    <t>INSUMOS BASICOS:</t>
  </si>
  <si>
    <t>PRESUPUESTO MUNICIPAL DE FUNCIONAMIENTO POR ESTRUCTURA PRESUPUESTARIA</t>
  </si>
  <si>
    <t>DETALLE CONSOLIDADO DE INGRESOS POR ESPECIFICO Y FUENTE DE FINANCIAMIENTO</t>
  </si>
  <si>
    <t>11801</t>
  </si>
  <si>
    <t>De Comercio</t>
  </si>
  <si>
    <t>11802</t>
  </si>
  <si>
    <t>De Industria</t>
  </si>
  <si>
    <t>11804</t>
  </si>
  <si>
    <t>De Servicios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</si>
  <si>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</si>
  <si>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</si>
  <si>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</si>
  <si>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</si>
  <si>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</si>
  <si>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</si>
  <si>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</si>
  <si>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</si>
  <si>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</si>
  <si>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</si>
  <si>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</si>
  <si>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</si>
  <si>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</si>
  <si>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</si>
  <si>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</si>
  <si>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</si>
  <si>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</si>
  <si>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</si>
  <si>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</si>
  <si>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</si>
  <si>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</si>
  <si>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</si>
  <si>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</si>
  <si>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</si>
  <si>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Miner. Metalicos y Prod. Der.</t>
  </si>
  <si>
    <t>Miner. No Metalicos y Prod. Der.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</si>
  <si>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</si>
  <si>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</si>
  <si>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</si>
  <si>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</si>
  <si>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</si>
  <si>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</si>
  <si>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</si>
  <si>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</si>
  <si>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05</t>
  </si>
  <si>
    <t>Vialidades</t>
  </si>
  <si>
    <t>12111</t>
  </si>
  <si>
    <t>Cementerios Municipales</t>
  </si>
  <si>
    <t>12114</t>
  </si>
  <si>
    <t>Fiestas Patronales</t>
  </si>
  <si>
    <t>12117</t>
  </si>
  <si>
    <t>Pavimentacion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</si>
  <si>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</si>
  <si>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</si>
  <si>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</si>
  <si>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</si>
  <si>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</si>
  <si>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</si>
  <si>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</si>
  <si>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</si>
  <si>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FISDL/PFGL</t>
  </si>
  <si>
    <t>55302</t>
  </si>
  <si>
    <t>Dietas</t>
  </si>
  <si>
    <t>Transportes, Fletes y mantenimientos</t>
  </si>
  <si>
    <t>Servicios de Publicidad</t>
  </si>
  <si>
    <t>Servicios Generales y arrendamientos div</t>
  </si>
  <si>
    <t>Servicios Juridicos</t>
  </si>
  <si>
    <t>Materiales Informaticos</t>
  </si>
  <si>
    <t>Atenciones oficiales</t>
  </si>
  <si>
    <t>TOTAL FONDOS PROPIOS</t>
  </si>
  <si>
    <t>Especies Municipales Diversas</t>
  </si>
  <si>
    <t>Atenciones Oficiales</t>
  </si>
  <si>
    <t>Servicios de Contabilidad y Auditoria</t>
  </si>
  <si>
    <t>Derechos</t>
  </si>
  <si>
    <t>Comisiones y Gastos bancarios</t>
  </si>
  <si>
    <t>Multas y costas judiciales</t>
  </si>
  <si>
    <t>Transportes Fletes y almacenamientos</t>
  </si>
  <si>
    <t>32102</t>
  </si>
  <si>
    <t>Cuentas por cobrar de años anteriores</t>
  </si>
  <si>
    <t>0301</t>
  </si>
  <si>
    <t>0501</t>
  </si>
  <si>
    <t>Línea de Trabajo</t>
  </si>
  <si>
    <t>Nombre</t>
  </si>
  <si>
    <t>Cargo o Puesto</t>
  </si>
  <si>
    <t>Sistema de Remuneración</t>
  </si>
  <si>
    <t>Salarios</t>
  </si>
  <si>
    <t>Mesual</t>
  </si>
  <si>
    <t>Anual</t>
  </si>
  <si>
    <t>0101</t>
  </si>
  <si>
    <t>Sub-Total Línea de Trabajo 0101</t>
  </si>
  <si>
    <t>CONTRATOS</t>
  </si>
  <si>
    <t>Materiales Electricos</t>
  </si>
  <si>
    <t>15314</t>
  </si>
  <si>
    <t>Otras multas municipales</t>
  </si>
  <si>
    <t>Primas y gastos de seguro de personas</t>
  </si>
  <si>
    <t>4</t>
  </si>
  <si>
    <t>0302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</si>
  <si>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</si>
  <si>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</si>
  <si>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</si>
  <si>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</si>
  <si>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</si>
  <si>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</si>
  <si>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</si>
  <si>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</si>
  <si>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 xml:space="preserve"> Objeto Específico</t>
  </si>
  <si>
    <t>DENOMINACION</t>
  </si>
  <si>
    <t xml:space="preserve"> FODES</t>
  </si>
  <si>
    <t xml:space="preserve"> Fondo General</t>
  </si>
  <si>
    <t>OTROS</t>
  </si>
  <si>
    <t>Fondos Propios</t>
  </si>
  <si>
    <t>Préstamos Internos</t>
  </si>
  <si>
    <t xml:space="preserve"> T O T A L  </t>
  </si>
  <si>
    <t>Funcionamiento 25%</t>
  </si>
  <si>
    <t>Inversión 75%</t>
  </si>
  <si>
    <t>11808</t>
  </si>
  <si>
    <t>Centros de Enseñanza</t>
  </si>
  <si>
    <t>11810</t>
  </si>
  <si>
    <t>11817</t>
  </si>
  <si>
    <t>Hoteles, Moteles y Similares</t>
  </si>
  <si>
    <t>Vallas Publicitarias</t>
  </si>
  <si>
    <t>12112</t>
  </si>
  <si>
    <t>Desechos</t>
  </si>
  <si>
    <t>12115</t>
  </si>
  <si>
    <t>Mercados</t>
  </si>
  <si>
    <t>Permisos y Licencias Municipales</t>
  </si>
  <si>
    <t>12122</t>
  </si>
  <si>
    <t>14201</t>
  </si>
  <si>
    <t>Servicios Básicos</t>
  </si>
  <si>
    <t>De Empresas Públicas Financieras</t>
  </si>
  <si>
    <t>Linea de Trabajo</t>
  </si>
  <si>
    <t>AREA DE GESTIÓN</t>
  </si>
  <si>
    <t>1 - CONDUCCION ADMINISTRATIVA</t>
  </si>
  <si>
    <t>3 - DESARROLLO SOCIAL</t>
  </si>
  <si>
    <t>SERVICIO DE LA DEUDA MUNICIPAL</t>
  </si>
  <si>
    <t>5- DEUDA PUBICA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</si>
  <si>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</si>
  <si>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</si>
  <si>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</si>
  <si>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</si>
  <si>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</si>
  <si>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</si>
  <si>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</si>
  <si>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</si>
  <si>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</si>
  <si>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</si>
  <si>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</si>
  <si>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</si>
  <si>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</si>
  <si>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SALDO DE AÑOS ANTERIORES</t>
  </si>
  <si>
    <t>TOTAL INGRESOS</t>
  </si>
  <si>
    <t>TOTAL EGRESOS</t>
  </si>
  <si>
    <t>REMUNERACIONES</t>
  </si>
  <si>
    <t>ADQUISICION DE BIENES Y SERVICIOS</t>
  </si>
  <si>
    <t>GASTOS FINANCIEROS Y OTROS</t>
  </si>
  <si>
    <t>AMORTIZACION DE ENDEUDAMIENTO PUBLICO</t>
  </si>
  <si>
    <t>CUENTAS POR PAGAR DE AÑOS ANTERIORES.</t>
  </si>
  <si>
    <t>31304</t>
  </si>
  <si>
    <t xml:space="preserve"> Area de Gestión</t>
  </si>
  <si>
    <t xml:space="preserve"> Unidd Presupuestaria</t>
  </si>
  <si>
    <t xml:space="preserve"> Linea de Trabajo</t>
  </si>
  <si>
    <t xml:space="preserve"> Fuente de Financiamiento</t>
  </si>
  <si>
    <t xml:space="preserve"> Subfuente de Financiamiento</t>
  </si>
  <si>
    <t>Objeto Específico</t>
  </si>
  <si>
    <t>DENOMINACIÓN</t>
  </si>
  <si>
    <t>FONDOS 75%</t>
  </si>
  <si>
    <t>Fuente de Financiamiento</t>
  </si>
  <si>
    <t xml:space="preserve"> DENOMINACIÓN</t>
  </si>
  <si>
    <t xml:space="preserve"> MONTO</t>
  </si>
  <si>
    <t>Subfuente de Financiamiento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</si>
  <si>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</si>
  <si>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</si>
  <si>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</si>
  <si>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</si>
  <si>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</si>
  <si>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</si>
  <si>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</si>
  <si>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</si>
  <si>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</si>
  <si>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</si>
  <si>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</si>
  <si>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</si>
  <si>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</si>
  <si>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</si>
  <si>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</si>
  <si>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</si>
  <si>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</si>
  <si>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</si>
  <si>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</si>
  <si>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</si>
  <si>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</si>
  <si>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</si>
  <si>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</si>
  <si>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</si>
  <si>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Total por Año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</si>
  <si>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</si>
  <si>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</si>
  <si>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</si>
  <si>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</si>
  <si>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</si>
  <si>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</si>
  <si>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</si>
  <si>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</si>
  <si>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</si>
  <si>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</si>
  <si>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</si>
  <si>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Mant. Reparaciones de Bienes Inmuebles</t>
  </si>
  <si>
    <t>Servicios de Alimentación</t>
  </si>
  <si>
    <t>Comisiones y Gastos Bancarios</t>
  </si>
  <si>
    <t>Multas y Costas Procesales</t>
  </si>
  <si>
    <t>Bienes Muebles Diversos</t>
  </si>
  <si>
    <t>Mobiliarios</t>
  </si>
  <si>
    <t>Remuneraciones Diversas</t>
  </si>
  <si>
    <t>51202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</si>
  <si>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</si>
  <si>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</si>
  <si>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</si>
  <si>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</si>
  <si>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Servicios de públicidad</t>
  </si>
  <si>
    <t>Impresiones, Publicaciones y Reproducc.</t>
  </si>
  <si>
    <t>Arrendamiento de Bienes Muebles</t>
  </si>
  <si>
    <t>Servicios Generales y Arrendamientos Diversos</t>
  </si>
  <si>
    <t>Servicios de Capacitación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</si>
  <si>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</si>
  <si>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</si>
  <si>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</si>
  <si>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</si>
  <si>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</si>
  <si>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</si>
  <si>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De Producción de Bienes y Servicios</t>
  </si>
  <si>
    <t>Supervisión de Infraestructura</t>
  </si>
  <si>
    <t>Obras de Infraestrutura Diversas</t>
  </si>
  <si>
    <t>FUENTE O SUBFUENTE DE FINANCIAMIENTO: PRESTAMOS INTERNOS</t>
  </si>
  <si>
    <t>Bienes de Consumo DiversoS</t>
  </si>
  <si>
    <t>112</t>
  </si>
  <si>
    <t>POR RUBROS</t>
  </si>
  <si>
    <t>FODES 25%</t>
  </si>
  <si>
    <t xml:space="preserve">DEUDA </t>
  </si>
  <si>
    <t>FODES 75%</t>
  </si>
  <si>
    <t>PRESTAMO</t>
  </si>
  <si>
    <t>DONACION</t>
  </si>
  <si>
    <t>TOTALES</t>
  </si>
  <si>
    <t>32101</t>
  </si>
  <si>
    <t>Saldo inicial en Caja</t>
  </si>
  <si>
    <t>32201</t>
  </si>
  <si>
    <t>ALCALDIA MUNICIPAL DE SAN JOSE CANCASQUE</t>
  </si>
  <si>
    <t>31308</t>
  </si>
  <si>
    <t>De Empresas Privadas Financieras</t>
  </si>
  <si>
    <t>Saldo Inicial en Bancos</t>
  </si>
  <si>
    <t>Transfer. Corrientes del Sector Publico</t>
  </si>
  <si>
    <t>Por Expedic. Documentos de Identif.</t>
  </si>
  <si>
    <t>Por Prestación de Servicios en el Pais</t>
  </si>
  <si>
    <t>Viaticos por comisión Interna</t>
  </si>
  <si>
    <t>A Personas Naturales</t>
  </si>
  <si>
    <t>Herramientas, Repuestos y Acces.</t>
  </si>
  <si>
    <t>Mtto. Reparación de Bienes</t>
  </si>
  <si>
    <t>Mtto. Reparación de Vehiculos</t>
  </si>
  <si>
    <t>Mtto. Reparación de Bienes Muebles</t>
  </si>
  <si>
    <t>Pasajes y Víaticos</t>
  </si>
  <si>
    <t>Bienes de Uso y Consumo Diverso</t>
  </si>
  <si>
    <t>Gastos Diversos</t>
  </si>
  <si>
    <t>55308</t>
  </si>
  <si>
    <t>71308</t>
  </si>
  <si>
    <t>De Empresas Privadas Finacieras</t>
  </si>
  <si>
    <t>51901</t>
  </si>
  <si>
    <t>Honorarios</t>
  </si>
  <si>
    <t>FUENTE O SUBFUENTE DE FINANCIAMIENTO: FONDO GENERAL, FISDL/KFWV</t>
  </si>
  <si>
    <t>ALCALDIA MUNICIPAL DE SAN JOSE CANCASQUE, CHALATENANGO</t>
  </si>
  <si>
    <t>PROYECCION  ANUAL DE DIETAS 2013</t>
  </si>
  <si>
    <t>FUENTE O SUBFUENTE DE FINANCIAMIENTO: FODES 25% FUNCIONAMIENTO</t>
  </si>
  <si>
    <t>FUENTE O SUBFUENTE DE FINANCIAMIENTO: FODES 75% INVERSION</t>
  </si>
  <si>
    <t>Ejercicio 2014</t>
  </si>
  <si>
    <t>CAJA DE CREDITO DE ZACATECOLUCA</t>
  </si>
  <si>
    <t>Fecha de Vencimiento</t>
  </si>
  <si>
    <t>Fecha de Contrato</t>
  </si>
  <si>
    <t>Total Cuota</t>
  </si>
  <si>
    <t xml:space="preserve">DISPONIBILIDADES INICIALES </t>
  </si>
  <si>
    <t>CUENTA</t>
  </si>
  <si>
    <t>FISDL/KFW</t>
  </si>
  <si>
    <t>Fondo Municipal</t>
  </si>
  <si>
    <t xml:space="preserve">FODES 5% Preinversión </t>
  </si>
  <si>
    <t>FODES 75% Ahorro</t>
  </si>
  <si>
    <t>Cta Ahorro FISDL/KFW</t>
  </si>
  <si>
    <t>Cta. Ahorro inversión Prestamo</t>
  </si>
  <si>
    <t>Disposicion final Des. Solidos</t>
  </si>
  <si>
    <t>Chapoda, Limpuieza Calle y Barrios</t>
  </si>
  <si>
    <t>Apoyo al Desarrollo Educ. Utiles escolares</t>
  </si>
  <si>
    <t>Recolección, Transporte Desechos Solidos</t>
  </si>
  <si>
    <t>Adquisición de Terreno</t>
  </si>
  <si>
    <t>Mejora alumb. Publico 2013</t>
  </si>
  <si>
    <t>FISDL Procumidad KFW</t>
  </si>
  <si>
    <t>Fomento al Des. Agicola</t>
  </si>
  <si>
    <t>Caminos Vecinales</t>
  </si>
  <si>
    <t>Tramo Calle Guillenes 13</t>
  </si>
  <si>
    <t>Compra Eq.Informatico</t>
  </si>
  <si>
    <t>Apoyo al Deporte 2013</t>
  </si>
  <si>
    <t>Cap. Asistencia Tec.25648</t>
  </si>
  <si>
    <t>Gestión de Riezgos</t>
  </si>
  <si>
    <t>Des. Act. Sociales y C.</t>
  </si>
  <si>
    <t>Cosntrucc. Muro C. Conc</t>
  </si>
  <si>
    <t>FISDL/PFGL C1</t>
  </si>
  <si>
    <t>FISDL/PFGL C2</t>
  </si>
  <si>
    <t>Mej. C. Salida Ctones Guillen</t>
  </si>
  <si>
    <t>Multas e Intereses Diversos</t>
  </si>
  <si>
    <t>Pasajes al Interior</t>
  </si>
  <si>
    <t>A organismos sin fines de lucro</t>
  </si>
  <si>
    <t>TOTAL   GASTOS POR EL SERVICIO DE LA DEUDA</t>
  </si>
  <si>
    <t>Herramientas, Repuestos y Accesorios</t>
  </si>
  <si>
    <t>Mantenimiento  y Repar. de Bienes  Muebles</t>
  </si>
  <si>
    <t>Mantenimiento y  Repararación de  Vehiculos</t>
  </si>
  <si>
    <t>Servicios de Limpieza y Fumigaciones</t>
  </si>
  <si>
    <t>Becas</t>
  </si>
  <si>
    <t>FP</t>
  </si>
  <si>
    <t>4 PRESTAMOS INTERNOS</t>
  </si>
  <si>
    <t>02</t>
  </si>
  <si>
    <t>TOTAL GASTOS FONDOS PRESTAMOS</t>
  </si>
  <si>
    <t>TOTAL GASTOS FONDOS FISDL/KFW</t>
  </si>
  <si>
    <t>TOTAL GASTOS FODES INVERSION</t>
  </si>
  <si>
    <t>Objeto Especifico</t>
  </si>
  <si>
    <t>Baños y Lavaderos Públicos</t>
  </si>
  <si>
    <t>ESTIMACION PRESUPUESTARIA DE INGRESOS / FONDOS PROPIOS</t>
  </si>
  <si>
    <t>Multas por Registro Civil</t>
  </si>
  <si>
    <t>rubros</t>
  </si>
  <si>
    <t>montos</t>
  </si>
  <si>
    <t>TOTAL</t>
  </si>
  <si>
    <t>DIRECCION Y ADMINISTRACION MUNICIPAL</t>
  </si>
  <si>
    <t>0101 DIRECCION Y ADMINISTRACION SUPERIOR</t>
  </si>
  <si>
    <t>0102 ADMINISTRACION FINANCIERA Y TRIBUTARIA</t>
  </si>
  <si>
    <t>0201 SERVICIOS INTERNOS</t>
  </si>
  <si>
    <t>Servicios de Energía Electrica</t>
  </si>
  <si>
    <t>Al personal de servicios permanentes</t>
  </si>
  <si>
    <t>Beneficios Adicionales</t>
  </si>
  <si>
    <t>TOTALES POR LINEA DE TRABAJO</t>
  </si>
  <si>
    <t>TOTAL FODES 25%</t>
  </si>
  <si>
    <t>ADMINISTRACION FINANCIERA Y TRIBUTARIA</t>
  </si>
  <si>
    <t>0202 SERVICIOS EXTERNOS</t>
  </si>
  <si>
    <t>A Organismos sin fines de lucro</t>
  </si>
  <si>
    <t>Equipos Informáticos</t>
  </si>
  <si>
    <t>PRESUPUESTO MUNICIPAL SERVICIO DE LA DEUDA PUBLICA MUNICIPAL</t>
  </si>
  <si>
    <t>Total</t>
  </si>
  <si>
    <t>Fromula Factor Fijo</t>
  </si>
  <si>
    <t>TOTAL POR FODES 75% INVERSIÓN</t>
  </si>
  <si>
    <t>0301 INFRAESTRUCTURA SOCIAL,         A.G. 3</t>
  </si>
  <si>
    <t>0401 INFRAESTRUCTURA PARA EL DESARROLLO ECONOMICO,                 A. G. 4</t>
  </si>
  <si>
    <t>0302 PROGRAMAS DE DESARROLLO SOCIAL,       A.G. 3</t>
  </si>
  <si>
    <t>0102</t>
  </si>
  <si>
    <t>0201</t>
  </si>
  <si>
    <t>0202</t>
  </si>
  <si>
    <t>AMORTIZACION E INTERESES DE LA DEUDA PUBLICA MUNICIPAL</t>
  </si>
  <si>
    <t>INFRAESTRUCTURA SOCIAL</t>
  </si>
  <si>
    <t>SERVICIOS MUNICIPALES</t>
  </si>
  <si>
    <t>DIRECCION Y ADMINISTRACION SUPERIOR</t>
  </si>
  <si>
    <t>INVERSION E INFRAESTRUCTURA SOCIAL</t>
  </si>
  <si>
    <t>PROGRAMAS DE DESARROLLO SOCIAL</t>
  </si>
  <si>
    <t>TOTAL FODES</t>
  </si>
  <si>
    <t>DEUDA</t>
  </si>
  <si>
    <t>TOTAL FODES INVERSION</t>
  </si>
  <si>
    <t>Contribuciones patronales a Instit. Sector Publico</t>
  </si>
  <si>
    <t>Contrib. Patronales a institucionesl del Sector Priv.</t>
  </si>
  <si>
    <t>Servicios Energia Electrica</t>
  </si>
  <si>
    <t>MODALIDAD: Por Administración</t>
  </si>
  <si>
    <t>TOTAL  DEL PROYECTO</t>
  </si>
  <si>
    <t>INVERSIONES EN ACTIVOS FIJOS</t>
  </si>
  <si>
    <t>PRESUPUESTO DE INVERSION, PROYECTO:</t>
  </si>
  <si>
    <t>Herramientas Repuestos y Accesorios</t>
  </si>
  <si>
    <t>PRESUPUESTO MUNICIPAL DE INVERSION POR ESTRUCTURA PRESUP.</t>
  </si>
  <si>
    <t>54303-mtto.rep.inmuebles</t>
  </si>
  <si>
    <t>deposito desechos</t>
  </si>
  <si>
    <t>matto.vehiculo</t>
  </si>
  <si>
    <t>llantas</t>
  </si>
  <si>
    <t>emergía eléctrica</t>
  </si>
  <si>
    <t>alumbrado público</t>
  </si>
  <si>
    <t>ser.publicidad</t>
  </si>
  <si>
    <t>fumigaciones</t>
  </si>
  <si>
    <t>Mantenimiento y  Rep. De Bienes Inmuebles</t>
  </si>
  <si>
    <t>prod.text.y vestuarios</t>
  </si>
  <si>
    <t>Produc.Quimicos</t>
  </si>
  <si>
    <t>Comis.Gastos Banc.</t>
  </si>
  <si>
    <t>Transportes Fletes y Almacenamientos</t>
  </si>
  <si>
    <t>Servicios Generales y Arrendam. Div.</t>
  </si>
  <si>
    <t>Serv. Generales y Arrendam. Diversos</t>
  </si>
  <si>
    <t xml:space="preserve">      </t>
  </si>
  <si>
    <t>Maquinaria y Equipos</t>
  </si>
  <si>
    <t>Maquinaria y Equipos (61102)</t>
  </si>
  <si>
    <t>Obras de Infraestructura Diversa</t>
  </si>
  <si>
    <t xml:space="preserve">Terrenos </t>
  </si>
  <si>
    <t xml:space="preserve">Viales </t>
  </si>
  <si>
    <t xml:space="preserve">De Salud y Saneamiento Ambiental </t>
  </si>
  <si>
    <t xml:space="preserve">De Educación y Recreación </t>
  </si>
  <si>
    <t xml:space="preserve">Eléctricas y Comunicaciones </t>
  </si>
  <si>
    <t xml:space="preserve">Supervición de Infraestructura </t>
  </si>
  <si>
    <t>Estudios de Preinversión  (proy.progr.divers).</t>
  </si>
  <si>
    <t>Estudios de Preinversión (de Construcciones).</t>
  </si>
  <si>
    <t>.</t>
  </si>
  <si>
    <t>aguinaldos</t>
  </si>
  <si>
    <t>TOTAL ANUAL</t>
  </si>
  <si>
    <t>Area de Gestion</t>
  </si>
  <si>
    <t xml:space="preserve"> Fuente de Recurso</t>
  </si>
  <si>
    <t>ALCALDIA MUNICIPAL DE ZARAGOZA</t>
  </si>
  <si>
    <t>DEPARTAMENTO DE  LA LIBERTAD</t>
  </si>
  <si>
    <t>Financieros</t>
  </si>
  <si>
    <t>Vialidad</t>
  </si>
  <si>
    <t>Por Serv. de Certif. o Visado de doc.</t>
  </si>
  <si>
    <t>Tasas Diversas</t>
  </si>
  <si>
    <t>Multas por Declaración Extemporanea</t>
  </si>
  <si>
    <t>0103</t>
  </si>
  <si>
    <t>UNIDADES ADMINISTRATIVAS DE APOYO</t>
  </si>
  <si>
    <t>0203</t>
  </si>
  <si>
    <t>ASEO PUBLICO</t>
  </si>
  <si>
    <t>SERVICIOS JURIDICOS</t>
  </si>
  <si>
    <t>SERVICIOS MUNICIPALES DIVERSOS</t>
  </si>
  <si>
    <t>Departamento de La Libertad</t>
  </si>
  <si>
    <t>BANCO IZALQUEÑO DE LOS TRABAJADORES</t>
  </si>
  <si>
    <t>CAJA DE CREDITO DE CONCEPCION BATRES</t>
  </si>
  <si>
    <t>CAJA DE CREDITO SANTIAGO NONUALCO</t>
  </si>
  <si>
    <t>ACACES DE R.L.</t>
  </si>
  <si>
    <t>0103 UNIDADES ADMINISTRATIVAS DE APOYO</t>
  </si>
  <si>
    <t>0203 SERVICIOS MUNICIPALES DIVERSOS</t>
  </si>
  <si>
    <t>0201 ASEO PUBLICO</t>
  </si>
  <si>
    <t>Horas Extraordinarias</t>
  </si>
  <si>
    <t>Por Prestación de Servicios en el Exterior</t>
  </si>
  <si>
    <t>Materiales de defensa y Seguridad Pública</t>
  </si>
  <si>
    <t>Servicios de Fumigaciones</t>
  </si>
  <si>
    <t>ROSA ENMA JOVEL HERNANDEZ</t>
  </si>
  <si>
    <t>TATIANA SOFIA LINARES MARTINEZ</t>
  </si>
  <si>
    <t>CRISTABEL GIRON HERNANDEZ</t>
  </si>
  <si>
    <t>ERMMENSSON OSMANY PEÑA VASQUEZ</t>
  </si>
  <si>
    <t>JOSE SALVADOR MORALES ROGEL</t>
  </si>
  <si>
    <t>VANESSA MAGALY RAMOS VIDES</t>
  </si>
  <si>
    <t>BRAYAN ARMANDO BURGOS PREZA</t>
  </si>
  <si>
    <t>BRENDA ROCIO VALLADARES VIDES</t>
  </si>
  <si>
    <t>JENNIFER ALEJANDRA VASQUEZ LOPEZ</t>
  </si>
  <si>
    <t>NELSON ARMANDO ANGEL BURGOS</t>
  </si>
  <si>
    <t>INGRID ATANACIA RIVERA HERNANDEZ</t>
  </si>
  <si>
    <t>ESTEBAN ISAI RODRIGUEZ GONZALEZ</t>
  </si>
  <si>
    <t>WILBER ALFREDO PEREZ MAJANO</t>
  </si>
  <si>
    <t>KARLA NATALIA GONZALEZ BURGOS</t>
  </si>
  <si>
    <t>RAQUEL ESMERALDA GUEVARA VENTURA</t>
  </si>
  <si>
    <t>JENNIFER ESMERALDA ESTRADA HERNANDEZ</t>
  </si>
  <si>
    <t>DIANA CAROLINA LOPEZ HERNANDEZ</t>
  </si>
  <si>
    <t>MARCOS BRAYAN AZUCENA PEREZ</t>
  </si>
  <si>
    <t>WENDY JAMILETH DIAZ GARCIA</t>
  </si>
  <si>
    <t>MELVIN GEOVANY MENDEZ FLORES</t>
  </si>
  <si>
    <t>ALEXIS GABRIEL MENDEZ FLORES</t>
  </si>
  <si>
    <t>IRENE CAROLINA CAÑAS HERNANDEZ</t>
  </si>
  <si>
    <t>MELVIN GILBERTO RAMIREZ LAINEZ</t>
  </si>
  <si>
    <t>COMPRA DE PAQUETES ESCOLARES</t>
  </si>
  <si>
    <t>ALUMNOS BECADOS 2015</t>
  </si>
  <si>
    <t>BECA MENSUAL</t>
  </si>
  <si>
    <t>Nº BECAS OTORG.</t>
  </si>
  <si>
    <t>Servicios de Lavanderia y Planchado</t>
  </si>
  <si>
    <t>Arrendamientos de Bienes Muebles</t>
  </si>
  <si>
    <t>Limpieza de Calles</t>
  </si>
  <si>
    <t>Recoleccion de Desechos</t>
  </si>
  <si>
    <t>pfgl</t>
  </si>
  <si>
    <t>fc</t>
  </si>
  <si>
    <t>ejec.prest.</t>
  </si>
  <si>
    <t>0103 UNIDAD ADMINISTRATIVA DE APOYO</t>
  </si>
  <si>
    <t>Transf. Corrientes al Sector Publico</t>
  </si>
  <si>
    <t>DEPARTAMENTO DE LA LIBERTAD</t>
  </si>
  <si>
    <t>ALCALDIA MUNICIPAL ZARAGOZA</t>
  </si>
  <si>
    <t>Libros Textos, Utiles de Enseñanza y Publicac.</t>
  </si>
  <si>
    <t>libros, utiles de enseñanza y public.</t>
  </si>
  <si>
    <t>Recoleccion y transp basura</t>
  </si>
  <si>
    <t>Recoleccion y Transporte Desechos Solidos</t>
  </si>
  <si>
    <t>ALCALDIA MUNICIPAL DE ZARAGOZA, DEPARTAMENTO DE LA LIBERTAD</t>
  </si>
  <si>
    <t>isss</t>
  </si>
  <si>
    <t>afp</t>
  </si>
  <si>
    <t>Miner.meta. y prod.deriv</t>
  </si>
  <si>
    <t>Deudas años anteriores</t>
  </si>
  <si>
    <t>de educac y recreac</t>
  </si>
  <si>
    <t>Transferencias Corrientes al Sector Púb.</t>
  </si>
  <si>
    <t>ESTRUCT. PRESUPUEST.</t>
  </si>
  <si>
    <t>Libros, Textos, Utiles de Enseñanza y Publ.</t>
  </si>
  <si>
    <t>Impresiones, publicac. y reproducciones</t>
  </si>
  <si>
    <t xml:space="preserve">Amortiz. Estimada </t>
  </si>
  <si>
    <t>FIDEMUNI</t>
  </si>
  <si>
    <t>Amortiz. Estimada</t>
  </si>
  <si>
    <t>Mantto. Y Rep. De Vehículos</t>
  </si>
  <si>
    <t>56304-transf.personas naturales</t>
  </si>
  <si>
    <t>MOBILIARIOS (61101)</t>
  </si>
  <si>
    <t>Terrenos  (61201)</t>
  </si>
  <si>
    <t>Estudios de Preinversión (de Construcciones). (61501)</t>
  </si>
  <si>
    <t>Estudios de Preinversión  (proy.progr.divers). (61599)</t>
  </si>
  <si>
    <t>Viales  (61601)</t>
  </si>
  <si>
    <t>De Salud y Saneamiento Ambiental  (61602)</t>
  </si>
  <si>
    <t>De Educación y Recreación  (61603)</t>
  </si>
  <si>
    <t>Eléctricas y Comunicaciones  (61606)</t>
  </si>
  <si>
    <t>Supervición de Infraestructura (61608)</t>
  </si>
  <si>
    <t>Obras de Infraestructura Diversa  (11699)</t>
  </si>
  <si>
    <t>Vehículos de Transporte</t>
  </si>
  <si>
    <t>Primas y Gastos de Seguro de Bienes</t>
  </si>
  <si>
    <t>De Empresas Privadas no Financieras</t>
  </si>
  <si>
    <t>P R E S U P U E S T O   D E   I N G R E S O S</t>
  </si>
  <si>
    <t>P R E S U P U E S T O   D E   E G R E S O S</t>
  </si>
  <si>
    <t>55304</t>
  </si>
  <si>
    <t>71304</t>
  </si>
  <si>
    <t>5000</t>
  </si>
  <si>
    <t>140764.45</t>
  </si>
  <si>
    <t>8900</t>
  </si>
  <si>
    <t>3500</t>
  </si>
  <si>
    <t>Ctas. x cobrar de años anteriores</t>
  </si>
  <si>
    <t>(mora tributaria)</t>
  </si>
  <si>
    <t>Viaticos por comisión Externa</t>
  </si>
  <si>
    <t>Tasa de int.</t>
  </si>
  <si>
    <t xml:space="preserve"> Deuda Actual</t>
  </si>
  <si>
    <t>Intereses</t>
  </si>
  <si>
    <t>Capital</t>
  </si>
  <si>
    <t xml:space="preserve">Total </t>
  </si>
  <si>
    <t>P R O G R A M A S   D E   D E S A R R O L L O   S O C I A L</t>
  </si>
  <si>
    <t>AYUDA CON LAMINAS A FAMILIAS DE ESCASOS RECURSOS</t>
  </si>
  <si>
    <t>De instituciones Descentralizadas no Financieras (cuota isdem oip)</t>
  </si>
  <si>
    <t>61105 veículos</t>
  </si>
  <si>
    <t>55602 seguros de bienes</t>
  </si>
  <si>
    <t>55307 intereses</t>
  </si>
  <si>
    <t>Primas y Gastos de Seguros de Bienes</t>
  </si>
  <si>
    <t>De empresas Privadas no Financieras (intereses)</t>
  </si>
  <si>
    <t>Cuentas por pagar de años anteriores</t>
  </si>
  <si>
    <t>EJERCICIO 2019</t>
  </si>
  <si>
    <t>Saldo estimado al 31/12/2018</t>
  </si>
  <si>
    <t>Ejercicio 2019</t>
  </si>
  <si>
    <t>Saldo al 31/12/2019</t>
  </si>
  <si>
    <t>Amortización a Capital 2019 =</t>
  </si>
  <si>
    <t>Amortiz. Estimada 12/2018</t>
  </si>
  <si>
    <t>Por Remuneraciones Permanentes ISSS</t>
  </si>
  <si>
    <t>Por Remuneraciones Permanentes AFP</t>
  </si>
  <si>
    <t>PROGRAMA DE APOYO A LA CULTURA Y EL ARTE DEL MUNICIPIO DE ZARAGOZA</t>
  </si>
  <si>
    <t>Saldo al 26/12/2018</t>
  </si>
  <si>
    <t>Unidad Presupuestaria</t>
  </si>
  <si>
    <t xml:space="preserve"> </t>
  </si>
  <si>
    <t>PROGRAMA DE APOYO A LA NIÑEZ Y LA ADOLESCENCIA</t>
  </si>
  <si>
    <t>Deuda 2017/18</t>
  </si>
  <si>
    <t>Primas y Gastos de Seguro de Personas</t>
  </si>
  <si>
    <t>ISSS</t>
  </si>
  <si>
    <t>AFP</t>
  </si>
  <si>
    <t>61601 viales</t>
  </si>
  <si>
    <t>56304</t>
  </si>
  <si>
    <t>Transferencias a personas naturales</t>
  </si>
  <si>
    <t>56305</t>
  </si>
  <si>
    <t>54602</t>
  </si>
  <si>
    <t>Deposito de desechos</t>
  </si>
  <si>
    <t xml:space="preserve">Recoleccion de desechos </t>
  </si>
  <si>
    <t>54314</t>
  </si>
  <si>
    <t>Materiales de oficina</t>
  </si>
  <si>
    <t>Transferencia a personas naturales</t>
  </si>
  <si>
    <t>PRESUPUESTO DE INVERSION, PROGRAMA DE DESARROLLO SOCIAL:</t>
  </si>
  <si>
    <t>Servicios generales y arrendamientos diversos</t>
  </si>
  <si>
    <t xml:space="preserve">ALUMBRADO PUBLICO </t>
  </si>
  <si>
    <t>RECARPETEO  FASE II</t>
  </si>
  <si>
    <t>RECARPETEO  FASE I</t>
  </si>
  <si>
    <t>COLONIA VISTA HERMOSA</t>
  </si>
  <si>
    <t>GRADAS EL ZAITE</t>
  </si>
  <si>
    <t>GRADAS CORINTO</t>
  </si>
  <si>
    <t>GUADALUPE (42,000.00)</t>
  </si>
  <si>
    <t>SAN ANTONIO(20,000.00)</t>
  </si>
  <si>
    <t>ESMERALDA (42,000.00) concreto</t>
  </si>
  <si>
    <t>ASISTENCIA ALIMENTICIA PARA ADULTOS MAYORES DEL MUNICIPIO ZGZA</t>
  </si>
  <si>
    <t>OBRAS DE MITIGACION LOMA LINDA ASUCHIO</t>
  </si>
  <si>
    <t>Preinversion</t>
  </si>
  <si>
    <t>Transportes</t>
  </si>
  <si>
    <t>AMORTIZACION DE DEUDAS AÑOS ANTERIORES</t>
  </si>
  <si>
    <t>PROGRAMA DE FOMENTO A LA EDUCACION EN EL MUN.DE ZARAGOZA</t>
  </si>
  <si>
    <t>presupuesto 2020</t>
  </si>
  <si>
    <t>PRESUSPUESTO MUNICIPAL AÑO 2020   -   INVERSION FODES 75%</t>
  </si>
  <si>
    <t>CELEBRACION DE FIESTAS PATRONALES 2020</t>
  </si>
  <si>
    <t>PROGRAMA DE PROTECCION MEDIOAMBIENTE Y SALUD PUBLICA.</t>
  </si>
  <si>
    <t>PROGRAMA DE APOYO A LA AGRICULTURA DEL MUNICIPIO DE ZARAGOZA</t>
  </si>
  <si>
    <t>PAVIMENTACION DE 170 MTS DE LA CALLE PPAL DE LA COMUNIDAD LA VEGA #2</t>
  </si>
  <si>
    <t>CONSTRUCION DE PUENTE EN COMUNIDAD CORINTO #1</t>
  </si>
  <si>
    <t>PAVIMENTACION DE 100 MTS DE CALLE PPAL DE LA COL MALDONADO</t>
  </si>
  <si>
    <t>PAVIMENTACION de 200 METROS DE CALLE PRINCIPAL EL ZAITE #1</t>
  </si>
  <si>
    <t>PAVIMENTACION DE 200 METROS DE CALLES EN LA COL SAN ANTONIO #2</t>
  </si>
  <si>
    <t>PAVIMENTACION DEL PASAJE #4  EN COL LAS MARGARITAS</t>
  </si>
  <si>
    <t>CAMBIO DE PASTO SINTETICO EN CANCHAS DEL POLIDEPORTIVO</t>
  </si>
  <si>
    <t>PAVIMENTACION DE 200 METROS DE CALLE EN LA LOTIFICACION EL CORRALITO</t>
  </si>
  <si>
    <t>PAVIMENTACION DE 250 MTS DE CALLE PPAL EN CORINTO #2</t>
  </si>
  <si>
    <t>PAVIMENTACION DE 150 MTS DE CALLE PPAL DE COL VILLAS DE ZARAGOZA</t>
  </si>
  <si>
    <t>PAVIMENTACION CON MEZCLA ASFALTICA DE CALLE PPAL EN LOT.  MONTIMAR</t>
  </si>
  <si>
    <t>CONSTRUCCION DE MURO EN COL NUEVA SAN NICOLAS</t>
  </si>
  <si>
    <t>PAVIMENTACION DE 100 METROS DE CALLE EN COL SAN NICOLAS</t>
  </si>
  <si>
    <t>PAVIMENTACION DE 100 METROS DE CALLE EN CON VISTA HERMOSA #2</t>
  </si>
  <si>
    <t>ESTRUCTURA PRESUPUESTARIA PARA EL EJERCICIO 2020</t>
  </si>
  <si>
    <t>PRESUPUESTO POR RUBROS DE AGRUPACION, EJERCICIO 2020</t>
  </si>
  <si>
    <t>PRESUPUESTO MUNICIPAL DE INGRESOS 2020</t>
  </si>
  <si>
    <t>INGRESOS AÑOS ANTERIORES</t>
  </si>
  <si>
    <t>PROYECCION</t>
  </si>
  <si>
    <t xml:space="preserve">                                                                                                                                                 </t>
  </si>
  <si>
    <t>Contribucion Especial</t>
  </si>
  <si>
    <t>Ejercicio 2020</t>
  </si>
  <si>
    <t>Saldo al 19/12/2019</t>
  </si>
  <si>
    <t>Saldo estimado al 31/11/2019</t>
  </si>
  <si>
    <t>01/01/202019</t>
  </si>
  <si>
    <t>EJERCICIO 2020</t>
  </si>
  <si>
    <t>Contribuciones Especiales</t>
  </si>
  <si>
    <t>Rec.Mora 5%</t>
  </si>
  <si>
    <t>Transfer. de Capital del Sector Públ. 2%</t>
  </si>
  <si>
    <t>Transfer. de Capital del Sector Públ. 8%</t>
  </si>
  <si>
    <t>PROGRAMA DE FOMENTO Y APOYO AL DEPORTE ZARAGOZA  2020</t>
  </si>
  <si>
    <t>RECOLEC. TRANSPORTE Y DISPOS.FINAL DESECHOS SOLIDOS 2020</t>
  </si>
  <si>
    <t>PROYECTOS DE INFRAESTRUCTURA</t>
  </si>
  <si>
    <t xml:space="preserve">CELEBR. DE FIESTAS DIA DE LA MADRE, DEL MAESTRO Y FIESTAS NAVIDEÑAS </t>
  </si>
  <si>
    <t>COLOCACION DE MEZCLA ASFALTICA C.PPAL. CRIO. EL NANCE CTON. GUADALUPE</t>
  </si>
  <si>
    <t>PAV. CON MEZCLA ASFALTICA DE 200 METROS EN COL SAN ANTONIO #1</t>
  </si>
  <si>
    <t>PAVIM. CON CONCR.HIDRAULICO DE 150 MTS DE CALLE EN C/ PPAL EL FRUTAL</t>
  </si>
  <si>
    <t>PAV. DE 105M. CON CONC. HIDRAULICO DE LA CALLE PPAL COL MIRAMAR</t>
  </si>
  <si>
    <t>T O T A L   D E   E G R E S O S   F O D E S   7 5 %   2 0 2 0</t>
  </si>
  <si>
    <t>COLOC. DE MEZC. ASF. ESP.2CM C.PPAL. CRIO. EL JIOTE CTON. GUADALUPE</t>
  </si>
  <si>
    <t>PAV. 250M. CON MEZCLA ASFALTICA CRIO EL NANCE, SECTOR SUR, EL CARAO</t>
  </si>
  <si>
    <t>202 - SERVICIOS JURIDICOS</t>
  </si>
  <si>
    <t>PROGRAMA DE APOYO AL TURISMO</t>
  </si>
  <si>
    <t>PLAN BACHEO URBANO 2020</t>
  </si>
  <si>
    <t>AMPLIACION DE PLAZA COMERCIAL MUNICIPAL</t>
  </si>
  <si>
    <t>DISPONIBILIDAD ANUAL FODES 75%</t>
  </si>
  <si>
    <t>REPARACION DE CALLE PPAL. SANTA TERESA</t>
  </si>
  <si>
    <t>Vehículos de Transporte (61105)</t>
  </si>
  <si>
    <t>CAMBIO DE TECHO DE PALACIO MUNICIPAL</t>
  </si>
  <si>
    <t>(+2% INCREMENTO FODES $32,708.10  X  12 meses)</t>
  </si>
  <si>
    <t>FODES 8% =  $ 69,369.79 X 12 = 832,437.48 + 63,630.80 + 25884.37=</t>
  </si>
  <si>
    <t>PROYECTOS CON INCREMENTO DEL 2% DEL FODES         ($ 392,497.20)</t>
  </si>
  <si>
    <t>BALASTREADO Y MANTENIMIENTO DE CALLES RURALES DEL MUNICIPIO</t>
  </si>
  <si>
    <t>PROGRAMA DE FORTALECIMIENTO A LOS DERECHOS DE LA MUJER</t>
  </si>
  <si>
    <t>MODALIDAD: POR ADMINISTRACION</t>
  </si>
  <si>
    <t>BECAS</t>
  </si>
  <si>
    <t>LIBROS, TEXTOS Y UTILES DE ENSEÑANZA</t>
  </si>
  <si>
    <t>ING. POR CONTRIB. ESPECIALES</t>
  </si>
  <si>
    <t>CUENTAS POR COBRAR DE AÑOS ANT.</t>
  </si>
  <si>
    <t>ATENCIONES OFICIALES</t>
  </si>
  <si>
    <t>54107</t>
  </si>
  <si>
    <t>54119</t>
  </si>
  <si>
    <t>OBRAS DE MITIG. DE RIESGO EN ZONAS AFECT. POR LA EMERG. DE LAS LLUVIAS 2019 FODES 75%</t>
  </si>
  <si>
    <t>Saldo al 18/12/2019</t>
  </si>
  <si>
    <t>Amortiz. Estimada dic./2019</t>
  </si>
  <si>
    <t>pend</t>
  </si>
  <si>
    <t>54304</t>
  </si>
  <si>
    <t>54110</t>
  </si>
  <si>
    <t>Combustible y lubricantes</t>
  </si>
  <si>
    <t>Servicios generales</t>
  </si>
  <si>
    <t>Servicios Generales y arrendamientos</t>
  </si>
  <si>
    <t>Combustible</t>
  </si>
  <si>
    <t>Herramientas, repuestos, accesorios</t>
  </si>
  <si>
    <t>Saldo al 09/12/2019</t>
  </si>
  <si>
    <t>REPARACION DE PASAJE EN COL EL MIRADOR</t>
  </si>
  <si>
    <t>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</si>
</sst>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 [$$-300A]\ * #,##0.00_ ;_ [$$-300A]\ * \-#,##0.00_ ;_ [$$-300A]\ * &quot;-&quot;??_ ;_ @_ "/>
    <numFmt numFmtId="168" formatCode="_-[$€-2]* #,##0.00_-;\-[$€-2]* #,##0.00_-;_-[$€-2]* &quot;-&quot;??_-"/>
    <numFmt numFmtId="169" formatCode="_-[$$-340A]\ * #,##0.00_-;\-[$$-340A]\ * #,##0.00_-;_-[$$-340A]\ * &quot;-&quot;??_-;_-@_-"/>
    <numFmt numFmtId="170" formatCode="_([$$-440A]* #,##0.00_);_([$$-440A]* \(#,##0.00\);_([$$-440A]* &quot;-&quot;??_);_(@_)"/>
    <numFmt numFmtId="171" formatCode="_-[$$-440A]* #,##0.00_ ;_-[$$-440A]* \-#,##0.00\ ;_-[$$-440A]* &quot;-&quot;??_ ;_-@_ "/>
    <numFmt numFmtId="172" formatCode="_-[$$-440A]* #,##0.00_-;\-[$$-440A]* #,##0.00_-;_-[$$-440A]* &quot;-&quot;??_-;_-@_-"/>
  </numFmts>
  <fonts count="10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b/>
      <u val="doubleAccounting"/>
      <sz val="12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Arial"/>
      <family val="2"/>
    </font>
    <font>
      <b/>
      <u val="singleAccounting"/>
      <sz val="14"/>
      <name val="Arial"/>
      <family val="2"/>
    </font>
    <font>
      <b/>
      <u/>
      <sz val="14"/>
      <name val="Arial"/>
      <family val="2"/>
    </font>
    <font>
      <sz val="72"/>
      <name val="Arial"/>
      <family val="2"/>
    </font>
    <font>
      <sz val="10"/>
      <name val="Arial"/>
      <family val="2"/>
    </font>
    <font>
      <b/>
      <sz val="16"/>
      <name val="Cambria"/>
      <family val="1"/>
      <scheme val="major"/>
    </font>
    <font>
      <b/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mbria"/>
      <family val="1"/>
    </font>
    <font>
      <b/>
      <sz val="10"/>
      <name val="Cambria"/>
      <family val="1"/>
    </font>
    <font>
      <sz val="12"/>
      <name val="Cambria"/>
      <family val="1"/>
    </font>
    <font>
      <b/>
      <u val="doubleAccounting"/>
      <sz val="12"/>
      <name val="Cambria"/>
      <family val="1"/>
    </font>
    <font>
      <sz val="10"/>
      <name val="Cambria"/>
      <family val="1"/>
    </font>
    <font>
      <sz val="11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b/>
      <u val="singleAccounting"/>
      <sz val="14"/>
      <name val="Cambria"/>
      <family val="1"/>
      <scheme val="major"/>
    </font>
    <font>
      <sz val="6"/>
      <name val="Arial"/>
      <family val="2"/>
    </font>
    <font>
      <sz val="10"/>
      <color theme="1"/>
      <name val="Cambria"/>
      <family val="1"/>
      <scheme val="major"/>
    </font>
    <font>
      <sz val="10"/>
      <color theme="1"/>
      <name val="Arial"/>
      <family val="2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9"/>
      <name val="Cambria"/>
      <family val="1"/>
      <scheme val="major"/>
    </font>
    <font>
      <b/>
      <sz val="10"/>
      <color theme="1"/>
      <name val="Arial"/>
      <family val="2"/>
    </font>
    <font>
      <b/>
      <sz val="10"/>
      <color theme="1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b/>
      <sz val="8"/>
      <color theme="1"/>
      <name val="Cambria"/>
      <family val="1"/>
      <scheme val="major"/>
    </font>
    <font>
      <b/>
      <sz val="6"/>
      <name val="Arial"/>
      <family val="2"/>
    </font>
    <font>
      <b/>
      <u val="singleAccounting"/>
      <sz val="10"/>
      <name val="Arial"/>
      <family val="2"/>
    </font>
    <font>
      <b/>
      <sz val="8"/>
      <name val="Cambria"/>
      <family val="1"/>
      <scheme val="major"/>
    </font>
    <font>
      <b/>
      <u val="doubleAccounting"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5"/>
      <name val="Arial"/>
      <family val="2"/>
    </font>
    <font>
      <sz val="14"/>
      <name val="Cambria"/>
      <family val="1"/>
      <scheme val="major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u/>
      <sz val="10"/>
      <color theme="1"/>
      <name val="Arial"/>
      <family val="2"/>
    </font>
    <font>
      <u val="doubleAccounting"/>
      <sz val="11"/>
      <name val="Arial"/>
      <family val="2"/>
    </font>
    <font>
      <u val="singleAccounting"/>
      <sz val="8"/>
      <name val="Cambria"/>
      <family val="1"/>
      <scheme val="major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u val="doubleAccounting"/>
      <sz val="9"/>
      <name val="Cambria"/>
      <family val="1"/>
      <scheme val="major"/>
    </font>
    <font>
      <sz val="12"/>
      <color theme="0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u val="singleAccounting"/>
      <sz val="10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color rgb="FFFF0000"/>
      <name val="Cambria"/>
      <family val="1"/>
      <scheme val="maj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0"/>
      <name val="Cambria"/>
      <family val="1"/>
      <scheme val="major"/>
    </font>
    <font>
      <b/>
      <sz val="8"/>
      <color theme="0"/>
      <name val="Cambria"/>
      <family val="1"/>
      <scheme val="major"/>
    </font>
    <font>
      <b/>
      <sz val="8"/>
      <color theme="0"/>
      <name val="Arial"/>
      <family val="2"/>
    </font>
    <font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/>
      <name val="Arial"/>
      <family val="2"/>
    </font>
    <font>
      <u val="singleAccounting"/>
      <sz val="10"/>
      <color theme="0"/>
      <name val="Arial"/>
      <family val="2"/>
    </font>
    <font>
      <sz val="9"/>
      <color theme="0"/>
      <name val="Arial"/>
      <family val="2"/>
    </font>
    <font>
      <sz val="14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40000610370189521"/>
        </stop>
      </gradientFill>
    </fill>
    <fill>
      <patternFill patternType="solid">
        <fgColor theme="0"/>
        <bgColor indexed="64"/>
      </patternFill>
    </fill>
    <fill>
      <patternFill patternType="solid">
        <fgColor rgb="FF87C15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A6DE4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5"/>
      </right>
      <top/>
      <bottom/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168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3" fillId="0" borderId="0"/>
    <xf numFmtId="165" fontId="28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940">
    <xf numFmtId="0" fontId="0" fillId="0" borderId="0" xfId="0"/>
    <xf numFmtId="49" fontId="4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0" fontId="7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167" fontId="4" fillId="2" borderId="9" xfId="5" applyNumberFormat="1" applyFont="1" applyFill="1" applyBorder="1" applyAlignment="1">
      <alignment horizontal="right"/>
    </xf>
    <xf numFmtId="167" fontId="4" fillId="2" borderId="2" xfId="5" applyNumberFormat="1" applyFont="1" applyFill="1" applyBorder="1" applyAlignment="1">
      <alignment horizontal="right"/>
    </xf>
    <xf numFmtId="49" fontId="4" fillId="2" borderId="11" xfId="0" applyNumberFormat="1" applyFont="1" applyFill="1" applyBorder="1" applyAlignment="1">
      <alignment horizontal="center"/>
    </xf>
    <xf numFmtId="167" fontId="4" fillId="2" borderId="3" xfId="5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vertical="center"/>
    </xf>
    <xf numFmtId="0" fontId="1" fillId="0" borderId="0" xfId="0" applyFont="1"/>
    <xf numFmtId="49" fontId="1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14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164" fontId="1" fillId="2" borderId="0" xfId="5" applyNumberFormat="1" applyFill="1" applyAlignment="1">
      <alignment horizontal="right"/>
    </xf>
    <xf numFmtId="0" fontId="6" fillId="2" borderId="0" xfId="0" applyFont="1" applyFill="1"/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" fillId="0" borderId="0" xfId="0" applyFont="1" applyAlignment="1">
      <alignment wrapText="1"/>
    </xf>
    <xf numFmtId="49" fontId="9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8" fillId="0" borderId="0" xfId="0" applyFont="1"/>
    <xf numFmtId="4" fontId="18" fillId="0" borderId="0" xfId="0" applyNumberFormat="1" applyFont="1"/>
    <xf numFmtId="0" fontId="18" fillId="0" borderId="7" xfId="0" applyFont="1" applyBorder="1"/>
    <xf numFmtId="0" fontId="18" fillId="0" borderId="8" xfId="0" applyFont="1" applyBorder="1"/>
    <xf numFmtId="0" fontId="18" fillId="0" borderId="6" xfId="0" applyFont="1" applyBorder="1"/>
    <xf numFmtId="0" fontId="18" fillId="0" borderId="1" xfId="0" applyFont="1" applyBorder="1"/>
    <xf numFmtId="4" fontId="18" fillId="0" borderId="8" xfId="0" applyNumberFormat="1" applyFont="1" applyBorder="1" applyAlignment="1">
      <alignment horizontal="center"/>
    </xf>
    <xf numFmtId="4" fontId="18" fillId="0" borderId="3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4" fontId="18" fillId="0" borderId="28" xfId="0" applyNumberFormat="1" applyFont="1" applyBorder="1" applyAlignment="1">
      <alignment horizontal="center"/>
    </xf>
    <xf numFmtId="14" fontId="18" fillId="0" borderId="6" xfId="0" applyNumberFormat="1" applyFont="1" applyBorder="1"/>
    <xf numFmtId="170" fontId="18" fillId="0" borderId="1" xfId="5" applyNumberFormat="1" applyFont="1" applyBorder="1"/>
    <xf numFmtId="170" fontId="18" fillId="0" borderId="28" xfId="5" applyNumberFormat="1" applyFont="1" applyBorder="1"/>
    <xf numFmtId="170" fontId="20" fillId="0" borderId="1" xfId="5" applyNumberFormat="1" applyFont="1" applyBorder="1"/>
    <xf numFmtId="14" fontId="18" fillId="0" borderId="23" xfId="0" applyNumberFormat="1" applyFont="1" applyBorder="1"/>
    <xf numFmtId="0" fontId="20" fillId="0" borderId="13" xfId="0" applyFont="1" applyBorder="1"/>
    <xf numFmtId="170" fontId="21" fillId="0" borderId="13" xfId="5" applyNumberFormat="1" applyFont="1" applyBorder="1"/>
    <xf numFmtId="170" fontId="18" fillId="0" borderId="24" xfId="5" applyNumberFormat="1" applyFont="1" applyBorder="1"/>
    <xf numFmtId="0" fontId="18" fillId="0" borderId="0" xfId="0" applyFont="1" applyAlignment="1">
      <alignment horizontal="right"/>
    </xf>
    <xf numFmtId="0" fontId="18" fillId="0" borderId="25" xfId="0" applyFont="1" applyBorder="1"/>
    <xf numFmtId="0" fontId="18" fillId="0" borderId="26" xfId="0" applyFont="1" applyBorder="1"/>
    <xf numFmtId="4" fontId="18" fillId="0" borderId="27" xfId="0" applyNumberFormat="1" applyFont="1" applyBorder="1"/>
    <xf numFmtId="0" fontId="20" fillId="0" borderId="0" xfId="0" applyFont="1"/>
    <xf numFmtId="4" fontId="20" fillId="0" borderId="0" xfId="0" applyNumberFormat="1" applyFont="1"/>
    <xf numFmtId="10" fontId="20" fillId="0" borderId="0" xfId="0" quotePrefix="1" applyNumberFormat="1" applyFont="1" applyAlignment="1">
      <alignment horizontal="right"/>
    </xf>
    <xf numFmtId="170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44" fontId="8" fillId="0" borderId="1" xfId="5" applyNumberFormat="1" applyFont="1" applyBorder="1" applyAlignment="1">
      <alignment horizontal="center" vertical="center"/>
    </xf>
    <xf numFmtId="44" fontId="8" fillId="6" borderId="14" xfId="5" applyNumberFormat="1" applyFont="1" applyFill="1" applyBorder="1" applyAlignment="1">
      <alignment horizontal="center" vertical="center"/>
    </xf>
    <xf numFmtId="44" fontId="8" fillId="6" borderId="16" xfId="5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170" fontId="1" fillId="2" borderId="0" xfId="5" applyNumberFormat="1" applyFill="1" applyAlignment="1">
      <alignment horizontal="right" vertical="center"/>
    </xf>
    <xf numFmtId="166" fontId="0" fillId="0" borderId="0" xfId="5" applyFont="1"/>
    <xf numFmtId="0" fontId="6" fillId="0" borderId="0" xfId="0" applyFont="1" applyAlignment="1">
      <alignment vertical="center"/>
    </xf>
    <xf numFmtId="170" fontId="1" fillId="0" borderId="0" xfId="0" applyNumberFormat="1" applyFont="1" applyAlignment="1">
      <alignment vertical="center" wrapText="1"/>
    </xf>
    <xf numFmtId="166" fontId="13" fillId="2" borderId="0" xfId="0" applyNumberFormat="1" applyFont="1" applyFill="1" applyAlignment="1">
      <alignment vertical="center"/>
    </xf>
    <xf numFmtId="16" fontId="18" fillId="0" borderId="6" xfId="0" applyNumberFormat="1" applyFont="1" applyBorder="1" applyAlignment="1">
      <alignment horizontal="center"/>
    </xf>
    <xf numFmtId="14" fontId="18" fillId="0" borderId="0" xfId="0" applyNumberFormat="1" applyFont="1"/>
    <xf numFmtId="49" fontId="9" fillId="0" borderId="0" xfId="0" applyNumberFormat="1" applyFont="1"/>
    <xf numFmtId="166" fontId="1" fillId="0" borderId="0" xfId="5"/>
    <xf numFmtId="166" fontId="8" fillId="0" borderId="0" xfId="5" applyFont="1" applyAlignment="1">
      <alignment horizontal="center"/>
    </xf>
    <xf numFmtId="0" fontId="8" fillId="0" borderId="0" xfId="0" applyFont="1" applyAlignment="1">
      <alignment horizontal="left" indent="7"/>
    </xf>
    <xf numFmtId="166" fontId="18" fillId="0" borderId="0" xfId="5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166" fontId="1" fillId="0" borderId="1" xfId="5" applyBorder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0" xfId="0" applyFont="1" applyAlignment="1">
      <alignment horizontal="left" indent="1"/>
    </xf>
    <xf numFmtId="166" fontId="8" fillId="0" borderId="37" xfId="0" applyNumberFormat="1" applyFont="1" applyBorder="1"/>
    <xf numFmtId="166" fontId="8" fillId="0" borderId="38" xfId="0" applyNumberFormat="1" applyFont="1" applyBorder="1"/>
    <xf numFmtId="0" fontId="1" fillId="0" borderId="48" xfId="0" applyFont="1" applyBorder="1" applyAlignment="1">
      <alignment horizontal="left" indent="1"/>
    </xf>
    <xf numFmtId="170" fontId="8" fillId="2" borderId="0" xfId="0" applyNumberFormat="1" applyFont="1" applyFill="1" applyAlignment="1">
      <alignment vertical="center"/>
    </xf>
    <xf numFmtId="166" fontId="8" fillId="2" borderId="0" xfId="5" applyFont="1" applyFill="1"/>
    <xf numFmtId="0" fontId="8" fillId="0" borderId="1" xfId="0" applyFont="1" applyBorder="1" applyAlignment="1">
      <alignment horizontal="center"/>
    </xf>
    <xf numFmtId="166" fontId="0" fillId="0" borderId="1" xfId="5" applyFont="1" applyBorder="1"/>
    <xf numFmtId="0" fontId="8" fillId="0" borderId="8" xfId="0" applyFont="1" applyBorder="1" applyAlignment="1">
      <alignment horizontal="center"/>
    </xf>
    <xf numFmtId="166" fontId="0" fillId="0" borderId="8" xfId="5" applyFont="1" applyBorder="1"/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9" fontId="8" fillId="0" borderId="37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0" fillId="0" borderId="11" xfId="5" applyFont="1" applyBorder="1"/>
    <xf numFmtId="0" fontId="1" fillId="0" borderId="36" xfId="0" applyFont="1" applyBorder="1"/>
    <xf numFmtId="166" fontId="8" fillId="0" borderId="37" xfId="5" applyFont="1" applyBorder="1"/>
    <xf numFmtId="166" fontId="8" fillId="0" borderId="38" xfId="5" applyFont="1" applyBorder="1"/>
    <xf numFmtId="0" fontId="10" fillId="0" borderId="0" xfId="0" applyFont="1"/>
    <xf numFmtId="49" fontId="1" fillId="2" borderId="0" xfId="0" applyNumberFormat="1" applyFont="1" applyFill="1" applyAlignment="1">
      <alignment horizontal="justify" vertical="center"/>
    </xf>
    <xf numFmtId="49" fontId="1" fillId="2" borderId="0" xfId="0" applyNumberFormat="1" applyFont="1" applyFill="1" applyAlignment="1">
      <alignment horizontal="justify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6" fontId="18" fillId="0" borderId="54" xfId="5" applyFont="1" applyBorder="1"/>
    <xf numFmtId="166" fontId="11" fillId="2" borderId="0" xfId="5" applyFont="1" applyFill="1"/>
    <xf numFmtId="166" fontId="11" fillId="2" borderId="54" xfId="5" applyFont="1" applyFill="1" applyBorder="1"/>
    <xf numFmtId="167" fontId="1" fillId="0" borderId="0" xfId="0" applyNumberFormat="1" applyFont="1"/>
    <xf numFmtId="166" fontId="1" fillId="2" borderId="0" xfId="5" applyFill="1" applyAlignment="1">
      <alignment vertical="center"/>
    </xf>
    <xf numFmtId="166" fontId="1" fillId="2" borderId="0" xfId="5" applyFill="1" applyAlignment="1">
      <alignment horizontal="justify" vertical="center"/>
    </xf>
    <xf numFmtId="166" fontId="1" fillId="2" borderId="54" xfId="5" applyFill="1" applyBorder="1" applyAlignment="1">
      <alignment horizontal="justify" vertical="center"/>
    </xf>
    <xf numFmtId="166" fontId="11" fillId="2" borderId="46" xfId="5" applyFont="1" applyFill="1" applyBorder="1"/>
    <xf numFmtId="170" fontId="1" fillId="0" borderId="0" xfId="0" applyNumberFormat="1" applyFont="1"/>
    <xf numFmtId="0" fontId="4" fillId="0" borderId="0" xfId="0" applyFont="1"/>
    <xf numFmtId="0" fontId="2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left"/>
    </xf>
    <xf numFmtId="166" fontId="7" fillId="0" borderId="0" xfId="5" applyFont="1"/>
    <xf numFmtId="0" fontId="10" fillId="0" borderId="2" xfId="0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56" xfId="0" applyFont="1" applyFill="1" applyBorder="1" applyAlignment="1">
      <alignment horizontal="left"/>
    </xf>
    <xf numFmtId="0" fontId="0" fillId="10" borderId="0" xfId="0" applyFill="1"/>
    <xf numFmtId="166" fontId="1" fillId="9" borderId="16" xfId="5" applyFill="1" applyBorder="1"/>
    <xf numFmtId="0" fontId="0" fillId="0" borderId="46" xfId="0" applyBorder="1"/>
    <xf numFmtId="166" fontId="1" fillId="0" borderId="46" xfId="5" applyBorder="1"/>
    <xf numFmtId="170" fontId="1" fillId="0" borderId="0" xfId="0" applyNumberFormat="1" applyFont="1" applyAlignment="1">
      <alignment wrapText="1"/>
    </xf>
    <xf numFmtId="0" fontId="10" fillId="0" borderId="57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166" fontId="0" fillId="0" borderId="46" xfId="5" applyFont="1" applyBorder="1"/>
    <xf numFmtId="164" fontId="0" fillId="0" borderId="46" xfId="0" applyNumberFormat="1" applyBorder="1"/>
    <xf numFmtId="166" fontId="0" fillId="0" borderId="46" xfId="0" applyNumberFormat="1" applyBorder="1"/>
    <xf numFmtId="166" fontId="0" fillId="0" borderId="54" xfId="0" applyNumberFormat="1" applyBorder="1"/>
    <xf numFmtId="0" fontId="8" fillId="0" borderId="0" xfId="0" applyFont="1"/>
    <xf numFmtId="166" fontId="8" fillId="0" borderId="0" xfId="5" applyFont="1"/>
    <xf numFmtId="170" fontId="10" fillId="0" borderId="0" xfId="0" applyNumberFormat="1" applyFont="1" applyAlignment="1">
      <alignment vertical="center"/>
    </xf>
    <xf numFmtId="166" fontId="1" fillId="0" borderId="0" xfId="0" applyNumberFormat="1" applyFont="1"/>
    <xf numFmtId="167" fontId="4" fillId="2" borderId="18" xfId="5" applyNumberFormat="1" applyFont="1" applyFill="1" applyBorder="1" applyAlignment="1">
      <alignment horizontal="right"/>
    </xf>
    <xf numFmtId="167" fontId="4" fillId="2" borderId="56" xfId="5" applyNumberFormat="1" applyFont="1" applyFill="1" applyBorder="1" applyAlignment="1">
      <alignment horizontal="right"/>
    </xf>
    <xf numFmtId="0" fontId="4" fillId="0" borderId="57" xfId="0" applyFont="1" applyBorder="1" applyAlignment="1">
      <alignment horizontal="center" vertical="center" wrapText="1"/>
    </xf>
    <xf numFmtId="49" fontId="4" fillId="2" borderId="58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left"/>
    </xf>
    <xf numFmtId="165" fontId="8" fillId="2" borderId="0" xfId="8" applyFont="1" applyFill="1"/>
    <xf numFmtId="0" fontId="18" fillId="0" borderId="23" xfId="0" applyFont="1" applyBorder="1"/>
    <xf numFmtId="0" fontId="18" fillId="0" borderId="13" xfId="0" applyFont="1" applyBorder="1"/>
    <xf numFmtId="4" fontId="18" fillId="0" borderId="13" xfId="0" applyNumberFormat="1" applyFont="1" applyBorder="1" applyAlignment="1">
      <alignment horizontal="center"/>
    </xf>
    <xf numFmtId="4" fontId="19" fillId="0" borderId="13" xfId="0" applyNumberFormat="1" applyFont="1" applyBorder="1" applyAlignment="1">
      <alignment horizontal="center"/>
    </xf>
    <xf numFmtId="4" fontId="18" fillId="0" borderId="24" xfId="0" applyNumberFormat="1" applyFont="1" applyBorder="1" applyAlignment="1">
      <alignment horizontal="center"/>
    </xf>
    <xf numFmtId="14" fontId="18" fillId="0" borderId="7" xfId="0" applyNumberFormat="1" applyFont="1" applyBorder="1"/>
    <xf numFmtId="170" fontId="18" fillId="0" borderId="8" xfId="5" applyNumberFormat="1" applyFont="1" applyBorder="1"/>
    <xf numFmtId="170" fontId="18" fillId="0" borderId="31" xfId="5" applyNumberFormat="1" applyFont="1" applyBorder="1"/>
    <xf numFmtId="49" fontId="1" fillId="0" borderId="0" xfId="0" applyNumberFormat="1" applyFont="1" applyAlignment="1">
      <alignment horizontal="justify"/>
    </xf>
    <xf numFmtId="164" fontId="1" fillId="0" borderId="0" xfId="0" applyNumberFormat="1" applyFont="1"/>
    <xf numFmtId="0" fontId="0" fillId="0" borderId="42" xfId="0" applyBorder="1"/>
    <xf numFmtId="0" fontId="0" fillId="0" borderId="46" xfId="0" applyBorder="1" applyAlignment="1">
      <alignment horizontal="center"/>
    </xf>
    <xf numFmtId="166" fontId="0" fillId="0" borderId="47" xfId="5" applyFont="1" applyBorder="1"/>
    <xf numFmtId="0" fontId="0" fillId="0" borderId="47" xfId="0" applyBorder="1"/>
    <xf numFmtId="164" fontId="0" fillId="0" borderId="47" xfId="0" applyNumberFormat="1" applyBorder="1"/>
    <xf numFmtId="9" fontId="1" fillId="2" borderId="0" xfId="0" applyNumberFormat="1" applyFont="1" applyFill="1" applyAlignment="1">
      <alignment horizontal="center" vertical="center"/>
    </xf>
    <xf numFmtId="165" fontId="1" fillId="0" borderId="0" xfId="8" applyFont="1" applyAlignment="1">
      <alignment vertical="center" wrapText="1"/>
    </xf>
    <xf numFmtId="0" fontId="8" fillId="0" borderId="60" xfId="0" applyFont="1" applyBorder="1" applyAlignment="1">
      <alignment horizontal="center"/>
    </xf>
    <xf numFmtId="166" fontId="0" fillId="0" borderId="61" xfId="5" applyFont="1" applyBorder="1"/>
    <xf numFmtId="166" fontId="1" fillId="0" borderId="0" xfId="5" applyAlignment="1">
      <alignment wrapText="1"/>
    </xf>
    <xf numFmtId="166" fontId="11" fillId="0" borderId="0" xfId="5" applyFont="1"/>
    <xf numFmtId="164" fontId="10" fillId="0" borderId="0" xfId="0" applyNumberFormat="1" applyFont="1"/>
    <xf numFmtId="166" fontId="20" fillId="0" borderId="0" xfId="5" applyFont="1"/>
    <xf numFmtId="0" fontId="1" fillId="0" borderId="0" xfId="0" applyFont="1" applyAlignment="1">
      <alignment horizontal="center" textRotation="90"/>
    </xf>
    <xf numFmtId="0" fontId="1" fillId="0" borderId="0" xfId="0" applyFont="1" applyAlignment="1">
      <alignment horizontal="center" textRotation="90" wrapText="1"/>
    </xf>
    <xf numFmtId="0" fontId="40" fillId="0" borderId="0" xfId="0" applyFont="1" applyAlignment="1">
      <alignment wrapText="1"/>
    </xf>
    <xf numFmtId="166" fontId="1" fillId="2" borderId="0" xfId="0" applyNumberFormat="1" applyFont="1" applyFill="1"/>
    <xf numFmtId="166" fontId="1" fillId="2" borderId="0" xfId="5" applyFill="1" applyAlignment="1">
      <alignment horizontal="justify"/>
    </xf>
    <xf numFmtId="171" fontId="1" fillId="0" borderId="0" xfId="0" applyNumberFormat="1" applyFont="1" applyAlignment="1">
      <alignment wrapText="1"/>
    </xf>
    <xf numFmtId="170" fontId="18" fillId="0" borderId="0" xfId="0" applyNumberFormat="1" applyFont="1"/>
    <xf numFmtId="166" fontId="1" fillId="2" borderId="0" xfId="0" applyNumberFormat="1" applyFont="1" applyFill="1" applyAlignment="1">
      <alignment vertical="center"/>
    </xf>
    <xf numFmtId="0" fontId="11" fillId="11" borderId="36" xfId="2" applyFont="1" applyFill="1" applyBorder="1" applyAlignment="1">
      <alignment horizontal="center" vertical="center" textRotation="90" wrapText="1"/>
    </xf>
    <xf numFmtId="0" fontId="11" fillId="11" borderId="37" xfId="2" applyFont="1" applyFill="1" applyBorder="1" applyAlignment="1">
      <alignment horizontal="center" vertical="center" textRotation="90" wrapText="1"/>
    </xf>
    <xf numFmtId="0" fontId="11" fillId="11" borderId="39" xfId="2" applyFont="1" applyFill="1" applyBorder="1" applyAlignment="1">
      <alignment horizontal="center" vertical="center" textRotation="90" wrapText="1"/>
    </xf>
    <xf numFmtId="0" fontId="11" fillId="11" borderId="38" xfId="2" applyFont="1" applyFill="1" applyBorder="1" applyAlignment="1">
      <alignment horizontal="center" vertical="center" textRotation="90" wrapText="1"/>
    </xf>
    <xf numFmtId="167" fontId="25" fillId="11" borderId="14" xfId="2" applyNumberFormat="1" applyFont="1" applyFill="1" applyBorder="1" applyAlignment="1">
      <alignment horizontal="center" vertical="center"/>
    </xf>
    <xf numFmtId="4" fontId="18" fillId="0" borderId="8" xfId="0" applyNumberFormat="1" applyFont="1" applyBorder="1"/>
    <xf numFmtId="166" fontId="20" fillId="0" borderId="1" xfId="5" applyFont="1" applyBorder="1"/>
    <xf numFmtId="4" fontId="20" fillId="0" borderId="11" xfId="0" applyNumberFormat="1" applyFont="1" applyBorder="1"/>
    <xf numFmtId="166" fontId="11" fillId="8" borderId="54" xfId="5" applyFont="1" applyFill="1" applyBorder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166" fontId="44" fillId="0" borderId="0" xfId="5" applyFont="1"/>
    <xf numFmtId="164" fontId="6" fillId="0" borderId="0" xfId="0" applyNumberFormat="1" applyFont="1"/>
    <xf numFmtId="0" fontId="45" fillId="0" borderId="0" xfId="0" applyFont="1"/>
    <xf numFmtId="4" fontId="45" fillId="0" borderId="0" xfId="0" applyNumberFormat="1" applyFont="1"/>
    <xf numFmtId="0" fontId="18" fillId="0" borderId="34" xfId="0" applyFont="1" applyBorder="1"/>
    <xf numFmtId="0" fontId="46" fillId="0" borderId="0" xfId="0" applyFont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49" fontId="56" fillId="0" borderId="15" xfId="0" applyNumberFormat="1" applyFont="1" applyBorder="1" applyAlignment="1">
      <alignment vertical="center" wrapText="1"/>
    </xf>
    <xf numFmtId="49" fontId="45" fillId="0" borderId="15" xfId="0" applyNumberFormat="1" applyFont="1" applyBorder="1" applyAlignment="1">
      <alignment horizontal="center" vertical="center" wrapText="1"/>
    </xf>
    <xf numFmtId="49" fontId="45" fillId="0" borderId="15" xfId="0" applyNumberFormat="1" applyFont="1" applyBorder="1" applyAlignment="1">
      <alignment vertical="center" wrapText="1"/>
    </xf>
    <xf numFmtId="0" fontId="46" fillId="0" borderId="63" xfId="0" applyFont="1" applyBorder="1" applyAlignment="1">
      <alignment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vertical="center" wrapText="1"/>
    </xf>
    <xf numFmtId="49" fontId="56" fillId="0" borderId="3" xfId="0" applyNumberFormat="1" applyFont="1" applyBorder="1" applyAlignment="1">
      <alignment horizontal="center" vertical="center" wrapText="1"/>
    </xf>
    <xf numFmtId="49" fontId="56" fillId="0" borderId="3" xfId="0" applyNumberFormat="1" applyFont="1" applyBorder="1" applyAlignment="1">
      <alignment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49" fontId="45" fillId="0" borderId="16" xfId="0" applyNumberFormat="1" applyFont="1" applyBorder="1" applyAlignment="1">
      <alignment horizontal="center" vertical="center" wrapText="1"/>
    </xf>
    <xf numFmtId="49" fontId="45" fillId="0" borderId="16" xfId="0" applyNumberFormat="1" applyFont="1" applyBorder="1" applyAlignment="1">
      <alignment vertical="center" wrapText="1"/>
    </xf>
    <xf numFmtId="49" fontId="45" fillId="0" borderId="0" xfId="0" applyNumberFormat="1" applyFont="1" applyAlignment="1">
      <alignment horizontal="center" vertical="center" wrapText="1"/>
    </xf>
    <xf numFmtId="49" fontId="45" fillId="0" borderId="0" xfId="0" applyNumberFormat="1" applyFont="1" applyAlignment="1">
      <alignment vertical="center" wrapText="1"/>
    </xf>
    <xf numFmtId="49" fontId="45" fillId="0" borderId="0" xfId="0" applyNumberFormat="1" applyFont="1" applyAlignment="1">
      <alignment horizontal="left" vertical="center" wrapText="1"/>
    </xf>
    <xf numFmtId="49" fontId="57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right" vertical="center" wrapText="1"/>
    </xf>
    <xf numFmtId="166" fontId="8" fillId="2" borderId="0" xfId="0" applyNumberFormat="1" applyFont="1" applyFill="1" applyAlignment="1">
      <alignment vertical="center"/>
    </xf>
    <xf numFmtId="166" fontId="44" fillId="0" borderId="0" xfId="5" applyFont="1" applyAlignment="1">
      <alignment horizontal="center" textRotation="90"/>
    </xf>
    <xf numFmtId="166" fontId="2" fillId="0" borderId="0" xfId="5" applyFont="1"/>
    <xf numFmtId="166" fontId="2" fillId="0" borderId="0" xfId="0" applyNumberFormat="1" applyFont="1"/>
    <xf numFmtId="0" fontId="11" fillId="13" borderId="36" xfId="2" applyFont="1" applyFill="1" applyBorder="1" applyAlignment="1">
      <alignment horizontal="center" vertical="center" textRotation="90" wrapText="1"/>
    </xf>
    <xf numFmtId="0" fontId="11" fillId="13" borderId="37" xfId="2" applyFont="1" applyFill="1" applyBorder="1" applyAlignment="1">
      <alignment horizontal="center" vertical="center" textRotation="90" wrapText="1"/>
    </xf>
    <xf numFmtId="0" fontId="11" fillId="13" borderId="39" xfId="2" applyFont="1" applyFill="1" applyBorder="1" applyAlignment="1">
      <alignment horizontal="center" vertical="center" textRotation="90" wrapText="1"/>
    </xf>
    <xf numFmtId="0" fontId="11" fillId="13" borderId="38" xfId="2" applyFont="1" applyFill="1" applyBorder="1" applyAlignment="1">
      <alignment horizontal="center" vertical="center" textRotation="90" wrapText="1"/>
    </xf>
    <xf numFmtId="167" fontId="26" fillId="13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0" fontId="65" fillId="2" borderId="14" xfId="0" applyNumberFormat="1" applyFont="1" applyFill="1" applyBorder="1" applyAlignment="1">
      <alignment vertical="center"/>
    </xf>
    <xf numFmtId="170" fontId="24" fillId="2" borderId="0" xfId="0" applyNumberFormat="1" applyFont="1" applyFill="1" applyAlignment="1">
      <alignment vertical="center"/>
    </xf>
    <xf numFmtId="4" fontId="68" fillId="15" borderId="1" xfId="0" applyNumberFormat="1" applyFont="1" applyFill="1" applyBorder="1" applyAlignment="1">
      <alignment horizontal="center"/>
    </xf>
    <xf numFmtId="166" fontId="69" fillId="15" borderId="48" xfId="5" applyFont="1" applyFill="1" applyBorder="1"/>
    <xf numFmtId="166" fontId="70" fillId="0" borderId="0" xfId="5" applyFont="1"/>
    <xf numFmtId="44" fontId="0" fillId="0" borderId="0" xfId="0" applyNumberFormat="1"/>
    <xf numFmtId="166" fontId="0" fillId="0" borderId="0" xfId="5" applyFont="1" applyFill="1"/>
    <xf numFmtId="0" fontId="1" fillId="8" borderId="0" xfId="0" applyFont="1" applyFill="1"/>
    <xf numFmtId="166" fontId="0" fillId="8" borderId="0" xfId="5" applyFont="1" applyFill="1"/>
    <xf numFmtId="0" fontId="0" fillId="0" borderId="0" xfId="0"/>
    <xf numFmtId="0" fontId="1" fillId="0" borderId="0" xfId="0" applyFont="1" applyAlignment="1">
      <alignment horizontal="center" textRotation="90"/>
    </xf>
    <xf numFmtId="0" fontId="0" fillId="0" borderId="0" xfId="0"/>
    <xf numFmtId="166" fontId="1" fillId="0" borderId="1" xfId="5" applyFont="1" applyBorder="1" applyAlignment="1">
      <alignment horizontal="left"/>
    </xf>
    <xf numFmtId="166" fontId="54" fillId="0" borderId="1" xfId="5" applyFont="1" applyFill="1" applyBorder="1"/>
    <xf numFmtId="166" fontId="67" fillId="0" borderId="0" xfId="5" applyFont="1"/>
    <xf numFmtId="166" fontId="1" fillId="14" borderId="40" xfId="5" applyFont="1" applyFill="1" applyBorder="1"/>
    <xf numFmtId="49" fontId="1" fillId="16" borderId="0" xfId="0" applyNumberFormat="1" applyFont="1" applyFill="1" applyAlignment="1">
      <alignment horizontal="justify"/>
    </xf>
    <xf numFmtId="0" fontId="8" fillId="16" borderId="0" xfId="0" applyFont="1" applyFill="1"/>
    <xf numFmtId="164" fontId="1" fillId="16" borderId="0" xfId="0" applyNumberFormat="1" applyFont="1" applyFill="1"/>
    <xf numFmtId="0" fontId="1" fillId="16" borderId="0" xfId="0" applyFont="1" applyFill="1"/>
    <xf numFmtId="49" fontId="1" fillId="0" borderId="0" xfId="0" applyNumberFormat="1" applyFont="1" applyAlignment="1">
      <alignment horizontal="justify"/>
    </xf>
    <xf numFmtId="49" fontId="1" fillId="0" borderId="0" xfId="0" applyNumberFormat="1" applyFont="1" applyAlignment="1">
      <alignment horizontal="justify"/>
    </xf>
    <xf numFmtId="0" fontId="9" fillId="0" borderId="0" xfId="2" applyFont="1" applyFill="1" applyBorder="1" applyAlignment="1">
      <alignment horizontal="center" vertical="center"/>
    </xf>
    <xf numFmtId="170" fontId="63" fillId="0" borderId="0" xfId="5" applyNumberFormat="1" applyFont="1" applyFill="1" applyBorder="1" applyAlignment="1">
      <alignment horizontal="center" vertical="center"/>
    </xf>
    <xf numFmtId="0" fontId="0" fillId="0" borderId="0" xfId="0"/>
    <xf numFmtId="49" fontId="1" fillId="0" borderId="0" xfId="0" applyNumberFormat="1" applyFont="1" applyFill="1" applyAlignment="1">
      <alignment horizontal="justify"/>
    </xf>
    <xf numFmtId="0" fontId="8" fillId="0" borderId="0" xfId="0" applyFont="1" applyFill="1"/>
    <xf numFmtId="0" fontId="0" fillId="0" borderId="0" xfId="0"/>
    <xf numFmtId="0" fontId="0" fillId="0" borderId="0" xfId="0"/>
    <xf numFmtId="166" fontId="67" fillId="0" borderId="1" xfId="5" applyFont="1" applyFill="1" applyBorder="1"/>
    <xf numFmtId="166" fontId="67" fillId="0" borderId="48" xfId="5" applyFont="1" applyFill="1" applyBorder="1" applyAlignment="1">
      <alignment horizontal="center" vertical="center"/>
    </xf>
    <xf numFmtId="0" fontId="67" fillId="0" borderId="1" xfId="0" applyFont="1" applyBorder="1" applyAlignment="1">
      <alignment horizontal="left"/>
    </xf>
    <xf numFmtId="0" fontId="0" fillId="0" borderId="0" xfId="0"/>
    <xf numFmtId="166" fontId="72" fillId="0" borderId="1" xfId="5" applyFont="1" applyFill="1" applyBorder="1"/>
    <xf numFmtId="0" fontId="0" fillId="0" borderId="0" xfId="0"/>
    <xf numFmtId="4" fontId="18" fillId="17" borderId="1" xfId="0" applyNumberFormat="1" applyFont="1" applyFill="1" applyBorder="1"/>
    <xf numFmtId="4" fontId="18" fillId="17" borderId="47" xfId="0" applyNumberFormat="1" applyFont="1" applyFill="1" applyBorder="1"/>
    <xf numFmtId="4" fontId="69" fillId="17" borderId="1" xfId="0" applyNumberFormat="1" applyFont="1" applyFill="1" applyBorder="1"/>
    <xf numFmtId="166" fontId="69" fillId="17" borderId="1" xfId="5" applyFont="1" applyFill="1" applyBorder="1"/>
    <xf numFmtId="170" fontId="74" fillId="0" borderId="13" xfId="9" applyNumberFormat="1" applyFont="1" applyFill="1" applyBorder="1"/>
    <xf numFmtId="0" fontId="0" fillId="0" borderId="0" xfId="0"/>
    <xf numFmtId="0" fontId="66" fillId="0" borderId="1" xfId="0" applyFont="1" applyFill="1" applyBorder="1" applyAlignment="1">
      <alignment horizontal="center" vertical="center"/>
    </xf>
    <xf numFmtId="0" fontId="66" fillId="0" borderId="48" xfId="0" applyFont="1" applyFill="1" applyBorder="1"/>
    <xf numFmtId="166" fontId="62" fillId="0" borderId="48" xfId="5" applyFont="1" applyBorder="1" applyAlignment="1">
      <alignment horizontal="center" vertical="center"/>
    </xf>
    <xf numFmtId="0" fontId="33" fillId="0" borderId="0" xfId="0" applyFont="1" applyFill="1" applyAlignment="1">
      <alignment horizontal="left" vertical="center"/>
    </xf>
    <xf numFmtId="0" fontId="71" fillId="0" borderId="46" xfId="0" applyFon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 applyAlignment="1">
      <alignment horizontal="center" textRotation="90"/>
    </xf>
    <xf numFmtId="0" fontId="71" fillId="0" borderId="0" xfId="0" applyFont="1" applyBorder="1" applyAlignment="1">
      <alignment horizontal="left"/>
    </xf>
    <xf numFmtId="166" fontId="18" fillId="0" borderId="0" xfId="5" applyFont="1" applyBorder="1" applyAlignment="1">
      <alignment horizontal="left"/>
    </xf>
    <xf numFmtId="164" fontId="8" fillId="0" borderId="0" xfId="0" applyNumberFormat="1" applyFont="1"/>
    <xf numFmtId="166" fontId="24" fillId="2" borderId="46" xfId="5" applyFont="1" applyFill="1" applyBorder="1"/>
    <xf numFmtId="0" fontId="0" fillId="0" borderId="0" xfId="0"/>
    <xf numFmtId="0" fontId="1" fillId="0" borderId="0" xfId="0" applyFont="1" applyAlignment="1">
      <alignment horizontal="center" textRotation="90"/>
    </xf>
    <xf numFmtId="0" fontId="10" fillId="0" borderId="4" xfId="0" applyFont="1" applyFill="1" applyBorder="1" applyAlignment="1">
      <alignment horizontal="left"/>
    </xf>
    <xf numFmtId="170" fontId="10" fillId="0" borderId="4" xfId="0" applyNumberFormat="1" applyFont="1" applyFill="1" applyBorder="1" applyAlignment="1">
      <alignment horizontal="left"/>
    </xf>
    <xf numFmtId="170" fontId="10" fillId="0" borderId="2" xfId="0" applyNumberFormat="1" applyFont="1" applyFill="1" applyBorder="1" applyAlignment="1">
      <alignment horizontal="left"/>
    </xf>
    <xf numFmtId="170" fontId="10" fillId="0" borderId="2" xfId="5" applyNumberFormat="1" applyFont="1" applyFill="1" applyBorder="1" applyAlignment="1">
      <alignment horizontal="right" wrapText="1"/>
    </xf>
    <xf numFmtId="0" fontId="31" fillId="0" borderId="37" xfId="2" applyFont="1" applyFill="1" applyBorder="1" applyAlignment="1">
      <alignment horizontal="center" vertical="center" textRotation="90" wrapText="1"/>
    </xf>
    <xf numFmtId="0" fontId="31" fillId="0" borderId="38" xfId="2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left" vertical="center" wrapText="1"/>
    </xf>
    <xf numFmtId="0" fontId="54" fillId="0" borderId="2" xfId="0" applyFont="1" applyFill="1" applyBorder="1" applyAlignment="1">
      <alignment horizontal="left" vertical="center"/>
    </xf>
    <xf numFmtId="170" fontId="19" fillId="0" borderId="4" xfId="0" applyNumberFormat="1" applyFont="1" applyFill="1" applyBorder="1" applyAlignment="1">
      <alignment horizontal="left" vertical="center"/>
    </xf>
    <xf numFmtId="170" fontId="10" fillId="0" borderId="5" xfId="0" applyNumberFormat="1" applyFont="1" applyFill="1" applyBorder="1" applyAlignment="1">
      <alignment horizontal="left"/>
    </xf>
    <xf numFmtId="170" fontId="19" fillId="0" borderId="10" xfId="0" applyNumberFormat="1" applyFont="1" applyFill="1" applyBorder="1" applyAlignment="1">
      <alignment horizontal="left" vertical="center"/>
    </xf>
    <xf numFmtId="170" fontId="19" fillId="0" borderId="9" xfId="5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justify" vertical="center" wrapText="1"/>
    </xf>
    <xf numFmtId="166" fontId="18" fillId="0" borderId="9" xfId="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justify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166" fontId="18" fillId="0" borderId="2" xfId="5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justify" vertical="center" wrapText="1"/>
    </xf>
    <xf numFmtId="166" fontId="18" fillId="0" borderId="56" xfId="5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justify" vertical="center" wrapText="1"/>
    </xf>
    <xf numFmtId="166" fontId="18" fillId="0" borderId="15" xfId="5" applyFont="1" applyFill="1" applyBorder="1" applyAlignment="1">
      <alignment horizontal="center" vertical="center"/>
    </xf>
    <xf numFmtId="166" fontId="77" fillId="0" borderId="0" xfId="0" applyNumberFormat="1" applyFont="1"/>
    <xf numFmtId="164" fontId="78" fillId="0" borderId="0" xfId="0" applyNumberFormat="1" applyFont="1"/>
    <xf numFmtId="0" fontId="78" fillId="0" borderId="0" xfId="0" applyFont="1"/>
    <xf numFmtId="0" fontId="78" fillId="0" borderId="0" xfId="5" applyNumberFormat="1" applyFont="1" applyAlignment="1">
      <alignment horizontal="center"/>
    </xf>
    <xf numFmtId="172" fontId="78" fillId="0" borderId="0" xfId="0" applyNumberFormat="1" applyFont="1"/>
    <xf numFmtId="0" fontId="78" fillId="0" borderId="0" xfId="0" applyNumberFormat="1" applyFont="1" applyAlignment="1">
      <alignment horizontal="center"/>
    </xf>
    <xf numFmtId="166" fontId="78" fillId="0" borderId="0" xfId="0" applyNumberFormat="1" applyFont="1"/>
    <xf numFmtId="170" fontId="78" fillId="0" borderId="0" xfId="0" applyNumberFormat="1" applyFont="1"/>
    <xf numFmtId="0" fontId="78" fillId="0" borderId="0" xfId="0" applyNumberFormat="1" applyFont="1"/>
    <xf numFmtId="0" fontId="0" fillId="0" borderId="0" xfId="0" applyFill="1"/>
    <xf numFmtId="166" fontId="44" fillId="0" borderId="0" xfId="5" applyFont="1" applyFill="1"/>
    <xf numFmtId="0" fontId="27" fillId="0" borderId="0" xfId="0" applyFont="1" applyAlignment="1">
      <alignment horizontal="center" vertical="center"/>
    </xf>
    <xf numFmtId="166" fontId="44" fillId="8" borderId="0" xfId="5" applyFont="1" applyFill="1"/>
    <xf numFmtId="0" fontId="0" fillId="8" borderId="0" xfId="0" applyFill="1"/>
    <xf numFmtId="166" fontId="70" fillId="8" borderId="0" xfId="5" applyFont="1" applyFill="1"/>
    <xf numFmtId="0" fontId="2" fillId="0" borderId="0" xfId="0" applyFont="1"/>
    <xf numFmtId="166" fontId="2" fillId="8" borderId="0" xfId="5" applyFont="1" applyFill="1"/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/>
    </xf>
    <xf numFmtId="0" fontId="2" fillId="8" borderId="0" xfId="0" applyFont="1" applyFill="1"/>
    <xf numFmtId="0" fontId="54" fillId="0" borderId="30" xfId="0" applyFont="1" applyBorder="1" applyAlignment="1">
      <alignment horizontal="left" vertical="center" wrapText="1"/>
    </xf>
    <xf numFmtId="0" fontId="54" fillId="0" borderId="15" xfId="0" applyFont="1" applyBorder="1" applyAlignment="1">
      <alignment horizontal="left" vertical="center" wrapText="1"/>
    </xf>
    <xf numFmtId="170" fontId="54" fillId="0" borderId="15" xfId="0" applyNumberFormat="1" applyFont="1" applyBorder="1" applyAlignment="1">
      <alignment horizontal="left" vertical="center" wrapText="1"/>
    </xf>
    <xf numFmtId="166" fontId="54" fillId="0" borderId="30" xfId="5" applyFont="1" applyFill="1" applyBorder="1" applyAlignment="1">
      <alignment horizontal="left" vertical="center" wrapText="1"/>
    </xf>
    <xf numFmtId="166" fontId="54" fillId="0" borderId="45" xfId="5" applyFont="1" applyBorder="1" applyAlignment="1">
      <alignment horizontal="left" vertical="center" wrapText="1"/>
    </xf>
    <xf numFmtId="170" fontId="54" fillId="0" borderId="15" xfId="0" applyNumberFormat="1" applyFont="1" applyFill="1" applyBorder="1" applyAlignment="1">
      <alignment horizontal="left" vertical="center" wrapText="1"/>
    </xf>
    <xf numFmtId="166" fontId="54" fillId="0" borderId="15" xfId="5" applyFont="1" applyBorder="1" applyAlignment="1">
      <alignment horizontal="left" vertical="center" wrapText="1"/>
    </xf>
    <xf numFmtId="166" fontId="54" fillId="0" borderId="30" xfId="5" applyFont="1" applyBorder="1" applyAlignment="1">
      <alignment horizontal="left" vertical="center" wrapText="1"/>
    </xf>
    <xf numFmtId="166" fontId="54" fillId="0" borderId="0" xfId="5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 wrapText="1"/>
    </xf>
    <xf numFmtId="166" fontId="67" fillId="0" borderId="16" xfId="5" applyFont="1" applyBorder="1"/>
    <xf numFmtId="166" fontId="41" fillId="0" borderId="10" xfId="5" applyFont="1" applyFill="1" applyBorder="1" applyAlignment="1">
      <alignment horizontal="left"/>
    </xf>
    <xf numFmtId="167" fontId="41" fillId="0" borderId="9" xfId="5" applyNumberFormat="1" applyFont="1" applyFill="1" applyBorder="1" applyAlignment="1">
      <alignment horizontal="right"/>
    </xf>
    <xf numFmtId="0" fontId="0" fillId="0" borderId="0" xfId="0"/>
    <xf numFmtId="0" fontId="61" fillId="18" borderId="29" xfId="0" applyFont="1" applyFill="1" applyBorder="1" applyAlignment="1">
      <alignment horizontal="center" vertical="center" wrapText="1"/>
    </xf>
    <xf numFmtId="0" fontId="61" fillId="18" borderId="14" xfId="0" applyFont="1" applyFill="1" applyBorder="1" applyAlignment="1">
      <alignment horizontal="center" vertical="center" wrapText="1"/>
    </xf>
    <xf numFmtId="0" fontId="61" fillId="18" borderId="40" xfId="0" applyFont="1" applyFill="1" applyBorder="1" applyAlignment="1">
      <alignment horizontal="center" vertical="center" wrapText="1"/>
    </xf>
    <xf numFmtId="0" fontId="23" fillId="18" borderId="14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/>
    </xf>
    <xf numFmtId="0" fontId="31" fillId="0" borderId="36" xfId="2" applyFont="1" applyFill="1" applyBorder="1" applyAlignment="1">
      <alignment horizontal="center" vertical="center" textRotation="90" wrapText="1"/>
    </xf>
    <xf numFmtId="0" fontId="31" fillId="0" borderId="39" xfId="2" applyFont="1" applyFill="1" applyBorder="1" applyAlignment="1">
      <alignment horizontal="center" vertical="center" textRotation="90" wrapText="1"/>
    </xf>
    <xf numFmtId="0" fontId="33" fillId="0" borderId="7" xfId="0" applyFont="1" applyFill="1" applyBorder="1" applyAlignment="1">
      <alignment horizontal="center"/>
    </xf>
    <xf numFmtId="49" fontId="33" fillId="0" borderId="8" xfId="0" applyNumberFormat="1" applyFont="1" applyFill="1" applyBorder="1" applyAlignment="1">
      <alignment horizontal="center"/>
    </xf>
    <xf numFmtId="49" fontId="33" fillId="0" borderId="9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left"/>
    </xf>
    <xf numFmtId="170" fontId="33" fillId="0" borderId="9" xfId="5" applyNumberFormat="1" applyFont="1" applyFill="1" applyBorder="1" applyAlignment="1">
      <alignment horizontal="right"/>
    </xf>
    <xf numFmtId="0" fontId="33" fillId="0" borderId="6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left"/>
    </xf>
    <xf numFmtId="170" fontId="33" fillId="0" borderId="2" xfId="5" applyNumberFormat="1" applyFont="1" applyFill="1" applyBorder="1" applyAlignment="1">
      <alignment horizontal="right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/>
    </xf>
    <xf numFmtId="170" fontId="33" fillId="0" borderId="1" xfId="5" applyNumberFormat="1" applyFont="1" applyFill="1" applyBorder="1" applyAlignment="1">
      <alignment horizontal="right"/>
    </xf>
    <xf numFmtId="170" fontId="43" fillId="0" borderId="16" xfId="5" applyNumberFormat="1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/>
    </xf>
    <xf numFmtId="49" fontId="33" fillId="0" borderId="8" xfId="0" applyNumberFormat="1" applyFont="1" applyBorder="1" applyAlignment="1">
      <alignment horizontal="center"/>
    </xf>
    <xf numFmtId="49" fontId="33" fillId="0" borderId="9" xfId="0" applyNumberFormat="1" applyFont="1" applyBorder="1" applyAlignment="1">
      <alignment horizontal="center"/>
    </xf>
    <xf numFmtId="0" fontId="33" fillId="0" borderId="10" xfId="0" applyFont="1" applyBorder="1" applyAlignment="1">
      <alignment horizontal="left" vertical="center"/>
    </xf>
    <xf numFmtId="170" fontId="33" fillId="0" borderId="9" xfId="5" applyNumberFormat="1" applyFont="1" applyBorder="1" applyAlignment="1">
      <alignment horizontal="right"/>
    </xf>
    <xf numFmtId="0" fontId="33" fillId="0" borderId="6" xfId="0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/>
    </xf>
    <xf numFmtId="170" fontId="33" fillId="0" borderId="2" xfId="5" applyNumberFormat="1" applyFont="1" applyBorder="1" applyAlignment="1">
      <alignment horizontal="right"/>
    </xf>
    <xf numFmtId="49" fontId="33" fillId="0" borderId="32" xfId="0" applyNumberFormat="1" applyFont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vertical="center"/>
    </xf>
    <xf numFmtId="166" fontId="33" fillId="2" borderId="1" xfId="5" applyFont="1" applyFill="1" applyBorder="1"/>
    <xf numFmtId="0" fontId="33" fillId="0" borderId="1" xfId="0" applyFont="1" applyBorder="1" applyAlignment="1">
      <alignment horizontal="left" vertical="center"/>
    </xf>
    <xf numFmtId="170" fontId="33" fillId="0" borderId="1" xfId="5" applyNumberFormat="1" applyFont="1" applyBorder="1" applyAlignment="1">
      <alignment horizontal="right"/>
    </xf>
    <xf numFmtId="170" fontId="21" fillId="0" borderId="16" xfId="5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/>
    </xf>
    <xf numFmtId="164" fontId="18" fillId="0" borderId="0" xfId="5" applyNumberFormat="1" applyFont="1" applyAlignment="1">
      <alignment horizontal="right"/>
    </xf>
    <xf numFmtId="166" fontId="80" fillId="0" borderId="0" xfId="5" applyFont="1"/>
    <xf numFmtId="0" fontId="18" fillId="0" borderId="1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3" fillId="0" borderId="12" xfId="0" applyFont="1" applyBorder="1" applyAlignment="1">
      <alignment horizontal="center"/>
    </xf>
    <xf numFmtId="49" fontId="33" fillId="0" borderId="11" xfId="0" applyNumberFormat="1" applyFont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0" fontId="33" fillId="0" borderId="5" xfId="0" applyFont="1" applyBorder="1" applyAlignment="1">
      <alignment horizontal="left"/>
    </xf>
    <xf numFmtId="170" fontId="33" fillId="0" borderId="3" xfId="5" applyNumberFormat="1" applyFont="1" applyBorder="1" applyAlignment="1">
      <alignment horizontal="right"/>
    </xf>
    <xf numFmtId="170" fontId="21" fillId="0" borderId="14" xfId="5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49" fontId="33" fillId="0" borderId="9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33" fillId="0" borderId="6" xfId="0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/>
    </xf>
    <xf numFmtId="0" fontId="33" fillId="0" borderId="12" xfId="0" applyFont="1" applyFill="1" applyBorder="1" applyAlignment="1">
      <alignment horizontal="center" vertical="center"/>
    </xf>
    <xf numFmtId="49" fontId="33" fillId="0" borderId="11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/>
    </xf>
    <xf numFmtId="170" fontId="33" fillId="0" borderId="3" xfId="5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170" fontId="33" fillId="0" borderId="9" xfId="5" applyNumberFormat="1" applyFont="1" applyFill="1" applyBorder="1" applyAlignment="1">
      <alignment horizontal="right" vertical="center"/>
    </xf>
    <xf numFmtId="0" fontId="22" fillId="0" borderId="0" xfId="2" applyFont="1" applyFill="1" applyBorder="1" applyAlignment="1">
      <alignment horizontal="center" vertical="center"/>
    </xf>
    <xf numFmtId="170" fontId="43" fillId="0" borderId="0" xfId="5" applyNumberFormat="1" applyFont="1" applyFill="1" applyBorder="1" applyAlignment="1">
      <alignment horizontal="center" vertical="center"/>
    </xf>
    <xf numFmtId="170" fontId="43" fillId="0" borderId="14" xfId="5" applyNumberFormat="1" applyFont="1" applyFill="1" applyBorder="1" applyAlignment="1">
      <alignment horizontal="center" vertical="center"/>
    </xf>
    <xf numFmtId="170" fontId="81" fillId="0" borderId="14" xfId="5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justify"/>
    </xf>
    <xf numFmtId="166" fontId="33" fillId="0" borderId="2" xfId="5" applyFont="1" applyFill="1" applyBorder="1" applyAlignment="1">
      <alignment horizontal="right"/>
    </xf>
    <xf numFmtId="0" fontId="33" fillId="0" borderId="1" xfId="0" applyFont="1" applyFill="1" applyBorder="1" applyAlignment="1">
      <alignment horizontal="center"/>
    </xf>
    <xf numFmtId="170" fontId="33" fillId="0" borderId="43" xfId="5" applyNumberFormat="1" applyFont="1" applyFill="1" applyBorder="1" applyAlignment="1">
      <alignment horizontal="right"/>
    </xf>
    <xf numFmtId="0" fontId="31" fillId="0" borderId="1" xfId="2" applyFont="1" applyFill="1" applyBorder="1" applyAlignment="1">
      <alignment horizontal="center" vertical="center" textRotation="90" wrapText="1"/>
    </xf>
    <xf numFmtId="0" fontId="41" fillId="0" borderId="1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left" vertical="center" wrapText="1"/>
    </xf>
    <xf numFmtId="166" fontId="41" fillId="0" borderId="1" xfId="5" applyFont="1" applyFill="1" applyBorder="1" applyAlignment="1" applyProtection="1">
      <alignment horizontal="center" vertical="center" wrapText="1"/>
      <protection locked="0" hidden="1"/>
    </xf>
    <xf numFmtId="170" fontId="81" fillId="0" borderId="1" xfId="5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/>
    </xf>
    <xf numFmtId="0" fontId="18" fillId="0" borderId="0" xfId="0" applyFont="1" applyFill="1"/>
    <xf numFmtId="164" fontId="18" fillId="0" borderId="0" xfId="5" applyNumberFormat="1" applyFont="1" applyFill="1" applyAlignment="1">
      <alignment horizontal="right"/>
    </xf>
    <xf numFmtId="166" fontId="33" fillId="0" borderId="0" xfId="5" applyFont="1"/>
    <xf numFmtId="170" fontId="81" fillId="0" borderId="0" xfId="5" applyNumberFormat="1" applyFont="1" applyFill="1" applyBorder="1" applyAlignment="1">
      <alignment horizontal="center" vertical="center"/>
    </xf>
    <xf numFmtId="0" fontId="41" fillId="0" borderId="1" xfId="2" applyFont="1" applyFill="1" applyBorder="1" applyAlignment="1">
      <alignment horizontal="left" vertical="center" wrapText="1"/>
    </xf>
    <xf numFmtId="166" fontId="41" fillId="0" borderId="1" xfId="5" applyFont="1" applyFill="1" applyBorder="1" applyAlignment="1" applyProtection="1">
      <alignment horizontal="left" vertical="center" wrapText="1"/>
      <protection locked="0" hidden="1"/>
    </xf>
    <xf numFmtId="166" fontId="33" fillId="0" borderId="1" xfId="5" applyFont="1" applyFill="1" applyBorder="1" applyAlignment="1">
      <alignment horizontal="left"/>
    </xf>
    <xf numFmtId="0" fontId="41" fillId="0" borderId="1" xfId="2" applyFont="1" applyFill="1" applyBorder="1" applyAlignment="1">
      <alignment horizontal="center" vertical="center" textRotation="90" wrapText="1"/>
    </xf>
    <xf numFmtId="49" fontId="33" fillId="0" borderId="8" xfId="0" quotePrefix="1" applyNumberFormat="1" applyFont="1" applyFill="1" applyBorder="1" applyAlignment="1">
      <alignment horizontal="center"/>
    </xf>
    <xf numFmtId="170" fontId="21" fillId="0" borderId="0" xfId="5" applyNumberFormat="1" applyFont="1" applyFill="1" applyBorder="1" applyAlignment="1">
      <alignment horizontal="center" vertical="center"/>
    </xf>
    <xf numFmtId="170" fontId="82" fillId="0" borderId="1" xfId="5" applyNumberFormat="1" applyFont="1" applyFill="1" applyBorder="1" applyAlignment="1">
      <alignment horizontal="center" vertical="center"/>
    </xf>
    <xf numFmtId="170" fontId="21" fillId="0" borderId="1" xfId="5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9" fillId="0" borderId="46" xfId="0" applyFont="1" applyFill="1" applyBorder="1" applyAlignment="1">
      <alignment horizontal="left" vertical="center" wrapText="1"/>
    </xf>
    <xf numFmtId="0" fontId="54" fillId="0" borderId="9" xfId="0" applyFont="1" applyFill="1" applyBorder="1" applyAlignment="1">
      <alignment horizontal="left" vertical="center"/>
    </xf>
    <xf numFmtId="166" fontId="2" fillId="0" borderId="0" xfId="5" applyFont="1" applyFill="1"/>
    <xf numFmtId="0" fontId="23" fillId="18" borderId="42" xfId="0" applyFont="1" applyFill="1" applyBorder="1" applyAlignment="1">
      <alignment horizontal="center" vertical="center" wrapText="1"/>
    </xf>
    <xf numFmtId="1" fontId="20" fillId="18" borderId="14" xfId="0" applyNumberFormat="1" applyFont="1" applyFill="1" applyBorder="1" applyAlignment="1">
      <alignment horizontal="center" vertical="center" wrapText="1"/>
    </xf>
    <xf numFmtId="0" fontId="20" fillId="18" borderId="14" xfId="0" applyFont="1" applyFill="1" applyBorder="1" applyAlignment="1">
      <alignment horizontal="center" vertical="center"/>
    </xf>
    <xf numFmtId="166" fontId="79" fillId="18" borderId="14" xfId="5" applyFont="1" applyFill="1" applyBorder="1" applyAlignment="1">
      <alignment horizontal="left" vertical="center" wrapText="1"/>
    </xf>
    <xf numFmtId="170" fontId="79" fillId="18" borderId="14" xfId="0" applyNumberFormat="1" applyFont="1" applyFill="1" applyBorder="1" applyAlignment="1">
      <alignment horizontal="left" vertical="center" wrapText="1"/>
    </xf>
    <xf numFmtId="170" fontId="79" fillId="18" borderId="14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83" fillId="0" borderId="1" xfId="0" applyFont="1" applyFill="1" applyBorder="1" applyAlignment="1">
      <alignment horizontal="left"/>
    </xf>
    <xf numFmtId="166" fontId="19" fillId="0" borderId="1" xfId="5" applyFont="1" applyFill="1" applyBorder="1" applyAlignment="1">
      <alignment horizontal="left"/>
    </xf>
    <xf numFmtId="166" fontId="64" fillId="0" borderId="1" xfId="5" applyFont="1" applyFill="1" applyBorder="1" applyAlignment="1">
      <alignment horizontal="left"/>
    </xf>
    <xf numFmtId="166" fontId="2" fillId="0" borderId="1" xfId="5" applyFont="1" applyFill="1" applyBorder="1" applyAlignment="1">
      <alignment horizontal="left"/>
    </xf>
    <xf numFmtId="166" fontId="24" fillId="0" borderId="1" xfId="5" applyFont="1" applyFill="1" applyBorder="1" applyAlignment="1">
      <alignment horizontal="left"/>
    </xf>
    <xf numFmtId="166" fontId="85" fillId="0" borderId="1" xfId="5" applyFont="1" applyFill="1" applyBorder="1" applyAlignment="1">
      <alignment horizontal="left"/>
    </xf>
    <xf numFmtId="166" fontId="19" fillId="0" borderId="1" xfId="0" applyNumberFormat="1" applyFont="1" applyFill="1" applyBorder="1" applyAlignment="1">
      <alignment horizontal="left"/>
    </xf>
    <xf numFmtId="0" fontId="64" fillId="18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66" fontId="24" fillId="0" borderId="1" xfId="5" applyFont="1" applyBorder="1" applyAlignment="1">
      <alignment horizontal="left" vertical="center"/>
    </xf>
    <xf numFmtId="166" fontId="86" fillId="0" borderId="1" xfId="5" applyFont="1" applyBorder="1" applyAlignment="1">
      <alignment horizontal="left" vertical="center"/>
    </xf>
    <xf numFmtId="166" fontId="64" fillId="12" borderId="1" xfId="5" applyFont="1" applyFill="1" applyBorder="1" applyAlignment="1">
      <alignment horizontal="left" vertical="center"/>
    </xf>
    <xf numFmtId="166" fontId="64" fillId="0" borderId="1" xfId="5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wrapText="1"/>
    </xf>
    <xf numFmtId="166" fontId="76" fillId="0" borderId="1" xfId="5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166" fontId="19" fillId="0" borderId="8" xfId="5" applyFont="1" applyBorder="1" applyAlignment="1">
      <alignment horizontal="left"/>
    </xf>
    <xf numFmtId="166" fontId="19" fillId="0" borderId="1" xfId="5" applyFont="1" applyBorder="1" applyAlignment="1">
      <alignment horizontal="left"/>
    </xf>
    <xf numFmtId="166" fontId="64" fillId="0" borderId="1" xfId="5" applyFont="1" applyBorder="1" applyAlignment="1">
      <alignment horizontal="left"/>
    </xf>
    <xf numFmtId="0" fontId="64" fillId="0" borderId="11" xfId="0" applyFont="1" applyBorder="1" applyAlignment="1">
      <alignment horizontal="left"/>
    </xf>
    <xf numFmtId="166" fontId="64" fillId="0" borderId="11" xfId="5" applyFont="1" applyFill="1" applyBorder="1" applyAlignment="1">
      <alignment horizontal="left"/>
    </xf>
    <xf numFmtId="166" fontId="19" fillId="0" borderId="11" xfId="5" applyFont="1" applyFill="1" applyBorder="1" applyAlignment="1">
      <alignment horizontal="left"/>
    </xf>
    <xf numFmtId="164" fontId="24" fillId="18" borderId="1" xfId="0" applyNumberFormat="1" applyFont="1" applyFill="1" applyBorder="1" applyAlignment="1">
      <alignment horizontal="left" vertical="center"/>
    </xf>
    <xf numFmtId="0" fontId="64" fillId="0" borderId="11" xfId="0" applyFont="1" applyFill="1" applyBorder="1" applyAlignment="1">
      <alignment horizontal="left" vertical="center"/>
    </xf>
    <xf numFmtId="0" fontId="64" fillId="0" borderId="11" xfId="0" applyFont="1" applyFill="1" applyBorder="1" applyAlignment="1">
      <alignment horizontal="left" vertical="center" wrapText="1"/>
    </xf>
    <xf numFmtId="0" fontId="19" fillId="18" borderId="1" xfId="0" applyFont="1" applyFill="1" applyBorder="1" applyAlignment="1">
      <alignment horizontal="left" vertical="center"/>
    </xf>
    <xf numFmtId="0" fontId="64" fillId="18" borderId="1" xfId="0" applyFont="1" applyFill="1" applyBorder="1" applyAlignment="1">
      <alignment horizontal="left"/>
    </xf>
    <xf numFmtId="166" fontId="64" fillId="18" borderId="1" xfId="5" applyFont="1" applyFill="1" applyBorder="1" applyAlignment="1">
      <alignment horizontal="left"/>
    </xf>
    <xf numFmtId="166" fontId="64" fillId="18" borderId="48" xfId="5" applyFont="1" applyFill="1" applyBorder="1" applyAlignment="1">
      <alignment horizontal="left"/>
    </xf>
    <xf numFmtId="166" fontId="19" fillId="0" borderId="8" xfId="0" applyNumberFormat="1" applyFont="1" applyFill="1" applyBorder="1" applyAlignment="1">
      <alignment horizontal="left"/>
    </xf>
    <xf numFmtId="166" fontId="19" fillId="0" borderId="8" xfId="5" applyFont="1" applyFill="1" applyBorder="1" applyAlignment="1">
      <alignment horizontal="left"/>
    </xf>
    <xf numFmtId="0" fontId="84" fillId="0" borderId="1" xfId="0" applyFont="1" applyFill="1" applyBorder="1" applyAlignment="1">
      <alignment horizontal="left"/>
    </xf>
    <xf numFmtId="166" fontId="83" fillId="0" borderId="1" xfId="5" applyFont="1" applyFill="1" applyBorder="1" applyAlignment="1">
      <alignment horizontal="left"/>
    </xf>
    <xf numFmtId="0" fontId="64" fillId="18" borderId="47" xfId="0" applyFont="1" applyFill="1" applyBorder="1" applyAlignment="1">
      <alignment horizontal="left" vertical="center"/>
    </xf>
    <xf numFmtId="164" fontId="64" fillId="18" borderId="1" xfId="0" applyNumberFormat="1" applyFont="1" applyFill="1" applyBorder="1" applyAlignment="1">
      <alignment horizontal="left" vertical="center"/>
    </xf>
    <xf numFmtId="164" fontId="64" fillId="18" borderId="48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33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19" fillId="19" borderId="1" xfId="0" applyFont="1" applyFill="1" applyBorder="1" applyAlignment="1">
      <alignment horizontal="left" vertical="center"/>
    </xf>
    <xf numFmtId="166" fontId="19" fillId="19" borderId="1" xfId="5" applyFont="1" applyFill="1" applyBorder="1" applyAlignment="1">
      <alignment horizontal="left" vertical="center"/>
    </xf>
    <xf numFmtId="166" fontId="2" fillId="19" borderId="1" xfId="5" applyFont="1" applyFill="1" applyBorder="1" applyAlignment="1">
      <alignment horizontal="left" vertical="center"/>
    </xf>
    <xf numFmtId="0" fontId="19" fillId="19" borderId="1" xfId="0" applyFont="1" applyFill="1" applyBorder="1" applyAlignment="1">
      <alignment horizontal="left" vertical="center" wrapText="1"/>
    </xf>
    <xf numFmtId="166" fontId="2" fillId="14" borderId="40" xfId="5" applyFont="1" applyFill="1" applyBorder="1"/>
    <xf numFmtId="166" fontId="41" fillId="0" borderId="4" xfId="5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1" xfId="2" applyFont="1" applyFill="1" applyBorder="1" applyAlignment="1">
      <alignment horizontal="center" vertical="center" wrapText="1"/>
    </xf>
    <xf numFmtId="0" fontId="88" fillId="0" borderId="0" xfId="0" applyFont="1"/>
    <xf numFmtId="166" fontId="89" fillId="0" borderId="0" xfId="5" applyFont="1"/>
    <xf numFmtId="0" fontId="89" fillId="0" borderId="0" xfId="0" applyFont="1"/>
    <xf numFmtId="166" fontId="89" fillId="0" borderId="0" xfId="5" applyFont="1" applyFill="1"/>
    <xf numFmtId="0" fontId="33" fillId="0" borderId="9" xfId="0" applyFont="1" applyFill="1" applyBorder="1" applyAlignment="1">
      <alignment horizontal="center" vertical="center" wrapText="1"/>
    </xf>
    <xf numFmtId="0" fontId="54" fillId="0" borderId="10" xfId="0" applyFont="1" applyFill="1" applyBorder="1" applyAlignment="1">
      <alignment horizontal="left"/>
    </xf>
    <xf numFmtId="0" fontId="33" fillId="0" borderId="34" xfId="0" applyFont="1" applyFill="1" applyBorder="1" applyAlignment="1">
      <alignment horizontal="center"/>
    </xf>
    <xf numFmtId="49" fontId="33" fillId="0" borderId="1" xfId="0" quotePrefix="1" applyNumberFormat="1" applyFont="1" applyFill="1" applyBorder="1" applyAlignment="1">
      <alignment horizontal="center"/>
    </xf>
    <xf numFmtId="0" fontId="71" fillId="0" borderId="0" xfId="2" applyFont="1" applyFill="1" applyBorder="1" applyAlignment="1">
      <alignment horizontal="center" vertical="center"/>
    </xf>
    <xf numFmtId="170" fontId="82" fillId="0" borderId="0" xfId="5" applyNumberFormat="1" applyFont="1" applyFill="1" applyBorder="1" applyAlignment="1">
      <alignment horizontal="center" vertical="center"/>
    </xf>
    <xf numFmtId="0" fontId="45" fillId="0" borderId="0" xfId="0" applyFont="1" applyFill="1"/>
    <xf numFmtId="4" fontId="45" fillId="0" borderId="0" xfId="0" applyNumberFormat="1" applyFont="1" applyFill="1"/>
    <xf numFmtId="0" fontId="23" fillId="0" borderId="0" xfId="0" applyFont="1" applyFill="1" applyAlignment="1">
      <alignment horizontal="center"/>
    </xf>
    <xf numFmtId="4" fontId="18" fillId="0" borderId="0" xfId="0" applyNumberFormat="1" applyFont="1" applyFill="1"/>
    <xf numFmtId="0" fontId="20" fillId="0" borderId="0" xfId="0" applyFont="1" applyFill="1"/>
    <xf numFmtId="0" fontId="18" fillId="0" borderId="0" xfId="0" applyFont="1" applyFill="1" applyAlignment="1">
      <alignment horizontal="right"/>
    </xf>
    <xf numFmtId="4" fontId="20" fillId="0" borderId="0" xfId="0" applyNumberFormat="1" applyFont="1" applyFill="1"/>
    <xf numFmtId="10" fontId="20" fillId="0" borderId="0" xfId="0" quotePrefix="1" applyNumberFormat="1" applyFont="1" applyFill="1" applyAlignment="1">
      <alignment horizontal="right"/>
    </xf>
    <xf numFmtId="0" fontId="18" fillId="0" borderId="25" xfId="0" applyFont="1" applyFill="1" applyBorder="1"/>
    <xf numFmtId="0" fontId="18" fillId="0" borderId="26" xfId="0" applyFont="1" applyFill="1" applyBorder="1"/>
    <xf numFmtId="4" fontId="18" fillId="0" borderId="27" xfId="0" applyNumberFormat="1" applyFont="1" applyFill="1" applyBorder="1"/>
    <xf numFmtId="164" fontId="24" fillId="0" borderId="0" xfId="0" applyNumberFormat="1" applyFont="1"/>
    <xf numFmtId="0" fontId="33" fillId="0" borderId="1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68" xfId="0" applyFont="1" applyFill="1" applyBorder="1" applyAlignment="1">
      <alignment vertical="center" wrapText="1"/>
    </xf>
    <xf numFmtId="170" fontId="38" fillId="0" borderId="18" xfId="0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vertical="center" wrapText="1"/>
    </xf>
    <xf numFmtId="170" fontId="38" fillId="0" borderId="2" xfId="0" applyNumberFormat="1" applyFont="1" applyFill="1" applyBorder="1" applyAlignment="1">
      <alignment vertical="center" wrapTex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67" xfId="0" applyFont="1" applyFill="1" applyBorder="1" applyAlignment="1">
      <alignment vertical="center" wrapText="1"/>
    </xf>
    <xf numFmtId="170" fontId="38" fillId="0" borderId="15" xfId="0" applyNumberFormat="1" applyFont="1" applyFill="1" applyBorder="1" applyAlignment="1">
      <alignment vertical="center" wrapText="1"/>
    </xf>
    <xf numFmtId="170" fontId="39" fillId="0" borderId="14" xfId="0" applyNumberFormat="1" applyFont="1" applyFill="1" applyBorder="1" applyAlignment="1">
      <alignment vertical="center" wrapText="1"/>
    </xf>
    <xf numFmtId="0" fontId="38" fillId="0" borderId="0" xfId="0" applyFont="1" applyFill="1" applyAlignment="1">
      <alignment horizontal="center" vertical="center" wrapText="1"/>
    </xf>
    <xf numFmtId="170" fontId="38" fillId="0" borderId="0" xfId="0" applyNumberFormat="1" applyFont="1" applyFill="1" applyAlignment="1">
      <alignment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38" fillId="0" borderId="59" xfId="0" applyFont="1" applyFill="1" applyBorder="1" applyAlignment="1">
      <alignment horizontal="center" vertical="center" wrapText="1"/>
    </xf>
    <xf numFmtId="0" fontId="38" fillId="0" borderId="59" xfId="0" applyFont="1" applyFill="1" applyBorder="1" applyAlignment="1">
      <alignment vertical="center" wrapText="1"/>
    </xf>
    <xf numFmtId="0" fontId="38" fillId="0" borderId="57" xfId="0" applyFont="1" applyFill="1" applyBorder="1" applyAlignment="1">
      <alignment horizontal="center" vertical="center" wrapText="1"/>
    </xf>
    <xf numFmtId="0" fontId="38" fillId="0" borderId="57" xfId="0" applyFont="1" applyFill="1" applyBorder="1" applyAlignment="1">
      <alignment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textRotation="90" wrapText="1"/>
    </xf>
    <xf numFmtId="0" fontId="23" fillId="0" borderId="14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horizontal="center" vertical="center" wrapText="1"/>
    </xf>
    <xf numFmtId="166" fontId="23" fillId="0" borderId="14" xfId="5" applyFont="1" applyFill="1" applyBorder="1" applyAlignment="1">
      <alignment vertical="center" wrapText="1"/>
    </xf>
    <xf numFmtId="166" fontId="23" fillId="0" borderId="16" xfId="5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49" fontId="19" fillId="0" borderId="11" xfId="0" applyNumberFormat="1" applyFont="1" applyFill="1" applyBorder="1" applyAlignment="1">
      <alignment horizontal="left" vertical="center"/>
    </xf>
    <xf numFmtId="49" fontId="19" fillId="0" borderId="34" xfId="0" applyNumberFormat="1" applyFont="1" applyFill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/>
    </xf>
    <xf numFmtId="0" fontId="54" fillId="0" borderId="56" xfId="0" applyFont="1" applyFill="1" applyBorder="1" applyAlignment="1">
      <alignment horizontal="left" vertical="center"/>
    </xf>
    <xf numFmtId="170" fontId="19" fillId="0" borderId="5" xfId="0" applyNumberFormat="1" applyFont="1" applyFill="1" applyBorder="1" applyAlignment="1">
      <alignment horizontal="left" vertical="center"/>
    </xf>
    <xf numFmtId="0" fontId="61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61" fillId="0" borderId="36" xfId="2" applyFont="1" applyFill="1" applyBorder="1" applyAlignment="1">
      <alignment horizontal="center" vertical="center" textRotation="90" wrapText="1"/>
    </xf>
    <xf numFmtId="0" fontId="61" fillId="0" borderId="37" xfId="2" applyFont="1" applyFill="1" applyBorder="1" applyAlignment="1">
      <alignment horizontal="center" vertical="center" textRotation="90" wrapText="1"/>
    </xf>
    <xf numFmtId="0" fontId="61" fillId="0" borderId="39" xfId="2" applyFont="1" applyFill="1" applyBorder="1" applyAlignment="1">
      <alignment horizontal="center" vertical="center" textRotation="90" wrapText="1"/>
    </xf>
    <xf numFmtId="0" fontId="61" fillId="0" borderId="38" xfId="2" applyFont="1" applyFill="1" applyBorder="1" applyAlignment="1">
      <alignment horizontal="center" vertical="center" textRotation="90" wrapText="1"/>
    </xf>
    <xf numFmtId="0" fontId="61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19" fillId="0" borderId="8" xfId="0" applyNumberFormat="1" applyFont="1" applyFill="1" applyBorder="1" applyAlignment="1">
      <alignment horizontal="left" vertical="center"/>
    </xf>
    <xf numFmtId="0" fontId="54" fillId="0" borderId="18" xfId="0" applyFont="1" applyFill="1" applyBorder="1" applyAlignment="1">
      <alignment horizontal="left" vertical="center"/>
    </xf>
    <xf numFmtId="0" fontId="54" fillId="0" borderId="2" xfId="0" applyFont="1" applyFill="1" applyBorder="1" applyAlignment="1">
      <alignment horizontal="left"/>
    </xf>
    <xf numFmtId="170" fontId="76" fillId="0" borderId="14" xfId="2" applyNumberFormat="1" applyFont="1" applyFill="1" applyBorder="1" applyAlignment="1">
      <alignment horizontal="left" vertical="center"/>
    </xf>
    <xf numFmtId="0" fontId="6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0" borderId="36" xfId="2" applyFont="1" applyFill="1" applyBorder="1" applyAlignment="1">
      <alignment horizontal="center" vertical="center" textRotation="90" wrapText="1"/>
    </xf>
    <xf numFmtId="0" fontId="11" fillId="0" borderId="37" xfId="2" applyFont="1" applyFill="1" applyBorder="1" applyAlignment="1">
      <alignment horizontal="center" vertical="center" textRotation="90" wrapText="1"/>
    </xf>
    <xf numFmtId="0" fontId="11" fillId="0" borderId="39" xfId="2" applyFont="1" applyFill="1" applyBorder="1" applyAlignment="1">
      <alignment horizontal="center" vertical="center" textRotation="90" wrapText="1"/>
    </xf>
    <xf numFmtId="0" fontId="11" fillId="0" borderId="38" xfId="2" applyFont="1" applyFill="1" applyBorder="1" applyAlignment="1">
      <alignment horizontal="center" vertical="center" textRotation="90" wrapText="1"/>
    </xf>
    <xf numFmtId="0" fontId="6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10" fillId="0" borderId="7" xfId="0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49" fontId="10" fillId="0" borderId="32" xfId="0" applyNumberFormat="1" applyFont="1" applyFill="1" applyBorder="1" applyAlignment="1">
      <alignment horizontal="center" wrapText="1"/>
    </xf>
    <xf numFmtId="49" fontId="10" fillId="0" borderId="18" xfId="0" applyNumberFormat="1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left" wrapText="1"/>
    </xf>
    <xf numFmtId="170" fontId="10" fillId="0" borderId="10" xfId="0" applyNumberFormat="1" applyFont="1" applyFill="1" applyBorder="1" applyAlignment="1">
      <alignment horizontal="left" wrapText="1"/>
    </xf>
    <xf numFmtId="170" fontId="10" fillId="0" borderId="18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wrapText="1"/>
    </xf>
    <xf numFmtId="170" fontId="10" fillId="0" borderId="4" xfId="0" applyNumberFormat="1" applyFont="1" applyFill="1" applyBorder="1" applyAlignment="1">
      <alignment horizontal="left" wrapText="1"/>
    </xf>
    <xf numFmtId="170" fontId="10" fillId="0" borderId="2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49" fontId="10" fillId="0" borderId="32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0" fontId="10" fillId="0" borderId="15" xfId="0" applyFont="1" applyFill="1" applyBorder="1"/>
    <xf numFmtId="0" fontId="10" fillId="0" borderId="12" xfId="0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10" fillId="0" borderId="35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/>
    </xf>
    <xf numFmtId="170" fontId="10" fillId="0" borderId="3" xfId="0" applyNumberFormat="1" applyFont="1" applyFill="1" applyBorder="1" applyAlignment="1">
      <alignment horizontal="left"/>
    </xf>
    <xf numFmtId="49" fontId="10" fillId="0" borderId="3" xfId="0" applyNumberFormat="1" applyFont="1" applyFill="1" applyBorder="1" applyAlignment="1">
      <alignment horizontal="center"/>
    </xf>
    <xf numFmtId="170" fontId="10" fillId="0" borderId="56" xfId="0" applyNumberFormat="1" applyFont="1" applyFill="1" applyBorder="1" applyAlignment="1">
      <alignment horizontal="left"/>
    </xf>
    <xf numFmtId="170" fontId="10" fillId="0" borderId="3" xfId="5" applyNumberFormat="1" applyFont="1" applyFill="1" applyBorder="1" applyAlignment="1">
      <alignment horizontal="right"/>
    </xf>
    <xf numFmtId="170" fontId="75" fillId="0" borderId="14" xfId="0" applyNumberFormat="1" applyFont="1" applyFill="1" applyBorder="1" applyAlignment="1">
      <alignment vertical="center"/>
    </xf>
    <xf numFmtId="170" fontId="16" fillId="0" borderId="14" xfId="0" applyNumberFormat="1" applyFont="1" applyFill="1" applyBorder="1" applyAlignment="1">
      <alignment vertical="center"/>
    </xf>
    <xf numFmtId="0" fontId="41" fillId="0" borderId="7" xfId="0" applyFont="1" applyFill="1" applyBorder="1" applyAlignment="1">
      <alignment horizontal="center"/>
    </xf>
    <xf numFmtId="49" fontId="41" fillId="0" borderId="8" xfId="0" applyNumberFormat="1" applyFont="1" applyFill="1" applyBorder="1" applyAlignment="1">
      <alignment horizontal="center"/>
    </xf>
    <xf numFmtId="0" fontId="41" fillId="0" borderId="9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left"/>
    </xf>
    <xf numFmtId="49" fontId="41" fillId="0" borderId="1" xfId="0" applyNumberFormat="1" applyFont="1" applyFill="1" applyBorder="1" applyAlignment="1">
      <alignment horizontal="center"/>
    </xf>
    <xf numFmtId="0" fontId="41" fillId="0" borderId="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left"/>
    </xf>
    <xf numFmtId="166" fontId="41" fillId="0" borderId="2" xfId="5" applyFont="1" applyFill="1" applyBorder="1" applyAlignment="1">
      <alignment horizontal="left"/>
    </xf>
    <xf numFmtId="0" fontId="41" fillId="0" borderId="2" xfId="0" applyFont="1" applyFill="1" applyBorder="1" applyAlignment="1">
      <alignment horizontal="left"/>
    </xf>
    <xf numFmtId="0" fontId="41" fillId="0" borderId="6" xfId="0" applyFont="1" applyFill="1" applyBorder="1" applyAlignment="1">
      <alignment horizontal="center"/>
    </xf>
    <xf numFmtId="0" fontId="41" fillId="0" borderId="12" xfId="0" applyFont="1" applyFill="1" applyBorder="1" applyAlignment="1">
      <alignment horizontal="center"/>
    </xf>
    <xf numFmtId="49" fontId="41" fillId="0" borderId="11" xfId="0" applyNumberFormat="1" applyFont="1" applyFill="1" applyBorder="1" applyAlignment="1">
      <alignment horizontal="center"/>
    </xf>
    <xf numFmtId="49" fontId="41" fillId="0" borderId="3" xfId="0" applyNumberFormat="1" applyFont="1" applyFill="1" applyBorder="1" applyAlignment="1">
      <alignment horizontal="center"/>
    </xf>
    <xf numFmtId="0" fontId="41" fillId="0" borderId="5" xfId="0" applyFont="1" applyFill="1" applyBorder="1" applyAlignment="1">
      <alignment horizontal="left"/>
    </xf>
    <xf numFmtId="166" fontId="41" fillId="0" borderId="5" xfId="5" applyFont="1" applyFill="1" applyBorder="1" applyAlignment="1">
      <alignment horizontal="left"/>
    </xf>
    <xf numFmtId="167" fontId="42" fillId="0" borderId="14" xfId="2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0" fontId="31" fillId="0" borderId="19" xfId="1" applyFont="1" applyFill="1" applyBorder="1" applyAlignment="1">
      <alignment horizontal="center" vertical="center" textRotation="90" wrapText="1"/>
    </xf>
    <xf numFmtId="0" fontId="31" fillId="0" borderId="20" xfId="1" applyFont="1" applyFill="1" applyBorder="1" applyAlignment="1">
      <alignment horizontal="center" vertical="center" textRotation="90" wrapText="1"/>
    </xf>
    <xf numFmtId="0" fontId="31" fillId="0" borderId="21" xfId="1" applyFont="1" applyFill="1" applyBorder="1" applyAlignment="1">
      <alignment horizontal="center" vertical="center" textRotation="90" wrapText="1"/>
    </xf>
    <xf numFmtId="0" fontId="31" fillId="0" borderId="22" xfId="1" applyFont="1" applyFill="1" applyBorder="1" applyAlignment="1">
      <alignment horizontal="center" vertical="center" textRotation="90" wrapText="1"/>
    </xf>
    <xf numFmtId="0" fontId="33" fillId="0" borderId="25" xfId="0" applyFont="1" applyFill="1" applyBorder="1" applyAlignment="1">
      <alignment horizontal="center" vertical="center"/>
    </xf>
    <xf numFmtId="49" fontId="33" fillId="0" borderId="26" xfId="0" applyNumberFormat="1" applyFont="1" applyFill="1" applyBorder="1" applyAlignment="1">
      <alignment horizontal="center" vertical="center"/>
    </xf>
    <xf numFmtId="49" fontId="33" fillId="0" borderId="27" xfId="0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 wrapText="1"/>
    </xf>
    <xf numFmtId="169" fontId="33" fillId="0" borderId="4" xfId="0" applyNumberFormat="1" applyFont="1" applyFill="1" applyBorder="1" applyAlignment="1">
      <alignment horizontal="left" vertical="center"/>
    </xf>
    <xf numFmtId="49" fontId="33" fillId="0" borderId="28" xfId="0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justify" vertical="center" wrapText="1"/>
    </xf>
    <xf numFmtId="49" fontId="33" fillId="0" borderId="12" xfId="0" applyNumberFormat="1" applyFont="1" applyFill="1" applyBorder="1" applyAlignment="1">
      <alignment horizontal="center" vertical="center"/>
    </xf>
    <xf numFmtId="49" fontId="33" fillId="0" borderId="53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vertical="center" wrapText="1"/>
    </xf>
    <xf numFmtId="169" fontId="33" fillId="0" borderId="5" xfId="0" applyNumberFormat="1" applyFont="1" applyFill="1" applyBorder="1" applyAlignment="1">
      <alignment horizontal="left" vertical="center"/>
    </xf>
    <xf numFmtId="169" fontId="43" fillId="0" borderId="40" xfId="1" applyNumberFormat="1" applyFont="1" applyFill="1" applyBorder="1" applyAlignment="1">
      <alignment horizontal="center" vertical="center" wrapText="1"/>
    </xf>
    <xf numFmtId="0" fontId="64" fillId="0" borderId="1" xfId="5" applyNumberFormat="1" applyFont="1" applyFill="1" applyBorder="1" applyAlignment="1">
      <alignment horizontal="center" vertical="center"/>
    </xf>
    <xf numFmtId="0" fontId="64" fillId="0" borderId="1" xfId="5" applyNumberFormat="1" applyFont="1" applyFill="1" applyBorder="1" applyAlignment="1">
      <alignment horizontal="left" vertical="center"/>
    </xf>
    <xf numFmtId="170" fontId="18" fillId="0" borderId="1" xfId="5" applyNumberFormat="1" applyFont="1" applyFill="1" applyBorder="1" applyAlignment="1">
      <alignment horizontal="center" vertical="center"/>
    </xf>
    <xf numFmtId="0" fontId="90" fillId="0" borderId="35" xfId="0" applyFont="1" applyFill="1" applyBorder="1" applyAlignment="1">
      <alignment horizontal="left" vertical="center"/>
    </xf>
    <xf numFmtId="166" fontId="91" fillId="0" borderId="1" xfId="5" applyFont="1" applyFill="1" applyBorder="1" applyAlignment="1">
      <alignment horizontal="left" vertical="center"/>
    </xf>
    <xf numFmtId="166" fontId="92" fillId="0" borderId="1" xfId="5" applyFont="1" applyFill="1" applyBorder="1" applyAlignment="1">
      <alignment horizontal="left" vertical="center"/>
    </xf>
    <xf numFmtId="0" fontId="90" fillId="0" borderId="0" xfId="0" applyFont="1" applyBorder="1" applyAlignment="1">
      <alignment horizontal="left"/>
    </xf>
    <xf numFmtId="166" fontId="90" fillId="0" borderId="0" xfId="0" applyNumberFormat="1" applyFont="1" applyBorder="1" applyAlignment="1">
      <alignment horizontal="left"/>
    </xf>
    <xf numFmtId="166" fontId="90" fillId="0" borderId="0" xfId="5" applyFont="1" applyFill="1" applyBorder="1" applyAlignment="1">
      <alignment horizontal="left"/>
    </xf>
    <xf numFmtId="0" fontId="93" fillId="0" borderId="0" xfId="0" applyFont="1" applyAlignment="1">
      <alignment vertical="center"/>
    </xf>
    <xf numFmtId="0" fontId="93" fillId="0" borderId="0" xfId="0" applyFont="1" applyAlignment="1">
      <alignment horizontal="left" vertical="center"/>
    </xf>
    <xf numFmtId="170" fontId="94" fillId="0" borderId="0" xfId="0" applyNumberFormat="1" applyFont="1"/>
    <xf numFmtId="166" fontId="93" fillId="0" borderId="0" xfId="0" applyNumberFormat="1" applyFont="1" applyAlignment="1">
      <alignment vertical="center"/>
    </xf>
    <xf numFmtId="0" fontId="94" fillId="0" borderId="0" xfId="0" applyFont="1"/>
    <xf numFmtId="166" fontId="93" fillId="0" borderId="1" xfId="0" applyNumberFormat="1" applyFont="1" applyBorder="1" applyAlignment="1">
      <alignment vertical="center"/>
    </xf>
    <xf numFmtId="165" fontId="93" fillId="0" borderId="0" xfId="8" applyFont="1"/>
    <xf numFmtId="164" fontId="93" fillId="0" borderId="0" xfId="0" applyNumberFormat="1" applyFont="1" applyAlignment="1">
      <alignment vertical="center"/>
    </xf>
    <xf numFmtId="0" fontId="95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/>
    </xf>
    <xf numFmtId="170" fontId="97" fillId="0" borderId="0" xfId="0" applyNumberFormat="1" applyFont="1" applyAlignment="1">
      <alignment vertical="center"/>
    </xf>
    <xf numFmtId="170" fontId="97" fillId="0" borderId="46" xfId="0" applyNumberFormat="1" applyFont="1" applyBorder="1" applyAlignment="1">
      <alignment vertical="center"/>
    </xf>
    <xf numFmtId="170" fontId="98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170" fontId="77" fillId="0" borderId="0" xfId="0" applyNumberFormat="1" applyFont="1" applyAlignment="1">
      <alignment vertical="center"/>
    </xf>
    <xf numFmtId="170" fontId="78" fillId="0" borderId="0" xfId="0" applyNumberFormat="1" applyFont="1" applyAlignment="1">
      <alignment vertical="center"/>
    </xf>
    <xf numFmtId="170" fontId="99" fillId="0" borderId="0" xfId="0" applyNumberFormat="1" applyFont="1" applyAlignment="1">
      <alignment vertical="center"/>
    </xf>
    <xf numFmtId="0" fontId="100" fillId="0" borderId="0" xfId="0" applyFont="1" applyAlignment="1">
      <alignment horizontal="center"/>
    </xf>
    <xf numFmtId="0" fontId="93" fillId="0" borderId="0" xfId="0" applyFont="1"/>
    <xf numFmtId="170" fontId="94" fillId="0" borderId="54" xfId="0" applyNumberFormat="1" applyFont="1" applyBorder="1"/>
    <xf numFmtId="166" fontId="94" fillId="0" borderId="0" xfId="5" applyFont="1"/>
    <xf numFmtId="166" fontId="94" fillId="0" borderId="0" xfId="0" applyNumberFormat="1" applyFont="1"/>
    <xf numFmtId="167" fontId="94" fillId="0" borderId="0" xfId="0" applyNumberFormat="1" applyFont="1"/>
    <xf numFmtId="167" fontId="94" fillId="0" borderId="46" xfId="0" applyNumberFormat="1" applyFont="1" applyBorder="1"/>
    <xf numFmtId="167" fontId="94" fillId="0" borderId="54" xfId="0" applyNumberFormat="1" applyFont="1" applyBorder="1"/>
    <xf numFmtId="167" fontId="101" fillId="0" borderId="0" xfId="0" applyNumberFormat="1" applyFont="1"/>
    <xf numFmtId="166" fontId="93" fillId="0" borderId="0" xfId="0" applyNumberFormat="1" applyFont="1"/>
    <xf numFmtId="0" fontId="93" fillId="0" borderId="62" xfId="0" applyFont="1" applyBorder="1" applyAlignment="1">
      <alignment vertical="center"/>
    </xf>
    <xf numFmtId="169" fontId="93" fillId="0" borderId="0" xfId="0" applyNumberFormat="1" applyFont="1" applyAlignment="1">
      <alignment vertical="center"/>
    </xf>
    <xf numFmtId="169" fontId="93" fillId="0" borderId="54" xfId="0" applyNumberFormat="1" applyFont="1" applyBorder="1" applyAlignment="1">
      <alignment vertical="center"/>
    </xf>
    <xf numFmtId="0" fontId="102" fillId="0" borderId="0" xfId="0" applyFont="1" applyAlignment="1">
      <alignment vertical="center"/>
    </xf>
    <xf numFmtId="166" fontId="78" fillId="0" borderId="0" xfId="5" applyFont="1" applyAlignment="1">
      <alignment vertical="center"/>
    </xf>
    <xf numFmtId="0" fontId="83" fillId="0" borderId="0" xfId="0" applyFont="1" applyBorder="1" applyAlignment="1">
      <alignment horizontal="left"/>
    </xf>
    <xf numFmtId="166" fontId="83" fillId="0" borderId="0" xfId="5" applyFont="1" applyBorder="1" applyAlignment="1">
      <alignment horizontal="left"/>
    </xf>
    <xf numFmtId="0" fontId="61" fillId="0" borderId="1" xfId="0" applyFont="1" applyFill="1" applyBorder="1" applyAlignment="1">
      <alignment horizontal="left" vertical="center"/>
    </xf>
    <xf numFmtId="0" fontId="97" fillId="0" borderId="0" xfId="0" applyFont="1" applyAlignment="1">
      <alignment wrapText="1"/>
    </xf>
    <xf numFmtId="172" fontId="97" fillId="0" borderId="0" xfId="0" applyNumberFormat="1" applyFont="1" applyAlignment="1">
      <alignment wrapText="1"/>
    </xf>
    <xf numFmtId="166" fontId="97" fillId="0" borderId="0" xfId="5" applyFont="1" applyAlignment="1">
      <alignment wrapText="1"/>
    </xf>
    <xf numFmtId="172" fontId="97" fillId="0" borderId="0" xfId="0" applyNumberFormat="1" applyFont="1" applyFill="1" applyAlignment="1">
      <alignment wrapText="1"/>
    </xf>
    <xf numFmtId="166" fontId="96" fillId="2" borderId="0" xfId="0" applyNumberFormat="1" applyFont="1" applyFill="1" applyAlignment="1">
      <alignment vertical="center"/>
    </xf>
    <xf numFmtId="165" fontId="97" fillId="0" borderId="0" xfId="8" applyFont="1" applyAlignment="1">
      <alignment vertical="center"/>
    </xf>
    <xf numFmtId="49" fontId="57" fillId="0" borderId="0" xfId="0" applyNumberFormat="1" applyFont="1" applyAlignment="1">
      <alignment horizontal="left" vertical="center" wrapText="1"/>
    </xf>
    <xf numFmtId="49" fontId="45" fillId="0" borderId="0" xfId="0" applyNumberFormat="1" applyFont="1" applyAlignment="1">
      <alignment horizontal="left" vertical="center" wrapText="1" indent="1"/>
    </xf>
    <xf numFmtId="49" fontId="56" fillId="0" borderId="43" xfId="0" applyNumberFormat="1" applyFont="1" applyBorder="1" applyAlignment="1">
      <alignment horizontal="left" vertical="center" wrapText="1" indent="1"/>
    </xf>
    <xf numFmtId="49" fontId="56" fillId="0" borderId="44" xfId="0" applyNumberFormat="1" applyFont="1" applyBorder="1" applyAlignment="1">
      <alignment horizontal="left" vertical="center" wrapText="1" indent="1"/>
    </xf>
    <xf numFmtId="49" fontId="32" fillId="0" borderId="0" xfId="0" applyNumberFormat="1" applyFont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49" fontId="32" fillId="0" borderId="42" xfId="0" applyNumberFormat="1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left" vertical="center" wrapText="1"/>
    </xf>
    <xf numFmtId="49" fontId="56" fillId="0" borderId="9" xfId="0" applyNumberFormat="1" applyFont="1" applyBorder="1" applyAlignment="1">
      <alignment horizontal="left" vertical="center" wrapText="1"/>
    </xf>
    <xf numFmtId="49" fontId="56" fillId="0" borderId="5" xfId="0" applyNumberFormat="1" applyFont="1" applyBorder="1" applyAlignment="1">
      <alignment horizontal="left" vertical="center" wrapText="1" indent="1"/>
    </xf>
    <xf numFmtId="49" fontId="56" fillId="0" borderId="10" xfId="0" applyNumberFormat="1" applyFont="1" applyBorder="1" applyAlignment="1">
      <alignment horizontal="left" vertical="center" wrapText="1" indent="1"/>
    </xf>
    <xf numFmtId="49" fontId="45" fillId="0" borderId="15" xfId="0" applyNumberFormat="1" applyFont="1" applyBorder="1" applyAlignment="1">
      <alignment horizontal="center" vertical="center" wrapText="1"/>
    </xf>
    <xf numFmtId="49" fontId="45" fillId="0" borderId="9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49" fontId="45" fillId="0" borderId="16" xfId="0" applyNumberFormat="1" applyFont="1" applyBorder="1" applyAlignment="1">
      <alignment horizontal="center" vertical="center" wrapText="1"/>
    </xf>
    <xf numFmtId="49" fontId="56" fillId="0" borderId="3" xfId="0" applyNumberFormat="1" applyFont="1" applyBorder="1" applyAlignment="1">
      <alignment horizontal="left" vertical="center" wrapText="1"/>
    </xf>
    <xf numFmtId="49" fontId="36" fillId="0" borderId="0" xfId="0" applyNumberFormat="1" applyFont="1" applyFill="1" applyBorder="1" applyAlignment="1">
      <alignment horizontal="center" vertical="center" wrapText="1"/>
    </xf>
    <xf numFmtId="49" fontId="36" fillId="0" borderId="42" xfId="0" applyNumberFormat="1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49" fontId="36" fillId="0" borderId="0" xfId="0" applyNumberFormat="1" applyFont="1" applyFill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9" fillId="0" borderId="0" xfId="0" applyNumberFormat="1" applyFont="1" applyFill="1" applyAlignment="1">
      <alignment horizontal="center" vertical="center" wrapText="1"/>
    </xf>
    <xf numFmtId="49" fontId="60" fillId="0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justify" vertical="center"/>
    </xf>
    <xf numFmtId="0" fontId="47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20" fillId="0" borderId="1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32" fillId="0" borderId="42" xfId="0" applyFont="1" applyFill="1" applyBorder="1" applyAlignment="1">
      <alignment horizontal="center" vertical="center"/>
    </xf>
    <xf numFmtId="0" fontId="61" fillId="0" borderId="29" xfId="2" applyFont="1" applyFill="1" applyBorder="1" applyAlignment="1">
      <alignment horizontal="center" vertical="center"/>
    </xf>
    <xf numFmtId="0" fontId="61" fillId="0" borderId="41" xfId="2" applyFont="1" applyFill="1" applyBorder="1" applyAlignment="1">
      <alignment horizontal="center" vertical="center"/>
    </xf>
    <xf numFmtId="0" fontId="61" fillId="0" borderId="45" xfId="2" applyFont="1" applyFill="1" applyBorder="1" applyAlignment="1">
      <alignment horizontal="center" vertical="center" wrapText="1"/>
    </xf>
    <xf numFmtId="0" fontId="61" fillId="0" borderId="16" xfId="2" applyFont="1" applyFill="1" applyBorder="1" applyAlignment="1">
      <alignment horizontal="center" vertical="center" wrapText="1"/>
    </xf>
    <xf numFmtId="164" fontId="64" fillId="0" borderId="29" xfId="2" applyNumberFormat="1" applyFont="1" applyFill="1" applyBorder="1" applyAlignment="1">
      <alignment horizontal="left" vertical="center"/>
    </xf>
    <xf numFmtId="164" fontId="64" fillId="0" borderId="41" xfId="2" applyNumberFormat="1" applyFont="1" applyFill="1" applyBorder="1" applyAlignment="1">
      <alignment horizontal="left" vertical="center"/>
    </xf>
    <xf numFmtId="164" fontId="64" fillId="0" borderId="40" xfId="2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1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61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6" fillId="0" borderId="29" xfId="0" applyNumberFormat="1" applyFont="1" applyFill="1" applyBorder="1" applyAlignment="1">
      <alignment horizontal="center" vertical="center"/>
    </xf>
    <xf numFmtId="49" fontId="6" fillId="0" borderId="41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0" fontId="53" fillId="0" borderId="42" xfId="0" applyFont="1" applyFill="1" applyBorder="1" applyAlignment="1">
      <alignment horizontal="center"/>
    </xf>
    <xf numFmtId="0" fontId="8" fillId="0" borderId="29" xfId="2" applyFont="1" applyFill="1" applyBorder="1" applyAlignment="1">
      <alignment horizontal="center" wrapText="1"/>
    </xf>
    <xf numFmtId="0" fontId="8" fillId="0" borderId="41" xfId="2" applyFont="1" applyFill="1" applyBorder="1" applyAlignment="1">
      <alignment horizontal="center" wrapText="1"/>
    </xf>
    <xf numFmtId="0" fontId="6" fillId="0" borderId="45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9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9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52" fillId="0" borderId="0" xfId="0" applyFont="1" applyFill="1" applyAlignment="1">
      <alignment horizontal="left"/>
    </xf>
    <xf numFmtId="0" fontId="53" fillId="0" borderId="0" xfId="0" applyFont="1" applyFill="1" applyAlignment="1">
      <alignment horizontal="center"/>
    </xf>
    <xf numFmtId="0" fontId="6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6" fillId="0" borderId="16" xfId="2" applyFont="1" applyFill="1" applyBorder="1" applyAlignment="1" applyProtection="1">
      <alignment horizontal="center" vertical="center" textRotation="90" wrapText="1"/>
      <protection locked="0" hidden="1"/>
    </xf>
    <xf numFmtId="0" fontId="48" fillId="0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justify"/>
    </xf>
    <xf numFmtId="0" fontId="32" fillId="0" borderId="0" xfId="0" applyFont="1" applyFill="1" applyAlignment="1">
      <alignment horizontal="center"/>
    </xf>
    <xf numFmtId="0" fontId="32" fillId="0" borderId="42" xfId="0" applyFont="1" applyFill="1" applyBorder="1" applyAlignment="1">
      <alignment horizontal="center"/>
    </xf>
    <xf numFmtId="0" fontId="31" fillId="0" borderId="29" xfId="2" applyFont="1" applyFill="1" applyBorder="1" applyAlignment="1">
      <alignment horizontal="center"/>
    </xf>
    <xf numFmtId="0" fontId="31" fillId="0" borderId="41" xfId="2" applyFont="1" applyFill="1" applyBorder="1" applyAlignment="1">
      <alignment horizontal="center"/>
    </xf>
    <xf numFmtId="0" fontId="31" fillId="0" borderId="45" xfId="2" applyFont="1" applyFill="1" applyBorder="1" applyAlignment="1">
      <alignment horizontal="center" vertical="center" wrapText="1"/>
    </xf>
    <xf numFmtId="0" fontId="31" fillId="0" borderId="16" xfId="2" applyFont="1" applyFill="1" applyBorder="1" applyAlignment="1">
      <alignment horizontal="center" vertical="center" wrapText="1"/>
    </xf>
    <xf numFmtId="0" fontId="31" fillId="0" borderId="45" xfId="2" applyFont="1" applyFill="1" applyBorder="1" applyAlignment="1" applyProtection="1">
      <alignment horizontal="center" vertical="center" textRotation="90" wrapText="1"/>
      <protection locked="0" hidden="1"/>
    </xf>
    <xf numFmtId="0" fontId="31" fillId="0" borderId="16" xfId="2" applyFont="1" applyFill="1" applyBorder="1" applyAlignment="1" applyProtection="1">
      <alignment horizontal="center" vertical="center" textRotation="90" wrapText="1"/>
      <protection locked="0" hidden="1"/>
    </xf>
    <xf numFmtId="49" fontId="4" fillId="2" borderId="0" xfId="0" applyNumberFormat="1" applyFont="1" applyFill="1" applyAlignment="1">
      <alignment horizontal="left"/>
    </xf>
    <xf numFmtId="0" fontId="23" fillId="0" borderId="29" xfId="2" applyFont="1" applyFill="1" applyBorder="1" applyAlignment="1">
      <alignment horizontal="center" vertical="center"/>
    </xf>
    <xf numFmtId="0" fontId="23" fillId="0" borderId="41" xfId="2" applyFont="1" applyFill="1" applyBorder="1" applyAlignment="1">
      <alignment horizontal="center" vertical="center"/>
    </xf>
    <xf numFmtId="0" fontId="23" fillId="0" borderId="40" xfId="2" applyFont="1" applyFill="1" applyBorder="1" applyAlignment="1">
      <alignment horizontal="center" vertical="center"/>
    </xf>
    <xf numFmtId="0" fontId="23" fillId="0" borderId="29" xfId="1" applyFont="1" applyFill="1" applyBorder="1" applyAlignment="1">
      <alignment horizontal="center" vertical="center"/>
    </xf>
    <xf numFmtId="0" fontId="23" fillId="0" borderId="41" xfId="1" applyFont="1" applyFill="1" applyBorder="1" applyAlignment="1">
      <alignment horizontal="center" vertical="center"/>
    </xf>
    <xf numFmtId="0" fontId="23" fillId="0" borderId="40" xfId="1" applyFont="1" applyFill="1" applyBorder="1" applyAlignment="1">
      <alignment horizontal="center" vertical="center"/>
    </xf>
    <xf numFmtId="0" fontId="23" fillId="0" borderId="45" xfId="1" applyFont="1" applyFill="1" applyBorder="1" applyAlignment="1">
      <alignment horizontal="center" vertical="center" wrapText="1"/>
    </xf>
    <xf numFmtId="0" fontId="23" fillId="0" borderId="16" xfId="1" applyFont="1" applyFill="1" applyBorder="1" applyAlignment="1">
      <alignment horizontal="center" vertical="center" wrapText="1"/>
    </xf>
    <xf numFmtId="0" fontId="23" fillId="0" borderId="45" xfId="1" applyFont="1" applyFill="1" applyBorder="1" applyAlignment="1" applyProtection="1">
      <alignment horizontal="center" vertical="center" textRotation="90" wrapText="1"/>
      <protection locked="0" hidden="1"/>
    </xf>
    <xf numFmtId="0" fontId="23" fillId="0" borderId="16" xfId="1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29" xfId="1" applyFont="1" applyFill="1" applyBorder="1" applyAlignment="1">
      <alignment horizontal="center" vertical="center" wrapText="1"/>
    </xf>
    <xf numFmtId="0" fontId="22" fillId="0" borderId="41" xfId="1" applyFont="1" applyFill="1" applyBorder="1" applyAlignment="1">
      <alignment horizontal="center" vertical="center" wrapText="1"/>
    </xf>
    <xf numFmtId="0" fontId="22" fillId="0" borderId="40" xfId="1" applyFont="1" applyFill="1" applyBorder="1" applyAlignment="1">
      <alignment horizontal="center" vertical="center" wrapText="1"/>
    </xf>
    <xf numFmtId="0" fontId="9" fillId="11" borderId="29" xfId="2" applyFont="1" applyFill="1" applyBorder="1" applyAlignment="1">
      <alignment horizontal="center" vertical="center"/>
    </xf>
    <xf numFmtId="0" fontId="9" fillId="11" borderId="41" xfId="2" applyFont="1" applyFill="1" applyBorder="1" applyAlignment="1">
      <alignment horizontal="center" vertical="center"/>
    </xf>
    <xf numFmtId="0" fontId="9" fillId="11" borderId="4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42" xfId="0" applyFont="1" applyFill="1" applyBorder="1" applyAlignment="1">
      <alignment horizontal="left"/>
    </xf>
    <xf numFmtId="0" fontId="8" fillId="11" borderId="29" xfId="2" applyFont="1" applyFill="1" applyBorder="1" applyAlignment="1">
      <alignment horizontal="center"/>
    </xf>
    <xf numFmtId="0" fontId="8" fillId="11" borderId="41" xfId="2" applyFont="1" applyFill="1" applyBorder="1" applyAlignment="1">
      <alignment horizontal="center"/>
    </xf>
    <xf numFmtId="0" fontId="11" fillId="11" borderId="45" xfId="2" applyFont="1" applyFill="1" applyBorder="1" applyAlignment="1">
      <alignment horizontal="center" vertical="center" wrapText="1"/>
    </xf>
    <xf numFmtId="0" fontId="11" fillId="11" borderId="16" xfId="2" applyFont="1" applyFill="1" applyBorder="1" applyAlignment="1">
      <alignment horizontal="center" vertical="center" wrapText="1"/>
    </xf>
    <xf numFmtId="0" fontId="11" fillId="11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1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13" borderId="29" xfId="2" applyFont="1" applyFill="1" applyBorder="1" applyAlignment="1">
      <alignment horizontal="center"/>
    </xf>
    <xf numFmtId="0" fontId="11" fillId="13" borderId="41" xfId="2" applyFont="1" applyFill="1" applyBorder="1" applyAlignment="1">
      <alignment horizontal="center"/>
    </xf>
    <xf numFmtId="0" fontId="9" fillId="14" borderId="0" xfId="0" applyFont="1" applyFill="1" applyAlignment="1">
      <alignment horizontal="center" vertical="center"/>
    </xf>
    <xf numFmtId="0" fontId="11" fillId="13" borderId="45" xfId="2" applyFont="1" applyFill="1" applyBorder="1" applyAlignment="1">
      <alignment horizontal="center" vertical="center" wrapText="1"/>
    </xf>
    <xf numFmtId="0" fontId="11" fillId="13" borderId="15" xfId="2" applyFont="1" applyFill="1" applyBorder="1" applyAlignment="1">
      <alignment horizontal="center" vertical="center" wrapText="1"/>
    </xf>
    <xf numFmtId="0" fontId="11" fillId="13" borderId="45" xfId="2" applyFont="1" applyFill="1" applyBorder="1" applyAlignment="1" applyProtection="1">
      <alignment horizontal="center" vertical="center" textRotation="90" wrapText="1"/>
      <protection locked="0" hidden="1"/>
    </xf>
    <xf numFmtId="0" fontId="11" fillId="13" borderId="16" xfId="2" applyFont="1" applyFill="1" applyBorder="1" applyAlignment="1" applyProtection="1">
      <alignment horizontal="center" vertical="center" textRotation="90" wrapText="1"/>
      <protection locked="0" hidden="1"/>
    </xf>
    <xf numFmtId="0" fontId="9" fillId="13" borderId="29" xfId="2" applyFont="1" applyFill="1" applyBorder="1" applyAlignment="1">
      <alignment horizontal="center" vertical="center"/>
    </xf>
    <xf numFmtId="0" fontId="9" fillId="13" borderId="41" xfId="2" applyFont="1" applyFill="1" applyBorder="1" applyAlignment="1">
      <alignment horizontal="center" vertical="center"/>
    </xf>
    <xf numFmtId="0" fontId="9" fillId="13" borderId="40" xfId="2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4" fontId="20" fillId="0" borderId="33" xfId="0" applyNumberFormat="1" applyFont="1" applyBorder="1" applyAlignment="1">
      <alignment horizontal="center" vertical="center"/>
    </xf>
    <xf numFmtId="4" fontId="20" fillId="0" borderId="47" xfId="0" applyNumberFormat="1" applyFont="1" applyBorder="1" applyAlignment="1">
      <alignment horizontal="center" vertical="center"/>
    </xf>
    <xf numFmtId="4" fontId="20" fillId="0" borderId="48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" fontId="18" fillId="0" borderId="49" xfId="0" applyNumberFormat="1" applyFont="1" applyBorder="1" applyAlignment="1">
      <alignment horizontal="center"/>
    </xf>
    <xf numFmtId="4" fontId="18" fillId="0" borderId="50" xfId="0" applyNumberFormat="1" applyFont="1" applyBorder="1" applyAlignment="1">
      <alignment horizontal="center"/>
    </xf>
    <xf numFmtId="4" fontId="18" fillId="0" borderId="5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" fontId="18" fillId="0" borderId="33" xfId="0" applyNumberFormat="1" applyFont="1" applyBorder="1" applyAlignment="1">
      <alignment horizontal="center"/>
    </xf>
    <xf numFmtId="4" fontId="18" fillId="0" borderId="48" xfId="0" applyNumberFormat="1" applyFont="1" applyBorder="1" applyAlignment="1">
      <alignment horizont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8" xfId="0" applyNumberFormat="1" applyFont="1" applyBorder="1" applyAlignment="1">
      <alignment horizontal="center" vertical="center"/>
    </xf>
    <xf numFmtId="166" fontId="0" fillId="0" borderId="0" xfId="5" applyFont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41" fillId="0" borderId="8" xfId="0" applyFont="1" applyFill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41" fillId="0" borderId="1" xfId="2" applyFont="1" applyFill="1" applyBorder="1" applyAlignment="1">
      <alignment horizontal="center" vertical="center" wrapText="1"/>
    </xf>
    <xf numFmtId="0" fontId="41" fillId="0" borderId="1" xfId="2" applyFont="1" applyFill="1" applyBorder="1" applyAlignment="1" applyProtection="1">
      <alignment horizontal="center" vertical="center" textRotation="90" wrapText="1"/>
      <protection locked="0" hidden="1"/>
    </xf>
    <xf numFmtId="0" fontId="71" fillId="0" borderId="33" xfId="2" applyFont="1" applyFill="1" applyBorder="1" applyAlignment="1">
      <alignment horizontal="center" vertical="center"/>
    </xf>
    <xf numFmtId="0" fontId="71" fillId="0" borderId="47" xfId="2" applyFont="1" applyFill="1" applyBorder="1" applyAlignment="1">
      <alignment horizontal="center" vertical="center"/>
    </xf>
    <xf numFmtId="0" fontId="71" fillId="0" borderId="48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3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71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49" fontId="33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justify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29" xfId="2" applyFont="1" applyFill="1" applyBorder="1" applyAlignment="1">
      <alignment horizontal="center"/>
    </xf>
    <xf numFmtId="0" fontId="20" fillId="0" borderId="41" xfId="2" applyFont="1" applyFill="1" applyBorder="1" applyAlignment="1">
      <alignment horizontal="center"/>
    </xf>
    <xf numFmtId="0" fontId="22" fillId="0" borderId="29" xfId="2" applyFont="1" applyFill="1" applyBorder="1" applyAlignment="1">
      <alignment horizontal="center" vertical="center"/>
    </xf>
    <xf numFmtId="0" fontId="22" fillId="0" borderId="41" xfId="2" applyFont="1" applyFill="1" applyBorder="1" applyAlignment="1">
      <alignment horizontal="center" vertical="center"/>
    </xf>
    <xf numFmtId="0" fontId="22" fillId="0" borderId="40" xfId="2" applyFont="1" applyFill="1" applyBorder="1" applyAlignment="1">
      <alignment horizontal="center" vertical="center"/>
    </xf>
    <xf numFmtId="0" fontId="33" fillId="0" borderId="42" xfId="0" applyFont="1" applyFill="1" applyBorder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22" fillId="0" borderId="17" xfId="2" applyFont="1" applyFill="1" applyBorder="1" applyAlignment="1">
      <alignment horizontal="center" vertical="center"/>
    </xf>
    <xf numFmtId="0" fontId="22" fillId="0" borderId="42" xfId="2" applyFont="1" applyFill="1" applyBorder="1" applyAlignment="1">
      <alignment horizontal="center" vertical="center"/>
    </xf>
    <xf numFmtId="0" fontId="22" fillId="0" borderId="44" xfId="2" applyFont="1" applyFill="1" applyBorder="1" applyAlignment="1">
      <alignment horizontal="center" vertical="center"/>
    </xf>
    <xf numFmtId="0" fontId="20" fillId="0" borderId="29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41" fillId="0" borderId="42" xfId="0" applyFont="1" applyFill="1" applyBorder="1" applyAlignment="1">
      <alignment horizontal="center"/>
    </xf>
    <xf numFmtId="0" fontId="20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 textRotation="90" wrapText="1"/>
      <protection locked="0" hidden="1"/>
    </xf>
    <xf numFmtId="0" fontId="22" fillId="0" borderId="1" xfId="2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/>
    </xf>
    <xf numFmtId="0" fontId="33" fillId="0" borderId="6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0" fillId="0" borderId="17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31" fillId="0" borderId="15" xfId="2" applyFont="1" applyFill="1" applyBorder="1" applyAlignment="1">
      <alignment horizontal="center" vertical="center" wrapText="1"/>
    </xf>
    <xf numFmtId="0" fontId="31" fillId="0" borderId="15" xfId="2" applyFont="1" applyFill="1" applyBorder="1" applyAlignment="1" applyProtection="1">
      <alignment horizontal="center" vertical="center" textRotation="90" wrapText="1"/>
      <protection locked="0" hidden="1"/>
    </xf>
    <xf numFmtId="0" fontId="41" fillId="0" borderId="0" xfId="0" applyFont="1" applyAlignment="1">
      <alignment horizontal="center"/>
    </xf>
    <xf numFmtId="0" fontId="20" fillId="0" borderId="1" xfId="2" applyFont="1" applyFill="1" applyBorder="1" applyAlignment="1">
      <alignment horizontal="center"/>
    </xf>
    <xf numFmtId="0" fontId="20" fillId="0" borderId="17" xfId="2" applyFont="1" applyFill="1" applyBorder="1" applyAlignment="1">
      <alignment horizontal="center"/>
    </xf>
    <xf numFmtId="0" fontId="20" fillId="0" borderId="42" xfId="2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1" fillId="13" borderId="1" xfId="0" applyFont="1" applyFill="1" applyBorder="1" applyAlignment="1">
      <alignment horizontal="center"/>
    </xf>
    <xf numFmtId="170" fontId="20" fillId="0" borderId="0" xfId="0" applyNumberFormat="1" applyFont="1" applyBorder="1"/>
    <xf numFmtId="0" fontId="20" fillId="0" borderId="0" xfId="0" applyFont="1" applyBorder="1"/>
    <xf numFmtId="49" fontId="29" fillId="0" borderId="0" xfId="0" applyNumberFormat="1" applyFont="1" applyAlignment="1">
      <alignment horizontal="center" vertical="center" wrapText="1"/>
    </xf>
    <xf numFmtId="49" fontId="22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0" fontId="30" fillId="18" borderId="29" xfId="0" applyFont="1" applyFill="1" applyBorder="1" applyAlignment="1">
      <alignment horizontal="left" wrapText="1"/>
    </xf>
    <xf numFmtId="0" fontId="30" fillId="18" borderId="41" xfId="0" applyFont="1" applyFill="1" applyBorder="1" applyAlignment="1">
      <alignment horizontal="left" wrapText="1"/>
    </xf>
    <xf numFmtId="0" fontId="30" fillId="18" borderId="25" xfId="0" applyFont="1" applyFill="1" applyBorder="1" applyAlignment="1">
      <alignment horizontal="center" vertical="center" wrapText="1"/>
    </xf>
    <xf numFmtId="0" fontId="30" fillId="18" borderId="23" xfId="0" applyFont="1" applyFill="1" applyBorder="1" applyAlignment="1">
      <alignment horizontal="center" vertical="center" wrapText="1"/>
    </xf>
    <xf numFmtId="0" fontId="23" fillId="18" borderId="49" xfId="0" applyFont="1" applyFill="1" applyBorder="1" applyAlignment="1">
      <alignment horizontal="center" vertical="center" wrapText="1"/>
    </xf>
    <xf numFmtId="0" fontId="23" fillId="18" borderId="66" xfId="0" applyFont="1" applyFill="1" applyBorder="1" applyAlignment="1">
      <alignment horizontal="center" vertical="center" wrapText="1"/>
    </xf>
    <xf numFmtId="0" fontId="31" fillId="18" borderId="29" xfId="0" applyFont="1" applyFill="1" applyBorder="1" applyAlignment="1">
      <alignment horizontal="center" vertical="center" wrapText="1"/>
    </xf>
    <xf numFmtId="0" fontId="31" fillId="18" borderId="41" xfId="0" applyFont="1" applyFill="1" applyBorder="1" applyAlignment="1">
      <alignment horizontal="center" vertical="center" wrapText="1"/>
    </xf>
    <xf numFmtId="0" fontId="31" fillId="18" borderId="40" xfId="0" applyFont="1" applyFill="1" applyBorder="1" applyAlignment="1">
      <alignment horizontal="center" vertical="center" wrapText="1"/>
    </xf>
    <xf numFmtId="0" fontId="31" fillId="18" borderId="64" xfId="0" applyFont="1" applyFill="1" applyBorder="1" applyAlignment="1">
      <alignment horizontal="center" vertical="center" wrapText="1"/>
    </xf>
    <xf numFmtId="0" fontId="31" fillId="18" borderId="65" xfId="0" applyFont="1" applyFill="1" applyBorder="1" applyAlignment="1">
      <alignment horizontal="center" vertical="center" wrapText="1"/>
    </xf>
    <xf numFmtId="4" fontId="19" fillId="0" borderId="55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9" fontId="47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" fontId="18" fillId="0" borderId="49" xfId="0" applyNumberFormat="1" applyFont="1" applyFill="1" applyBorder="1" applyAlignment="1">
      <alignment horizontal="center"/>
    </xf>
    <xf numFmtId="4" fontId="18" fillId="0" borderId="50" xfId="0" applyNumberFormat="1" applyFont="1" applyFill="1" applyBorder="1" applyAlignment="1">
      <alignment horizontal="center"/>
    </xf>
    <xf numFmtId="4" fontId="18" fillId="0" borderId="51" xfId="0" applyNumberFormat="1" applyFont="1" applyFill="1" applyBorder="1" applyAlignment="1">
      <alignment horizontal="center"/>
    </xf>
    <xf numFmtId="49" fontId="47" fillId="0" borderId="0" xfId="0" applyNumberFormat="1" applyFont="1" applyAlignment="1">
      <alignment horizontal="center"/>
    </xf>
    <xf numFmtId="4" fontId="20" fillId="0" borderId="0" xfId="0" applyNumberFormat="1" applyFont="1" applyFill="1" applyAlignment="1">
      <alignment horizontal="center"/>
    </xf>
    <xf numFmtId="4" fontId="68" fillId="15" borderId="33" xfId="0" applyNumberFormat="1" applyFont="1" applyFill="1" applyBorder="1"/>
    <xf numFmtId="4" fontId="68" fillId="15" borderId="48" xfId="0" applyNumberFormat="1" applyFont="1" applyFill="1" applyBorder="1"/>
    <xf numFmtId="0" fontId="0" fillId="0" borderId="0" xfId="0"/>
    <xf numFmtId="0" fontId="1" fillId="0" borderId="0" xfId="0" applyFont="1" applyAlignment="1">
      <alignment horizontal="center" textRotation="90"/>
    </xf>
    <xf numFmtId="0" fontId="87" fillId="0" borderId="0" xfId="0" applyFont="1" applyFill="1" applyAlignment="1">
      <alignment horizontal="center" vertical="center"/>
    </xf>
    <xf numFmtId="0" fontId="19" fillId="18" borderId="46" xfId="0" applyFont="1" applyFill="1" applyBorder="1" applyAlignment="1">
      <alignment horizontal="center"/>
    </xf>
  </cellXfs>
  <cellStyles count="10">
    <cellStyle name="60% - Énfasis2" xfId="1" builtinId="36"/>
    <cellStyle name="Énfasis1" xfId="2" builtinId="29"/>
    <cellStyle name="Euro" xfId="3"/>
    <cellStyle name="Hipervínculo" xfId="9" builtinId="8"/>
    <cellStyle name="Millares" xfId="8" builtinId="3"/>
    <cellStyle name="Millares 4" xfId="4"/>
    <cellStyle name="Moneda" xfId="5" builtinId="4"/>
    <cellStyle name="Normal" xfId="0" builtinId="0"/>
    <cellStyle name="Normal 2" xfId="6"/>
    <cellStyle name="Normal 4" xfId="7"/>
  </cellStyles>
  <dxfs count="0"/>
  <tableStyles count="0" defaultTableStyle="TableStyleMedium9" defaultPivotStyle="PivotStyleLight16"/>
  <colors>
    <mruColors>
      <color rgb="FFA6DE42"/>
      <color rgb="FF00CC00"/>
      <color rgb="FF666699"/>
      <color rgb="FF599FD9"/>
      <color rgb="FFFFFFCC"/>
      <color rgb="FF009900"/>
      <color rgb="FFF4B74A"/>
      <color rgb="FF0AD840"/>
      <color rgb="FF079D2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42522</xdr:rowOff>
    </xdr:from>
    <xdr:to>
      <xdr:col>1</xdr:col>
      <xdr:colOff>682698</xdr:colOff>
      <xdr:row>2</xdr:row>
      <xdr:rowOff>17009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65" y="42522"/>
          <a:ext cx="444572" cy="4337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240863</xdr:colOff>
      <xdr:row>0</xdr:row>
      <xdr:rowOff>21897</xdr:rowOff>
    </xdr:from>
    <xdr:to>
      <xdr:col>1</xdr:col>
      <xdr:colOff>635001</xdr:colOff>
      <xdr:row>3</xdr:row>
      <xdr:rowOff>171833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63" y="21897"/>
          <a:ext cx="875862" cy="8287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253</xdr:row>
      <xdr:rowOff>276225</xdr:rowOff>
    </xdr:from>
    <xdr:to>
      <xdr:col>6</xdr:col>
      <xdr:colOff>800100</xdr:colOff>
      <xdr:row>253</xdr:row>
      <xdr:rowOff>276225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CxnSpPr/>
      </xdr:nvCxnSpPr>
      <xdr:spPr bwMode="auto">
        <a:xfrm>
          <a:off x="4838700" y="43100625"/>
          <a:ext cx="70485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6</xdr:col>
      <xdr:colOff>476250</xdr:colOff>
      <xdr:row>255</xdr:row>
      <xdr:rowOff>247650</xdr:rowOff>
    </xdr:from>
    <xdr:to>
      <xdr:col>6</xdr:col>
      <xdr:colOff>771525</xdr:colOff>
      <xdr:row>255</xdr:row>
      <xdr:rowOff>247650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CxnSpPr/>
      </xdr:nvCxnSpPr>
      <xdr:spPr bwMode="auto">
        <a:xfrm>
          <a:off x="5219700" y="43776900"/>
          <a:ext cx="2952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 editAs="oneCell">
    <xdr:from>
      <xdr:col>0</xdr:col>
      <xdr:colOff>514350</xdr:colOff>
      <xdr:row>0</xdr:row>
      <xdr:rowOff>171450</xdr:rowOff>
    </xdr:from>
    <xdr:to>
      <xdr:col>1</xdr:col>
      <xdr:colOff>316359</xdr:colOff>
      <xdr:row>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7145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55</xdr:row>
      <xdr:rowOff>66675</xdr:rowOff>
    </xdr:from>
    <xdr:to>
      <xdr:col>2</xdr:col>
      <xdr:colOff>21512</xdr:colOff>
      <xdr:row>58</xdr:row>
      <xdr:rowOff>82550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94265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110</xdr:row>
      <xdr:rowOff>15875</xdr:rowOff>
    </xdr:from>
    <xdr:to>
      <xdr:col>2</xdr:col>
      <xdr:colOff>69137</xdr:colOff>
      <xdr:row>113</xdr:row>
      <xdr:rowOff>31750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7737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711200</xdr:colOff>
      <xdr:row>164</xdr:row>
      <xdr:rowOff>3175</xdr:rowOff>
    </xdr:from>
    <xdr:to>
      <xdr:col>2</xdr:col>
      <xdr:colOff>170737</xdr:colOff>
      <xdr:row>167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27993975"/>
          <a:ext cx="6413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221</xdr:row>
      <xdr:rowOff>19050</xdr:rowOff>
    </xdr:from>
    <xdr:to>
      <xdr:col>2</xdr:col>
      <xdr:colOff>94537</xdr:colOff>
      <xdr:row>224</xdr:row>
      <xdr:rowOff>34925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7738050"/>
          <a:ext cx="6413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0</xdr:col>
      <xdr:colOff>761999</xdr:colOff>
      <xdr:row>2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"/>
          <a:ext cx="609599" cy="609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1182462</xdr:colOff>
      <xdr:row>0</xdr:row>
      <xdr:rowOff>0</xdr:rowOff>
    </xdr:from>
    <xdr:to>
      <xdr:col>1</xdr:col>
      <xdr:colOff>2137019</xdr:colOff>
      <xdr:row>4</xdr:row>
      <xdr:rowOff>8817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770" y="0"/>
          <a:ext cx="954557" cy="936894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xmlns="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xmlns="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xmlns="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xmlns="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957263</xdr:colOff>
      <xdr:row>0</xdr:row>
      <xdr:rowOff>128588</xdr:rowOff>
    </xdr:from>
    <xdr:to>
      <xdr:col>4</xdr:col>
      <xdr:colOff>1857375</xdr:colOff>
      <xdr:row>4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138" y="128588"/>
          <a:ext cx="900112" cy="9001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1043781</xdr:colOff>
      <xdr:row>1</xdr:row>
      <xdr:rowOff>15874</xdr:rowOff>
    </xdr:from>
    <xdr:to>
      <xdr:col>4</xdr:col>
      <xdr:colOff>1853406</xdr:colOff>
      <xdr:row>5</xdr:row>
      <xdr:rowOff>7937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281" y="246062"/>
          <a:ext cx="809625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359617</xdr:colOff>
      <xdr:row>0</xdr:row>
      <xdr:rowOff>58316</xdr:rowOff>
    </xdr:from>
    <xdr:to>
      <xdr:col>4</xdr:col>
      <xdr:colOff>1292679</xdr:colOff>
      <xdr:row>4</xdr:row>
      <xdr:rowOff>116633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0510" y="58316"/>
          <a:ext cx="933062" cy="9330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6597" name="Rectangle 3">
          <a:extLst>
            <a:ext uri="{FF2B5EF4-FFF2-40B4-BE49-F238E27FC236}">
              <a16:creationId xmlns:a16="http://schemas.microsoft.com/office/drawing/2014/main" xmlns="" id="{00000000-0008-0000-0600-0000D5400000}"/>
            </a:ext>
          </a:extLst>
        </xdr:cNvPr>
        <xdr:cNvSpPr>
          <a:spLocks noChangeArrowheads="1"/>
        </xdr:cNvSpPr>
      </xdr:nvSpPr>
      <xdr:spPr bwMode="auto">
        <a:xfrm>
          <a:off x="834390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xmlns="" id="{00000000-0008-0000-06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292100</xdr:colOff>
      <xdr:row>0</xdr:row>
      <xdr:rowOff>101600</xdr:rowOff>
    </xdr:from>
    <xdr:to>
      <xdr:col>2</xdr:col>
      <xdr:colOff>279400</xdr:colOff>
      <xdr:row>4</xdr:row>
      <xdr:rowOff>136525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01600"/>
          <a:ext cx="901700" cy="89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133146</xdr:rowOff>
    </xdr:from>
    <xdr:to>
      <xdr:col>3</xdr:col>
      <xdr:colOff>297016</xdr:colOff>
      <xdr:row>4</xdr:row>
      <xdr:rowOff>174113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58" y="133146"/>
          <a:ext cx="901290" cy="901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4</xdr:col>
      <xdr:colOff>95250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38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</xdr:row>
      <xdr:rowOff>19050</xdr:rowOff>
    </xdr:from>
    <xdr:to>
      <xdr:col>4</xdr:col>
      <xdr:colOff>85725</xdr:colOff>
      <xdr:row>25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82486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39</xdr:row>
      <xdr:rowOff>95250</xdr:rowOff>
    </xdr:from>
    <xdr:to>
      <xdr:col>4</xdr:col>
      <xdr:colOff>257175</xdr:colOff>
      <xdr:row>43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56347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238126</xdr:colOff>
      <xdr:row>57</xdr:row>
      <xdr:rowOff>152401</xdr:rowOff>
    </xdr:from>
    <xdr:to>
      <xdr:col>4</xdr:col>
      <xdr:colOff>123826</xdr:colOff>
      <xdr:row>61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8688051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74</xdr:row>
      <xdr:rowOff>19050</xdr:rowOff>
    </xdr:from>
    <xdr:to>
      <xdr:col>4</xdr:col>
      <xdr:colOff>180975</xdr:colOff>
      <xdr:row>78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314134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113</xdr:row>
      <xdr:rowOff>0</xdr:rowOff>
    </xdr:from>
    <xdr:to>
      <xdr:col>4</xdr:col>
      <xdr:colOff>238125</xdr:colOff>
      <xdr:row>117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88715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135</xdr:row>
      <xdr:rowOff>133351</xdr:rowOff>
    </xdr:from>
    <xdr:to>
      <xdr:col>4</xdr:col>
      <xdr:colOff>209551</xdr:colOff>
      <xdr:row>139</xdr:row>
      <xdr:rowOff>95251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37118926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152</xdr:row>
      <xdr:rowOff>152400</xdr:rowOff>
    </xdr:from>
    <xdr:to>
      <xdr:col>4</xdr:col>
      <xdr:colOff>104775</xdr:colOff>
      <xdr:row>156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4259580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169</xdr:row>
      <xdr:rowOff>142875</xdr:rowOff>
    </xdr:from>
    <xdr:to>
      <xdr:col>4</xdr:col>
      <xdr:colOff>85725</xdr:colOff>
      <xdr:row>173</xdr:row>
      <xdr:rowOff>57150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4796790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187</xdr:row>
      <xdr:rowOff>104775</xdr:rowOff>
    </xdr:from>
    <xdr:to>
      <xdr:col>4</xdr:col>
      <xdr:colOff>76200</xdr:colOff>
      <xdr:row>191</xdr:row>
      <xdr:rowOff>57150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526542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211</xdr:row>
      <xdr:rowOff>0</xdr:rowOff>
    </xdr:from>
    <xdr:to>
      <xdr:col>4</xdr:col>
      <xdr:colOff>133350</xdr:colOff>
      <xdr:row>215</xdr:row>
      <xdr:rowOff>47625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80453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233</xdr:row>
      <xdr:rowOff>47625</xdr:rowOff>
    </xdr:from>
    <xdr:to>
      <xdr:col>4</xdr:col>
      <xdr:colOff>104775</xdr:colOff>
      <xdr:row>237</xdr:row>
      <xdr:rowOff>95250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349365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250</xdr:row>
      <xdr:rowOff>142875</xdr:rowOff>
    </xdr:from>
    <xdr:to>
      <xdr:col>4</xdr:col>
      <xdr:colOff>295275</xdr:colOff>
      <xdr:row>255</xdr:row>
      <xdr:rowOff>28575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910590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291</xdr:row>
      <xdr:rowOff>95250</xdr:rowOff>
    </xdr:from>
    <xdr:to>
      <xdr:col>4</xdr:col>
      <xdr:colOff>171450</xdr:colOff>
      <xdr:row>295</xdr:row>
      <xdr:rowOff>142875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778478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266701</xdr:colOff>
      <xdr:row>311</xdr:row>
      <xdr:rowOff>152401</xdr:rowOff>
    </xdr:from>
    <xdr:to>
      <xdr:col>4</xdr:col>
      <xdr:colOff>133351</xdr:colOff>
      <xdr:row>315</xdr:row>
      <xdr:rowOff>76201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83115151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329</xdr:row>
      <xdr:rowOff>57150</xdr:rowOff>
    </xdr:from>
    <xdr:to>
      <xdr:col>4</xdr:col>
      <xdr:colOff>114300</xdr:colOff>
      <xdr:row>333</xdr:row>
      <xdr:rowOff>104775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9049225"/>
          <a:ext cx="904875" cy="904875"/>
        </a:xfrm>
        <a:prstGeom prst="rect">
          <a:avLst/>
        </a:prstGeom>
      </xdr:spPr>
    </xdr:pic>
    <xdr:clientData/>
  </xdr:twoCellAnchor>
  <xdr:oneCellAnchor>
    <xdr:from>
      <xdr:col>1</xdr:col>
      <xdr:colOff>238125</xdr:colOff>
      <xdr:row>346</xdr:row>
      <xdr:rowOff>19050</xdr:rowOff>
    </xdr:from>
    <xdr:ext cx="904875" cy="904875"/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6471700"/>
          <a:ext cx="904875" cy="90487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364</xdr:row>
      <xdr:rowOff>85725</xdr:rowOff>
    </xdr:from>
    <xdr:ext cx="904875" cy="904875"/>
    <xdr:pic>
      <xdr:nvPicPr>
        <xdr:cNvPr id="21" name="Imagen 18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02765225"/>
          <a:ext cx="904875" cy="90487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392</xdr:row>
      <xdr:rowOff>9525</xdr:rowOff>
    </xdr:from>
    <xdr:ext cx="904875" cy="904875"/>
    <xdr:pic>
      <xdr:nvPicPr>
        <xdr:cNvPr id="22" name="Imagen 18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1091755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409</xdr:row>
      <xdr:rowOff>19050</xdr:rowOff>
    </xdr:from>
    <xdr:ext cx="904875" cy="904875"/>
    <xdr:pic>
      <xdr:nvPicPr>
        <xdr:cNvPr id="23" name="Imagen 18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24699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430</xdr:row>
      <xdr:rowOff>19050</xdr:rowOff>
    </xdr:from>
    <xdr:ext cx="904875" cy="904875"/>
    <xdr:pic>
      <xdr:nvPicPr>
        <xdr:cNvPr id="24" name="Imagen 1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24699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452</xdr:row>
      <xdr:rowOff>19050</xdr:rowOff>
    </xdr:from>
    <xdr:ext cx="904875" cy="904875"/>
    <xdr:pic>
      <xdr:nvPicPr>
        <xdr:cNvPr id="25" name="Imagen 18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24699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470</xdr:row>
      <xdr:rowOff>247650</xdr:rowOff>
    </xdr:from>
    <xdr:ext cx="904875" cy="904875"/>
    <xdr:pic>
      <xdr:nvPicPr>
        <xdr:cNvPr id="26" name="Imagen 1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280350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490</xdr:row>
      <xdr:rowOff>19050</xdr:rowOff>
    </xdr:from>
    <xdr:ext cx="904875" cy="904875"/>
    <xdr:pic>
      <xdr:nvPicPr>
        <xdr:cNvPr id="27" name="Imagen 18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9213830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95</xdr:row>
      <xdr:rowOff>19050</xdr:rowOff>
    </xdr:from>
    <xdr:ext cx="904875" cy="904875"/>
    <xdr:pic>
      <xdr:nvPicPr>
        <xdr:cNvPr id="30" name="Imagen 29">
          <a:extLst>
            <a:ext uri="{FF2B5EF4-FFF2-40B4-BE49-F238E27FC236}">
              <a16:creationId xmlns:a16="http://schemas.microsoft.com/office/drawing/2014/main" xmlns="" id="{36BADEDE-BCE4-4443-8F4F-F286D5607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14312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271</xdr:row>
      <xdr:rowOff>95250</xdr:rowOff>
    </xdr:from>
    <xdr:ext cx="904875" cy="904875"/>
    <xdr:pic>
      <xdr:nvPicPr>
        <xdr:cNvPr id="28" name="Imagen 27">
          <a:extLst>
            <a:ext uri="{FF2B5EF4-FFF2-40B4-BE49-F238E27FC236}">
              <a16:creationId xmlns:a16="http://schemas.microsoft.com/office/drawing/2014/main" xmlns="" id="{755EBD1D-BB4B-4550-A3EC-AA0C7B4AA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8239125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510</xdr:row>
      <xdr:rowOff>19050</xdr:rowOff>
    </xdr:from>
    <xdr:ext cx="904875" cy="904875"/>
    <xdr:pic>
      <xdr:nvPicPr>
        <xdr:cNvPr id="29" name="Imagen 18">
          <a:extLst>
            <a:ext uri="{FF2B5EF4-FFF2-40B4-BE49-F238E27FC236}">
              <a16:creationId xmlns:a16="http://schemas.microsoft.com/office/drawing/2014/main" xmlns="" id="{E5208CC7-DACC-4279-9D23-4B1292419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3419772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530</xdr:row>
      <xdr:rowOff>19050</xdr:rowOff>
    </xdr:from>
    <xdr:ext cx="904875" cy="904875"/>
    <xdr:pic>
      <xdr:nvPicPr>
        <xdr:cNvPr id="31" name="Imagen 18">
          <a:extLst>
            <a:ext uri="{FF2B5EF4-FFF2-40B4-BE49-F238E27FC236}">
              <a16:creationId xmlns:a16="http://schemas.microsoft.com/office/drawing/2014/main" xmlns="" id="{9B2EF568-A65D-463E-9EC1-300F466B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39331700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550</xdr:row>
      <xdr:rowOff>19050</xdr:rowOff>
    </xdr:from>
    <xdr:ext cx="952500" cy="952500"/>
    <xdr:pic>
      <xdr:nvPicPr>
        <xdr:cNvPr id="32" name="Imagen 18">
          <a:extLst>
            <a:ext uri="{FF2B5EF4-FFF2-40B4-BE49-F238E27FC236}">
              <a16:creationId xmlns:a16="http://schemas.microsoft.com/office/drawing/2014/main" xmlns="" id="{78637D66-12BC-48F2-A182-6A1D6C4E4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50495000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568</xdr:row>
      <xdr:rowOff>19050</xdr:rowOff>
    </xdr:from>
    <xdr:ext cx="952500" cy="952500"/>
    <xdr:pic>
      <xdr:nvPicPr>
        <xdr:cNvPr id="33" name="Imagen 18">
          <a:extLst>
            <a:ext uri="{FF2B5EF4-FFF2-40B4-BE49-F238E27FC236}">
              <a16:creationId xmlns:a16="http://schemas.microsoft.com/office/drawing/2014/main" xmlns="" id="{89E0526A-C3BB-4008-A476-B8584EF01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50495000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587</xdr:row>
      <xdr:rowOff>19050</xdr:rowOff>
    </xdr:from>
    <xdr:ext cx="952500" cy="952500"/>
    <xdr:pic>
      <xdr:nvPicPr>
        <xdr:cNvPr id="34" name="Imagen 18">
          <a:extLst>
            <a:ext uri="{FF2B5EF4-FFF2-40B4-BE49-F238E27FC236}">
              <a16:creationId xmlns:a16="http://schemas.microsoft.com/office/drawing/2014/main" xmlns="" id="{C6C1E39B-BD15-4C6E-AFFF-9711B1730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55276550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607</xdr:row>
      <xdr:rowOff>19050</xdr:rowOff>
    </xdr:from>
    <xdr:ext cx="952500" cy="952500"/>
    <xdr:pic>
      <xdr:nvPicPr>
        <xdr:cNvPr id="35" name="Imagen 18">
          <a:extLst>
            <a:ext uri="{FF2B5EF4-FFF2-40B4-BE49-F238E27FC236}">
              <a16:creationId xmlns:a16="http://schemas.microsoft.com/office/drawing/2014/main" xmlns="" id="{CE1B2ED5-C6DD-4D41-8F77-F3A7D4674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60610550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629</xdr:row>
      <xdr:rowOff>19050</xdr:rowOff>
    </xdr:from>
    <xdr:ext cx="952500" cy="952500"/>
    <xdr:pic>
      <xdr:nvPicPr>
        <xdr:cNvPr id="36" name="Imagen 18">
          <a:extLst>
            <a:ext uri="{FF2B5EF4-FFF2-40B4-BE49-F238E27FC236}">
              <a16:creationId xmlns:a16="http://schemas.microsoft.com/office/drawing/2014/main" xmlns="" id="{6E8F7FB6-3C03-47D9-BD16-E915553D7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66239825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645</xdr:row>
      <xdr:rowOff>19050</xdr:rowOff>
    </xdr:from>
    <xdr:ext cx="952500" cy="952500"/>
    <xdr:pic>
      <xdr:nvPicPr>
        <xdr:cNvPr id="37" name="Imagen 18">
          <a:extLst>
            <a:ext uri="{FF2B5EF4-FFF2-40B4-BE49-F238E27FC236}">
              <a16:creationId xmlns:a16="http://schemas.microsoft.com/office/drawing/2014/main" xmlns="" id="{507F4260-4BDE-4B2C-9EE4-34C2A0D53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71945300"/>
          <a:ext cx="952500" cy="952500"/>
        </a:xfrm>
        <a:prstGeom prst="rect">
          <a:avLst/>
        </a:prstGeom>
      </xdr:spPr>
    </xdr:pic>
    <xdr:clientData/>
  </xdr:oneCellAnchor>
  <xdr:oneCellAnchor>
    <xdr:from>
      <xdr:col>1</xdr:col>
      <xdr:colOff>238125</xdr:colOff>
      <xdr:row>667</xdr:row>
      <xdr:rowOff>19050</xdr:rowOff>
    </xdr:from>
    <xdr:ext cx="952500" cy="952500"/>
    <xdr:pic>
      <xdr:nvPicPr>
        <xdr:cNvPr id="38" name="Imagen 18">
          <a:extLst>
            <a:ext uri="{FF2B5EF4-FFF2-40B4-BE49-F238E27FC236}">
              <a16:creationId xmlns:a16="http://schemas.microsoft.com/office/drawing/2014/main" xmlns="" id="{7CC05766-72E2-470D-B4F3-C4F11D540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76736375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Equida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0"/>
  <sheetViews>
    <sheetView view="pageBreakPreview" zoomScale="112" zoomScaleSheetLayoutView="112" workbookViewId="0">
      <selection activeCell="B4" sqref="B4"/>
    </sheetView>
  </sheetViews>
  <sheetFormatPr baseColWidth="10" defaultColWidth="11.42578125" defaultRowHeight="12.75" x14ac:dyDescent="0.2"/>
  <cols>
    <col min="1" max="1" width="9.7109375" style="45" customWidth="1"/>
    <col min="2" max="2" width="10.5703125" style="45" customWidth="1"/>
    <col min="3" max="3" width="39.5703125" style="45" customWidth="1"/>
    <col min="4" max="4" width="23" style="45" customWidth="1"/>
    <col min="5" max="16384" width="11.42578125" style="45"/>
  </cols>
  <sheetData>
    <row r="1" spans="1:7" ht="18.75" customHeight="1" x14ac:dyDescent="0.2">
      <c r="A1" s="709" t="s">
        <v>412</v>
      </c>
      <c r="B1" s="709"/>
      <c r="C1" s="709"/>
      <c r="D1" s="709"/>
      <c r="E1" s="218"/>
      <c r="F1" s="218"/>
    </row>
    <row r="2" spans="1:7" ht="17.25" customHeight="1" x14ac:dyDescent="0.2">
      <c r="A2" s="710" t="s">
        <v>411</v>
      </c>
      <c r="B2" s="710"/>
      <c r="C2" s="710"/>
      <c r="D2" s="710"/>
      <c r="E2" s="218"/>
      <c r="F2" s="218"/>
    </row>
    <row r="3" spans="1:7" ht="20.25" customHeight="1" thickBot="1" x14ac:dyDescent="0.25">
      <c r="A3" s="711" t="s">
        <v>594</v>
      </c>
      <c r="B3" s="711"/>
      <c r="C3" s="711"/>
      <c r="D3" s="711"/>
      <c r="E3" s="218"/>
      <c r="F3" s="218"/>
    </row>
    <row r="4" spans="1:7" s="40" customFormat="1" ht="45" customHeight="1" thickBot="1" x14ac:dyDescent="0.25">
      <c r="A4" s="364" t="s">
        <v>541</v>
      </c>
      <c r="B4" s="365" t="s">
        <v>143</v>
      </c>
      <c r="C4" s="365" t="s">
        <v>110</v>
      </c>
      <c r="D4" s="366" t="s">
        <v>144</v>
      </c>
      <c r="E4" s="219"/>
      <c r="F4" s="219"/>
      <c r="G4"/>
    </row>
    <row r="5" spans="1:7" ht="33" customHeight="1" x14ac:dyDescent="0.2">
      <c r="A5" s="716" t="s">
        <v>49</v>
      </c>
      <c r="B5" s="224"/>
      <c r="C5" s="220" t="s">
        <v>338</v>
      </c>
      <c r="D5" s="712" t="s">
        <v>145</v>
      </c>
      <c r="E5" s="218"/>
      <c r="F5" s="218"/>
    </row>
    <row r="6" spans="1:7" ht="27.75" customHeight="1" x14ac:dyDescent="0.2">
      <c r="A6" s="716"/>
      <c r="B6" s="221" t="s">
        <v>101</v>
      </c>
      <c r="C6" s="222" t="s">
        <v>364</v>
      </c>
      <c r="D6" s="712"/>
      <c r="E6" s="218"/>
      <c r="F6" s="218"/>
    </row>
    <row r="7" spans="1:7" ht="27" customHeight="1" thickBot="1" x14ac:dyDescent="0.25">
      <c r="A7" s="716"/>
      <c r="B7" s="221" t="s">
        <v>358</v>
      </c>
      <c r="C7" s="222" t="s">
        <v>347</v>
      </c>
      <c r="D7" s="712"/>
      <c r="E7" s="218"/>
      <c r="F7" s="223"/>
    </row>
    <row r="8" spans="1:7" ht="22.5" customHeight="1" thickTop="1" x14ac:dyDescent="0.2">
      <c r="A8" s="224"/>
      <c r="B8" s="221" t="s">
        <v>418</v>
      </c>
      <c r="C8" s="222" t="s">
        <v>419</v>
      </c>
      <c r="D8" s="712"/>
      <c r="E8" s="218"/>
      <c r="F8" s="218"/>
    </row>
    <row r="9" spans="1:7" ht="18" customHeight="1" x14ac:dyDescent="0.2">
      <c r="A9" s="716" t="s">
        <v>327</v>
      </c>
      <c r="B9" s="221"/>
      <c r="C9" s="220" t="s">
        <v>363</v>
      </c>
      <c r="D9" s="712"/>
      <c r="E9" s="218"/>
      <c r="F9" s="218"/>
    </row>
    <row r="10" spans="1:7" ht="18" customHeight="1" x14ac:dyDescent="0.2">
      <c r="A10" s="716"/>
      <c r="B10" s="221" t="s">
        <v>359</v>
      </c>
      <c r="C10" s="222" t="s">
        <v>421</v>
      </c>
      <c r="D10" s="712"/>
      <c r="E10" s="218"/>
      <c r="F10" s="218"/>
    </row>
    <row r="11" spans="1:7" ht="18" customHeight="1" x14ac:dyDescent="0.2">
      <c r="A11" s="716"/>
      <c r="B11" s="221" t="s">
        <v>360</v>
      </c>
      <c r="C11" s="222" t="s">
        <v>422</v>
      </c>
      <c r="D11" s="712"/>
      <c r="E11" s="218"/>
      <c r="F11" s="218"/>
    </row>
    <row r="12" spans="1:7" ht="18" customHeight="1" x14ac:dyDescent="0.2">
      <c r="A12" s="717"/>
      <c r="B12" s="225" t="s">
        <v>420</v>
      </c>
      <c r="C12" s="226" t="s">
        <v>423</v>
      </c>
      <c r="D12" s="713"/>
      <c r="E12" s="218"/>
      <c r="F12" s="218"/>
    </row>
    <row r="13" spans="1:7" ht="45" customHeight="1" x14ac:dyDescent="0.2">
      <c r="A13" s="718" t="s">
        <v>53</v>
      </c>
      <c r="B13" s="227"/>
      <c r="C13" s="228" t="s">
        <v>365</v>
      </c>
      <c r="D13" s="714" t="s">
        <v>146</v>
      </c>
      <c r="E13" s="218"/>
      <c r="F13" s="218"/>
    </row>
    <row r="14" spans="1:7" ht="18" customHeight="1" x14ac:dyDescent="0.2">
      <c r="A14" s="716"/>
      <c r="B14" s="221" t="s">
        <v>92</v>
      </c>
      <c r="C14" s="222" t="s">
        <v>362</v>
      </c>
      <c r="D14" s="707"/>
      <c r="E14" s="218"/>
      <c r="F14" s="218"/>
    </row>
    <row r="15" spans="1:7" ht="18" customHeight="1" x14ac:dyDescent="0.2">
      <c r="A15" s="716"/>
      <c r="B15" s="221" t="s">
        <v>109</v>
      </c>
      <c r="C15" s="222" t="s">
        <v>366</v>
      </c>
      <c r="D15" s="707"/>
      <c r="E15" s="218"/>
      <c r="F15" s="218"/>
    </row>
    <row r="16" spans="1:7" ht="18" customHeight="1" x14ac:dyDescent="0.2">
      <c r="A16" s="717"/>
      <c r="B16" s="225"/>
      <c r="C16" s="226"/>
      <c r="D16" s="715"/>
      <c r="E16" s="218"/>
      <c r="F16" s="218"/>
    </row>
    <row r="17" spans="1:6" ht="21.75" customHeight="1" x14ac:dyDescent="0.2">
      <c r="A17" s="718" t="s">
        <v>57</v>
      </c>
      <c r="B17" s="229"/>
      <c r="C17" s="228" t="s">
        <v>147</v>
      </c>
      <c r="D17" s="720" t="s">
        <v>148</v>
      </c>
      <c r="E17" s="218"/>
      <c r="F17" s="218"/>
    </row>
    <row r="18" spans="1:6" ht="25.5" customHeight="1" x14ac:dyDescent="0.2">
      <c r="A18" s="716"/>
      <c r="B18" s="221" t="s">
        <v>93</v>
      </c>
      <c r="C18" s="222" t="s">
        <v>361</v>
      </c>
      <c r="D18" s="712"/>
      <c r="E18" s="218"/>
      <c r="F18" s="218"/>
    </row>
    <row r="19" spans="1:6" ht="19.5" customHeight="1" x14ac:dyDescent="0.2">
      <c r="A19" s="717"/>
      <c r="B19" s="225"/>
      <c r="C19" s="226"/>
      <c r="D19" s="713"/>
      <c r="E19" s="218"/>
      <c r="F19" s="218"/>
    </row>
    <row r="20" spans="1:6" s="46" customFormat="1" ht="34.5" hidden="1" customHeight="1" x14ac:dyDescent="0.2">
      <c r="A20" s="718"/>
      <c r="B20" s="227"/>
      <c r="C20" s="228"/>
      <c r="D20" s="714"/>
      <c r="E20" s="230"/>
      <c r="F20" s="230"/>
    </row>
    <row r="21" spans="1:6" ht="29.25" hidden="1" customHeight="1" x14ac:dyDescent="0.2">
      <c r="A21" s="717"/>
      <c r="B21" s="225"/>
      <c r="C21" s="226"/>
      <c r="D21" s="715"/>
      <c r="E21" s="218"/>
      <c r="F21" s="218"/>
    </row>
    <row r="22" spans="1:6" s="46" customFormat="1" ht="30" hidden="1" customHeight="1" x14ac:dyDescent="0.2">
      <c r="A22" s="716"/>
      <c r="B22" s="224"/>
      <c r="C22" s="220"/>
      <c r="D22" s="707"/>
      <c r="E22" s="230"/>
      <c r="F22" s="230"/>
    </row>
    <row r="23" spans="1:6" s="46" customFormat="1" ht="18" hidden="1" customHeight="1" x14ac:dyDescent="0.2">
      <c r="A23" s="716"/>
      <c r="B23" s="221"/>
      <c r="C23" s="222"/>
      <c r="D23" s="707"/>
      <c r="E23" s="230"/>
      <c r="F23" s="230"/>
    </row>
    <row r="24" spans="1:6" ht="10.5" hidden="1" customHeight="1" thickBot="1" x14ac:dyDescent="0.25">
      <c r="A24" s="719"/>
      <c r="B24" s="231"/>
      <c r="C24" s="232"/>
      <c r="D24" s="708"/>
      <c r="E24" s="218"/>
      <c r="F24" s="218"/>
    </row>
    <row r="25" spans="1:6" ht="6.75" customHeight="1" x14ac:dyDescent="0.2">
      <c r="A25" s="233"/>
      <c r="B25" s="233"/>
      <c r="C25" s="234"/>
      <c r="D25" s="235"/>
      <c r="E25" s="218"/>
      <c r="F25" s="218"/>
    </row>
    <row r="26" spans="1:6" s="46" customFormat="1" ht="15" customHeight="1" x14ac:dyDescent="0.2">
      <c r="A26" s="705" t="s">
        <v>149</v>
      </c>
      <c r="B26" s="705"/>
      <c r="C26" s="705"/>
      <c r="D26" s="236" t="s">
        <v>150</v>
      </c>
      <c r="E26" s="230"/>
      <c r="F26" s="230"/>
    </row>
    <row r="27" spans="1:6" ht="15" customHeight="1" x14ac:dyDescent="0.2">
      <c r="A27" s="234"/>
      <c r="B27" s="234"/>
      <c r="C27" s="234"/>
      <c r="D27" s="235"/>
      <c r="E27" s="218"/>
      <c r="F27" s="218"/>
    </row>
    <row r="28" spans="1:6" ht="15" customHeight="1" x14ac:dyDescent="0.2">
      <c r="A28" s="237" t="s">
        <v>111</v>
      </c>
      <c r="B28" s="706" t="s">
        <v>112</v>
      </c>
      <c r="C28" s="706"/>
      <c r="D28" s="235" t="s">
        <v>151</v>
      </c>
      <c r="E28" s="218"/>
      <c r="F28" s="218"/>
    </row>
    <row r="29" spans="1:6" ht="15" customHeight="1" x14ac:dyDescent="0.2">
      <c r="A29" s="237" t="s">
        <v>113</v>
      </c>
      <c r="B29" s="706" t="s">
        <v>114</v>
      </c>
      <c r="C29" s="706"/>
      <c r="D29" s="235" t="s">
        <v>152</v>
      </c>
      <c r="E29" s="218"/>
      <c r="F29" s="218"/>
    </row>
    <row r="30" spans="1:6" ht="15" customHeight="1" x14ac:dyDescent="0.2">
      <c r="A30" s="237" t="s">
        <v>115</v>
      </c>
      <c r="B30" s="706" t="s">
        <v>116</v>
      </c>
      <c r="C30" s="706"/>
      <c r="D30" s="235" t="s">
        <v>326</v>
      </c>
      <c r="E30" s="218"/>
      <c r="F30" s="218"/>
    </row>
    <row r="31" spans="1:6" ht="15" customHeight="1" x14ac:dyDescent="0.2">
      <c r="A31" s="234"/>
      <c r="B31" s="234"/>
      <c r="C31" s="234"/>
      <c r="D31" s="235" t="s">
        <v>153</v>
      </c>
      <c r="E31" s="218"/>
      <c r="F31" s="218"/>
    </row>
    <row r="32" spans="1:6" ht="15" customHeight="1" x14ac:dyDescent="0.2">
      <c r="A32" s="47"/>
      <c r="B32" s="47"/>
      <c r="C32" s="47"/>
      <c r="D32" s="47"/>
    </row>
    <row r="33" spans="1:4" ht="15" customHeight="1" x14ac:dyDescent="0.2">
      <c r="A33" s="47"/>
      <c r="B33" s="47"/>
      <c r="C33" s="47"/>
      <c r="D33" s="47"/>
    </row>
    <row r="34" spans="1:4" ht="15" customHeight="1" x14ac:dyDescent="0.2">
      <c r="A34" s="47"/>
      <c r="B34" s="47"/>
      <c r="C34" s="47"/>
      <c r="D34" s="47"/>
    </row>
    <row r="35" spans="1:4" ht="15" customHeight="1" x14ac:dyDescent="0.2">
      <c r="A35" s="47"/>
      <c r="B35" s="47"/>
      <c r="C35" s="47"/>
      <c r="D35" s="47"/>
    </row>
    <row r="36" spans="1:4" ht="15" customHeight="1" x14ac:dyDescent="0.2">
      <c r="A36" s="47"/>
      <c r="B36" s="47"/>
      <c r="C36" s="47"/>
      <c r="D36" s="47"/>
    </row>
    <row r="37" spans="1:4" ht="15" customHeight="1" x14ac:dyDescent="0.2">
      <c r="A37" s="47"/>
      <c r="B37" s="47"/>
      <c r="C37" s="47"/>
      <c r="D37" s="47"/>
    </row>
    <row r="38" spans="1:4" ht="15" customHeight="1" x14ac:dyDescent="0.2">
      <c r="A38" s="47"/>
      <c r="B38" s="47"/>
      <c r="C38" s="47"/>
      <c r="D38" s="47"/>
    </row>
    <row r="39" spans="1:4" ht="15" customHeight="1" x14ac:dyDescent="0.2">
      <c r="A39" s="47"/>
      <c r="B39" s="47"/>
      <c r="C39" s="47"/>
      <c r="D39" s="47"/>
    </row>
    <row r="40" spans="1:4" ht="15" customHeight="1" x14ac:dyDescent="0.2">
      <c r="A40" s="47"/>
      <c r="B40" s="47"/>
      <c r="C40" s="47"/>
      <c r="D40" s="47"/>
    </row>
    <row r="41" spans="1:4" ht="15" customHeight="1" x14ac:dyDescent="0.2">
      <c r="A41" s="47"/>
      <c r="B41" s="47"/>
      <c r="C41" s="47"/>
      <c r="D41" s="47"/>
    </row>
    <row r="42" spans="1:4" ht="15" customHeight="1" x14ac:dyDescent="0.2">
      <c r="A42" s="47"/>
      <c r="B42" s="47"/>
      <c r="C42" s="47"/>
      <c r="D42" s="47"/>
    </row>
    <row r="43" spans="1:4" ht="15" customHeight="1" x14ac:dyDescent="0.2">
      <c r="A43" s="47"/>
      <c r="B43" s="47"/>
      <c r="C43" s="47"/>
      <c r="D43" s="47"/>
    </row>
    <row r="44" spans="1:4" ht="15" customHeight="1" x14ac:dyDescent="0.2">
      <c r="A44" s="47"/>
      <c r="B44" s="47"/>
      <c r="C44" s="47"/>
      <c r="D44" s="47"/>
    </row>
    <row r="45" spans="1:4" ht="15" customHeight="1" x14ac:dyDescent="0.2">
      <c r="A45" s="47"/>
      <c r="B45" s="47"/>
      <c r="C45" s="47"/>
      <c r="D45" s="47"/>
    </row>
    <row r="46" spans="1:4" ht="15" customHeight="1" x14ac:dyDescent="0.2">
      <c r="A46" s="47"/>
      <c r="B46" s="47"/>
      <c r="C46" s="47"/>
      <c r="D46" s="47"/>
    </row>
    <row r="47" spans="1:4" ht="15" customHeight="1" x14ac:dyDescent="0.2"/>
    <row r="48" spans="1:4" ht="15" customHeight="1" x14ac:dyDescent="0.2"/>
    <row r="49" ht="15" customHeight="1" x14ac:dyDescent="0.2"/>
    <row r="50" ht="15" customHeight="1" x14ac:dyDescent="0.2"/>
  </sheetData>
  <sheetProtection sheet="1" objects="1" scenarios="1" selectLockedCells="1" selectUnlockedCells="1"/>
  <mergeCells count="18">
    <mergeCell ref="D20:D21"/>
    <mergeCell ref="A20:A21"/>
    <mergeCell ref="A22:A24"/>
    <mergeCell ref="A13:A16"/>
    <mergeCell ref="A17:A19"/>
    <mergeCell ref="D17:D19"/>
    <mergeCell ref="A1:D1"/>
    <mergeCell ref="A2:D2"/>
    <mergeCell ref="A3:D3"/>
    <mergeCell ref="D5:D12"/>
    <mergeCell ref="D13:D16"/>
    <mergeCell ref="A5:A7"/>
    <mergeCell ref="A9:A12"/>
    <mergeCell ref="A26:C26"/>
    <mergeCell ref="B28:C28"/>
    <mergeCell ref="B29:C29"/>
    <mergeCell ref="B30:C30"/>
    <mergeCell ref="D22:D24"/>
  </mergeCells>
  <printOptions horizontalCentered="1"/>
  <pageMargins left="0.59055118110236227" right="0.27559055118110237" top="0.78740157480314965" bottom="0.74803149606299213" header="0.31496062992125984" footer="0.31496062992125984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G19"/>
  <sheetViews>
    <sheetView topLeftCell="A4" workbookViewId="0">
      <selection activeCell="B4" sqref="B4"/>
    </sheetView>
  </sheetViews>
  <sheetFormatPr baseColWidth="10" defaultColWidth="11.42578125" defaultRowHeight="12.75" x14ac:dyDescent="0.2"/>
  <cols>
    <col min="1" max="1" width="7" style="75" customWidth="1"/>
    <col min="2" max="2" width="38.5703125" style="75" customWidth="1"/>
    <col min="3" max="3" width="23.42578125" style="75" customWidth="1"/>
    <col min="4" max="4" width="15.5703125" style="75" customWidth="1"/>
    <col min="5" max="5" width="11.42578125" style="75"/>
    <col min="6" max="6" width="15.140625" style="75" customWidth="1"/>
    <col min="7" max="7" width="15" style="75" customWidth="1"/>
    <col min="8" max="16384" width="11.42578125" style="75"/>
  </cols>
  <sheetData>
    <row r="2" spans="2:7" ht="15.75" x14ac:dyDescent="0.2">
      <c r="B2" s="809" t="s">
        <v>280</v>
      </c>
      <c r="C2" s="809"/>
      <c r="D2" s="809"/>
      <c r="E2" s="809"/>
      <c r="F2" s="809"/>
      <c r="G2" s="809"/>
    </row>
    <row r="3" spans="2:7" ht="12.75" customHeight="1" x14ac:dyDescent="0.2">
      <c r="B3" s="809" t="s">
        <v>281</v>
      </c>
      <c r="C3" s="809"/>
      <c r="D3" s="809"/>
      <c r="E3" s="809"/>
      <c r="F3" s="809"/>
      <c r="G3" s="809"/>
    </row>
    <row r="4" spans="2:7" ht="13.5" thickBot="1" x14ac:dyDescent="0.25"/>
    <row r="5" spans="2:7" ht="51" customHeight="1" thickBot="1" x14ac:dyDescent="0.25">
      <c r="B5" s="822" t="s">
        <v>95</v>
      </c>
      <c r="C5" s="823" t="s">
        <v>96</v>
      </c>
      <c r="D5" s="822" t="s">
        <v>97</v>
      </c>
      <c r="E5" s="822" t="s">
        <v>94</v>
      </c>
      <c r="F5" s="822" t="s">
        <v>98</v>
      </c>
      <c r="G5" s="822"/>
    </row>
    <row r="6" spans="2:7" ht="26.25" customHeight="1" thickBot="1" x14ac:dyDescent="0.25">
      <c r="B6" s="822"/>
      <c r="C6" s="824"/>
      <c r="D6" s="822"/>
      <c r="E6" s="822"/>
      <c r="F6" s="822" t="s">
        <v>99</v>
      </c>
      <c r="G6" s="822" t="s">
        <v>100</v>
      </c>
    </row>
    <row r="7" spans="2:7" ht="13.5" thickBot="1" x14ac:dyDescent="0.25">
      <c r="B7" s="822"/>
      <c r="C7" s="825"/>
      <c r="D7" s="822"/>
      <c r="E7" s="822"/>
      <c r="F7" s="822"/>
      <c r="G7" s="822"/>
    </row>
    <row r="8" spans="2:7" ht="30" customHeight="1" x14ac:dyDescent="0.2">
      <c r="B8" s="82"/>
      <c r="C8" s="84"/>
      <c r="D8" s="39" t="s">
        <v>103</v>
      </c>
      <c r="E8" s="76" t="s">
        <v>101</v>
      </c>
      <c r="F8" s="77">
        <v>300</v>
      </c>
      <c r="G8" s="78">
        <f t="shared" ref="G8:G14" si="0">F8*12</f>
        <v>3600</v>
      </c>
    </row>
    <row r="9" spans="2:7" ht="30" customHeight="1" x14ac:dyDescent="0.2">
      <c r="B9" s="83"/>
      <c r="C9" s="83"/>
      <c r="D9" s="81" t="s">
        <v>103</v>
      </c>
      <c r="E9" s="18" t="s">
        <v>101</v>
      </c>
      <c r="F9" s="77">
        <v>250</v>
      </c>
      <c r="G9" s="78">
        <f t="shared" si="0"/>
        <v>3000</v>
      </c>
    </row>
    <row r="10" spans="2:7" ht="30" customHeight="1" x14ac:dyDescent="0.2">
      <c r="B10" s="83"/>
      <c r="C10" s="83"/>
      <c r="D10" s="81" t="s">
        <v>103</v>
      </c>
      <c r="E10" s="18" t="s">
        <v>101</v>
      </c>
      <c r="F10" s="77">
        <v>250</v>
      </c>
      <c r="G10" s="78">
        <f t="shared" si="0"/>
        <v>3000</v>
      </c>
    </row>
    <row r="11" spans="2:7" ht="30" customHeight="1" x14ac:dyDescent="0.2">
      <c r="B11" s="83"/>
      <c r="C11" s="83"/>
      <c r="D11" s="81" t="s">
        <v>103</v>
      </c>
      <c r="E11" s="18" t="s">
        <v>101</v>
      </c>
      <c r="F11" s="77">
        <v>200</v>
      </c>
      <c r="G11" s="78">
        <f t="shared" si="0"/>
        <v>2400</v>
      </c>
    </row>
    <row r="12" spans="2:7" ht="30" customHeight="1" x14ac:dyDescent="0.2">
      <c r="B12" s="83"/>
      <c r="C12" s="83"/>
      <c r="D12" s="81" t="s">
        <v>103</v>
      </c>
      <c r="E12" s="18" t="s">
        <v>101</v>
      </c>
      <c r="F12" s="77">
        <v>200</v>
      </c>
      <c r="G12" s="78">
        <f t="shared" si="0"/>
        <v>2400</v>
      </c>
    </row>
    <row r="13" spans="2:7" ht="30" customHeight="1" x14ac:dyDescent="0.2">
      <c r="B13" s="83"/>
      <c r="C13" s="83"/>
      <c r="D13" s="81" t="s">
        <v>103</v>
      </c>
      <c r="E13" s="18" t="s">
        <v>101</v>
      </c>
      <c r="F13" s="77">
        <v>200</v>
      </c>
      <c r="G13" s="78">
        <f t="shared" si="0"/>
        <v>2400</v>
      </c>
    </row>
    <row r="14" spans="2:7" ht="30" customHeight="1" x14ac:dyDescent="0.2">
      <c r="B14" s="83"/>
      <c r="C14" s="83"/>
      <c r="D14" s="81" t="s">
        <v>103</v>
      </c>
      <c r="E14" s="18" t="s">
        <v>101</v>
      </c>
      <c r="F14" s="77">
        <v>200</v>
      </c>
      <c r="G14" s="78">
        <f t="shared" si="0"/>
        <v>2400</v>
      </c>
    </row>
    <row r="15" spans="2:7" ht="24.95" customHeight="1" thickBot="1" x14ac:dyDescent="0.25">
      <c r="B15" s="826" t="s">
        <v>102</v>
      </c>
      <c r="C15" s="827"/>
      <c r="D15" s="827"/>
      <c r="E15" s="827"/>
      <c r="F15" s="80">
        <f>SUM(F8:F14)</f>
        <v>1600</v>
      </c>
      <c r="G15" s="80">
        <f>SUM(G8:G14)</f>
        <v>19200</v>
      </c>
    </row>
    <row r="16" spans="2:7" ht="24.95" customHeight="1" thickBot="1" x14ac:dyDescent="0.25">
      <c r="B16" s="828" t="s">
        <v>207</v>
      </c>
      <c r="C16" s="829"/>
      <c r="D16" s="829"/>
      <c r="E16" s="829"/>
      <c r="F16" s="79"/>
      <c r="G16" s="79">
        <f>SUM(G8:G14)</f>
        <v>19200</v>
      </c>
    </row>
    <row r="17" spans="2:4" ht="24.95" customHeight="1" x14ac:dyDescent="0.2"/>
    <row r="18" spans="2:4" ht="24.95" customHeight="1" x14ac:dyDescent="0.2">
      <c r="B18" s="830"/>
      <c r="C18" s="830"/>
      <c r="D18" s="830"/>
    </row>
    <row r="19" spans="2:4" ht="24.95" customHeight="1" x14ac:dyDescent="0.2"/>
  </sheetData>
  <mergeCells count="12">
    <mergeCell ref="B15:E15"/>
    <mergeCell ref="B16:E16"/>
    <mergeCell ref="B18:D18"/>
    <mergeCell ref="E5:E7"/>
    <mergeCell ref="B3:G3"/>
    <mergeCell ref="B2:G2"/>
    <mergeCell ref="F5:G5"/>
    <mergeCell ref="F6:F7"/>
    <mergeCell ref="G6:G7"/>
    <mergeCell ref="B5:B7"/>
    <mergeCell ref="C5:C7"/>
    <mergeCell ref="D5:D7"/>
  </mergeCells>
  <phoneticPr fontId="2" type="noConversion"/>
  <printOptions horizontalCentered="1"/>
  <pageMargins left="0.78740157480314965" right="0.78740157480314965" top="0.98425196850393704" bottom="0.98425196850393704" header="0" footer="0"/>
  <pageSetup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6"/>
  <sheetViews>
    <sheetView topLeftCell="A10" workbookViewId="0">
      <selection activeCell="K39" sqref="K39"/>
    </sheetView>
  </sheetViews>
  <sheetFormatPr baseColWidth="10" defaultColWidth="11.42578125" defaultRowHeight="12.75" x14ac:dyDescent="0.2"/>
  <cols>
    <col min="1" max="1" width="10.7109375" style="48" customWidth="1"/>
    <col min="2" max="2" width="5.140625" style="48" customWidth="1"/>
    <col min="3" max="3" width="12.7109375" style="49" customWidth="1"/>
    <col min="4" max="4" width="14.140625" style="49" customWidth="1"/>
    <col min="5" max="5" width="14.5703125" style="49" customWidth="1"/>
    <col min="6" max="6" width="12" style="49" customWidth="1"/>
    <col min="7" max="7" width="8" style="49" customWidth="1"/>
    <col min="8" max="8" width="13.7109375" style="49" customWidth="1"/>
    <col min="9" max="9" width="12.7109375" style="49" customWidth="1"/>
    <col min="10" max="10" width="10.85546875" style="48" customWidth="1"/>
    <col min="11" max="11" width="21.140625" style="48" customWidth="1"/>
    <col min="12" max="12" width="12.28515625" style="48" customWidth="1"/>
    <col min="13" max="13" width="11.5703125" style="48" customWidth="1"/>
    <col min="14" max="14" width="14.5703125" style="48" customWidth="1"/>
    <col min="15" max="15" width="11.7109375" style="48" customWidth="1"/>
    <col min="16" max="17" width="12.5703125" style="48" customWidth="1"/>
    <col min="18" max="16384" width="11.42578125" style="48"/>
  </cols>
  <sheetData>
    <row r="1" spans="1:18" ht="18" x14ac:dyDescent="0.25">
      <c r="A1" s="836" t="s">
        <v>258</v>
      </c>
      <c r="B1" s="836"/>
      <c r="C1" s="836"/>
      <c r="D1" s="836"/>
      <c r="E1" s="836"/>
      <c r="F1" s="836"/>
      <c r="G1" s="836"/>
      <c r="H1" s="836"/>
      <c r="I1" s="836"/>
      <c r="J1" s="841" t="s">
        <v>258</v>
      </c>
      <c r="K1" s="841"/>
      <c r="L1" s="841"/>
      <c r="M1" s="841"/>
      <c r="N1" s="841"/>
      <c r="O1" s="841"/>
      <c r="P1" s="841"/>
      <c r="Q1" s="93"/>
      <c r="R1" s="93"/>
    </row>
    <row r="2" spans="1:18" ht="18" x14ac:dyDescent="0.25">
      <c r="A2" s="836" t="s">
        <v>205</v>
      </c>
      <c r="B2" s="836"/>
      <c r="C2" s="836"/>
      <c r="D2" s="836"/>
      <c r="E2" s="836"/>
      <c r="F2" s="836"/>
      <c r="G2" s="836"/>
      <c r="H2" s="836"/>
      <c r="I2" s="836"/>
      <c r="J2" s="841" t="s">
        <v>205</v>
      </c>
      <c r="K2" s="841"/>
      <c r="L2" s="841"/>
      <c r="M2" s="841"/>
      <c r="N2" s="841"/>
      <c r="O2" s="841"/>
      <c r="P2" s="841"/>
      <c r="Q2" s="93"/>
      <c r="R2" s="93"/>
    </row>
    <row r="3" spans="1:18" ht="18" x14ac:dyDescent="0.25">
      <c r="A3" s="836" t="s">
        <v>284</v>
      </c>
      <c r="B3" s="836"/>
      <c r="C3" s="836"/>
      <c r="D3" s="836"/>
      <c r="E3" s="836"/>
      <c r="F3" s="836"/>
      <c r="G3" s="836"/>
      <c r="H3" s="836"/>
      <c r="I3" s="836"/>
      <c r="J3" s="841" t="s">
        <v>284</v>
      </c>
      <c r="K3" s="841"/>
      <c r="L3" s="841"/>
      <c r="M3" s="841"/>
      <c r="N3" s="841"/>
      <c r="O3" s="841"/>
      <c r="P3" s="841"/>
      <c r="Q3" s="93"/>
      <c r="R3" s="93"/>
    </row>
    <row r="4" spans="1:18" ht="13.5" thickBot="1" x14ac:dyDescent="0.25">
      <c r="J4" s="96" t="s">
        <v>289</v>
      </c>
      <c r="K4" s="21"/>
      <c r="L4" s="21"/>
      <c r="M4" s="21"/>
      <c r="N4" s="21"/>
      <c r="O4" s="21"/>
      <c r="P4" s="21"/>
      <c r="Q4" s="21"/>
      <c r="R4" s="21"/>
    </row>
    <row r="5" spans="1:18" ht="16.5" thickBot="1" x14ac:dyDescent="0.3">
      <c r="A5" s="837" t="s">
        <v>183</v>
      </c>
      <c r="B5" s="837"/>
      <c r="C5" s="837"/>
      <c r="D5" s="837"/>
      <c r="E5" s="837"/>
      <c r="F5" s="837"/>
      <c r="G5" s="837"/>
      <c r="H5" s="837"/>
      <c r="I5" s="837"/>
      <c r="J5" s="101" t="s">
        <v>290</v>
      </c>
      <c r="K5" s="102" t="s">
        <v>110</v>
      </c>
      <c r="L5" s="103" t="s">
        <v>123</v>
      </c>
      <c r="M5" s="102" t="s">
        <v>249</v>
      </c>
      <c r="N5" s="102" t="s">
        <v>251</v>
      </c>
      <c r="O5" s="102" t="s">
        <v>291</v>
      </c>
      <c r="P5" s="102" t="s">
        <v>73</v>
      </c>
      <c r="Q5" s="104" t="s">
        <v>191</v>
      </c>
      <c r="R5" s="21"/>
    </row>
    <row r="6" spans="1:18" x14ac:dyDescent="0.2">
      <c r="J6" s="21"/>
      <c r="K6" s="21"/>
      <c r="L6" s="21"/>
      <c r="M6" s="21"/>
      <c r="N6" s="21"/>
      <c r="O6" s="21"/>
      <c r="P6" s="21"/>
      <c r="Q6" s="94"/>
      <c r="R6" s="21"/>
    </row>
    <row r="7" spans="1:18" x14ac:dyDescent="0.2">
      <c r="A7" s="71" t="s">
        <v>184</v>
      </c>
      <c r="B7" s="67" t="s">
        <v>185</v>
      </c>
      <c r="C7" s="72">
        <v>497124.78</v>
      </c>
      <c r="D7" s="49" t="s">
        <v>186</v>
      </c>
      <c r="F7" s="49" t="s">
        <v>287</v>
      </c>
      <c r="H7" s="92">
        <v>40845</v>
      </c>
      <c r="J7" s="98">
        <v>21109001</v>
      </c>
      <c r="K7" s="99" t="s">
        <v>292</v>
      </c>
      <c r="L7" s="100">
        <v>919.17</v>
      </c>
      <c r="M7" s="100"/>
      <c r="N7" s="100"/>
      <c r="O7" s="100"/>
      <c r="P7" s="100"/>
      <c r="Q7" s="100"/>
      <c r="R7" s="21"/>
    </row>
    <row r="8" spans="1:18" x14ac:dyDescent="0.2">
      <c r="A8" s="72" t="s">
        <v>187</v>
      </c>
      <c r="C8" s="73">
        <v>0.1</v>
      </c>
      <c r="D8" s="49" t="s">
        <v>100</v>
      </c>
      <c r="F8" s="49" t="s">
        <v>286</v>
      </c>
      <c r="H8" s="92">
        <v>46326</v>
      </c>
      <c r="J8" s="98">
        <v>21109002</v>
      </c>
      <c r="K8" s="99" t="s">
        <v>249</v>
      </c>
      <c r="L8" s="100"/>
      <c r="M8" s="100">
        <v>2363.0100000000002</v>
      </c>
      <c r="N8" s="100"/>
      <c r="O8" s="100"/>
      <c r="P8" s="100"/>
      <c r="Q8" s="100"/>
      <c r="R8" s="21"/>
    </row>
    <row r="9" spans="1:18" x14ac:dyDescent="0.2">
      <c r="A9" s="72" t="s">
        <v>188</v>
      </c>
      <c r="C9" s="72">
        <v>46.25</v>
      </c>
      <c r="D9" s="49" t="s">
        <v>189</v>
      </c>
      <c r="J9" s="98">
        <v>21109003</v>
      </c>
      <c r="K9" s="99" t="s">
        <v>293</v>
      </c>
      <c r="L9" s="100"/>
      <c r="M9" s="100"/>
      <c r="N9" s="100">
        <v>761.8</v>
      </c>
      <c r="O9" s="100"/>
      <c r="P9" s="100"/>
      <c r="Q9" s="100"/>
      <c r="R9" s="21"/>
    </row>
    <row r="10" spans="1:18" x14ac:dyDescent="0.2">
      <c r="A10" s="72" t="s">
        <v>190</v>
      </c>
      <c r="B10" s="67" t="s">
        <v>185</v>
      </c>
      <c r="C10" s="72">
        <v>6023.33</v>
      </c>
      <c r="D10" s="49" t="s">
        <v>189</v>
      </c>
      <c r="J10" s="98">
        <v>21109004</v>
      </c>
      <c r="K10" s="99" t="s">
        <v>294</v>
      </c>
      <c r="L10" s="100"/>
      <c r="M10" s="100"/>
      <c r="N10" s="100">
        <v>39359.339999999997</v>
      </c>
      <c r="O10" s="100"/>
      <c r="P10" s="100"/>
      <c r="Q10" s="100"/>
      <c r="R10" s="21"/>
    </row>
    <row r="11" spans="1:18" ht="13.5" thickBot="1" x14ac:dyDescent="0.25">
      <c r="B11" s="49"/>
      <c r="J11" s="98">
        <v>21109068</v>
      </c>
      <c r="K11" s="99" t="s">
        <v>295</v>
      </c>
      <c r="L11" s="100"/>
      <c r="M11" s="100"/>
      <c r="N11" s="100"/>
      <c r="O11" s="100">
        <v>28.05</v>
      </c>
      <c r="P11" s="100"/>
      <c r="Q11" s="100"/>
      <c r="R11" s="21"/>
    </row>
    <row r="12" spans="1:18" x14ac:dyDescent="0.2">
      <c r="A12" s="68"/>
      <c r="B12" s="69"/>
      <c r="C12" s="838" t="s">
        <v>191</v>
      </c>
      <c r="D12" s="839"/>
      <c r="E12" s="838" t="s">
        <v>192</v>
      </c>
      <c r="F12" s="840"/>
      <c r="G12" s="840"/>
      <c r="H12" s="839"/>
      <c r="I12" s="70"/>
      <c r="J12" s="108">
        <v>21109084</v>
      </c>
      <c r="K12" s="99" t="s">
        <v>296</v>
      </c>
      <c r="L12" s="100"/>
      <c r="M12" s="100"/>
      <c r="N12" s="100"/>
      <c r="O12" s="100"/>
      <c r="P12" s="100"/>
      <c r="Q12" s="100">
        <v>67099.22</v>
      </c>
      <c r="R12" s="21"/>
    </row>
    <row r="13" spans="1:18" x14ac:dyDescent="0.2">
      <c r="A13" s="50"/>
      <c r="B13" s="51"/>
      <c r="C13" s="842" t="s">
        <v>193</v>
      </c>
      <c r="D13" s="843"/>
      <c r="E13" s="54" t="s">
        <v>194</v>
      </c>
      <c r="F13" s="54" t="s">
        <v>195</v>
      </c>
      <c r="G13" s="54" t="s">
        <v>196</v>
      </c>
      <c r="H13" s="844" t="s">
        <v>288</v>
      </c>
      <c r="I13" s="55" t="s">
        <v>197</v>
      </c>
      <c r="J13" s="108">
        <v>21109101</v>
      </c>
      <c r="K13" s="99" t="s">
        <v>297</v>
      </c>
      <c r="L13" s="100"/>
      <c r="M13" s="100"/>
      <c r="N13" s="100">
        <v>2.2599999999999998</v>
      </c>
      <c r="O13" s="100"/>
      <c r="P13" s="100"/>
      <c r="Q13" s="100"/>
      <c r="R13" s="21"/>
    </row>
    <row r="14" spans="1:18" x14ac:dyDescent="0.2">
      <c r="A14" s="52" t="s">
        <v>198</v>
      </c>
      <c r="B14" s="53" t="s">
        <v>199</v>
      </c>
      <c r="C14" s="56" t="s">
        <v>206</v>
      </c>
      <c r="D14" s="56" t="s">
        <v>200</v>
      </c>
      <c r="E14" s="57" t="s">
        <v>201</v>
      </c>
      <c r="F14" s="56" t="s">
        <v>202</v>
      </c>
      <c r="G14" s="57" t="s">
        <v>203</v>
      </c>
      <c r="H14" s="845"/>
      <c r="I14" s="58" t="s">
        <v>204</v>
      </c>
      <c r="J14" s="108">
        <v>21109111</v>
      </c>
      <c r="K14" s="99" t="s">
        <v>298</v>
      </c>
      <c r="L14" s="100"/>
      <c r="M14" s="100"/>
      <c r="N14" s="100">
        <v>24.91</v>
      </c>
      <c r="O14" s="100"/>
      <c r="P14" s="100"/>
      <c r="Q14" s="100"/>
      <c r="R14" s="21"/>
    </row>
    <row r="15" spans="1:18" x14ac:dyDescent="0.2">
      <c r="A15" s="91">
        <v>39814</v>
      </c>
      <c r="B15" s="53">
        <v>0</v>
      </c>
      <c r="C15" s="60">
        <v>0</v>
      </c>
      <c r="D15" s="60">
        <v>0</v>
      </c>
      <c r="E15" s="60">
        <v>0</v>
      </c>
      <c r="F15" s="60">
        <v>0</v>
      </c>
      <c r="G15" s="60"/>
      <c r="H15" s="60"/>
      <c r="I15" s="61">
        <v>497124.78</v>
      </c>
      <c r="J15" s="108">
        <v>21109112</v>
      </c>
      <c r="K15" s="99" t="s">
        <v>299</v>
      </c>
      <c r="L15" s="100"/>
      <c r="M15" s="100"/>
      <c r="N15" s="100">
        <v>59.84</v>
      </c>
      <c r="O15" s="100"/>
      <c r="P15" s="100"/>
      <c r="Q15" s="100"/>
      <c r="R15" s="21"/>
    </row>
    <row r="16" spans="1:18" x14ac:dyDescent="0.2">
      <c r="A16" s="91">
        <v>39844</v>
      </c>
      <c r="B16" s="53">
        <v>31</v>
      </c>
      <c r="C16" s="60">
        <f>SUM(I15*31/3600)</f>
        <v>4280.7967166666667</v>
      </c>
      <c r="D16" s="60">
        <f>SUM(C10-C16)</f>
        <v>1742.5332833333332</v>
      </c>
      <c r="E16" s="62">
        <f>SUM(C16:D16)</f>
        <v>6023.33</v>
      </c>
      <c r="F16" s="60">
        <v>46.25</v>
      </c>
      <c r="G16" s="60">
        <v>0</v>
      </c>
      <c r="H16" s="60">
        <f>SUM(E16:G16)</f>
        <v>6069.58</v>
      </c>
      <c r="I16" s="61">
        <f>+I15-D16</f>
        <v>495382.24671666668</v>
      </c>
      <c r="J16" s="108">
        <v>21109114</v>
      </c>
      <c r="K16" s="99" t="s">
        <v>300</v>
      </c>
      <c r="L16" s="100"/>
      <c r="M16" s="100"/>
      <c r="N16" s="100">
        <v>2021.02</v>
      </c>
      <c r="O16" s="100"/>
      <c r="P16" s="100"/>
      <c r="Q16" s="100"/>
      <c r="R16" s="21"/>
    </row>
    <row r="17" spans="1:18" x14ac:dyDescent="0.2">
      <c r="A17" s="91">
        <v>39872</v>
      </c>
      <c r="B17" s="53">
        <v>28</v>
      </c>
      <c r="C17" s="60">
        <f>SUM(I16*28/3600)</f>
        <v>3852.9730300185188</v>
      </c>
      <c r="D17" s="60">
        <f>SUM(C10-C17)</f>
        <v>2170.3569699814811</v>
      </c>
      <c r="E17" s="62">
        <f>SUM(C17:D17)</f>
        <v>6023.33</v>
      </c>
      <c r="F17" s="60">
        <v>46.25</v>
      </c>
      <c r="G17" s="60"/>
      <c r="H17" s="60">
        <f>SUM(E17:G17)</f>
        <v>6069.58</v>
      </c>
      <c r="I17" s="61">
        <f t="shared" ref="I17:I27" si="0">+I16-D17</f>
        <v>493211.88974668522</v>
      </c>
      <c r="J17" s="108">
        <v>21109116</v>
      </c>
      <c r="K17" s="99" t="s">
        <v>301</v>
      </c>
      <c r="L17" s="100"/>
      <c r="M17" s="100"/>
      <c r="N17" s="100">
        <v>14997.17</v>
      </c>
      <c r="O17" s="100"/>
      <c r="P17" s="100"/>
      <c r="Q17" s="100"/>
      <c r="R17" s="21"/>
    </row>
    <row r="18" spans="1:18" x14ac:dyDescent="0.2">
      <c r="A18" s="91">
        <v>39903</v>
      </c>
      <c r="B18" s="53">
        <v>31</v>
      </c>
      <c r="C18" s="60">
        <f>SUM(I17*31/3600)</f>
        <v>4247.1023839297895</v>
      </c>
      <c r="D18" s="60">
        <f>SUM(C10-C18)</f>
        <v>1776.2276160702104</v>
      </c>
      <c r="E18" s="62">
        <f t="shared" ref="E18:E27" si="1">SUM(C18:D18)</f>
        <v>6023.33</v>
      </c>
      <c r="F18" s="60">
        <v>46.25</v>
      </c>
      <c r="G18" s="60"/>
      <c r="H18" s="60">
        <f t="shared" ref="H18:H27" si="2">SUM(E18:G18)</f>
        <v>6069.58</v>
      </c>
      <c r="I18" s="61">
        <f t="shared" si="0"/>
        <v>491435.66213061503</v>
      </c>
      <c r="J18" s="108">
        <v>21109117</v>
      </c>
      <c r="K18" s="99" t="s">
        <v>302</v>
      </c>
      <c r="L18" s="100"/>
      <c r="M18" s="100"/>
      <c r="N18" s="100">
        <v>2191.12</v>
      </c>
      <c r="O18" s="100"/>
      <c r="P18" s="100"/>
      <c r="Q18" s="100"/>
      <c r="R18" s="21"/>
    </row>
    <row r="19" spans="1:18" x14ac:dyDescent="0.2">
      <c r="A19" s="91">
        <v>39933</v>
      </c>
      <c r="B19" s="53">
        <v>30</v>
      </c>
      <c r="C19" s="60">
        <f>SUM(I18*30/3600)</f>
        <v>4095.2971844217923</v>
      </c>
      <c r="D19" s="60">
        <f>SUM(C10-C19)</f>
        <v>1928.0328155782076</v>
      </c>
      <c r="E19" s="62">
        <f t="shared" si="1"/>
        <v>6023.33</v>
      </c>
      <c r="F19" s="60">
        <v>46.25</v>
      </c>
      <c r="G19" s="60"/>
      <c r="H19" s="60">
        <f t="shared" si="2"/>
        <v>6069.58</v>
      </c>
      <c r="I19" s="61">
        <f t="shared" si="0"/>
        <v>489507.62931503681</v>
      </c>
      <c r="J19" s="108">
        <v>21109121</v>
      </c>
      <c r="K19" s="99" t="s">
        <v>303</v>
      </c>
      <c r="L19" s="100"/>
      <c r="M19" s="100"/>
      <c r="N19" s="100"/>
      <c r="O19" s="100">
        <v>2344.64</v>
      </c>
      <c r="P19" s="100"/>
      <c r="Q19" s="100"/>
      <c r="R19" s="21"/>
    </row>
    <row r="20" spans="1:18" x14ac:dyDescent="0.2">
      <c r="A20" s="91">
        <v>39964</v>
      </c>
      <c r="B20" s="53">
        <v>31</v>
      </c>
      <c r="C20" s="60">
        <f>SUM(I19*31/3600)</f>
        <v>4215.2045857683725</v>
      </c>
      <c r="D20" s="60">
        <f>SUM(C10-C20)</f>
        <v>1808.1254142316275</v>
      </c>
      <c r="E20" s="62">
        <f t="shared" si="1"/>
        <v>6023.33</v>
      </c>
      <c r="F20" s="60">
        <v>46.25</v>
      </c>
      <c r="G20" s="60"/>
      <c r="H20" s="60">
        <f t="shared" si="2"/>
        <v>6069.58</v>
      </c>
      <c r="I20" s="61">
        <f t="shared" si="0"/>
        <v>487699.5039008052</v>
      </c>
      <c r="J20" s="108">
        <v>21109123</v>
      </c>
      <c r="K20" s="99" t="s">
        <v>304</v>
      </c>
      <c r="L20" s="100"/>
      <c r="M20" s="100"/>
      <c r="N20" s="100">
        <v>4118.5600000000004</v>
      </c>
      <c r="O20" s="100"/>
      <c r="P20" s="100"/>
      <c r="Q20" s="100"/>
      <c r="R20" s="21"/>
    </row>
    <row r="21" spans="1:18" x14ac:dyDescent="0.2">
      <c r="A21" s="91">
        <v>39994</v>
      </c>
      <c r="B21" s="53">
        <v>30</v>
      </c>
      <c r="C21" s="60">
        <f>SUM(I20*30/3600)</f>
        <v>4064.1625325067098</v>
      </c>
      <c r="D21" s="60">
        <f>SUM(C10-C21)</f>
        <v>1959.1674674932901</v>
      </c>
      <c r="E21" s="62">
        <f t="shared" si="1"/>
        <v>6023.33</v>
      </c>
      <c r="F21" s="60">
        <v>46.25</v>
      </c>
      <c r="G21" s="60"/>
      <c r="H21" s="60">
        <f t="shared" si="2"/>
        <v>6069.58</v>
      </c>
      <c r="I21" s="61">
        <f t="shared" si="0"/>
        <v>485740.33643331192</v>
      </c>
      <c r="J21" s="108">
        <v>21109124</v>
      </c>
      <c r="K21" s="99" t="s">
        <v>305</v>
      </c>
      <c r="L21" s="100"/>
      <c r="M21" s="100"/>
      <c r="N21" s="100">
        <v>24692.04</v>
      </c>
      <c r="O21" s="100"/>
      <c r="P21" s="100"/>
      <c r="Q21" s="100"/>
      <c r="R21" s="21"/>
    </row>
    <row r="22" spans="1:18" x14ac:dyDescent="0.2">
      <c r="A22" s="91">
        <v>40025</v>
      </c>
      <c r="B22" s="53">
        <v>31</v>
      </c>
      <c r="C22" s="60">
        <f>SUM(I21*31/3600)</f>
        <v>4182.7640081757418</v>
      </c>
      <c r="D22" s="60">
        <f>SUM(C10-C22)</f>
        <v>1840.5659918242582</v>
      </c>
      <c r="E22" s="62">
        <f t="shared" si="1"/>
        <v>6023.33</v>
      </c>
      <c r="F22" s="60">
        <v>46.25</v>
      </c>
      <c r="G22" s="60"/>
      <c r="H22" s="60">
        <f t="shared" si="2"/>
        <v>6069.58</v>
      </c>
      <c r="I22" s="61">
        <f t="shared" si="0"/>
        <v>483899.77044148766</v>
      </c>
      <c r="J22" s="108">
        <v>21109125</v>
      </c>
      <c r="K22" s="99" t="s">
        <v>306</v>
      </c>
      <c r="L22" s="100"/>
      <c r="M22" s="100"/>
      <c r="N22" s="100">
        <v>1350</v>
      </c>
      <c r="O22" s="100"/>
      <c r="P22" s="100"/>
      <c r="Q22" s="100"/>
      <c r="R22" s="21"/>
    </row>
    <row r="23" spans="1:18" x14ac:dyDescent="0.2">
      <c r="A23" s="91">
        <v>40056</v>
      </c>
      <c r="B23" s="53">
        <v>31</v>
      </c>
      <c r="C23" s="60">
        <f>SUM(I22*31/3600)</f>
        <v>4166.9146899128109</v>
      </c>
      <c r="D23" s="60">
        <f>SUM(C10-C23)</f>
        <v>1856.415310087189</v>
      </c>
      <c r="E23" s="62">
        <f t="shared" si="1"/>
        <v>6023.33</v>
      </c>
      <c r="F23" s="60">
        <v>46.25</v>
      </c>
      <c r="G23" s="60"/>
      <c r="H23" s="60">
        <f t="shared" si="2"/>
        <v>6069.58</v>
      </c>
      <c r="I23" s="61">
        <f t="shared" si="0"/>
        <v>482043.35513140046</v>
      </c>
      <c r="J23" s="108">
        <v>21109127</v>
      </c>
      <c r="K23" s="99" t="s">
        <v>307</v>
      </c>
      <c r="L23" s="100"/>
      <c r="M23" s="100"/>
      <c r="N23" s="100">
        <v>5497.17</v>
      </c>
      <c r="O23" s="100"/>
      <c r="P23" s="100"/>
      <c r="Q23" s="100"/>
      <c r="R23" s="21"/>
    </row>
    <row r="24" spans="1:18" x14ac:dyDescent="0.2">
      <c r="A24" s="91">
        <v>40086</v>
      </c>
      <c r="B24" s="53">
        <v>30</v>
      </c>
      <c r="C24" s="60">
        <f>SUM(I23*30/3600)</f>
        <v>4017.027959428337</v>
      </c>
      <c r="D24" s="60">
        <f>SUM(C10-C24)</f>
        <v>2006.3020405716629</v>
      </c>
      <c r="E24" s="62">
        <f t="shared" si="1"/>
        <v>6023.33</v>
      </c>
      <c r="F24" s="60">
        <v>46.25</v>
      </c>
      <c r="G24" s="60"/>
      <c r="H24" s="60">
        <f t="shared" si="2"/>
        <v>6069.58</v>
      </c>
      <c r="I24" s="61">
        <f t="shared" si="0"/>
        <v>480037.05309082882</v>
      </c>
      <c r="J24" s="108">
        <v>21109128</v>
      </c>
      <c r="K24" s="99" t="s">
        <v>308</v>
      </c>
      <c r="L24" s="100"/>
      <c r="M24" s="100"/>
      <c r="N24" s="100">
        <v>440.91</v>
      </c>
      <c r="O24" s="100"/>
      <c r="P24" s="100"/>
      <c r="Q24" s="100"/>
      <c r="R24" s="21"/>
    </row>
    <row r="25" spans="1:18" x14ac:dyDescent="0.2">
      <c r="A25" s="91">
        <v>40117</v>
      </c>
      <c r="B25" s="53">
        <v>31</v>
      </c>
      <c r="C25" s="60">
        <f>SUM(I24*31/3600)</f>
        <v>4133.6524016154699</v>
      </c>
      <c r="D25" s="60">
        <f>SUM(C10-C25)</f>
        <v>1889.67759838453</v>
      </c>
      <c r="E25" s="62">
        <f t="shared" si="1"/>
        <v>6023.33</v>
      </c>
      <c r="F25" s="60">
        <v>46.25</v>
      </c>
      <c r="G25" s="60"/>
      <c r="H25" s="60">
        <f t="shared" si="2"/>
        <v>6069.58</v>
      </c>
      <c r="I25" s="61">
        <f t="shared" si="0"/>
        <v>478147.37549244426</v>
      </c>
      <c r="J25" s="108">
        <v>21109129</v>
      </c>
      <c r="K25" s="99" t="s">
        <v>309</v>
      </c>
      <c r="L25" s="100"/>
      <c r="M25" s="100"/>
      <c r="N25" s="100"/>
      <c r="O25" s="100">
        <v>1</v>
      </c>
      <c r="P25" s="100"/>
      <c r="Q25" s="100"/>
      <c r="R25" s="21"/>
    </row>
    <row r="26" spans="1:18" x14ac:dyDescent="0.2">
      <c r="A26" s="91">
        <v>40147</v>
      </c>
      <c r="B26" s="53">
        <v>30</v>
      </c>
      <c r="C26" s="60">
        <f>SUM(I25*30/3600)</f>
        <v>3984.5614624370355</v>
      </c>
      <c r="D26" s="60">
        <f>SUM(C10-C26)</f>
        <v>2038.7685375629644</v>
      </c>
      <c r="E26" s="62">
        <f t="shared" si="1"/>
        <v>6023.33</v>
      </c>
      <c r="F26" s="60">
        <v>46.25</v>
      </c>
      <c r="G26" s="60"/>
      <c r="H26" s="60">
        <f t="shared" si="2"/>
        <v>6069.58</v>
      </c>
      <c r="I26" s="61">
        <f t="shared" si="0"/>
        <v>476108.60695488128</v>
      </c>
      <c r="J26" s="108">
        <v>21109130</v>
      </c>
      <c r="K26" s="99" t="s">
        <v>310</v>
      </c>
      <c r="L26" s="100"/>
      <c r="M26" s="100"/>
      <c r="N26" s="100"/>
      <c r="O26" s="100">
        <v>1</v>
      </c>
      <c r="P26" s="100"/>
      <c r="Q26" s="100"/>
      <c r="R26" s="21"/>
    </row>
    <row r="27" spans="1:18" x14ac:dyDescent="0.2">
      <c r="A27" s="91">
        <v>40178</v>
      </c>
      <c r="B27" s="53">
        <v>31</v>
      </c>
      <c r="C27" s="60">
        <f>SUM(I26*31/3600)</f>
        <v>4099.8241154448106</v>
      </c>
      <c r="D27" s="60">
        <f>SUM(C10-C27)</f>
        <v>1923.5058845551894</v>
      </c>
      <c r="E27" s="62">
        <f t="shared" si="1"/>
        <v>6023.33</v>
      </c>
      <c r="F27" s="60">
        <v>46.25</v>
      </c>
      <c r="G27" s="60"/>
      <c r="H27" s="60">
        <f t="shared" si="2"/>
        <v>6069.58</v>
      </c>
      <c r="I27" s="61">
        <f t="shared" si="0"/>
        <v>474185.10107032611</v>
      </c>
      <c r="J27" s="108">
        <v>21109131</v>
      </c>
      <c r="K27" s="99" t="s">
        <v>311</v>
      </c>
      <c r="L27" s="100"/>
      <c r="M27" s="100"/>
      <c r="N27" s="100">
        <v>658.72</v>
      </c>
      <c r="O27" s="100"/>
      <c r="P27" s="100"/>
      <c r="Q27" s="100"/>
      <c r="R27" s="21"/>
    </row>
    <row r="28" spans="1:18" x14ac:dyDescent="0.2">
      <c r="A28" s="59"/>
      <c r="B28" s="53"/>
      <c r="C28" s="60"/>
      <c r="D28" s="60"/>
      <c r="E28" s="62"/>
      <c r="F28" s="60"/>
      <c r="G28" s="60"/>
      <c r="H28" s="60"/>
      <c r="I28" s="61"/>
      <c r="J28" s="108">
        <v>21109132</v>
      </c>
      <c r="K28" s="99" t="s">
        <v>312</v>
      </c>
      <c r="L28" s="100"/>
      <c r="M28" s="100"/>
      <c r="N28" s="100">
        <v>26711.17</v>
      </c>
      <c r="O28" s="100"/>
      <c r="P28" s="100"/>
      <c r="Q28" s="100"/>
      <c r="R28" s="21"/>
    </row>
    <row r="29" spans="1:18" ht="15.75" thickBot="1" x14ac:dyDescent="0.4">
      <c r="A29" s="63"/>
      <c r="B29" s="64">
        <f t="shared" ref="B29:H29" si="3">SUM(B15:B28)</f>
        <v>365</v>
      </c>
      <c r="C29" s="65">
        <f t="shared" si="3"/>
        <v>49340.281070326062</v>
      </c>
      <c r="D29" s="65">
        <f t="shared" si="3"/>
        <v>22939.678929673944</v>
      </c>
      <c r="E29" s="65">
        <f t="shared" si="3"/>
        <v>72279.960000000006</v>
      </c>
      <c r="F29" s="65">
        <f t="shared" si="3"/>
        <v>555</v>
      </c>
      <c r="G29" s="65">
        <f t="shared" si="3"/>
        <v>0</v>
      </c>
      <c r="H29" s="65">
        <f t="shared" si="3"/>
        <v>72834.960000000006</v>
      </c>
      <c r="I29" s="66"/>
      <c r="J29" s="108">
        <v>21117001</v>
      </c>
      <c r="K29" s="99" t="s">
        <v>313</v>
      </c>
      <c r="L29" s="99"/>
      <c r="M29" s="99"/>
      <c r="N29" s="99"/>
      <c r="O29" s="99"/>
      <c r="P29" s="99">
        <v>270.88</v>
      </c>
      <c r="Q29" s="100"/>
      <c r="R29" s="21"/>
    </row>
    <row r="30" spans="1:18" x14ac:dyDescent="0.2">
      <c r="J30" s="98">
        <v>21117002</v>
      </c>
      <c r="K30" s="99" t="s">
        <v>314</v>
      </c>
      <c r="L30" s="100"/>
      <c r="M30" s="100"/>
      <c r="N30" s="100"/>
      <c r="O30" s="100"/>
      <c r="P30" s="100">
        <v>15646.03</v>
      </c>
      <c r="Q30" s="100"/>
    </row>
    <row r="31" spans="1:18" x14ac:dyDescent="0.2">
      <c r="J31" s="98">
        <v>21117003</v>
      </c>
      <c r="K31" s="99" t="s">
        <v>315</v>
      </c>
      <c r="L31" s="100"/>
      <c r="M31" s="100"/>
      <c r="N31" s="100"/>
      <c r="O31" s="100"/>
      <c r="P31" s="100">
        <v>1</v>
      </c>
      <c r="Q31" s="100"/>
    </row>
    <row r="32" spans="1:18" ht="13.5" thickBot="1" x14ac:dyDescent="0.25">
      <c r="D32" s="833" t="s">
        <v>285</v>
      </c>
      <c r="E32" s="834"/>
      <c r="F32" s="835"/>
      <c r="J32" s="105"/>
      <c r="K32" s="21"/>
      <c r="L32" s="21"/>
      <c r="M32" s="21"/>
      <c r="N32" s="21"/>
      <c r="O32" s="21"/>
      <c r="P32" s="21"/>
      <c r="Q32" s="94"/>
    </row>
    <row r="33" spans="10:17" ht="13.5" thickBot="1" x14ac:dyDescent="0.25">
      <c r="J33" s="831" t="s">
        <v>254</v>
      </c>
      <c r="K33" s="832"/>
      <c r="L33" s="106">
        <f>SUM(L7:L32)</f>
        <v>919.17</v>
      </c>
      <c r="M33" s="106">
        <f t="shared" ref="M33:Q33" si="4">SUM(M7:M32)</f>
        <v>2363.0100000000002</v>
      </c>
      <c r="N33" s="106">
        <f t="shared" si="4"/>
        <v>122886.03</v>
      </c>
      <c r="O33" s="106">
        <f t="shared" si="4"/>
        <v>2374.69</v>
      </c>
      <c r="P33" s="106">
        <f t="shared" si="4"/>
        <v>15917.91</v>
      </c>
      <c r="Q33" s="107">
        <f t="shared" si="4"/>
        <v>67099.22</v>
      </c>
    </row>
    <row r="34" spans="10:17" x14ac:dyDescent="0.2">
      <c r="Q34" s="97"/>
    </row>
    <row r="35" spans="10:17" x14ac:dyDescent="0.2">
      <c r="Q35" s="97"/>
    </row>
    <row r="36" spans="10:17" x14ac:dyDescent="0.2">
      <c r="Q36" s="97"/>
    </row>
  </sheetData>
  <mergeCells count="13">
    <mergeCell ref="J33:K33"/>
    <mergeCell ref="D32:F32"/>
    <mergeCell ref="A1:I1"/>
    <mergeCell ref="A2:I2"/>
    <mergeCell ref="A3:I3"/>
    <mergeCell ref="A5:I5"/>
    <mergeCell ref="C12:D12"/>
    <mergeCell ref="E12:H12"/>
    <mergeCell ref="J1:P1"/>
    <mergeCell ref="J2:P2"/>
    <mergeCell ref="J3:P3"/>
    <mergeCell ref="C13:D13"/>
    <mergeCell ref="H13:H1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I17" sqref="I17"/>
    </sheetView>
  </sheetViews>
  <sheetFormatPr baseColWidth="10" defaultColWidth="11.42578125" defaultRowHeight="12.75" x14ac:dyDescent="0.2"/>
  <cols>
    <col min="2" max="2" width="12.85546875" customWidth="1"/>
    <col min="3" max="3" width="13.5703125" customWidth="1"/>
    <col min="4" max="4" width="13.42578125" customWidth="1"/>
    <col min="5" max="7" width="12.85546875" bestFit="1" customWidth="1"/>
    <col min="8" max="9" width="12.85546875" customWidth="1"/>
    <col min="11" max="11" width="16.140625" customWidth="1"/>
  </cols>
  <sheetData>
    <row r="1" spans="2:11" ht="13.5" thickBot="1" x14ac:dyDescent="0.25"/>
    <row r="2" spans="2:11" ht="13.5" thickBot="1" x14ac:dyDescent="0.25">
      <c r="B2" s="115" t="s">
        <v>248</v>
      </c>
      <c r="C2" s="116" t="s">
        <v>325</v>
      </c>
      <c r="D2" s="116" t="s">
        <v>249</v>
      </c>
      <c r="E2" s="117" t="s">
        <v>251</v>
      </c>
      <c r="F2" s="116" t="s">
        <v>250</v>
      </c>
      <c r="G2" s="116" t="s">
        <v>252</v>
      </c>
      <c r="H2" s="116" t="s">
        <v>291</v>
      </c>
      <c r="I2" s="116" t="s">
        <v>73</v>
      </c>
      <c r="J2" s="116" t="s">
        <v>253</v>
      </c>
      <c r="K2" s="118" t="s">
        <v>254</v>
      </c>
    </row>
    <row r="3" spans="2:11" x14ac:dyDescent="0.2">
      <c r="B3" s="113">
        <v>51</v>
      </c>
      <c r="C3" s="114">
        <f>SUM('Egresos F.P. '!L10:L19)</f>
        <v>986393.79220000003</v>
      </c>
      <c r="D3" s="114">
        <f>SUM('Egr. FODES 25%'!L11:L20)</f>
        <v>170900</v>
      </c>
      <c r="E3" s="114">
        <f>SUM('Egr.FODES 75%'!I10:I15)</f>
        <v>169500</v>
      </c>
      <c r="F3" s="114"/>
      <c r="G3" s="114">
        <f>SUM('Ejec. Prestamo'!H11)</f>
        <v>0</v>
      </c>
      <c r="H3" s="114">
        <f>SUM(FISDL!H11)</f>
        <v>0</v>
      </c>
      <c r="I3" s="114"/>
      <c r="J3" s="114"/>
      <c r="K3" s="114">
        <f t="shared" ref="K3:K10" si="0">SUM(C3:J3)</f>
        <v>1326793.7922</v>
      </c>
    </row>
    <row r="4" spans="2:11" x14ac:dyDescent="0.2">
      <c r="B4" s="111">
        <v>54</v>
      </c>
      <c r="C4" s="112">
        <f>SUM('Egresos F.P. '!L24:L63)</f>
        <v>213600</v>
      </c>
      <c r="D4" s="112">
        <f>SUM('Egr. FODES 25%'!L21:L48)</f>
        <v>216757.03999999998</v>
      </c>
      <c r="E4" s="112">
        <f>SUM('Egr.FODES 75%'!I16:I46)</f>
        <v>679129.48</v>
      </c>
      <c r="F4" s="112"/>
      <c r="G4" s="112">
        <f>SUM('Ejec. Prestamo'!H12:H17)</f>
        <v>307500</v>
      </c>
      <c r="H4" s="112">
        <f>SUM(FISDL!H12:H17)</f>
        <v>0</v>
      </c>
      <c r="I4" s="112"/>
      <c r="J4" s="112"/>
      <c r="K4" s="112">
        <f t="shared" si="0"/>
        <v>1416986.52</v>
      </c>
    </row>
    <row r="5" spans="2:11" x14ac:dyDescent="0.2">
      <c r="B5" s="111">
        <v>55</v>
      </c>
      <c r="C5" s="112">
        <f>SUM('Egresos F.P. '!L68:L72)</f>
        <v>16300</v>
      </c>
      <c r="D5" s="112">
        <f>SUM('Egr. FODES 25%'!L49:L53)</f>
        <v>3600.38</v>
      </c>
      <c r="E5" s="112">
        <f>SUM('Egr.FODES 75%'!I49:I50)</f>
        <v>0</v>
      </c>
      <c r="F5" s="112">
        <f>SUM('Deuda Pub 75%'!H10:H12)</f>
        <v>126564.95527162999</v>
      </c>
      <c r="G5" s="112">
        <f>SUM('Ejec. Prestamo'!H18:H19)</f>
        <v>192500</v>
      </c>
      <c r="H5" s="112">
        <f>SUM(FISDL!H18:H19)</f>
        <v>0</v>
      </c>
      <c r="I5" s="112"/>
      <c r="J5" s="112"/>
      <c r="K5" s="112">
        <f t="shared" si="0"/>
        <v>338965.33527162997</v>
      </c>
    </row>
    <row r="6" spans="2:11" x14ac:dyDescent="0.2">
      <c r="B6" s="111">
        <v>56</v>
      </c>
      <c r="C6" s="112">
        <f>'Egresos F.P. '!O6</f>
        <v>35000</v>
      </c>
      <c r="D6" s="112">
        <f>SUM('Egr. FODES 25%'!L54:L56)</f>
        <v>12300</v>
      </c>
      <c r="E6" s="112">
        <f>SUM('Egr.FODES 75%'!I51:I52)</f>
        <v>110800</v>
      </c>
      <c r="F6" s="112"/>
      <c r="G6" s="112"/>
      <c r="H6" s="112"/>
      <c r="I6" s="112"/>
      <c r="J6" s="112"/>
      <c r="K6" s="112">
        <f>SUM(C6:J6)</f>
        <v>158100</v>
      </c>
    </row>
    <row r="7" spans="2:11" x14ac:dyDescent="0.2">
      <c r="B7" s="111">
        <v>61</v>
      </c>
      <c r="C7" s="112">
        <f>SUM('Egresos F.P. '!L76:L80)</f>
        <v>17953.88</v>
      </c>
      <c r="D7" s="112"/>
      <c r="E7" s="112">
        <f>SUM('Egr.FODES 75%'!I54:I66)</f>
        <v>294000.37</v>
      </c>
      <c r="F7" s="112"/>
      <c r="G7" s="112">
        <f>SUM('Ejec. Prestamo'!H20:H25)</f>
        <v>0</v>
      </c>
      <c r="H7" s="112">
        <f>SUM(FISDL!H20:H25)</f>
        <v>0</v>
      </c>
      <c r="I7" s="112" t="e">
        <f>SUM(#REF!)</f>
        <v>#REF!</v>
      </c>
      <c r="J7" s="112">
        <f>SUM(FISDL!H23)</f>
        <v>0</v>
      </c>
      <c r="K7" s="112" t="e">
        <f t="shared" si="0"/>
        <v>#REF!</v>
      </c>
    </row>
    <row r="8" spans="2:11" x14ac:dyDescent="0.2">
      <c r="B8" s="119">
        <v>71</v>
      </c>
      <c r="C8" s="120"/>
      <c r="D8" s="120"/>
      <c r="E8" s="120"/>
      <c r="F8" s="120">
        <f>SUM('Deuda Pub 75%'!H14)</f>
        <v>120489.41673127429</v>
      </c>
      <c r="G8" s="120"/>
      <c r="H8" s="120"/>
      <c r="I8" s="120"/>
      <c r="J8" s="120"/>
      <c r="K8" s="120">
        <f t="shared" si="0"/>
        <v>120489.41673127429</v>
      </c>
    </row>
    <row r="9" spans="2:11" ht="13.5" thickBot="1" x14ac:dyDescent="0.25">
      <c r="B9" s="188">
        <v>72</v>
      </c>
      <c r="C9" s="189"/>
      <c r="D9" s="189"/>
      <c r="E9" s="189">
        <f>'Egr.FODES 75%'!L17</f>
        <v>0</v>
      </c>
      <c r="F9" s="189"/>
      <c r="G9" s="189"/>
      <c r="H9" s="189"/>
      <c r="I9" s="189"/>
      <c r="J9" s="189"/>
      <c r="K9" s="120">
        <f t="shared" si="0"/>
        <v>0</v>
      </c>
    </row>
    <row r="10" spans="2:11" ht="13.5" thickBot="1" x14ac:dyDescent="0.25">
      <c r="B10" s="121" t="s">
        <v>254</v>
      </c>
      <c r="C10" s="122">
        <f t="shared" ref="C10:J10" si="1">SUM(C3:C8)</f>
        <v>1269247.6721999999</v>
      </c>
      <c r="D10" s="122">
        <f t="shared" si="1"/>
        <v>403557.42</v>
      </c>
      <c r="E10" s="122">
        <f>SUM(E3:E8)</f>
        <v>1253429.8500000001</v>
      </c>
      <c r="F10" s="122">
        <f t="shared" si="1"/>
        <v>247054.3720029043</v>
      </c>
      <c r="G10" s="122">
        <f t="shared" si="1"/>
        <v>500000</v>
      </c>
      <c r="H10" s="122">
        <f t="shared" si="1"/>
        <v>0</v>
      </c>
      <c r="I10" s="122" t="e">
        <f t="shared" si="1"/>
        <v>#REF!</v>
      </c>
      <c r="J10" s="122">
        <f t="shared" si="1"/>
        <v>0</v>
      </c>
      <c r="K10" s="123" t="e">
        <f t="shared" si="0"/>
        <v>#REF!</v>
      </c>
    </row>
    <row r="11" spans="2:11" x14ac:dyDescent="0.2">
      <c r="C11" s="95"/>
      <c r="D11" s="95"/>
      <c r="E11" s="87"/>
      <c r="F11" s="87"/>
      <c r="G11" s="87"/>
      <c r="H11" s="87"/>
      <c r="I11" s="87"/>
      <c r="J11" s="87"/>
      <c r="K11" s="87"/>
    </row>
    <row r="12" spans="2:11" x14ac:dyDescent="0.2">
      <c r="C12" s="87"/>
      <c r="D12" s="87"/>
      <c r="E12" s="846">
        <f>SUM(E10:F10)</f>
        <v>1500484.2220029044</v>
      </c>
      <c r="F12" s="846"/>
      <c r="G12" s="87"/>
      <c r="H12" s="846" t="e">
        <f>SUM(H10:I10)</f>
        <v>#REF!</v>
      </c>
      <c r="I12" s="846"/>
      <c r="J12" s="87"/>
      <c r="K12" s="87"/>
    </row>
    <row r="13" spans="2:11" x14ac:dyDescent="0.2">
      <c r="C13" s="87"/>
      <c r="D13" s="87"/>
      <c r="E13" s="87"/>
      <c r="F13" s="87"/>
      <c r="G13" s="87"/>
      <c r="H13" s="87"/>
      <c r="I13" s="87"/>
      <c r="J13" s="87"/>
      <c r="K13" s="87"/>
    </row>
    <row r="14" spans="2:11" x14ac:dyDescent="0.2">
      <c r="C14" s="87"/>
      <c r="D14" s="87"/>
      <c r="E14" s="87"/>
      <c r="F14" s="87"/>
      <c r="G14" s="87"/>
      <c r="H14" s="87"/>
      <c r="I14" s="87"/>
      <c r="J14" s="87"/>
      <c r="K14" s="87"/>
    </row>
    <row r="15" spans="2:11" x14ac:dyDescent="0.2">
      <c r="C15" s="87"/>
      <c r="D15" s="87"/>
      <c r="E15" s="87"/>
      <c r="F15" s="87"/>
      <c r="G15" s="87"/>
      <c r="H15" s="87"/>
      <c r="I15" s="87"/>
      <c r="J15" s="87"/>
      <c r="K15" s="87"/>
    </row>
    <row r="16" spans="2:11" x14ac:dyDescent="0.2">
      <c r="C16" s="87"/>
      <c r="D16" s="87"/>
      <c r="E16" s="87"/>
      <c r="F16" s="87"/>
      <c r="G16" s="87"/>
      <c r="H16" s="87"/>
      <c r="I16" s="87"/>
      <c r="J16" s="87"/>
      <c r="K16" s="87"/>
    </row>
    <row r="17" spans="3:11" x14ac:dyDescent="0.2">
      <c r="C17" s="87"/>
      <c r="D17" s="87"/>
      <c r="E17" s="87"/>
      <c r="F17" s="87"/>
      <c r="G17" s="87"/>
      <c r="H17" s="87"/>
      <c r="I17" s="87"/>
      <c r="J17" s="87"/>
      <c r="K17" s="87"/>
    </row>
    <row r="18" spans="3:11" x14ac:dyDescent="0.2">
      <c r="C18" s="87"/>
      <c r="D18" s="87"/>
      <c r="E18" s="87"/>
      <c r="F18" s="87"/>
      <c r="G18" s="87"/>
      <c r="H18" s="87"/>
      <c r="I18" s="87"/>
      <c r="J18" s="87"/>
      <c r="K18" s="87"/>
    </row>
  </sheetData>
  <mergeCells count="2">
    <mergeCell ref="H12:I12"/>
    <mergeCell ref="E12:F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2"/>
  <sheetViews>
    <sheetView zoomScaleNormal="100" workbookViewId="0">
      <selection activeCell="M18" sqref="M18"/>
    </sheetView>
  </sheetViews>
  <sheetFormatPr baseColWidth="10" defaultColWidth="11.42578125" defaultRowHeight="12.75" x14ac:dyDescent="0.2"/>
  <cols>
    <col min="1" max="1" width="3.85546875" style="24" customWidth="1"/>
    <col min="2" max="2" width="4.42578125" style="24" customWidth="1"/>
    <col min="3" max="3" width="4.5703125" style="24" customWidth="1"/>
    <col min="4" max="4" width="4.7109375" style="24" customWidth="1"/>
    <col min="5" max="5" width="5.7109375" style="24" customWidth="1"/>
    <col min="6" max="6" width="8.140625" style="24" customWidth="1"/>
    <col min="7" max="7" width="47.140625" style="19" customWidth="1"/>
    <col min="8" max="8" width="15.42578125" style="4" customWidth="1"/>
    <col min="9" max="9" width="15.7109375" style="21" customWidth="1"/>
    <col min="10" max="10" width="7.28515625" style="21" customWidth="1"/>
    <col min="11" max="11" width="20" style="21" customWidth="1"/>
    <col min="12" max="12" width="13.42578125" style="21" customWidth="1"/>
    <col min="13" max="16384" width="11.42578125" style="21"/>
  </cols>
  <sheetData>
    <row r="1" spans="1:11" ht="18" x14ac:dyDescent="0.2">
      <c r="A1" s="879" t="s">
        <v>412</v>
      </c>
      <c r="B1" s="870"/>
      <c r="C1" s="870"/>
      <c r="D1" s="870"/>
      <c r="E1" s="870"/>
      <c r="F1" s="870"/>
      <c r="G1" s="870"/>
      <c r="H1" s="870"/>
      <c r="I1" s="142"/>
    </row>
    <row r="2" spans="1:11" ht="18" x14ac:dyDescent="0.2">
      <c r="A2" s="879" t="s">
        <v>411</v>
      </c>
      <c r="B2" s="870"/>
      <c r="C2" s="870"/>
      <c r="D2" s="870"/>
      <c r="E2" s="870"/>
      <c r="F2" s="870"/>
      <c r="G2" s="870"/>
      <c r="H2" s="870"/>
      <c r="I2" s="142"/>
    </row>
    <row r="3" spans="1:11" ht="15.75" x14ac:dyDescent="0.2">
      <c r="A3" s="880" t="s">
        <v>227</v>
      </c>
      <c r="B3" s="872"/>
      <c r="C3" s="872"/>
      <c r="D3" s="872"/>
      <c r="E3" s="872"/>
      <c r="F3" s="872"/>
      <c r="G3" s="872"/>
      <c r="H3" s="872"/>
    </row>
    <row r="4" spans="1:11" ht="15.75" x14ac:dyDescent="0.2">
      <c r="A4" s="880" t="s">
        <v>605</v>
      </c>
      <c r="B4" s="872"/>
      <c r="C4" s="872"/>
      <c r="D4" s="872"/>
      <c r="E4" s="872"/>
      <c r="F4" s="872"/>
      <c r="G4" s="872"/>
      <c r="H4" s="872"/>
    </row>
    <row r="5" spans="1:11" ht="15.75" x14ac:dyDescent="0.25">
      <c r="A5" s="881" t="s">
        <v>13</v>
      </c>
      <c r="B5" s="867"/>
      <c r="C5" s="867"/>
      <c r="D5" s="867"/>
      <c r="E5" s="867"/>
      <c r="F5" s="867"/>
      <c r="G5" s="867"/>
      <c r="H5" s="867"/>
      <c r="J5" s="140"/>
    </row>
    <row r="6" spans="1:11" ht="15.75" x14ac:dyDescent="0.25">
      <c r="A6" s="881" t="s">
        <v>378</v>
      </c>
      <c r="B6" s="881"/>
      <c r="C6" s="881"/>
      <c r="D6" s="881"/>
      <c r="E6" s="881"/>
      <c r="F6" s="881"/>
      <c r="G6" s="881"/>
      <c r="H6" s="881"/>
    </row>
    <row r="7" spans="1:11" ht="15.75" x14ac:dyDescent="0.25">
      <c r="A7" s="881" t="str">
        <f>proyectos!B8</f>
        <v>PROGRAMA DE FOMENTO Y APOYO AL DEPORTE ZARAGOZA  2020</v>
      </c>
      <c r="B7" s="881"/>
      <c r="C7" s="881"/>
      <c r="D7" s="881"/>
      <c r="E7" s="881"/>
      <c r="F7" s="881"/>
      <c r="G7" s="881"/>
      <c r="H7" s="881"/>
    </row>
    <row r="8" spans="1:11" ht="15.75" x14ac:dyDescent="0.25">
      <c r="A8" s="881" t="s">
        <v>634</v>
      </c>
      <c r="B8" s="881"/>
      <c r="C8" s="881"/>
      <c r="D8" s="881"/>
      <c r="E8" s="881"/>
      <c r="F8" s="881"/>
      <c r="G8" s="881"/>
      <c r="H8" s="881"/>
    </row>
    <row r="9" spans="1:11" ht="15.75" x14ac:dyDescent="0.25">
      <c r="A9" s="867" t="s">
        <v>558</v>
      </c>
      <c r="B9" s="867"/>
      <c r="C9" s="867"/>
      <c r="D9" s="867"/>
      <c r="E9" s="867"/>
      <c r="F9" s="867"/>
      <c r="G9" s="867"/>
      <c r="H9" s="867"/>
    </row>
    <row r="10" spans="1:11" ht="16.5" thickBot="1" x14ac:dyDescent="0.3">
      <c r="A10" s="878" t="str">
        <f>proyectos!B8</f>
        <v>PROGRAMA DE FOMENTO Y APOYO AL DEPORTE ZARAGOZA  2020</v>
      </c>
      <c r="B10" s="878"/>
      <c r="C10" s="878"/>
      <c r="D10" s="878"/>
      <c r="E10" s="878"/>
      <c r="F10" s="878"/>
      <c r="G10" s="878"/>
      <c r="H10" s="878"/>
    </row>
    <row r="11" spans="1:11" ht="22.5" customHeight="1" thickBot="1" x14ac:dyDescent="0.25">
      <c r="A11" s="873" t="s">
        <v>0</v>
      </c>
      <c r="B11" s="874"/>
      <c r="C11" s="874"/>
      <c r="D11" s="874"/>
      <c r="E11" s="874"/>
      <c r="F11" s="874"/>
      <c r="G11" s="775" t="s">
        <v>180</v>
      </c>
      <c r="H11" s="777" t="s">
        <v>181</v>
      </c>
      <c r="K11" s="862">
        <v>1</v>
      </c>
    </row>
    <row r="12" spans="1:11" ht="114" customHeight="1" thickBot="1" x14ac:dyDescent="0.25">
      <c r="A12" s="369" t="s">
        <v>171</v>
      </c>
      <c r="B12" s="307" t="s">
        <v>172</v>
      </c>
      <c r="C12" s="307" t="s">
        <v>143</v>
      </c>
      <c r="D12" s="307" t="s">
        <v>174</v>
      </c>
      <c r="E12" s="370" t="s">
        <v>182</v>
      </c>
      <c r="F12" s="308" t="s">
        <v>118</v>
      </c>
      <c r="G12" s="776"/>
      <c r="H12" s="778"/>
      <c r="K12" s="862"/>
    </row>
    <row r="13" spans="1:11" ht="15.75" x14ac:dyDescent="0.25">
      <c r="A13" s="385">
        <v>3</v>
      </c>
      <c r="B13" s="386" t="s">
        <v>53</v>
      </c>
      <c r="C13" s="386" t="s">
        <v>49</v>
      </c>
      <c r="D13" s="386" t="s">
        <v>51</v>
      </c>
      <c r="E13" s="386" t="s">
        <v>54</v>
      </c>
      <c r="F13" s="387" t="s">
        <v>277</v>
      </c>
      <c r="G13" s="388" t="s">
        <v>278</v>
      </c>
      <c r="H13" s="389">
        <f>proyectos!N8</f>
        <v>8000</v>
      </c>
    </row>
    <row r="14" spans="1:11" ht="15.75" x14ac:dyDescent="0.25">
      <c r="A14" s="390">
        <v>3</v>
      </c>
      <c r="B14" s="386" t="s">
        <v>53</v>
      </c>
      <c r="C14" s="391" t="s">
        <v>49</v>
      </c>
      <c r="D14" s="391" t="s">
        <v>51</v>
      </c>
      <c r="E14" s="386" t="s">
        <v>54</v>
      </c>
      <c r="F14" s="392">
        <v>54304</v>
      </c>
      <c r="G14" s="393" t="s">
        <v>391</v>
      </c>
      <c r="H14" s="394">
        <f>proyectos!AF8</f>
        <v>1500</v>
      </c>
    </row>
    <row r="15" spans="1:11" ht="18" customHeight="1" x14ac:dyDescent="0.25">
      <c r="A15" s="385">
        <v>3</v>
      </c>
      <c r="B15" s="386" t="s">
        <v>53</v>
      </c>
      <c r="C15" s="386" t="s">
        <v>49</v>
      </c>
      <c r="D15" s="386" t="s">
        <v>51</v>
      </c>
      <c r="E15" s="395" t="s">
        <v>54</v>
      </c>
      <c r="F15" s="396">
        <v>54399</v>
      </c>
      <c r="G15" s="397" t="s">
        <v>559</v>
      </c>
      <c r="H15" s="398">
        <f>proyectos!AH8</f>
        <v>1500</v>
      </c>
    </row>
    <row r="16" spans="1:11" ht="15.75" x14ac:dyDescent="0.25">
      <c r="A16" s="385">
        <v>3</v>
      </c>
      <c r="B16" s="386" t="s">
        <v>53</v>
      </c>
      <c r="C16" s="386" t="s">
        <v>49</v>
      </c>
      <c r="D16" s="386" t="s">
        <v>51</v>
      </c>
      <c r="E16" s="395" t="s">
        <v>54</v>
      </c>
      <c r="F16" s="391" t="s">
        <v>549</v>
      </c>
      <c r="G16" s="399" t="s">
        <v>550</v>
      </c>
      <c r="H16" s="400">
        <f>proyectos!AI8</f>
        <v>44000</v>
      </c>
    </row>
    <row r="17" spans="1:11" ht="18.75" thickBot="1" x14ac:dyDescent="0.25">
      <c r="A17" s="882" t="s">
        <v>374</v>
      </c>
      <c r="B17" s="883"/>
      <c r="C17" s="883"/>
      <c r="D17" s="883"/>
      <c r="E17" s="883"/>
      <c r="F17" s="883"/>
      <c r="G17" s="884"/>
      <c r="H17" s="401">
        <f>SUM(H13:H16)</f>
        <v>55000</v>
      </c>
    </row>
    <row r="18" spans="1:11" ht="19.5" customHeight="1" x14ac:dyDescent="0.2">
      <c r="A18" s="402"/>
      <c r="B18" s="402"/>
      <c r="C18" s="402"/>
      <c r="D18" s="402"/>
      <c r="E18" s="402"/>
      <c r="F18" s="402"/>
      <c r="G18" s="48"/>
      <c r="H18" s="403"/>
    </row>
    <row r="19" spans="1:11" ht="15.75" x14ac:dyDescent="0.25">
      <c r="A19" s="868"/>
      <c r="B19" s="868"/>
      <c r="C19" s="868"/>
      <c r="D19" s="868"/>
      <c r="E19" s="868"/>
      <c r="F19" s="868"/>
      <c r="G19" s="48"/>
      <c r="H19" s="404">
        <f>SUM(H13:H16)</f>
        <v>55000</v>
      </c>
    </row>
    <row r="20" spans="1:11" x14ac:dyDescent="0.2">
      <c r="A20" s="869"/>
      <c r="B20" s="869"/>
      <c r="C20" s="869"/>
      <c r="D20" s="869"/>
      <c r="E20" s="869"/>
      <c r="F20" s="869"/>
      <c r="G20" s="869"/>
      <c r="H20" s="193"/>
    </row>
    <row r="21" spans="1:11" x14ac:dyDescent="0.2">
      <c r="A21" s="869"/>
      <c r="B21" s="869"/>
      <c r="C21" s="869"/>
      <c r="D21" s="869"/>
      <c r="E21" s="869"/>
      <c r="F21" s="869"/>
      <c r="G21" s="869"/>
      <c r="H21" s="71"/>
    </row>
    <row r="22" spans="1:11" ht="18" x14ac:dyDescent="0.2">
      <c r="A22" s="870" t="s">
        <v>412</v>
      </c>
      <c r="B22" s="870"/>
      <c r="C22" s="870"/>
      <c r="D22" s="870"/>
      <c r="E22" s="870"/>
      <c r="F22" s="870"/>
      <c r="G22" s="870"/>
      <c r="H22" s="870"/>
    </row>
    <row r="23" spans="1:11" ht="18" x14ac:dyDescent="0.2">
      <c r="A23" s="870" t="s">
        <v>411</v>
      </c>
      <c r="B23" s="870"/>
      <c r="C23" s="870"/>
      <c r="D23" s="870"/>
      <c r="E23" s="870"/>
      <c r="F23" s="870"/>
      <c r="G23" s="870"/>
      <c r="H23" s="870"/>
    </row>
    <row r="24" spans="1:11" ht="15.75" x14ac:dyDescent="0.2">
      <c r="A24" s="872" t="s">
        <v>227</v>
      </c>
      <c r="B24" s="872"/>
      <c r="C24" s="872"/>
      <c r="D24" s="872"/>
      <c r="E24" s="872"/>
      <c r="F24" s="872"/>
      <c r="G24" s="872"/>
      <c r="H24" s="872"/>
    </row>
    <row r="25" spans="1:11" ht="15.75" x14ac:dyDescent="0.2">
      <c r="A25" s="872" t="s">
        <v>605</v>
      </c>
      <c r="B25" s="872"/>
      <c r="C25" s="872"/>
      <c r="D25" s="872"/>
      <c r="E25" s="872"/>
      <c r="F25" s="872"/>
      <c r="G25" s="872"/>
      <c r="H25" s="872"/>
    </row>
    <row r="26" spans="1:11" ht="15.75" x14ac:dyDescent="0.25">
      <c r="A26" s="867" t="s">
        <v>13</v>
      </c>
      <c r="B26" s="867"/>
      <c r="C26" s="867"/>
      <c r="D26" s="867"/>
      <c r="E26" s="867"/>
      <c r="F26" s="867"/>
      <c r="G26" s="867"/>
      <c r="H26" s="867"/>
    </row>
    <row r="27" spans="1:11" ht="15.75" x14ac:dyDescent="0.25">
      <c r="A27" s="867" t="s">
        <v>378</v>
      </c>
      <c r="B27" s="867"/>
      <c r="C27" s="867"/>
      <c r="D27" s="867"/>
      <c r="E27" s="867"/>
      <c r="F27" s="867"/>
      <c r="G27" s="867"/>
      <c r="H27" s="867"/>
    </row>
    <row r="28" spans="1:11" ht="15.75" x14ac:dyDescent="0.25">
      <c r="A28" s="867" t="str">
        <f>A31</f>
        <v>PROGRAMA DE FOMENTO A LA EDUCACION EN EL MUN.DE ZARAGOZA</v>
      </c>
      <c r="B28" s="867"/>
      <c r="C28" s="867"/>
      <c r="D28" s="867"/>
      <c r="E28" s="867"/>
      <c r="F28" s="867"/>
      <c r="G28" s="867"/>
      <c r="H28" s="867"/>
    </row>
    <row r="29" spans="1:11" ht="15.75" x14ac:dyDescent="0.25">
      <c r="A29" s="867" t="s">
        <v>373</v>
      </c>
      <c r="B29" s="867"/>
      <c r="C29" s="867"/>
      <c r="D29" s="867"/>
      <c r="E29" s="867"/>
      <c r="F29" s="867"/>
      <c r="G29" s="867"/>
      <c r="H29" s="867"/>
    </row>
    <row r="30" spans="1:11" ht="15.75" x14ac:dyDescent="0.25">
      <c r="A30" s="856" t="s">
        <v>558</v>
      </c>
      <c r="B30" s="856"/>
      <c r="C30" s="856"/>
      <c r="D30" s="856"/>
      <c r="E30" s="856"/>
      <c r="F30" s="856"/>
      <c r="G30" s="856"/>
      <c r="H30" s="856"/>
    </row>
    <row r="31" spans="1:11" ht="16.5" thickBot="1" x14ac:dyDescent="0.3">
      <c r="A31" s="878" t="str">
        <f>proyectos!B9</f>
        <v>PROGRAMA DE FOMENTO A LA EDUCACION EN EL MUN.DE ZARAGOZA</v>
      </c>
      <c r="B31" s="878"/>
      <c r="C31" s="878"/>
      <c r="D31" s="878"/>
      <c r="E31" s="878"/>
      <c r="F31" s="878"/>
      <c r="G31" s="878"/>
      <c r="H31" s="878"/>
    </row>
    <row r="32" spans="1:11" ht="27.75" customHeight="1" thickBot="1" x14ac:dyDescent="0.25">
      <c r="A32" s="873" t="s">
        <v>0</v>
      </c>
      <c r="B32" s="874"/>
      <c r="C32" s="874"/>
      <c r="D32" s="874"/>
      <c r="E32" s="874"/>
      <c r="F32" s="874"/>
      <c r="G32" s="775" t="s">
        <v>180</v>
      </c>
      <c r="H32" s="777" t="s">
        <v>181</v>
      </c>
      <c r="K32" s="862">
        <v>2</v>
      </c>
    </row>
    <row r="33" spans="1:11" ht="103.5" customHeight="1" thickBot="1" x14ac:dyDescent="0.25">
      <c r="A33" s="369" t="s">
        <v>171</v>
      </c>
      <c r="B33" s="307" t="s">
        <v>172</v>
      </c>
      <c r="C33" s="307" t="s">
        <v>143</v>
      </c>
      <c r="D33" s="307" t="s">
        <v>174</v>
      </c>
      <c r="E33" s="370" t="s">
        <v>182</v>
      </c>
      <c r="F33" s="308" t="s">
        <v>118</v>
      </c>
      <c r="G33" s="776"/>
      <c r="H33" s="778"/>
      <c r="K33" s="862"/>
    </row>
    <row r="34" spans="1:11" ht="24.95" customHeight="1" x14ac:dyDescent="0.25">
      <c r="A34" s="385">
        <v>3</v>
      </c>
      <c r="B34" s="386" t="s">
        <v>53</v>
      </c>
      <c r="C34" s="386" t="s">
        <v>327</v>
      </c>
      <c r="D34" s="386" t="s">
        <v>51</v>
      </c>
      <c r="E34" s="386" t="s">
        <v>54</v>
      </c>
      <c r="F34" s="387" t="s">
        <v>551</v>
      </c>
      <c r="G34" s="405" t="s">
        <v>635</v>
      </c>
      <c r="H34" s="389">
        <f>proyectos!AJ9</f>
        <v>21000</v>
      </c>
    </row>
    <row r="35" spans="1:11" ht="24.95" customHeight="1" x14ac:dyDescent="0.25">
      <c r="A35" s="390">
        <v>3</v>
      </c>
      <c r="B35" s="386" t="s">
        <v>53</v>
      </c>
      <c r="C35" s="386" t="s">
        <v>327</v>
      </c>
      <c r="D35" s="391" t="s">
        <v>51</v>
      </c>
      <c r="E35" s="386" t="s">
        <v>54</v>
      </c>
      <c r="F35" s="392">
        <v>54116</v>
      </c>
      <c r="G35" s="406" t="s">
        <v>636</v>
      </c>
      <c r="H35" s="389">
        <v>5000</v>
      </c>
    </row>
    <row r="36" spans="1:11" ht="24.95" customHeight="1" thickBot="1" x14ac:dyDescent="0.3">
      <c r="A36" s="407"/>
      <c r="B36" s="408"/>
      <c r="C36" s="408"/>
      <c r="D36" s="408"/>
      <c r="E36" s="408"/>
      <c r="F36" s="409"/>
      <c r="G36" s="410"/>
      <c r="H36" s="411"/>
      <c r="I36" s="139">
        <f>SUM(H34:H36)</f>
        <v>26000</v>
      </c>
    </row>
    <row r="37" spans="1:11" ht="24.95" customHeight="1" thickBot="1" x14ac:dyDescent="0.25">
      <c r="A37" s="875" t="s">
        <v>374</v>
      </c>
      <c r="B37" s="876"/>
      <c r="C37" s="876"/>
      <c r="D37" s="876"/>
      <c r="E37" s="876"/>
      <c r="F37" s="876"/>
      <c r="G37" s="877"/>
      <c r="H37" s="412">
        <f>SUM(H34:H35)</f>
        <v>26000</v>
      </c>
    </row>
    <row r="38" spans="1:11" x14ac:dyDescent="0.2">
      <c r="A38" s="402"/>
      <c r="B38" s="402"/>
      <c r="C38" s="402"/>
      <c r="D38" s="402"/>
      <c r="E38" s="402"/>
      <c r="F38" s="402"/>
      <c r="G38" s="48"/>
      <c r="H38" s="403"/>
    </row>
    <row r="39" spans="1:11" x14ac:dyDescent="0.2">
      <c r="A39" s="869"/>
      <c r="B39" s="869"/>
      <c r="C39" s="869"/>
      <c r="D39" s="869"/>
      <c r="E39" s="869"/>
      <c r="F39" s="869"/>
      <c r="G39" s="869"/>
      <c r="H39" s="193"/>
    </row>
    <row r="40" spans="1:11" ht="18" x14ac:dyDescent="0.2">
      <c r="A40" s="870" t="s">
        <v>412</v>
      </c>
      <c r="B40" s="870"/>
      <c r="C40" s="870"/>
      <c r="D40" s="870"/>
      <c r="E40" s="870"/>
      <c r="F40" s="870"/>
      <c r="G40" s="870"/>
      <c r="H40" s="870"/>
    </row>
    <row r="41" spans="1:11" ht="18" x14ac:dyDescent="0.2">
      <c r="A41" s="871" t="s">
        <v>411</v>
      </c>
      <c r="B41" s="871"/>
      <c r="C41" s="871"/>
      <c r="D41" s="871"/>
      <c r="E41" s="871"/>
      <c r="F41" s="871"/>
      <c r="G41" s="871"/>
      <c r="H41" s="871"/>
    </row>
    <row r="42" spans="1:11" ht="15.75" x14ac:dyDescent="0.2">
      <c r="A42" s="872" t="s">
        <v>227</v>
      </c>
      <c r="B42" s="872"/>
      <c r="C42" s="872"/>
      <c r="D42" s="872"/>
      <c r="E42" s="872"/>
      <c r="F42" s="872"/>
      <c r="G42" s="872"/>
      <c r="H42" s="872"/>
    </row>
    <row r="43" spans="1:11" ht="15.75" x14ac:dyDescent="0.2">
      <c r="A43" s="872" t="s">
        <v>605</v>
      </c>
      <c r="B43" s="872"/>
      <c r="C43" s="872"/>
      <c r="D43" s="872"/>
      <c r="E43" s="872"/>
      <c r="F43" s="872"/>
      <c r="G43" s="872"/>
      <c r="H43" s="872"/>
    </row>
    <row r="44" spans="1:11" ht="15.75" x14ac:dyDescent="0.25">
      <c r="A44" s="867" t="s">
        <v>13</v>
      </c>
      <c r="B44" s="867"/>
      <c r="C44" s="867"/>
      <c r="D44" s="867"/>
      <c r="E44" s="867"/>
      <c r="F44" s="867"/>
      <c r="G44" s="867"/>
      <c r="H44" s="867"/>
    </row>
    <row r="45" spans="1:11" ht="15.75" x14ac:dyDescent="0.25">
      <c r="A45" s="867" t="s">
        <v>378</v>
      </c>
      <c r="B45" s="867"/>
      <c r="C45" s="867"/>
      <c r="D45" s="867"/>
      <c r="E45" s="867"/>
      <c r="F45" s="867"/>
      <c r="G45" s="867"/>
      <c r="H45" s="867"/>
    </row>
    <row r="46" spans="1:11" ht="15.75" x14ac:dyDescent="0.25">
      <c r="A46" s="867" t="str">
        <f>A49</f>
        <v>RECOLEC. TRANSPORTE Y DISPOS.FINAL DESECHOS SOLIDOS 2020</v>
      </c>
      <c r="B46" s="867"/>
      <c r="C46" s="867"/>
      <c r="D46" s="867"/>
      <c r="E46" s="867"/>
      <c r="F46" s="867"/>
      <c r="G46" s="867"/>
      <c r="H46" s="867"/>
    </row>
    <row r="47" spans="1:11" ht="15.75" x14ac:dyDescent="0.25">
      <c r="A47" s="867" t="s">
        <v>373</v>
      </c>
      <c r="B47" s="867"/>
      <c r="C47" s="867"/>
      <c r="D47" s="867"/>
      <c r="E47" s="867"/>
      <c r="F47" s="867"/>
      <c r="G47" s="867"/>
      <c r="H47" s="867"/>
    </row>
    <row r="48" spans="1:11" ht="15.75" x14ac:dyDescent="0.25">
      <c r="A48" s="856" t="s">
        <v>558</v>
      </c>
      <c r="B48" s="856"/>
      <c r="C48" s="856"/>
      <c r="D48" s="856"/>
      <c r="E48" s="856"/>
      <c r="F48" s="856"/>
      <c r="G48" s="856"/>
      <c r="H48" s="856"/>
    </row>
    <row r="49" spans="1:11" ht="16.5" thickBot="1" x14ac:dyDescent="0.3">
      <c r="A49" s="878" t="str">
        <f>proyectos!B10</f>
        <v>RECOLEC. TRANSPORTE Y DISPOS.FINAL DESECHOS SOLIDOS 2020</v>
      </c>
      <c r="B49" s="878"/>
      <c r="C49" s="878"/>
      <c r="D49" s="878"/>
      <c r="E49" s="878"/>
      <c r="F49" s="878"/>
      <c r="G49" s="878"/>
      <c r="H49" s="878"/>
    </row>
    <row r="50" spans="1:11" ht="24" customHeight="1" thickBot="1" x14ac:dyDescent="0.25">
      <c r="A50" s="885" t="s">
        <v>0</v>
      </c>
      <c r="B50" s="886"/>
      <c r="C50" s="886"/>
      <c r="D50" s="886"/>
      <c r="E50" s="886"/>
      <c r="F50" s="886"/>
      <c r="G50" s="775" t="s">
        <v>180</v>
      </c>
      <c r="H50" s="777" t="s">
        <v>181</v>
      </c>
      <c r="K50" s="862">
        <v>3</v>
      </c>
    </row>
    <row r="51" spans="1:11" ht="114" customHeight="1" thickBot="1" x14ac:dyDescent="0.25">
      <c r="A51" s="369" t="s">
        <v>171</v>
      </c>
      <c r="B51" s="307" t="s">
        <v>172</v>
      </c>
      <c r="C51" s="307" t="s">
        <v>143</v>
      </c>
      <c r="D51" s="307" t="s">
        <v>174</v>
      </c>
      <c r="E51" s="370" t="s">
        <v>182</v>
      </c>
      <c r="F51" s="308" t="s">
        <v>118</v>
      </c>
      <c r="G51" s="776"/>
      <c r="H51" s="778"/>
      <c r="K51" s="862"/>
    </row>
    <row r="52" spans="1:11" ht="24.95" customHeight="1" x14ac:dyDescent="0.25">
      <c r="A52" s="413">
        <v>3</v>
      </c>
      <c r="B52" s="414" t="s">
        <v>53</v>
      </c>
      <c r="C52" s="414" t="s">
        <v>327</v>
      </c>
      <c r="D52" s="414" t="s">
        <v>51</v>
      </c>
      <c r="E52" s="414" t="s">
        <v>54</v>
      </c>
      <c r="F52" s="415" t="s">
        <v>552</v>
      </c>
      <c r="G52" s="416" t="s">
        <v>553</v>
      </c>
      <c r="H52" s="375">
        <f>proyectos!AL10</f>
        <v>108980</v>
      </c>
    </row>
    <row r="53" spans="1:11" ht="24.95" customHeight="1" x14ac:dyDescent="0.25">
      <c r="A53" s="417">
        <v>3</v>
      </c>
      <c r="B53" s="414" t="s">
        <v>53</v>
      </c>
      <c r="C53" s="414" t="s">
        <v>327</v>
      </c>
      <c r="D53" s="418" t="s">
        <v>51</v>
      </c>
      <c r="E53" s="414" t="s">
        <v>54</v>
      </c>
      <c r="F53" s="378">
        <v>54603</v>
      </c>
      <c r="G53" s="419" t="s">
        <v>554</v>
      </c>
      <c r="H53" s="380">
        <f>proyectos!AM10</f>
        <v>61020</v>
      </c>
    </row>
    <row r="54" spans="1:11" ht="24.95" customHeight="1" thickBot="1" x14ac:dyDescent="0.3">
      <c r="A54" s="420"/>
      <c r="B54" s="421"/>
      <c r="C54" s="421"/>
      <c r="D54" s="421"/>
      <c r="E54" s="421"/>
      <c r="F54" s="422"/>
      <c r="G54" s="423"/>
      <c r="H54" s="424"/>
      <c r="I54" s="139">
        <f>SUM(H52:H54)</f>
        <v>170000</v>
      </c>
    </row>
    <row r="55" spans="1:11" ht="24.95" customHeight="1" thickBot="1" x14ac:dyDescent="0.25">
      <c r="A55" s="875" t="s">
        <v>374</v>
      </c>
      <c r="B55" s="876"/>
      <c r="C55" s="876"/>
      <c r="D55" s="876"/>
      <c r="E55" s="876"/>
      <c r="F55" s="876"/>
      <c r="G55" s="877"/>
      <c r="H55" s="412">
        <f>SUM(H52:H53)</f>
        <v>170000</v>
      </c>
    </row>
    <row r="56" spans="1:11" x14ac:dyDescent="0.2">
      <c r="A56" s="402"/>
      <c r="B56" s="402"/>
      <c r="C56" s="402"/>
      <c r="D56" s="402"/>
      <c r="E56" s="402"/>
      <c r="F56" s="402"/>
      <c r="G56" s="48"/>
      <c r="H56" s="403"/>
    </row>
    <row r="57" spans="1:11" x14ac:dyDescent="0.2">
      <c r="A57" s="425"/>
      <c r="B57" s="425"/>
      <c r="C57" s="425"/>
      <c r="D57" s="425"/>
      <c r="E57" s="425"/>
      <c r="F57" s="425"/>
      <c r="G57" s="48"/>
      <c r="H57" s="71"/>
    </row>
    <row r="58" spans="1:11" ht="18" x14ac:dyDescent="0.2">
      <c r="A58" s="870" t="s">
        <v>412</v>
      </c>
      <c r="B58" s="870"/>
      <c r="C58" s="870"/>
      <c r="D58" s="870"/>
      <c r="E58" s="870"/>
      <c r="F58" s="870"/>
      <c r="G58" s="870"/>
      <c r="H58" s="870"/>
    </row>
    <row r="59" spans="1:11" ht="18" x14ac:dyDescent="0.2">
      <c r="A59" s="871" t="s">
        <v>411</v>
      </c>
      <c r="B59" s="871"/>
      <c r="C59" s="871"/>
      <c r="D59" s="871"/>
      <c r="E59" s="871"/>
      <c r="F59" s="871"/>
      <c r="G59" s="871"/>
      <c r="H59" s="871"/>
    </row>
    <row r="60" spans="1:11" ht="15.75" x14ac:dyDescent="0.2">
      <c r="A60" s="872" t="s">
        <v>227</v>
      </c>
      <c r="B60" s="872"/>
      <c r="C60" s="872"/>
      <c r="D60" s="872"/>
      <c r="E60" s="872"/>
      <c r="F60" s="872"/>
      <c r="G60" s="872"/>
      <c r="H60" s="872"/>
    </row>
    <row r="61" spans="1:11" ht="15.75" x14ac:dyDescent="0.2">
      <c r="A61" s="872" t="s">
        <v>605</v>
      </c>
      <c r="B61" s="872"/>
      <c r="C61" s="872"/>
      <c r="D61" s="872"/>
      <c r="E61" s="872"/>
      <c r="F61" s="872"/>
      <c r="G61" s="872"/>
      <c r="H61" s="872"/>
    </row>
    <row r="62" spans="1:11" ht="15.75" x14ac:dyDescent="0.25">
      <c r="A62" s="867" t="s">
        <v>13</v>
      </c>
      <c r="B62" s="867"/>
      <c r="C62" s="867"/>
      <c r="D62" s="867"/>
      <c r="E62" s="867"/>
      <c r="F62" s="867"/>
      <c r="G62" s="867"/>
      <c r="H62" s="867"/>
    </row>
    <row r="63" spans="1:11" ht="15.75" x14ac:dyDescent="0.25">
      <c r="A63" s="857" t="s">
        <v>378</v>
      </c>
      <c r="B63" s="857"/>
      <c r="C63" s="857"/>
      <c r="D63" s="857"/>
      <c r="E63" s="857"/>
      <c r="F63" s="857"/>
      <c r="G63" s="857"/>
      <c r="H63" s="857"/>
    </row>
    <row r="64" spans="1:11" ht="15.75" x14ac:dyDescent="0.25">
      <c r="A64" s="857" t="str">
        <f>proyectos!B11</f>
        <v>CELEBRACION DE FIESTAS PATRONALES 2020</v>
      </c>
      <c r="B64" s="857"/>
      <c r="C64" s="857"/>
      <c r="D64" s="857"/>
      <c r="E64" s="857"/>
      <c r="F64" s="857"/>
      <c r="G64" s="857"/>
      <c r="H64" s="857"/>
    </row>
    <row r="65" spans="1:11" ht="15.75" x14ac:dyDescent="0.25">
      <c r="A65" s="857" t="s">
        <v>373</v>
      </c>
      <c r="B65" s="857"/>
      <c r="C65" s="857"/>
      <c r="D65" s="857"/>
      <c r="E65" s="857"/>
      <c r="F65" s="857"/>
      <c r="G65" s="857"/>
      <c r="H65" s="857"/>
    </row>
    <row r="66" spans="1:11" ht="15.75" x14ac:dyDescent="0.25">
      <c r="A66" s="857" t="s">
        <v>558</v>
      </c>
      <c r="B66" s="857"/>
      <c r="C66" s="857"/>
      <c r="D66" s="857"/>
      <c r="E66" s="857"/>
      <c r="F66" s="857"/>
      <c r="G66" s="857"/>
      <c r="H66" s="857"/>
    </row>
    <row r="67" spans="1:11" ht="16.5" thickBot="1" x14ac:dyDescent="0.3">
      <c r="A67" s="878" t="str">
        <f>A64</f>
        <v>CELEBRACION DE FIESTAS PATRONALES 2020</v>
      </c>
      <c r="B67" s="878"/>
      <c r="C67" s="878"/>
      <c r="D67" s="878"/>
      <c r="E67" s="878"/>
      <c r="F67" s="878"/>
      <c r="G67" s="878"/>
      <c r="H67" s="368"/>
    </row>
    <row r="68" spans="1:11" ht="26.25" customHeight="1" thickBot="1" x14ac:dyDescent="0.25">
      <c r="A68" s="873" t="s">
        <v>0</v>
      </c>
      <c r="B68" s="874"/>
      <c r="C68" s="874"/>
      <c r="D68" s="874"/>
      <c r="E68" s="874"/>
      <c r="F68" s="874"/>
      <c r="G68" s="775" t="s">
        <v>180</v>
      </c>
      <c r="H68" s="777" t="s">
        <v>181</v>
      </c>
      <c r="K68" s="861">
        <v>4</v>
      </c>
    </row>
    <row r="69" spans="1:11" ht="112.5" customHeight="1" thickBot="1" x14ac:dyDescent="0.25">
      <c r="A69" s="369" t="s">
        <v>171</v>
      </c>
      <c r="B69" s="307" t="s">
        <v>172</v>
      </c>
      <c r="C69" s="307" t="s">
        <v>143</v>
      </c>
      <c r="D69" s="307" t="s">
        <v>174</v>
      </c>
      <c r="E69" s="370" t="s">
        <v>182</v>
      </c>
      <c r="F69" s="308" t="s">
        <v>118</v>
      </c>
      <c r="G69" s="776"/>
      <c r="H69" s="778"/>
      <c r="K69" s="861"/>
    </row>
    <row r="70" spans="1:11" ht="37.5" customHeight="1" thickBot="1" x14ac:dyDescent="0.25">
      <c r="A70" s="413">
        <v>3</v>
      </c>
      <c r="B70" s="414" t="s">
        <v>53</v>
      </c>
      <c r="C70" s="414" t="s">
        <v>327</v>
      </c>
      <c r="D70" s="414" t="s">
        <v>51</v>
      </c>
      <c r="E70" s="414" t="s">
        <v>54</v>
      </c>
      <c r="F70" s="415" t="s">
        <v>555</v>
      </c>
      <c r="G70" s="416" t="s">
        <v>84</v>
      </c>
      <c r="H70" s="426">
        <f>proyectos!D11</f>
        <v>45000</v>
      </c>
    </row>
    <row r="71" spans="1:11" ht="21.75" customHeight="1" thickBot="1" x14ac:dyDescent="0.25">
      <c r="A71" s="875" t="s">
        <v>374</v>
      </c>
      <c r="B71" s="876"/>
      <c r="C71" s="876"/>
      <c r="D71" s="876"/>
      <c r="E71" s="876"/>
      <c r="F71" s="876"/>
      <c r="G71" s="877"/>
      <c r="H71" s="412">
        <f>SUM(H70:H70)</f>
        <v>45000</v>
      </c>
    </row>
    <row r="72" spans="1:11" x14ac:dyDescent="0.2">
      <c r="A72" s="402"/>
      <c r="B72" s="402"/>
      <c r="C72" s="402"/>
      <c r="D72" s="402"/>
      <c r="E72" s="402"/>
      <c r="F72" s="402"/>
      <c r="G72" s="48"/>
      <c r="H72" s="403"/>
    </row>
    <row r="73" spans="1:11" x14ac:dyDescent="0.2">
      <c r="A73" s="869"/>
      <c r="B73" s="869"/>
      <c r="C73" s="869"/>
      <c r="D73" s="869"/>
      <c r="E73" s="869"/>
      <c r="F73" s="869"/>
      <c r="G73" s="869"/>
      <c r="H73" s="71"/>
    </row>
    <row r="74" spans="1:11" x14ac:dyDescent="0.2">
      <c r="A74" s="425"/>
      <c r="B74" s="425"/>
      <c r="C74" s="425"/>
      <c r="D74" s="425"/>
      <c r="E74" s="425"/>
      <c r="F74" s="425"/>
      <c r="G74" s="48"/>
      <c r="H74" s="71"/>
    </row>
    <row r="75" spans="1:11" ht="18" x14ac:dyDescent="0.2">
      <c r="A75" s="870" t="s">
        <v>412</v>
      </c>
      <c r="B75" s="870"/>
      <c r="C75" s="870"/>
      <c r="D75" s="870"/>
      <c r="E75" s="870"/>
      <c r="F75" s="870"/>
      <c r="G75" s="870"/>
      <c r="H75" s="870"/>
    </row>
    <row r="76" spans="1:11" ht="18" x14ac:dyDescent="0.2">
      <c r="A76" s="871" t="s">
        <v>411</v>
      </c>
      <c r="B76" s="871"/>
      <c r="C76" s="871"/>
      <c r="D76" s="871"/>
      <c r="E76" s="871"/>
      <c r="F76" s="871"/>
      <c r="G76" s="871"/>
      <c r="H76" s="871"/>
    </row>
    <row r="77" spans="1:11" ht="15.75" x14ac:dyDescent="0.2">
      <c r="A77" s="872" t="s">
        <v>227</v>
      </c>
      <c r="B77" s="872"/>
      <c r="C77" s="872"/>
      <c r="D77" s="872"/>
      <c r="E77" s="872"/>
      <c r="F77" s="872"/>
      <c r="G77" s="872"/>
      <c r="H77" s="872"/>
    </row>
    <row r="78" spans="1:11" ht="15.75" x14ac:dyDescent="0.2">
      <c r="A78" s="872" t="s">
        <v>605</v>
      </c>
      <c r="B78" s="872"/>
      <c r="C78" s="872"/>
      <c r="D78" s="872"/>
      <c r="E78" s="872"/>
      <c r="F78" s="872"/>
      <c r="G78" s="872"/>
      <c r="H78" s="872"/>
    </row>
    <row r="79" spans="1:11" ht="15.75" x14ac:dyDescent="0.25">
      <c r="A79" s="867" t="s">
        <v>13</v>
      </c>
      <c r="B79" s="867"/>
      <c r="C79" s="867"/>
      <c r="D79" s="867"/>
      <c r="E79" s="867"/>
      <c r="F79" s="867"/>
      <c r="G79" s="867"/>
      <c r="H79" s="867"/>
    </row>
    <row r="80" spans="1:11" ht="15.75" x14ac:dyDescent="0.25">
      <c r="A80" s="867" t="s">
        <v>378</v>
      </c>
      <c r="B80" s="867"/>
      <c r="C80" s="867"/>
      <c r="D80" s="867"/>
      <c r="E80" s="867"/>
      <c r="F80" s="867"/>
      <c r="G80" s="867"/>
      <c r="H80" s="867"/>
    </row>
    <row r="81" spans="1:11" ht="15.75" x14ac:dyDescent="0.25">
      <c r="A81" s="867" t="str">
        <f>proyectos!B12</f>
        <v>PROGRAMA DE APOYO A LA CULTURA Y EL ARTE DEL MUNICIPIO DE ZARAGOZA</v>
      </c>
      <c r="B81" s="867"/>
      <c r="C81" s="867"/>
      <c r="D81" s="867"/>
      <c r="E81" s="867"/>
      <c r="F81" s="867"/>
      <c r="G81" s="867"/>
      <c r="H81" s="867"/>
    </row>
    <row r="82" spans="1:11" ht="15.75" x14ac:dyDescent="0.25">
      <c r="A82" s="867" t="s">
        <v>373</v>
      </c>
      <c r="B82" s="867"/>
      <c r="C82" s="867"/>
      <c r="D82" s="867"/>
      <c r="E82" s="867"/>
      <c r="F82" s="867"/>
      <c r="G82" s="867"/>
      <c r="H82" s="867"/>
    </row>
    <row r="83" spans="1:11" ht="15.75" x14ac:dyDescent="0.25">
      <c r="A83" s="867" t="s">
        <v>558</v>
      </c>
      <c r="B83" s="867"/>
      <c r="C83" s="867"/>
      <c r="D83" s="867"/>
      <c r="E83" s="867"/>
      <c r="F83" s="867"/>
      <c r="G83" s="867"/>
      <c r="H83" s="867"/>
    </row>
    <row r="84" spans="1:11" ht="16.5" thickBot="1" x14ac:dyDescent="0.3">
      <c r="A84" s="878" t="str">
        <f>A81</f>
        <v>PROGRAMA DE APOYO A LA CULTURA Y EL ARTE DEL MUNICIPIO DE ZARAGOZA</v>
      </c>
      <c r="B84" s="878"/>
      <c r="C84" s="878"/>
      <c r="D84" s="878"/>
      <c r="E84" s="878"/>
      <c r="F84" s="878"/>
      <c r="G84" s="878"/>
      <c r="H84" s="878"/>
    </row>
    <row r="85" spans="1:11" ht="30" customHeight="1" thickBot="1" x14ac:dyDescent="0.25">
      <c r="A85" s="873" t="s">
        <v>0</v>
      </c>
      <c r="B85" s="874"/>
      <c r="C85" s="874"/>
      <c r="D85" s="874"/>
      <c r="E85" s="874"/>
      <c r="F85" s="874"/>
      <c r="G85" s="775" t="s">
        <v>180</v>
      </c>
      <c r="H85" s="777" t="s">
        <v>181</v>
      </c>
      <c r="K85" s="862">
        <v>5</v>
      </c>
    </row>
    <row r="86" spans="1:11" ht="128.25" customHeight="1" thickBot="1" x14ac:dyDescent="0.25">
      <c r="A86" s="369" t="s">
        <v>171</v>
      </c>
      <c r="B86" s="307" t="s">
        <v>172</v>
      </c>
      <c r="C86" s="307" t="s">
        <v>143</v>
      </c>
      <c r="D86" s="307" t="s">
        <v>174</v>
      </c>
      <c r="E86" s="370" t="s">
        <v>182</v>
      </c>
      <c r="F86" s="308" t="s">
        <v>118</v>
      </c>
      <c r="G86" s="776"/>
      <c r="H86" s="778"/>
      <c r="K86" s="862"/>
    </row>
    <row r="87" spans="1:11" ht="15.75" x14ac:dyDescent="0.25">
      <c r="A87" s="371">
        <v>3</v>
      </c>
      <c r="B87" s="372" t="s">
        <v>53</v>
      </c>
      <c r="C87" s="372" t="s">
        <v>327</v>
      </c>
      <c r="D87" s="372" t="s">
        <v>51</v>
      </c>
      <c r="E87" s="372" t="s">
        <v>54</v>
      </c>
      <c r="F87" s="373" t="s">
        <v>277</v>
      </c>
      <c r="G87" s="374" t="s">
        <v>278</v>
      </c>
      <c r="H87" s="375">
        <f>proyectos!N12</f>
        <v>2400</v>
      </c>
    </row>
    <row r="88" spans="1:11" ht="15.75" x14ac:dyDescent="0.25">
      <c r="A88" s="376">
        <v>3</v>
      </c>
      <c r="B88" s="372" t="s">
        <v>53</v>
      </c>
      <c r="C88" s="372" t="s">
        <v>327</v>
      </c>
      <c r="D88" s="377" t="s">
        <v>51</v>
      </c>
      <c r="E88" s="372" t="s">
        <v>54</v>
      </c>
      <c r="F88" s="378">
        <v>54119</v>
      </c>
      <c r="G88" s="379" t="str">
        <f>proyectos!AB1</f>
        <v>Materiales Electricos</v>
      </c>
      <c r="H88" s="380">
        <f>proyectos!AB12</f>
        <v>600</v>
      </c>
    </row>
    <row r="89" spans="1:11" ht="15.75" x14ac:dyDescent="0.25">
      <c r="A89" s="376">
        <v>3</v>
      </c>
      <c r="B89" s="372" t="s">
        <v>53</v>
      </c>
      <c r="C89" s="372" t="s">
        <v>327</v>
      </c>
      <c r="D89" s="377" t="s">
        <v>51</v>
      </c>
      <c r="E89" s="372" t="s">
        <v>54</v>
      </c>
      <c r="F89" s="378">
        <v>54199</v>
      </c>
      <c r="G89" s="379" t="str">
        <f>proyectos!AC1</f>
        <v>Bienes de Uso y Consumo Diverso</v>
      </c>
      <c r="H89" s="380">
        <f>proyectos!AC12</f>
        <v>600</v>
      </c>
    </row>
    <row r="90" spans="1:11" ht="15.75" x14ac:dyDescent="0.25">
      <c r="A90" s="376">
        <v>3</v>
      </c>
      <c r="B90" s="372" t="s">
        <v>53</v>
      </c>
      <c r="C90" s="372" t="s">
        <v>327</v>
      </c>
      <c r="D90" s="377" t="s">
        <v>51</v>
      </c>
      <c r="E90" s="372" t="s">
        <v>54</v>
      </c>
      <c r="F90" s="378">
        <v>54301</v>
      </c>
      <c r="G90" s="379" t="str">
        <f>proyectos!AD1</f>
        <v>Mantenimiento  y Repar. de Bienes  Muebles</v>
      </c>
      <c r="H90" s="380">
        <f>proyectos!AD12</f>
        <v>400</v>
      </c>
    </row>
    <row r="91" spans="1:11" ht="15.75" x14ac:dyDescent="0.25">
      <c r="A91" s="376">
        <v>3</v>
      </c>
      <c r="B91" s="372" t="s">
        <v>53</v>
      </c>
      <c r="C91" s="372" t="s">
        <v>327</v>
      </c>
      <c r="D91" s="377" t="s">
        <v>51</v>
      </c>
      <c r="E91" s="372" t="s">
        <v>54</v>
      </c>
      <c r="F91" s="378">
        <v>54304</v>
      </c>
      <c r="G91" s="379" t="str">
        <f>proyectos!AF1</f>
        <v>Transportes Fletes y almacenamientos</v>
      </c>
      <c r="H91" s="380">
        <f>proyectos!AF12</f>
        <v>500</v>
      </c>
    </row>
    <row r="92" spans="1:11" ht="15.75" x14ac:dyDescent="0.25">
      <c r="A92" s="376">
        <v>3</v>
      </c>
      <c r="B92" s="372" t="s">
        <v>53</v>
      </c>
      <c r="C92" s="372" t="s">
        <v>327</v>
      </c>
      <c r="D92" s="377" t="s">
        <v>51</v>
      </c>
      <c r="E92" s="372" t="s">
        <v>54</v>
      </c>
      <c r="F92" s="378">
        <v>54314</v>
      </c>
      <c r="G92" s="379" t="str">
        <f>proyectos!AG1</f>
        <v>Atenciones Oficiales</v>
      </c>
      <c r="H92" s="380">
        <f>proyectos!AG12</f>
        <v>2100</v>
      </c>
    </row>
    <row r="93" spans="1:11" ht="15.75" x14ac:dyDescent="0.25">
      <c r="A93" s="376">
        <v>3</v>
      </c>
      <c r="B93" s="372" t="s">
        <v>53</v>
      </c>
      <c r="C93" s="372" t="s">
        <v>327</v>
      </c>
      <c r="D93" s="377" t="s">
        <v>51</v>
      </c>
      <c r="E93" s="372" t="s">
        <v>54</v>
      </c>
      <c r="F93" s="381">
        <v>54399</v>
      </c>
      <c r="G93" s="382" t="str">
        <f>proyectos!AH1</f>
        <v>Servicios Generales y Arrendamientos Diversos</v>
      </c>
      <c r="H93" s="383">
        <f>proyectos!AH12</f>
        <v>400</v>
      </c>
    </row>
    <row r="94" spans="1:11" ht="21" thickBot="1" x14ac:dyDescent="0.25">
      <c r="A94" s="882" t="s">
        <v>374</v>
      </c>
      <c r="B94" s="883"/>
      <c r="C94" s="883"/>
      <c r="D94" s="883"/>
      <c r="E94" s="883"/>
      <c r="F94" s="883"/>
      <c r="G94" s="884"/>
      <c r="H94" s="384">
        <f>SUM(H87:H93)</f>
        <v>7000</v>
      </c>
    </row>
    <row r="95" spans="1:11" ht="20.25" x14ac:dyDescent="0.2">
      <c r="A95" s="427"/>
      <c r="B95" s="427"/>
      <c r="C95" s="427"/>
      <c r="D95" s="427"/>
      <c r="E95" s="427"/>
      <c r="F95" s="427"/>
      <c r="G95" s="427"/>
      <c r="H95" s="428"/>
    </row>
    <row r="96" spans="1:11" ht="18" x14ac:dyDescent="0.2">
      <c r="A96" s="870" t="s">
        <v>412</v>
      </c>
      <c r="B96" s="870"/>
      <c r="C96" s="870"/>
      <c r="D96" s="870"/>
      <c r="E96" s="870"/>
      <c r="F96" s="870"/>
      <c r="G96" s="870"/>
      <c r="H96" s="870"/>
    </row>
    <row r="97" spans="1:8" ht="18" x14ac:dyDescent="0.2">
      <c r="A97" s="871" t="s">
        <v>411</v>
      </c>
      <c r="B97" s="871"/>
      <c r="C97" s="871"/>
      <c r="D97" s="871"/>
      <c r="E97" s="871"/>
      <c r="F97" s="871"/>
      <c r="G97" s="871"/>
      <c r="H97" s="871"/>
    </row>
    <row r="98" spans="1:8" ht="15.75" x14ac:dyDescent="0.2">
      <c r="A98" s="872" t="s">
        <v>227</v>
      </c>
      <c r="B98" s="872"/>
      <c r="C98" s="872"/>
      <c r="D98" s="872"/>
      <c r="E98" s="872"/>
      <c r="F98" s="872"/>
      <c r="G98" s="872"/>
      <c r="H98" s="872"/>
    </row>
    <row r="99" spans="1:8" ht="15.75" x14ac:dyDescent="0.2">
      <c r="A99" s="872" t="s">
        <v>605</v>
      </c>
      <c r="B99" s="872"/>
      <c r="C99" s="872"/>
      <c r="D99" s="872"/>
      <c r="E99" s="872"/>
      <c r="F99" s="872"/>
      <c r="G99" s="872"/>
      <c r="H99" s="872"/>
    </row>
    <row r="100" spans="1:8" ht="15.75" x14ac:dyDescent="0.25">
      <c r="A100" s="867" t="s">
        <v>13</v>
      </c>
      <c r="B100" s="867"/>
      <c r="C100" s="867"/>
      <c r="D100" s="867"/>
      <c r="E100" s="867"/>
      <c r="F100" s="867"/>
      <c r="G100" s="867"/>
      <c r="H100" s="867"/>
    </row>
    <row r="101" spans="1:8" ht="15.75" x14ac:dyDescent="0.25">
      <c r="A101" s="867" t="s">
        <v>378</v>
      </c>
      <c r="B101" s="867"/>
      <c r="C101" s="867"/>
      <c r="D101" s="867"/>
      <c r="E101" s="867"/>
      <c r="F101" s="867"/>
      <c r="G101" s="867"/>
      <c r="H101" s="867"/>
    </row>
    <row r="102" spans="1:8" ht="15.75" x14ac:dyDescent="0.25">
      <c r="A102" s="867" t="str">
        <f>proyectos!B13</f>
        <v>PROGRAMA DE APOYO AL TURISMO</v>
      </c>
      <c r="B102" s="867"/>
      <c r="C102" s="867"/>
      <c r="D102" s="867"/>
      <c r="E102" s="867"/>
      <c r="F102" s="867"/>
      <c r="G102" s="867"/>
      <c r="H102" s="867"/>
    </row>
    <row r="103" spans="1:8" ht="15.75" x14ac:dyDescent="0.25">
      <c r="A103" s="867" t="s">
        <v>373</v>
      </c>
      <c r="B103" s="867"/>
      <c r="C103" s="867"/>
      <c r="D103" s="867"/>
      <c r="E103" s="867"/>
      <c r="F103" s="867"/>
      <c r="G103" s="867"/>
      <c r="H103" s="867"/>
    </row>
    <row r="104" spans="1:8" ht="15.75" x14ac:dyDescent="0.25">
      <c r="A104" s="867" t="s">
        <v>558</v>
      </c>
      <c r="B104" s="867"/>
      <c r="C104" s="867"/>
      <c r="D104" s="867"/>
      <c r="E104" s="867"/>
      <c r="F104" s="867"/>
      <c r="G104" s="867"/>
      <c r="H104" s="867"/>
    </row>
    <row r="105" spans="1:8" ht="16.5" thickBot="1" x14ac:dyDescent="0.3">
      <c r="A105" s="878" t="str">
        <f>A102</f>
        <v>PROGRAMA DE APOYO AL TURISMO</v>
      </c>
      <c r="B105" s="878"/>
      <c r="C105" s="878"/>
      <c r="D105" s="878"/>
      <c r="E105" s="878"/>
      <c r="F105" s="878"/>
      <c r="G105" s="878"/>
      <c r="H105" s="878"/>
    </row>
    <row r="106" spans="1:8" ht="13.5" customHeight="1" thickBot="1" x14ac:dyDescent="0.25">
      <c r="A106" s="873" t="s">
        <v>0</v>
      </c>
      <c r="B106" s="874"/>
      <c r="C106" s="874"/>
      <c r="D106" s="874"/>
      <c r="E106" s="874"/>
      <c r="F106" s="874"/>
      <c r="G106" s="775" t="s">
        <v>180</v>
      </c>
      <c r="H106" s="777" t="s">
        <v>181</v>
      </c>
    </row>
    <row r="107" spans="1:8" ht="163.5" thickBot="1" x14ac:dyDescent="0.25">
      <c r="A107" s="369" t="s">
        <v>171</v>
      </c>
      <c r="B107" s="307" t="s">
        <v>172</v>
      </c>
      <c r="C107" s="307" t="s">
        <v>143</v>
      </c>
      <c r="D107" s="307" t="s">
        <v>174</v>
      </c>
      <c r="E107" s="370" t="s">
        <v>182</v>
      </c>
      <c r="F107" s="308" t="s">
        <v>118</v>
      </c>
      <c r="G107" s="776"/>
      <c r="H107" s="778"/>
    </row>
    <row r="108" spans="1:8" ht="15.75" x14ac:dyDescent="0.25">
      <c r="A108" s="376">
        <v>3</v>
      </c>
      <c r="B108" s="372" t="s">
        <v>53</v>
      </c>
      <c r="C108" s="372" t="s">
        <v>327</v>
      </c>
      <c r="D108" s="377" t="s">
        <v>51</v>
      </c>
      <c r="E108" s="372" t="s">
        <v>54</v>
      </c>
      <c r="F108" s="378"/>
      <c r="G108" s="379" t="str">
        <f>proyectos!AC1</f>
        <v>Bienes de Uso y Consumo Diverso</v>
      </c>
      <c r="H108" s="380">
        <f>proyectos!AC13</f>
        <v>500</v>
      </c>
    </row>
    <row r="109" spans="1:8" ht="13.5" customHeight="1" x14ac:dyDescent="0.25">
      <c r="A109" s="376">
        <v>3</v>
      </c>
      <c r="B109" s="372" t="s">
        <v>53</v>
      </c>
      <c r="C109" s="372" t="s">
        <v>327</v>
      </c>
      <c r="D109" s="377" t="s">
        <v>51</v>
      </c>
      <c r="E109" s="372" t="s">
        <v>54</v>
      </c>
      <c r="F109" s="378"/>
      <c r="G109" s="379" t="str">
        <f>proyectos!AG1</f>
        <v>Atenciones Oficiales</v>
      </c>
      <c r="H109" s="380">
        <f>proyectos!AG13</f>
        <v>1000</v>
      </c>
    </row>
    <row r="110" spans="1:8" ht="16.5" thickBot="1" x14ac:dyDescent="0.3">
      <c r="A110" s="376">
        <v>3</v>
      </c>
      <c r="B110" s="372" t="s">
        <v>53</v>
      </c>
      <c r="C110" s="372" t="s">
        <v>327</v>
      </c>
      <c r="D110" s="377" t="s">
        <v>51</v>
      </c>
      <c r="E110" s="372" t="s">
        <v>54</v>
      </c>
      <c r="F110" s="378"/>
      <c r="G110" s="379" t="str">
        <f>proyectos!AH1</f>
        <v>Servicios Generales y Arrendamientos Diversos</v>
      </c>
      <c r="H110" s="380">
        <f>proyectos!AH13</f>
        <v>500</v>
      </c>
    </row>
    <row r="111" spans="1:8" ht="21" thickBot="1" x14ac:dyDescent="0.25">
      <c r="A111" s="875" t="s">
        <v>374</v>
      </c>
      <c r="B111" s="876"/>
      <c r="C111" s="876"/>
      <c r="D111" s="876"/>
      <c r="E111" s="876"/>
      <c r="F111" s="876"/>
      <c r="G111" s="877"/>
      <c r="H111" s="429">
        <f>SUM(H108:H110)</f>
        <v>2000</v>
      </c>
    </row>
    <row r="112" spans="1:8" x14ac:dyDescent="0.2">
      <c r="A112" s="425"/>
      <c r="B112" s="425"/>
      <c r="C112" s="425"/>
      <c r="D112" s="425"/>
      <c r="E112" s="425"/>
      <c r="F112" s="425"/>
      <c r="G112" s="48"/>
      <c r="H112" s="71"/>
    </row>
    <row r="113" spans="1:11" x14ac:dyDescent="0.2">
      <c r="A113" s="425"/>
      <c r="B113" s="425"/>
      <c r="C113" s="425"/>
      <c r="D113" s="425"/>
      <c r="E113" s="425"/>
      <c r="F113" s="425"/>
      <c r="G113" s="48"/>
      <c r="H113" s="71"/>
    </row>
    <row r="114" spans="1:11" ht="18" x14ac:dyDescent="0.2">
      <c r="A114" s="870" t="s">
        <v>412</v>
      </c>
      <c r="B114" s="870"/>
      <c r="C114" s="870"/>
      <c r="D114" s="870"/>
      <c r="E114" s="870"/>
      <c r="F114" s="870"/>
      <c r="G114" s="870"/>
      <c r="H114" s="870"/>
    </row>
    <row r="115" spans="1:11" ht="18" x14ac:dyDescent="0.2">
      <c r="A115" s="871" t="s">
        <v>411</v>
      </c>
      <c r="B115" s="871"/>
      <c r="C115" s="871"/>
      <c r="D115" s="871"/>
      <c r="E115" s="871"/>
      <c r="F115" s="871"/>
      <c r="G115" s="871"/>
      <c r="H115" s="871"/>
    </row>
    <row r="116" spans="1:11" ht="15.75" x14ac:dyDescent="0.2">
      <c r="A116" s="872" t="s">
        <v>227</v>
      </c>
      <c r="B116" s="872"/>
      <c r="C116" s="872"/>
      <c r="D116" s="872"/>
      <c r="E116" s="872"/>
      <c r="F116" s="872"/>
      <c r="G116" s="872"/>
      <c r="H116" s="872"/>
    </row>
    <row r="117" spans="1:11" ht="15.75" x14ac:dyDescent="0.2">
      <c r="A117" s="872" t="s">
        <v>605</v>
      </c>
      <c r="B117" s="872"/>
      <c r="C117" s="872"/>
      <c r="D117" s="872"/>
      <c r="E117" s="872"/>
      <c r="F117" s="872"/>
      <c r="G117" s="872"/>
      <c r="H117" s="872"/>
    </row>
    <row r="118" spans="1:11" ht="15.75" x14ac:dyDescent="0.25">
      <c r="A118" s="867" t="s">
        <v>13</v>
      </c>
      <c r="B118" s="867"/>
      <c r="C118" s="867"/>
      <c r="D118" s="867"/>
      <c r="E118" s="867"/>
      <c r="F118" s="867"/>
      <c r="G118" s="867"/>
      <c r="H118" s="867"/>
    </row>
    <row r="119" spans="1:11" ht="15.75" x14ac:dyDescent="0.25">
      <c r="A119" s="865" t="s">
        <v>378</v>
      </c>
      <c r="B119" s="865"/>
      <c r="C119" s="865"/>
      <c r="D119" s="865"/>
      <c r="E119" s="865"/>
      <c r="F119" s="865"/>
      <c r="G119" s="865"/>
      <c r="H119" s="865"/>
    </row>
    <row r="120" spans="1:11" ht="15.75" x14ac:dyDescent="0.25">
      <c r="A120" s="865" t="str">
        <f>proyectos!B14</f>
        <v>PROGRAMA DE FORTALECIMIENTO A LOS DERECHOS DE LA MUJER</v>
      </c>
      <c r="B120" s="865"/>
      <c r="C120" s="865"/>
      <c r="D120" s="865"/>
      <c r="E120" s="865"/>
      <c r="F120" s="865"/>
      <c r="G120" s="865"/>
      <c r="H120" s="865"/>
    </row>
    <row r="121" spans="1:11" ht="15.75" x14ac:dyDescent="0.25">
      <c r="A121" s="865" t="s">
        <v>373</v>
      </c>
      <c r="B121" s="865"/>
      <c r="C121" s="865"/>
      <c r="D121" s="865"/>
      <c r="E121" s="865"/>
      <c r="F121" s="865"/>
      <c r="G121" s="865"/>
      <c r="H121" s="865"/>
    </row>
    <row r="122" spans="1:11" ht="15.75" x14ac:dyDescent="0.25">
      <c r="A122" s="865" t="s">
        <v>558</v>
      </c>
      <c r="B122" s="865"/>
      <c r="C122" s="865"/>
      <c r="D122" s="865"/>
      <c r="E122" s="865"/>
      <c r="F122" s="865"/>
      <c r="G122" s="865"/>
      <c r="H122" s="865"/>
    </row>
    <row r="123" spans="1:11" ht="16.5" thickBot="1" x14ac:dyDescent="0.3">
      <c r="A123" s="878" t="str">
        <f>A120</f>
        <v>PROGRAMA DE FORTALECIMIENTO A LOS DERECHOS DE LA MUJER</v>
      </c>
      <c r="B123" s="878"/>
      <c r="C123" s="878"/>
      <c r="D123" s="878"/>
      <c r="E123" s="878"/>
      <c r="F123" s="878"/>
      <c r="G123" s="878"/>
      <c r="H123" s="878"/>
    </row>
    <row r="124" spans="1:11" ht="27.75" customHeight="1" thickBot="1" x14ac:dyDescent="0.25">
      <c r="A124" s="873" t="s">
        <v>0</v>
      </c>
      <c r="B124" s="874"/>
      <c r="C124" s="874"/>
      <c r="D124" s="874"/>
      <c r="E124" s="874"/>
      <c r="F124" s="874"/>
      <c r="G124" s="775" t="s">
        <v>180</v>
      </c>
      <c r="H124" s="777" t="s">
        <v>181</v>
      </c>
      <c r="K124" s="861">
        <v>6</v>
      </c>
    </row>
    <row r="125" spans="1:11" ht="126.75" customHeight="1" thickBot="1" x14ac:dyDescent="0.25">
      <c r="A125" s="369" t="s">
        <v>171</v>
      </c>
      <c r="B125" s="307" t="s">
        <v>172</v>
      </c>
      <c r="C125" s="307" t="s">
        <v>143</v>
      </c>
      <c r="D125" s="307" t="s">
        <v>174</v>
      </c>
      <c r="E125" s="370" t="s">
        <v>182</v>
      </c>
      <c r="F125" s="308" t="s">
        <v>118</v>
      </c>
      <c r="G125" s="776"/>
      <c r="H125" s="778"/>
      <c r="K125" s="861"/>
    </row>
    <row r="126" spans="1:11" ht="15.75" x14ac:dyDescent="0.25">
      <c r="A126" s="376">
        <v>3</v>
      </c>
      <c r="B126" s="372" t="s">
        <v>53</v>
      </c>
      <c r="C126" s="372" t="s">
        <v>327</v>
      </c>
      <c r="D126" s="377" t="s">
        <v>51</v>
      </c>
      <c r="E126" s="372" t="s">
        <v>54</v>
      </c>
      <c r="F126" s="378">
        <v>51901</v>
      </c>
      <c r="G126" s="379" t="s">
        <v>278</v>
      </c>
      <c r="H126" s="380">
        <f>proyectos!N14</f>
        <v>3600</v>
      </c>
    </row>
    <row r="127" spans="1:11" ht="15.75" x14ac:dyDescent="0.25">
      <c r="A127" s="376">
        <v>3</v>
      </c>
      <c r="B127" s="372" t="s">
        <v>53</v>
      </c>
      <c r="C127" s="372" t="s">
        <v>327</v>
      </c>
      <c r="D127" s="377" t="s">
        <v>51</v>
      </c>
      <c r="E127" s="372" t="s">
        <v>54</v>
      </c>
      <c r="F127" s="378">
        <v>54114</v>
      </c>
      <c r="G127" s="379" t="s">
        <v>556</v>
      </c>
      <c r="H127" s="380">
        <f>proyectos!U14</f>
        <v>200</v>
      </c>
    </row>
    <row r="128" spans="1:11" ht="15.75" x14ac:dyDescent="0.25">
      <c r="A128" s="376">
        <v>3</v>
      </c>
      <c r="B128" s="372" t="s">
        <v>53</v>
      </c>
      <c r="C128" s="372" t="s">
        <v>327</v>
      </c>
      <c r="D128" s="377" t="s">
        <v>51</v>
      </c>
      <c r="E128" s="372" t="s">
        <v>54</v>
      </c>
      <c r="F128" s="378">
        <v>54199</v>
      </c>
      <c r="G128" s="379" t="s">
        <v>216</v>
      </c>
      <c r="H128" s="380">
        <f>proyectos!AC14</f>
        <v>2000</v>
      </c>
    </row>
    <row r="129" spans="1:8" ht="15.75" x14ac:dyDescent="0.25">
      <c r="A129" s="376">
        <v>3</v>
      </c>
      <c r="B129" s="372" t="s">
        <v>53</v>
      </c>
      <c r="C129" s="372" t="s">
        <v>327</v>
      </c>
      <c r="D129" s="377" t="s">
        <v>51</v>
      </c>
      <c r="E129" s="372" t="s">
        <v>54</v>
      </c>
      <c r="F129" s="378">
        <v>54304</v>
      </c>
      <c r="G129" s="379" t="s">
        <v>391</v>
      </c>
      <c r="H129" s="380">
        <f>proyectos!AF14</f>
        <v>1500</v>
      </c>
    </row>
    <row r="130" spans="1:8" ht="15.75" x14ac:dyDescent="0.25">
      <c r="A130" s="376">
        <v>3</v>
      </c>
      <c r="B130" s="372" t="s">
        <v>53</v>
      </c>
      <c r="C130" s="372" t="s">
        <v>327</v>
      </c>
      <c r="D130" s="377" t="s">
        <v>51</v>
      </c>
      <c r="E130" s="372" t="s">
        <v>54</v>
      </c>
      <c r="F130" s="378">
        <v>54314</v>
      </c>
      <c r="G130" s="379" t="s">
        <v>84</v>
      </c>
      <c r="H130" s="380">
        <f>proyectos!AG14</f>
        <v>3700</v>
      </c>
    </row>
    <row r="131" spans="1:8" ht="16.5" thickBot="1" x14ac:dyDescent="0.3">
      <c r="A131" s="376">
        <v>3</v>
      </c>
      <c r="B131" s="372" t="s">
        <v>53</v>
      </c>
      <c r="C131" s="372" t="s">
        <v>327</v>
      </c>
      <c r="D131" s="377" t="s">
        <v>51</v>
      </c>
      <c r="E131" s="372" t="s">
        <v>54</v>
      </c>
      <c r="F131" s="378">
        <v>54399</v>
      </c>
      <c r="G131" s="379" t="s">
        <v>393</v>
      </c>
      <c r="H131" s="380">
        <f>proyectos!AH14</f>
        <v>1000</v>
      </c>
    </row>
    <row r="132" spans="1:8" ht="18.75" thickBot="1" x14ac:dyDescent="0.25">
      <c r="A132" s="875" t="s">
        <v>374</v>
      </c>
      <c r="B132" s="876"/>
      <c r="C132" s="876"/>
      <c r="D132" s="876"/>
      <c r="E132" s="876"/>
      <c r="F132" s="876"/>
      <c r="G132" s="877"/>
      <c r="H132" s="430">
        <f>SUM(H126:H131)</f>
        <v>12000</v>
      </c>
    </row>
    <row r="133" spans="1:8" x14ac:dyDescent="0.2">
      <c r="A133" s="402"/>
      <c r="B133" s="402"/>
      <c r="C133" s="402"/>
      <c r="D133" s="402"/>
      <c r="E133" s="402"/>
      <c r="F133" s="402"/>
      <c r="G133" s="48"/>
      <c r="H133" s="403"/>
    </row>
    <row r="134" spans="1:8" x14ac:dyDescent="0.2">
      <c r="A134" s="431"/>
      <c r="B134" s="431"/>
      <c r="C134" s="431"/>
      <c r="D134" s="431"/>
      <c r="E134" s="431"/>
      <c r="F134" s="431"/>
      <c r="G134" s="431"/>
      <c r="H134" s="71"/>
    </row>
    <row r="135" spans="1:8" x14ac:dyDescent="0.2">
      <c r="A135" s="425"/>
      <c r="B135" s="425"/>
      <c r="C135" s="425"/>
      <c r="D135" s="425"/>
      <c r="E135" s="425"/>
      <c r="F135" s="425"/>
      <c r="G135" s="48"/>
      <c r="H135" s="71"/>
    </row>
    <row r="136" spans="1:8" ht="18" x14ac:dyDescent="0.2">
      <c r="A136" s="870" t="s">
        <v>412</v>
      </c>
      <c r="B136" s="870"/>
      <c r="C136" s="870"/>
      <c r="D136" s="870"/>
      <c r="E136" s="870"/>
      <c r="F136" s="870"/>
      <c r="G136" s="870"/>
      <c r="H136" s="870"/>
    </row>
    <row r="137" spans="1:8" ht="18" x14ac:dyDescent="0.2">
      <c r="A137" s="871" t="s">
        <v>411</v>
      </c>
      <c r="B137" s="871"/>
      <c r="C137" s="871"/>
      <c r="D137" s="871"/>
      <c r="E137" s="871"/>
      <c r="F137" s="871"/>
      <c r="G137" s="871"/>
      <c r="H137" s="871"/>
    </row>
    <row r="138" spans="1:8" ht="15.75" x14ac:dyDescent="0.2">
      <c r="A138" s="872" t="s">
        <v>227</v>
      </c>
      <c r="B138" s="872"/>
      <c r="C138" s="872"/>
      <c r="D138" s="872"/>
      <c r="E138" s="872"/>
      <c r="F138" s="872"/>
      <c r="G138" s="872"/>
      <c r="H138" s="872"/>
    </row>
    <row r="139" spans="1:8" ht="15.75" x14ac:dyDescent="0.2">
      <c r="A139" s="872" t="s">
        <v>605</v>
      </c>
      <c r="B139" s="872"/>
      <c r="C139" s="872"/>
      <c r="D139" s="872"/>
      <c r="E139" s="872"/>
      <c r="F139" s="872"/>
      <c r="G139" s="872"/>
      <c r="H139" s="872"/>
    </row>
    <row r="140" spans="1:8" ht="15.75" x14ac:dyDescent="0.25">
      <c r="A140" s="867" t="s">
        <v>13</v>
      </c>
      <c r="B140" s="867"/>
      <c r="C140" s="867"/>
      <c r="D140" s="867"/>
      <c r="E140" s="867"/>
      <c r="F140" s="867"/>
      <c r="G140" s="867"/>
      <c r="H140" s="867"/>
    </row>
    <row r="141" spans="1:8" ht="15.75" x14ac:dyDescent="0.25">
      <c r="A141" s="865" t="s">
        <v>378</v>
      </c>
      <c r="B141" s="865"/>
      <c r="C141" s="865"/>
      <c r="D141" s="865"/>
      <c r="E141" s="865"/>
      <c r="F141" s="865"/>
      <c r="G141" s="865"/>
      <c r="H141" s="865"/>
    </row>
    <row r="142" spans="1:8" ht="15.75" x14ac:dyDescent="0.25">
      <c r="A142" s="865" t="str">
        <f>proyectos!B15</f>
        <v>AYUDA CON LAMINAS A FAMILIAS DE ESCASOS RECURSOS</v>
      </c>
      <c r="B142" s="865"/>
      <c r="C142" s="865"/>
      <c r="D142" s="865"/>
      <c r="E142" s="865"/>
      <c r="F142" s="865"/>
      <c r="G142" s="865"/>
      <c r="H142" s="865"/>
    </row>
    <row r="143" spans="1:8" ht="15.75" x14ac:dyDescent="0.25">
      <c r="A143" s="865" t="s">
        <v>373</v>
      </c>
      <c r="B143" s="865"/>
      <c r="C143" s="865"/>
      <c r="D143" s="865"/>
      <c r="E143" s="865"/>
      <c r="F143" s="865"/>
      <c r="G143" s="865"/>
      <c r="H143" s="865"/>
    </row>
    <row r="144" spans="1:8" ht="15.75" x14ac:dyDescent="0.25">
      <c r="A144" s="865" t="s">
        <v>558</v>
      </c>
      <c r="B144" s="865"/>
      <c r="C144" s="865"/>
      <c r="D144" s="865"/>
      <c r="E144" s="865"/>
      <c r="F144" s="865"/>
      <c r="G144" s="865"/>
      <c r="H144" s="865"/>
    </row>
    <row r="145" spans="1:11" ht="16.5" thickBot="1" x14ac:dyDescent="0.3">
      <c r="A145" s="878" t="str">
        <f>A142</f>
        <v>AYUDA CON LAMINAS A FAMILIAS DE ESCASOS RECURSOS</v>
      </c>
      <c r="B145" s="878"/>
      <c r="C145" s="878"/>
      <c r="D145" s="878"/>
      <c r="E145" s="878"/>
      <c r="F145" s="878"/>
      <c r="G145" s="878"/>
      <c r="H145" s="878"/>
    </row>
    <row r="146" spans="1:11" ht="28.5" customHeight="1" thickBot="1" x14ac:dyDescent="1.2">
      <c r="A146" s="885" t="s">
        <v>0</v>
      </c>
      <c r="B146" s="886"/>
      <c r="C146" s="886"/>
      <c r="D146" s="886"/>
      <c r="E146" s="886"/>
      <c r="F146" s="886"/>
      <c r="G146" s="775" t="s">
        <v>180</v>
      </c>
      <c r="H146" s="777" t="s">
        <v>181</v>
      </c>
      <c r="K146" s="141">
        <v>7</v>
      </c>
    </row>
    <row r="147" spans="1:11" ht="163.5" thickBot="1" x14ac:dyDescent="0.25">
      <c r="A147" s="369" t="s">
        <v>171</v>
      </c>
      <c r="B147" s="307" t="s">
        <v>172</v>
      </c>
      <c r="C147" s="307" t="s">
        <v>143</v>
      </c>
      <c r="D147" s="307" t="s">
        <v>174</v>
      </c>
      <c r="E147" s="370" t="s">
        <v>182</v>
      </c>
      <c r="F147" s="308" t="s">
        <v>118</v>
      </c>
      <c r="G147" s="776"/>
      <c r="H147" s="778"/>
    </row>
    <row r="148" spans="1:11" ht="15.75" x14ac:dyDescent="0.25">
      <c r="A148" s="376">
        <v>3</v>
      </c>
      <c r="B148" s="372" t="s">
        <v>53</v>
      </c>
      <c r="C148" s="372" t="s">
        <v>327</v>
      </c>
      <c r="D148" s="377" t="s">
        <v>51</v>
      </c>
      <c r="E148" s="372" t="s">
        <v>54</v>
      </c>
      <c r="F148" s="378">
        <v>54199</v>
      </c>
      <c r="G148" s="379" t="s">
        <v>216</v>
      </c>
      <c r="H148" s="432"/>
    </row>
    <row r="149" spans="1:11" ht="16.5" thickBot="1" x14ac:dyDescent="0.3">
      <c r="A149" s="376">
        <v>3</v>
      </c>
      <c r="B149" s="372" t="s">
        <v>53</v>
      </c>
      <c r="C149" s="372" t="s">
        <v>327</v>
      </c>
      <c r="D149" s="377" t="s">
        <v>51</v>
      </c>
      <c r="E149" s="372" t="s">
        <v>54</v>
      </c>
      <c r="F149" s="378">
        <v>56304</v>
      </c>
      <c r="G149" s="379" t="s">
        <v>557</v>
      </c>
      <c r="H149" s="432">
        <f>proyectos!D15</f>
        <v>20000</v>
      </c>
    </row>
    <row r="150" spans="1:11" ht="18.75" thickBot="1" x14ac:dyDescent="0.25">
      <c r="A150" s="875" t="s">
        <v>374</v>
      </c>
      <c r="B150" s="876"/>
      <c r="C150" s="876"/>
      <c r="D150" s="876"/>
      <c r="E150" s="876"/>
      <c r="F150" s="876"/>
      <c r="G150" s="877"/>
      <c r="H150" s="430">
        <f>SUM(H148:H149)</f>
        <v>20000</v>
      </c>
    </row>
    <row r="151" spans="1:11" x14ac:dyDescent="0.2">
      <c r="A151" s="402"/>
      <c r="B151" s="402"/>
      <c r="C151" s="402"/>
      <c r="D151" s="402"/>
      <c r="E151" s="402"/>
      <c r="F151" s="402"/>
      <c r="G151" s="48"/>
      <c r="H151" s="403"/>
    </row>
    <row r="152" spans="1:11" x14ac:dyDescent="0.2">
      <c r="A152" s="425"/>
      <c r="B152" s="425"/>
      <c r="C152" s="425"/>
      <c r="D152" s="425"/>
      <c r="E152" s="425"/>
      <c r="F152" s="425"/>
      <c r="G152" s="48"/>
      <c r="H152" s="71"/>
    </row>
    <row r="153" spans="1:11" ht="18" x14ac:dyDescent="0.2">
      <c r="A153" s="870" t="s">
        <v>412</v>
      </c>
      <c r="B153" s="870"/>
      <c r="C153" s="870"/>
      <c r="D153" s="870"/>
      <c r="E153" s="870"/>
      <c r="F153" s="870"/>
      <c r="G153" s="870"/>
      <c r="H153" s="870"/>
    </row>
    <row r="154" spans="1:11" ht="18" x14ac:dyDescent="0.2">
      <c r="A154" s="871" t="s">
        <v>411</v>
      </c>
      <c r="B154" s="871"/>
      <c r="C154" s="871"/>
      <c r="D154" s="871"/>
      <c r="E154" s="871"/>
      <c r="F154" s="871"/>
      <c r="G154" s="871"/>
      <c r="H154" s="871"/>
    </row>
    <row r="155" spans="1:11" ht="15.75" x14ac:dyDescent="0.2">
      <c r="A155" s="872" t="s">
        <v>227</v>
      </c>
      <c r="B155" s="872"/>
      <c r="C155" s="872"/>
      <c r="D155" s="872"/>
      <c r="E155" s="872"/>
      <c r="F155" s="872"/>
      <c r="G155" s="872"/>
      <c r="H155" s="872"/>
    </row>
    <row r="156" spans="1:11" ht="15.75" x14ac:dyDescent="0.2">
      <c r="A156" s="872" t="s">
        <v>605</v>
      </c>
      <c r="B156" s="872"/>
      <c r="C156" s="872"/>
      <c r="D156" s="872"/>
      <c r="E156" s="872"/>
      <c r="F156" s="872"/>
      <c r="G156" s="872"/>
      <c r="H156" s="872"/>
    </row>
    <row r="157" spans="1:11" ht="15.75" x14ac:dyDescent="0.25">
      <c r="A157" s="867" t="s">
        <v>13</v>
      </c>
      <c r="B157" s="867"/>
      <c r="C157" s="867"/>
      <c r="D157" s="867"/>
      <c r="E157" s="867"/>
      <c r="F157" s="867"/>
      <c r="G157" s="867"/>
      <c r="H157" s="867"/>
    </row>
    <row r="158" spans="1:11" ht="15.75" x14ac:dyDescent="0.25">
      <c r="A158" s="867" t="s">
        <v>378</v>
      </c>
      <c r="B158" s="867"/>
      <c r="C158" s="867"/>
      <c r="D158" s="867"/>
      <c r="E158" s="867"/>
      <c r="F158" s="867"/>
      <c r="G158" s="867"/>
      <c r="H158" s="867"/>
    </row>
    <row r="159" spans="1:11" ht="15.75" x14ac:dyDescent="0.25">
      <c r="A159" s="867" t="str">
        <f>proyectos!B16</f>
        <v>ASISTENCIA ALIMENTICIA PARA ADULTOS MAYORES DEL MUNICIPIO ZGZA</v>
      </c>
      <c r="B159" s="867"/>
      <c r="C159" s="867"/>
      <c r="D159" s="867"/>
      <c r="E159" s="867"/>
      <c r="F159" s="867"/>
      <c r="G159" s="867"/>
      <c r="H159" s="867"/>
    </row>
    <row r="160" spans="1:11" ht="15.75" x14ac:dyDescent="0.25">
      <c r="A160" s="865" t="s">
        <v>373</v>
      </c>
      <c r="B160" s="865"/>
      <c r="C160" s="865"/>
      <c r="D160" s="865"/>
      <c r="E160" s="865"/>
      <c r="F160" s="865"/>
      <c r="G160" s="865"/>
      <c r="H160" s="865"/>
    </row>
    <row r="161" spans="1:11" ht="15.75" x14ac:dyDescent="0.25">
      <c r="A161" s="865" t="s">
        <v>558</v>
      </c>
      <c r="B161" s="865"/>
      <c r="C161" s="865"/>
      <c r="D161" s="865"/>
      <c r="E161" s="865"/>
      <c r="F161" s="865"/>
      <c r="G161" s="865"/>
      <c r="H161" s="865"/>
    </row>
    <row r="162" spans="1:11" ht="15" thickBot="1" x14ac:dyDescent="0.25">
      <c r="A162" s="887" t="str">
        <f>A159</f>
        <v>ASISTENCIA ALIMENTICIA PARA ADULTOS MAYORES DEL MUNICIPIO ZGZA</v>
      </c>
      <c r="B162" s="887"/>
      <c r="C162" s="887"/>
      <c r="D162" s="887"/>
      <c r="E162" s="887"/>
      <c r="F162" s="887"/>
      <c r="G162" s="887"/>
      <c r="H162" s="887"/>
    </row>
    <row r="163" spans="1:11" ht="24.75" customHeight="1" thickBot="1" x14ac:dyDescent="0.25">
      <c r="A163" s="885" t="s">
        <v>0</v>
      </c>
      <c r="B163" s="886"/>
      <c r="C163" s="886"/>
      <c r="D163" s="886"/>
      <c r="E163" s="886"/>
      <c r="F163" s="886"/>
      <c r="G163" s="775" t="s">
        <v>180</v>
      </c>
      <c r="H163" s="777" t="s">
        <v>181</v>
      </c>
      <c r="K163" s="862">
        <v>8</v>
      </c>
    </row>
    <row r="164" spans="1:11" ht="163.5" thickBot="1" x14ac:dyDescent="0.25">
      <c r="A164" s="369" t="s">
        <v>171</v>
      </c>
      <c r="B164" s="307" t="s">
        <v>172</v>
      </c>
      <c r="C164" s="307" t="s">
        <v>143</v>
      </c>
      <c r="D164" s="307" t="s">
        <v>174</v>
      </c>
      <c r="E164" s="370" t="s">
        <v>182</v>
      </c>
      <c r="F164" s="308" t="s">
        <v>118</v>
      </c>
      <c r="G164" s="776"/>
      <c r="H164" s="778"/>
      <c r="K164" s="862"/>
    </row>
    <row r="165" spans="1:11" ht="15.75" x14ac:dyDescent="0.25">
      <c r="A165" s="376">
        <v>3</v>
      </c>
      <c r="B165" s="372" t="s">
        <v>53</v>
      </c>
      <c r="C165" s="372" t="s">
        <v>327</v>
      </c>
      <c r="D165" s="377" t="s">
        <v>51</v>
      </c>
      <c r="E165" s="372" t="s">
        <v>54</v>
      </c>
      <c r="F165" s="378">
        <v>56304</v>
      </c>
      <c r="G165" s="379" t="str">
        <f>proyectos!AI1</f>
        <v>A Personas Naturales</v>
      </c>
      <c r="H165" s="380">
        <f>proyectos!D16</f>
        <v>25000</v>
      </c>
    </row>
    <row r="166" spans="1:11" ht="16.5" thickBot="1" x14ac:dyDescent="0.3">
      <c r="A166" s="376"/>
      <c r="B166" s="372"/>
      <c r="C166" s="372"/>
      <c r="D166" s="377"/>
      <c r="E166" s="372"/>
      <c r="F166" s="378"/>
      <c r="G166" s="379"/>
      <c r="H166" s="380"/>
    </row>
    <row r="167" spans="1:11" ht="18.75" thickBot="1" x14ac:dyDescent="0.25">
      <c r="A167" s="875" t="s">
        <v>374</v>
      </c>
      <c r="B167" s="876"/>
      <c r="C167" s="876"/>
      <c r="D167" s="876"/>
      <c r="E167" s="876"/>
      <c r="F167" s="876"/>
      <c r="G167" s="877"/>
      <c r="H167" s="412">
        <f>SUM(H165:H166)</f>
        <v>25000</v>
      </c>
    </row>
    <row r="168" spans="1:11" x14ac:dyDescent="0.2">
      <c r="A168" s="402"/>
      <c r="B168" s="402"/>
      <c r="C168" s="402"/>
      <c r="D168" s="402"/>
      <c r="E168" s="402"/>
      <c r="F168" s="402"/>
      <c r="G168" s="48"/>
      <c r="H168" s="403"/>
    </row>
    <row r="169" spans="1:11" x14ac:dyDescent="0.2">
      <c r="A169" s="425"/>
      <c r="B169" s="425"/>
      <c r="C169" s="425"/>
      <c r="D169" s="425"/>
      <c r="E169" s="425"/>
      <c r="F169" s="425"/>
      <c r="G169" s="48"/>
      <c r="H169" s="71"/>
    </row>
    <row r="170" spans="1:11" ht="18" x14ac:dyDescent="0.2">
      <c r="A170" s="870" t="s">
        <v>412</v>
      </c>
      <c r="B170" s="870"/>
      <c r="C170" s="870"/>
      <c r="D170" s="870"/>
      <c r="E170" s="870"/>
      <c r="F170" s="870"/>
      <c r="G170" s="870"/>
      <c r="H170" s="870"/>
    </row>
    <row r="171" spans="1:11" ht="18" x14ac:dyDescent="0.2">
      <c r="A171" s="871" t="s">
        <v>411</v>
      </c>
      <c r="B171" s="871"/>
      <c r="C171" s="871"/>
      <c r="D171" s="871"/>
      <c r="E171" s="871"/>
      <c r="F171" s="871"/>
      <c r="G171" s="871"/>
      <c r="H171" s="871"/>
    </row>
    <row r="172" spans="1:11" ht="15.75" x14ac:dyDescent="0.2">
      <c r="A172" s="872" t="s">
        <v>227</v>
      </c>
      <c r="B172" s="872"/>
      <c r="C172" s="872"/>
      <c r="D172" s="872"/>
      <c r="E172" s="872"/>
      <c r="F172" s="872"/>
      <c r="G172" s="872"/>
      <c r="H172" s="872"/>
    </row>
    <row r="173" spans="1:11" ht="15.75" x14ac:dyDescent="0.2">
      <c r="A173" s="872" t="s">
        <v>605</v>
      </c>
      <c r="B173" s="872"/>
      <c r="C173" s="872"/>
      <c r="D173" s="872"/>
      <c r="E173" s="872"/>
      <c r="F173" s="872"/>
      <c r="G173" s="872"/>
      <c r="H173" s="872"/>
    </row>
    <row r="174" spans="1:11" ht="15.75" x14ac:dyDescent="0.25">
      <c r="A174" s="867" t="s">
        <v>13</v>
      </c>
      <c r="B174" s="867"/>
      <c r="C174" s="867"/>
      <c r="D174" s="867"/>
      <c r="E174" s="867"/>
      <c r="F174" s="867"/>
      <c r="G174" s="867"/>
      <c r="H174" s="867"/>
    </row>
    <row r="175" spans="1:11" ht="15.75" x14ac:dyDescent="0.25">
      <c r="A175" s="865" t="s">
        <v>378</v>
      </c>
      <c r="B175" s="865"/>
      <c r="C175" s="865"/>
      <c r="D175" s="865"/>
      <c r="E175" s="865"/>
      <c r="F175" s="865"/>
      <c r="G175" s="865"/>
      <c r="H175" s="865"/>
    </row>
    <row r="176" spans="1:11" ht="15.75" x14ac:dyDescent="0.25">
      <c r="A176" s="865" t="str">
        <f>proyectos!B17</f>
        <v xml:space="preserve">CELEBR. DE FIESTAS DIA DE LA MADRE, DEL MAESTRO Y FIESTAS NAVIDEÑAS </v>
      </c>
      <c r="B176" s="865"/>
      <c r="C176" s="865"/>
      <c r="D176" s="865"/>
      <c r="E176" s="865"/>
      <c r="F176" s="865"/>
      <c r="G176" s="865"/>
      <c r="H176" s="865"/>
    </row>
    <row r="177" spans="1:11" ht="15.75" x14ac:dyDescent="0.25">
      <c r="A177" s="865" t="s">
        <v>373</v>
      </c>
      <c r="B177" s="865"/>
      <c r="C177" s="865"/>
      <c r="D177" s="865"/>
      <c r="E177" s="865"/>
      <c r="F177" s="865"/>
      <c r="G177" s="865"/>
      <c r="H177" s="865"/>
    </row>
    <row r="178" spans="1:11" ht="15.75" x14ac:dyDescent="0.25">
      <c r="A178" s="857" t="s">
        <v>558</v>
      </c>
      <c r="B178" s="857"/>
      <c r="C178" s="857"/>
      <c r="D178" s="857"/>
      <c r="E178" s="857"/>
      <c r="F178" s="857"/>
      <c r="G178" s="857"/>
      <c r="H178" s="857"/>
    </row>
    <row r="179" spans="1:11" ht="14.25" x14ac:dyDescent="0.2">
      <c r="A179" s="858" t="str">
        <f>A176</f>
        <v xml:space="preserve">CELEBR. DE FIESTAS DIA DE LA MADRE, DEL MAESTRO Y FIESTAS NAVIDEÑAS </v>
      </c>
      <c r="B179" s="858"/>
      <c r="C179" s="858"/>
      <c r="D179" s="858"/>
      <c r="E179" s="858"/>
      <c r="F179" s="858"/>
      <c r="G179" s="858"/>
      <c r="H179" s="858"/>
    </row>
    <row r="180" spans="1:11" ht="14.25" x14ac:dyDescent="0.2">
      <c r="A180" s="512"/>
      <c r="B180" s="512"/>
      <c r="C180" s="512"/>
      <c r="D180" s="512"/>
      <c r="E180" s="512"/>
      <c r="F180" s="512"/>
      <c r="G180" s="512"/>
      <c r="H180" s="512"/>
    </row>
    <row r="181" spans="1:11" ht="23.25" customHeight="1" x14ac:dyDescent="0.2">
      <c r="A181" s="888" t="s">
        <v>0</v>
      </c>
      <c r="B181" s="888"/>
      <c r="C181" s="888"/>
      <c r="D181" s="888"/>
      <c r="E181" s="888"/>
      <c r="F181" s="888"/>
      <c r="G181" s="889" t="s">
        <v>180</v>
      </c>
      <c r="H181" s="890" t="s">
        <v>181</v>
      </c>
      <c r="K181" s="861">
        <v>9</v>
      </c>
    </row>
    <row r="182" spans="1:11" ht="114" customHeight="1" x14ac:dyDescent="0.2">
      <c r="A182" s="435" t="s">
        <v>171</v>
      </c>
      <c r="B182" s="435" t="s">
        <v>172</v>
      </c>
      <c r="C182" s="435" t="s">
        <v>143</v>
      </c>
      <c r="D182" s="435" t="s">
        <v>174</v>
      </c>
      <c r="E182" s="435" t="s">
        <v>182</v>
      </c>
      <c r="F182" s="435" t="s">
        <v>118</v>
      </c>
      <c r="G182" s="889"/>
      <c r="H182" s="890"/>
      <c r="K182" s="861"/>
    </row>
    <row r="183" spans="1:11" ht="18" customHeight="1" x14ac:dyDescent="0.25">
      <c r="A183" s="371">
        <v>3</v>
      </c>
      <c r="B183" s="372" t="s">
        <v>53</v>
      </c>
      <c r="C183" s="372" t="s">
        <v>327</v>
      </c>
      <c r="D183" s="372" t="s">
        <v>51</v>
      </c>
      <c r="E183" s="372" t="s">
        <v>54</v>
      </c>
      <c r="F183" s="518">
        <v>54314</v>
      </c>
      <c r="G183" s="519" t="s">
        <v>639</v>
      </c>
      <c r="H183" s="375">
        <f>proyectos!D17</f>
        <v>25000</v>
      </c>
    </row>
    <row r="184" spans="1:11" ht="16.5" thickBot="1" x14ac:dyDescent="0.3">
      <c r="A184" s="433"/>
      <c r="B184" s="377"/>
      <c r="C184" s="377"/>
      <c r="D184" s="377"/>
      <c r="E184" s="377"/>
      <c r="F184" s="381"/>
      <c r="G184" s="382"/>
      <c r="H184" s="434"/>
    </row>
    <row r="185" spans="1:11" ht="18.75" thickBot="1" x14ac:dyDescent="0.25">
      <c r="A185" s="882" t="s">
        <v>374</v>
      </c>
      <c r="B185" s="883"/>
      <c r="C185" s="883"/>
      <c r="D185" s="883"/>
      <c r="E185" s="883"/>
      <c r="F185" s="883"/>
      <c r="G185" s="884"/>
      <c r="H185" s="412">
        <f>SUM(H183:H183)</f>
        <v>25000</v>
      </c>
    </row>
    <row r="186" spans="1:11" x14ac:dyDescent="0.2">
      <c r="A186" s="402"/>
      <c r="B186" s="402"/>
      <c r="C186" s="402"/>
      <c r="D186" s="402"/>
      <c r="E186" s="402"/>
      <c r="F186" s="402"/>
      <c r="G186" s="48"/>
      <c r="H186" s="403"/>
    </row>
    <row r="187" spans="1:11" x14ac:dyDescent="0.2">
      <c r="A187" s="425"/>
      <c r="B187" s="425"/>
      <c r="C187" s="425"/>
      <c r="D187" s="425"/>
      <c r="E187" s="425"/>
      <c r="F187" s="425"/>
      <c r="G187" s="48"/>
      <c r="H187" s="71"/>
    </row>
    <row r="188" spans="1:11" ht="18" x14ac:dyDescent="0.2">
      <c r="A188" s="870" t="s">
        <v>412</v>
      </c>
      <c r="B188" s="870"/>
      <c r="C188" s="870"/>
      <c r="D188" s="870"/>
      <c r="E188" s="870"/>
      <c r="F188" s="870"/>
      <c r="G188" s="870"/>
      <c r="H188" s="870"/>
    </row>
    <row r="189" spans="1:11" ht="18" x14ac:dyDescent="0.2">
      <c r="A189" s="871" t="s">
        <v>411</v>
      </c>
      <c r="B189" s="871"/>
      <c r="C189" s="871"/>
      <c r="D189" s="871"/>
      <c r="E189" s="871"/>
      <c r="F189" s="871"/>
      <c r="G189" s="871"/>
      <c r="H189" s="871"/>
    </row>
    <row r="190" spans="1:11" ht="15.75" x14ac:dyDescent="0.2">
      <c r="A190" s="872" t="s">
        <v>227</v>
      </c>
      <c r="B190" s="872"/>
      <c r="C190" s="872"/>
      <c r="D190" s="872"/>
      <c r="E190" s="872"/>
      <c r="F190" s="872"/>
      <c r="G190" s="872"/>
      <c r="H190" s="872"/>
    </row>
    <row r="191" spans="1:11" ht="15.75" x14ac:dyDescent="0.2">
      <c r="A191" s="872" t="s">
        <v>605</v>
      </c>
      <c r="B191" s="872"/>
      <c r="C191" s="872"/>
      <c r="D191" s="872"/>
      <c r="E191" s="872"/>
      <c r="F191" s="872"/>
      <c r="G191" s="872"/>
      <c r="H191" s="872"/>
    </row>
    <row r="192" spans="1:11" ht="15.75" x14ac:dyDescent="0.25">
      <c r="A192" s="867" t="s">
        <v>13</v>
      </c>
      <c r="B192" s="867"/>
      <c r="C192" s="867"/>
      <c r="D192" s="867"/>
      <c r="E192" s="867"/>
      <c r="F192" s="867"/>
      <c r="G192" s="867"/>
      <c r="H192" s="867"/>
    </row>
    <row r="193" spans="1:11" ht="15.75" x14ac:dyDescent="0.25">
      <c r="A193" s="865" t="s">
        <v>378</v>
      </c>
      <c r="B193" s="865"/>
      <c r="C193" s="865"/>
      <c r="D193" s="865"/>
      <c r="E193" s="865"/>
      <c r="F193" s="865"/>
      <c r="G193" s="865"/>
      <c r="H193" s="865"/>
    </row>
    <row r="194" spans="1:11" ht="15.75" x14ac:dyDescent="0.25">
      <c r="A194" s="865" t="str">
        <f>proyectos!B18</f>
        <v>PROGRAMA DE APOYO A LA NIÑEZ Y LA ADOLESCENCIA</v>
      </c>
      <c r="B194" s="865"/>
      <c r="C194" s="865"/>
      <c r="D194" s="865"/>
      <c r="E194" s="865"/>
      <c r="F194" s="865"/>
      <c r="G194" s="865"/>
      <c r="H194" s="865"/>
    </row>
    <row r="195" spans="1:11" ht="15.75" x14ac:dyDescent="0.25">
      <c r="A195" s="865" t="s">
        <v>373</v>
      </c>
      <c r="B195" s="865"/>
      <c r="C195" s="865"/>
      <c r="D195" s="865"/>
      <c r="E195" s="865"/>
      <c r="F195" s="865"/>
      <c r="G195" s="865"/>
      <c r="H195" s="865"/>
    </row>
    <row r="196" spans="1:11" ht="15.75" customHeight="1" x14ac:dyDescent="0.25">
      <c r="A196" s="857" t="s">
        <v>558</v>
      </c>
      <c r="B196" s="857"/>
      <c r="C196" s="857"/>
      <c r="D196" s="857"/>
      <c r="E196" s="857"/>
      <c r="F196" s="857"/>
      <c r="G196" s="857"/>
      <c r="H196" s="857"/>
    </row>
    <row r="197" spans="1:11" ht="15.75" x14ac:dyDescent="0.25">
      <c r="A197" s="892" t="str">
        <f>A194</f>
        <v>PROGRAMA DE APOYO A LA NIÑEZ Y LA ADOLESCENCIA</v>
      </c>
      <c r="B197" s="893"/>
      <c r="C197" s="893"/>
      <c r="D197" s="893"/>
      <c r="E197" s="893"/>
      <c r="F197" s="893"/>
      <c r="G197" s="893"/>
      <c r="H197" s="893"/>
    </row>
    <row r="198" spans="1:11" ht="15.75" x14ac:dyDescent="0.25">
      <c r="A198" s="520"/>
      <c r="B198" s="511"/>
      <c r="C198" s="511"/>
      <c r="D198" s="511"/>
      <c r="E198" s="511"/>
      <c r="F198" s="511"/>
      <c r="G198" s="511"/>
      <c r="H198" s="511"/>
    </row>
    <row r="199" spans="1:11" ht="27.75" customHeight="1" x14ac:dyDescent="0.2">
      <c r="A199" s="888" t="s">
        <v>0</v>
      </c>
      <c r="B199" s="888"/>
      <c r="C199" s="888"/>
      <c r="D199" s="888"/>
      <c r="E199" s="888"/>
      <c r="F199" s="888"/>
      <c r="G199" s="889" t="s">
        <v>180</v>
      </c>
      <c r="H199" s="890" t="s">
        <v>181</v>
      </c>
      <c r="K199" s="862">
        <v>10</v>
      </c>
    </row>
    <row r="200" spans="1:11" ht="114.75" customHeight="1" x14ac:dyDescent="0.2">
      <c r="A200" s="435" t="s">
        <v>171</v>
      </c>
      <c r="B200" s="435" t="s">
        <v>172</v>
      </c>
      <c r="C200" s="435" t="s">
        <v>143</v>
      </c>
      <c r="D200" s="435" t="s">
        <v>174</v>
      </c>
      <c r="E200" s="435" t="s">
        <v>182</v>
      </c>
      <c r="F200" s="435" t="s">
        <v>118</v>
      </c>
      <c r="G200" s="889"/>
      <c r="H200" s="890"/>
      <c r="K200" s="862"/>
    </row>
    <row r="201" spans="1:11" ht="19.5" customHeight="1" x14ac:dyDescent="0.25">
      <c r="A201" s="433">
        <v>3</v>
      </c>
      <c r="B201" s="377" t="s">
        <v>53</v>
      </c>
      <c r="C201" s="377" t="s">
        <v>327</v>
      </c>
      <c r="D201" s="377" t="s">
        <v>51</v>
      </c>
      <c r="E201" s="377" t="s">
        <v>54</v>
      </c>
      <c r="F201" s="436">
        <v>51901</v>
      </c>
      <c r="G201" s="437" t="str">
        <f>proyectos!N1</f>
        <v>Honorarios</v>
      </c>
      <c r="H201" s="438">
        <f>proyectos!N18</f>
        <v>500</v>
      </c>
      <c r="K201" s="341"/>
    </row>
    <row r="202" spans="1:11" ht="15.75" x14ac:dyDescent="0.25">
      <c r="A202" s="433">
        <v>3</v>
      </c>
      <c r="B202" s="377" t="s">
        <v>53</v>
      </c>
      <c r="C202" s="377" t="s">
        <v>327</v>
      </c>
      <c r="D202" s="377" t="s">
        <v>51</v>
      </c>
      <c r="E202" s="377" t="s">
        <v>54</v>
      </c>
      <c r="F202" s="381">
        <v>54199</v>
      </c>
      <c r="G202" s="382" t="str">
        <f>proyectos!AC1</f>
        <v>Bienes de Uso y Consumo Diverso</v>
      </c>
      <c r="H202" s="383">
        <f>proyectos!AC18</f>
        <v>400</v>
      </c>
    </row>
    <row r="203" spans="1:11" ht="15.75" x14ac:dyDescent="0.25">
      <c r="A203" s="433">
        <v>3</v>
      </c>
      <c r="B203" s="377" t="s">
        <v>53</v>
      </c>
      <c r="C203" s="377" t="s">
        <v>327</v>
      </c>
      <c r="D203" s="377" t="s">
        <v>51</v>
      </c>
      <c r="E203" s="377" t="s">
        <v>54</v>
      </c>
      <c r="F203" s="381">
        <v>54304</v>
      </c>
      <c r="G203" s="382" t="str">
        <f>proyectos!AF1</f>
        <v>Transportes Fletes y almacenamientos</v>
      </c>
      <c r="H203" s="383">
        <f>proyectos!AF18</f>
        <v>800</v>
      </c>
    </row>
    <row r="204" spans="1:11" ht="15.75" x14ac:dyDescent="0.25">
      <c r="A204" s="433">
        <v>3</v>
      </c>
      <c r="B204" s="377" t="s">
        <v>53</v>
      </c>
      <c r="C204" s="377" t="s">
        <v>327</v>
      </c>
      <c r="D204" s="377" t="s">
        <v>51</v>
      </c>
      <c r="E204" s="377" t="s">
        <v>54</v>
      </c>
      <c r="F204" s="381">
        <v>54314</v>
      </c>
      <c r="G204" s="382" t="str">
        <f>proyectos!AG1</f>
        <v>Atenciones Oficiales</v>
      </c>
      <c r="H204" s="383">
        <f>proyectos!AG18</f>
        <v>3500</v>
      </c>
    </row>
    <row r="205" spans="1:11" ht="15.75" x14ac:dyDescent="0.25">
      <c r="A205" s="433">
        <v>3</v>
      </c>
      <c r="B205" s="377" t="s">
        <v>53</v>
      </c>
      <c r="C205" s="377" t="s">
        <v>327</v>
      </c>
      <c r="D205" s="377" t="s">
        <v>51</v>
      </c>
      <c r="E205" s="377" t="s">
        <v>54</v>
      </c>
      <c r="F205" s="381">
        <v>54399</v>
      </c>
      <c r="G205" s="382" t="str">
        <f>proyectos!AH1</f>
        <v>Servicios Generales y Arrendamientos Diversos</v>
      </c>
      <c r="H205" s="383">
        <f>proyectos!AH18</f>
        <v>1000</v>
      </c>
    </row>
    <row r="206" spans="1:11" ht="15.75" x14ac:dyDescent="0.25">
      <c r="A206" s="433">
        <v>3</v>
      </c>
      <c r="B206" s="377" t="s">
        <v>53</v>
      </c>
      <c r="C206" s="377" t="s">
        <v>327</v>
      </c>
      <c r="D206" s="377" t="s">
        <v>51</v>
      </c>
      <c r="E206" s="377" t="s">
        <v>54</v>
      </c>
      <c r="F206" s="381">
        <v>56304</v>
      </c>
      <c r="G206" s="382" t="str">
        <f>proyectos!AI1</f>
        <v>A Personas Naturales</v>
      </c>
      <c r="H206" s="383">
        <f>proyectos!AI18</f>
        <v>800</v>
      </c>
    </row>
    <row r="207" spans="1:11" ht="18" x14ac:dyDescent="0.2">
      <c r="A207" s="891" t="s">
        <v>374</v>
      </c>
      <c r="B207" s="891"/>
      <c r="C207" s="891"/>
      <c r="D207" s="891"/>
      <c r="E207" s="891"/>
      <c r="F207" s="891"/>
      <c r="G207" s="891"/>
      <c r="H207" s="439">
        <f>SUM(H201:H206)</f>
        <v>7000</v>
      </c>
    </row>
    <row r="208" spans="1:11" x14ac:dyDescent="0.2">
      <c r="A208" s="440"/>
      <c r="B208" s="440"/>
      <c r="C208" s="440"/>
      <c r="D208" s="440"/>
      <c r="E208" s="440"/>
      <c r="F208" s="440"/>
      <c r="G208" s="441"/>
      <c r="H208" s="442"/>
    </row>
    <row r="209" spans="1:11" ht="15.75" x14ac:dyDescent="0.25">
      <c r="A209" s="868"/>
      <c r="B209" s="868"/>
      <c r="C209" s="868"/>
      <c r="D209" s="868"/>
      <c r="E209" s="868"/>
      <c r="F209" s="868"/>
      <c r="G209" s="48"/>
      <c r="H209" s="443"/>
    </row>
    <row r="210" spans="1:11" x14ac:dyDescent="0.2">
      <c r="A210" s="431"/>
      <c r="B210" s="431"/>
      <c r="C210" s="431"/>
      <c r="D210" s="431"/>
      <c r="E210" s="431"/>
      <c r="F210" s="431"/>
      <c r="G210" s="431"/>
      <c r="H210" s="71"/>
    </row>
    <row r="211" spans="1:11" x14ac:dyDescent="0.2">
      <c r="A211" s="425"/>
      <c r="B211" s="425"/>
      <c r="C211" s="425"/>
      <c r="D211" s="425"/>
      <c r="E211" s="425"/>
      <c r="F211" s="425"/>
      <c r="G211" s="48"/>
      <c r="H211" s="71"/>
    </row>
    <row r="212" spans="1:11" ht="18" x14ac:dyDescent="0.2">
      <c r="A212" s="870" t="s">
        <v>412</v>
      </c>
      <c r="B212" s="870"/>
      <c r="C212" s="870"/>
      <c r="D212" s="870"/>
      <c r="E212" s="870"/>
      <c r="F212" s="870"/>
      <c r="G212" s="870"/>
      <c r="H212" s="870"/>
    </row>
    <row r="213" spans="1:11" ht="18" x14ac:dyDescent="0.2">
      <c r="A213" s="871" t="s">
        <v>411</v>
      </c>
      <c r="B213" s="871"/>
      <c r="C213" s="871"/>
      <c r="D213" s="871"/>
      <c r="E213" s="871"/>
      <c r="F213" s="871"/>
      <c r="G213" s="871"/>
      <c r="H213" s="871"/>
    </row>
    <row r="214" spans="1:11" ht="15.75" x14ac:dyDescent="0.2">
      <c r="A214" s="872" t="s">
        <v>227</v>
      </c>
      <c r="B214" s="872"/>
      <c r="C214" s="872"/>
      <c r="D214" s="872"/>
      <c r="E214" s="872"/>
      <c r="F214" s="872"/>
      <c r="G214" s="872"/>
      <c r="H214" s="872"/>
    </row>
    <row r="215" spans="1:11" ht="15.75" x14ac:dyDescent="0.2">
      <c r="A215" s="872" t="s">
        <v>605</v>
      </c>
      <c r="B215" s="872"/>
      <c r="C215" s="872"/>
      <c r="D215" s="872"/>
      <c r="E215" s="872"/>
      <c r="F215" s="872"/>
      <c r="G215" s="872"/>
      <c r="H215" s="872"/>
    </row>
    <row r="216" spans="1:11" ht="15.75" x14ac:dyDescent="0.25">
      <c r="A216" s="867" t="s">
        <v>13</v>
      </c>
      <c r="B216" s="867"/>
      <c r="C216" s="867"/>
      <c r="D216" s="867"/>
      <c r="E216" s="867"/>
      <c r="F216" s="867"/>
      <c r="G216" s="867"/>
      <c r="H216" s="867"/>
    </row>
    <row r="217" spans="1:11" ht="15.75" x14ac:dyDescent="0.25">
      <c r="A217" s="865" t="s">
        <v>378</v>
      </c>
      <c r="B217" s="865"/>
      <c r="C217" s="865"/>
      <c r="D217" s="865"/>
      <c r="E217" s="865"/>
      <c r="F217" s="865"/>
      <c r="G217" s="865"/>
      <c r="H217" s="865"/>
    </row>
    <row r="218" spans="1:11" ht="15.75" x14ac:dyDescent="0.25">
      <c r="A218" s="865" t="str">
        <f>proyectos!B19</f>
        <v>PROGRAMA DE PROTECCION MEDIOAMBIENTE Y SALUD PUBLICA.</v>
      </c>
      <c r="B218" s="865"/>
      <c r="C218" s="865"/>
      <c r="D218" s="865"/>
      <c r="E218" s="865"/>
      <c r="F218" s="865"/>
      <c r="G218" s="865"/>
      <c r="H218" s="865"/>
    </row>
    <row r="219" spans="1:11" ht="15.75" x14ac:dyDescent="0.25">
      <c r="A219" s="865" t="s">
        <v>373</v>
      </c>
      <c r="B219" s="865"/>
      <c r="C219" s="865"/>
      <c r="D219" s="865"/>
      <c r="E219" s="865"/>
      <c r="F219" s="865"/>
      <c r="G219" s="865"/>
      <c r="H219" s="865"/>
    </row>
    <row r="220" spans="1:11" ht="15.75" x14ac:dyDescent="0.25">
      <c r="A220" s="857" t="s">
        <v>376</v>
      </c>
      <c r="B220" s="857"/>
      <c r="C220" s="857"/>
      <c r="D220" s="857"/>
      <c r="E220" s="857"/>
      <c r="F220" s="857"/>
      <c r="G220" s="857"/>
      <c r="H220" s="857"/>
    </row>
    <row r="221" spans="1:11" ht="15.75" x14ac:dyDescent="0.25">
      <c r="A221" s="894" t="str">
        <f>A218</f>
        <v>PROGRAMA DE PROTECCION MEDIOAMBIENTE Y SALUD PUBLICA.</v>
      </c>
      <c r="B221" s="894"/>
      <c r="C221" s="894"/>
      <c r="D221" s="894"/>
      <c r="E221" s="894"/>
      <c r="F221" s="894"/>
      <c r="G221" s="894"/>
      <c r="H221" s="894"/>
    </row>
    <row r="222" spans="1:11" ht="26.25" customHeight="1" x14ac:dyDescent="0.2">
      <c r="A222" s="888" t="s">
        <v>0</v>
      </c>
      <c r="B222" s="888"/>
      <c r="C222" s="888"/>
      <c r="D222" s="888"/>
      <c r="E222" s="888"/>
      <c r="F222" s="888"/>
      <c r="G222" s="889" t="s">
        <v>180</v>
      </c>
      <c r="H222" s="890" t="s">
        <v>181</v>
      </c>
      <c r="K222" s="861">
        <v>11</v>
      </c>
    </row>
    <row r="223" spans="1:11" ht="102" customHeight="1" x14ac:dyDescent="0.2">
      <c r="A223" s="435" t="s">
        <v>171</v>
      </c>
      <c r="B223" s="435" t="s">
        <v>172</v>
      </c>
      <c r="C223" s="435" t="s">
        <v>143</v>
      </c>
      <c r="D223" s="435" t="s">
        <v>174</v>
      </c>
      <c r="E223" s="435" t="s">
        <v>182</v>
      </c>
      <c r="F223" s="435" t="s">
        <v>118</v>
      </c>
      <c r="G223" s="889"/>
      <c r="H223" s="890"/>
      <c r="K223" s="861"/>
    </row>
    <row r="224" spans="1:11" ht="15.75" x14ac:dyDescent="0.25">
      <c r="A224" s="371">
        <v>3</v>
      </c>
      <c r="B224" s="372" t="s">
        <v>53</v>
      </c>
      <c r="C224" s="372" t="s">
        <v>327</v>
      </c>
      <c r="D224" s="372" t="s">
        <v>51</v>
      </c>
      <c r="E224" s="372" t="s">
        <v>54</v>
      </c>
      <c r="F224" s="373" t="s">
        <v>640</v>
      </c>
      <c r="G224" s="374" t="str">
        <f>proyectos!R1</f>
        <v>Produc.Quimicos</v>
      </c>
      <c r="H224" s="375">
        <f>proyectos!R19</f>
        <v>800</v>
      </c>
    </row>
    <row r="225" spans="1:8" ht="15.75" x14ac:dyDescent="0.25">
      <c r="A225" s="376">
        <v>3</v>
      </c>
      <c r="B225" s="372" t="s">
        <v>53</v>
      </c>
      <c r="C225" s="372" t="s">
        <v>327</v>
      </c>
      <c r="D225" s="377" t="s">
        <v>51</v>
      </c>
      <c r="E225" s="372" t="s">
        <v>54</v>
      </c>
      <c r="F225" s="378">
        <v>54110</v>
      </c>
      <c r="G225" s="379" t="str">
        <f>proyectos!S1</f>
        <v>Combustibles y Lubricantes</v>
      </c>
      <c r="H225" s="380">
        <f>proyectos!S19</f>
        <v>200</v>
      </c>
    </row>
    <row r="226" spans="1:8" ht="15.75" x14ac:dyDescent="0.25">
      <c r="A226" s="376">
        <v>3</v>
      </c>
      <c r="B226" s="372" t="s">
        <v>53</v>
      </c>
      <c r="C226" s="372" t="s">
        <v>327</v>
      </c>
      <c r="D226" s="377" t="s">
        <v>51</v>
      </c>
      <c r="E226" s="372" t="s">
        <v>54</v>
      </c>
      <c r="F226" s="378">
        <v>54114</v>
      </c>
      <c r="G226" s="379" t="str">
        <f>proyectos!U1</f>
        <v>Materiales de Oficina</v>
      </c>
      <c r="H226" s="380">
        <f>proyectos!U19</f>
        <v>500</v>
      </c>
    </row>
    <row r="227" spans="1:8" ht="15.75" x14ac:dyDescent="0.25">
      <c r="A227" s="376">
        <v>3</v>
      </c>
      <c r="B227" s="372" t="s">
        <v>53</v>
      </c>
      <c r="C227" s="372" t="s">
        <v>327</v>
      </c>
      <c r="D227" s="377" t="s">
        <v>51</v>
      </c>
      <c r="E227" s="372" t="s">
        <v>54</v>
      </c>
      <c r="F227" s="378">
        <v>54118</v>
      </c>
      <c r="G227" s="379" t="str">
        <f>proyectos!X1</f>
        <v>Herramientas, Repuestos y Accesorios</v>
      </c>
      <c r="H227" s="380">
        <f>proyectos!X19</f>
        <v>200</v>
      </c>
    </row>
    <row r="228" spans="1:8" ht="15.75" x14ac:dyDescent="0.25">
      <c r="A228" s="376">
        <v>3</v>
      </c>
      <c r="B228" s="372" t="s">
        <v>53</v>
      </c>
      <c r="C228" s="372" t="s">
        <v>327</v>
      </c>
      <c r="D228" s="377" t="s">
        <v>51</v>
      </c>
      <c r="E228" s="372" t="s">
        <v>54</v>
      </c>
      <c r="F228" s="378">
        <v>54301</v>
      </c>
      <c r="G228" s="379" t="str">
        <f>proyectos!AD1</f>
        <v>Mantenimiento  y Repar. de Bienes  Muebles</v>
      </c>
      <c r="H228" s="380">
        <f>proyectos!AD19</f>
        <v>500</v>
      </c>
    </row>
    <row r="229" spans="1:8" ht="15.75" x14ac:dyDescent="0.25">
      <c r="A229" s="376">
        <v>3</v>
      </c>
      <c r="B229" s="372" t="s">
        <v>53</v>
      </c>
      <c r="C229" s="372" t="s">
        <v>327</v>
      </c>
      <c r="D229" s="377" t="s">
        <v>51</v>
      </c>
      <c r="E229" s="372" t="s">
        <v>54</v>
      </c>
      <c r="F229" s="378">
        <v>54314</v>
      </c>
      <c r="G229" s="379" t="str">
        <f>proyectos!AG1</f>
        <v>Atenciones Oficiales</v>
      </c>
      <c r="H229" s="380">
        <f>proyectos!AG19</f>
        <v>300</v>
      </c>
    </row>
    <row r="230" spans="1:8" ht="15.75" x14ac:dyDescent="0.25">
      <c r="A230" s="376">
        <v>3</v>
      </c>
      <c r="B230" s="372" t="s">
        <v>53</v>
      </c>
      <c r="C230" s="372" t="s">
        <v>327</v>
      </c>
      <c r="D230" s="377" t="s">
        <v>51</v>
      </c>
      <c r="E230" s="372" t="s">
        <v>54</v>
      </c>
      <c r="F230" s="381">
        <v>54307</v>
      </c>
      <c r="G230" s="382" t="str">
        <f>proyectos!AR1</f>
        <v>fumigaciones</v>
      </c>
      <c r="H230" s="383">
        <f>proyectos!AR19</f>
        <v>500</v>
      </c>
    </row>
    <row r="231" spans="1:8" ht="21" thickBot="1" x14ac:dyDescent="0.25">
      <c r="A231" s="882" t="s">
        <v>374</v>
      </c>
      <c r="B231" s="883"/>
      <c r="C231" s="883"/>
      <c r="D231" s="883"/>
      <c r="E231" s="883"/>
      <c r="F231" s="883"/>
      <c r="G231" s="884"/>
      <c r="H231" s="384">
        <f>SUM(H224:H230)</f>
        <v>3000</v>
      </c>
    </row>
    <row r="232" spans="1:8" x14ac:dyDescent="0.2">
      <c r="A232" s="402"/>
      <c r="B232" s="402"/>
      <c r="C232" s="402"/>
      <c r="D232" s="402"/>
      <c r="E232" s="402"/>
      <c r="F232" s="402"/>
      <c r="G232" s="48"/>
      <c r="H232" s="403"/>
    </row>
    <row r="233" spans="1:8" x14ac:dyDescent="0.2">
      <c r="A233" s="425"/>
      <c r="B233" s="425"/>
      <c r="C233" s="425"/>
      <c r="D233" s="425"/>
      <c r="E233" s="425"/>
      <c r="F233" s="425"/>
      <c r="G233" s="48"/>
      <c r="H233" s="71"/>
    </row>
    <row r="234" spans="1:8" ht="18" x14ac:dyDescent="0.2">
      <c r="A234" s="870" t="s">
        <v>412</v>
      </c>
      <c r="B234" s="870"/>
      <c r="C234" s="870"/>
      <c r="D234" s="870"/>
      <c r="E234" s="870"/>
      <c r="F234" s="870"/>
      <c r="G234" s="870"/>
      <c r="H234" s="870"/>
    </row>
    <row r="235" spans="1:8" ht="18" x14ac:dyDescent="0.2">
      <c r="A235" s="871" t="s">
        <v>411</v>
      </c>
      <c r="B235" s="871"/>
      <c r="C235" s="871"/>
      <c r="D235" s="871"/>
      <c r="E235" s="871"/>
      <c r="F235" s="871"/>
      <c r="G235" s="871"/>
      <c r="H235" s="871"/>
    </row>
    <row r="236" spans="1:8" ht="15.75" x14ac:dyDescent="0.2">
      <c r="A236" s="872" t="s">
        <v>227</v>
      </c>
      <c r="B236" s="872"/>
      <c r="C236" s="872"/>
      <c r="D236" s="872"/>
      <c r="E236" s="872"/>
      <c r="F236" s="872"/>
      <c r="G236" s="872"/>
      <c r="H236" s="872"/>
    </row>
    <row r="237" spans="1:8" ht="15.75" x14ac:dyDescent="0.2">
      <c r="A237" s="872" t="s">
        <v>605</v>
      </c>
      <c r="B237" s="872"/>
      <c r="C237" s="872"/>
      <c r="D237" s="872"/>
      <c r="E237" s="872"/>
      <c r="F237" s="872"/>
      <c r="G237" s="872"/>
      <c r="H237" s="872"/>
    </row>
    <row r="238" spans="1:8" ht="15.75" x14ac:dyDescent="0.25">
      <c r="A238" s="867" t="s">
        <v>13</v>
      </c>
      <c r="B238" s="867"/>
      <c r="C238" s="867"/>
      <c r="D238" s="867"/>
      <c r="E238" s="867"/>
      <c r="F238" s="867"/>
      <c r="G238" s="867"/>
      <c r="H238" s="867"/>
    </row>
    <row r="239" spans="1:8" ht="15.75" x14ac:dyDescent="0.25">
      <c r="A239" s="865" t="s">
        <v>378</v>
      </c>
      <c r="B239" s="865"/>
      <c r="C239" s="865"/>
      <c r="D239" s="865"/>
      <c r="E239" s="865"/>
      <c r="F239" s="865"/>
      <c r="G239" s="865"/>
      <c r="H239" s="865"/>
    </row>
    <row r="240" spans="1:8" ht="14.25" x14ac:dyDescent="0.2">
      <c r="A240" s="866" t="str">
        <f>proyectos!B20</f>
        <v>PROGRAMA DE APOYO A LA AGRICULTURA DEL MUNICIPIO DE ZARAGOZA</v>
      </c>
      <c r="B240" s="866"/>
      <c r="C240" s="866"/>
      <c r="D240" s="866"/>
      <c r="E240" s="866"/>
      <c r="F240" s="866"/>
      <c r="G240" s="866"/>
      <c r="H240" s="866"/>
    </row>
    <row r="241" spans="1:11" ht="15.75" x14ac:dyDescent="0.25">
      <c r="A241" s="865" t="s">
        <v>373</v>
      </c>
      <c r="B241" s="865"/>
      <c r="C241" s="865"/>
      <c r="D241" s="865"/>
      <c r="E241" s="865"/>
      <c r="F241" s="865"/>
      <c r="G241" s="865"/>
      <c r="H241" s="865"/>
    </row>
    <row r="242" spans="1:11" ht="15.75" x14ac:dyDescent="0.25">
      <c r="A242" s="857" t="s">
        <v>376</v>
      </c>
      <c r="B242" s="857"/>
      <c r="C242" s="857"/>
      <c r="D242" s="857"/>
      <c r="E242" s="857"/>
      <c r="F242" s="857"/>
      <c r="G242" s="857"/>
      <c r="H242" s="857"/>
    </row>
    <row r="243" spans="1:11" ht="14.25" x14ac:dyDescent="0.2">
      <c r="A243" s="895" t="str">
        <f>A240</f>
        <v>PROGRAMA DE APOYO A LA AGRICULTURA DEL MUNICIPIO DE ZARAGOZA</v>
      </c>
      <c r="B243" s="895"/>
      <c r="C243" s="895"/>
      <c r="D243" s="895"/>
      <c r="E243" s="895"/>
      <c r="F243" s="895"/>
      <c r="G243" s="895"/>
      <c r="H243" s="895"/>
    </row>
    <row r="244" spans="1:11" ht="21.75" customHeight="1" x14ac:dyDescent="0.2">
      <c r="A244" s="888" t="s">
        <v>0</v>
      </c>
      <c r="B244" s="888"/>
      <c r="C244" s="888"/>
      <c r="D244" s="888"/>
      <c r="E244" s="888"/>
      <c r="F244" s="888"/>
      <c r="G244" s="889" t="s">
        <v>180</v>
      </c>
      <c r="H244" s="890" t="s">
        <v>181</v>
      </c>
      <c r="K244" s="862">
        <v>12</v>
      </c>
    </row>
    <row r="245" spans="1:11" ht="114.75" customHeight="1" x14ac:dyDescent="0.2">
      <c r="A245" s="435" t="s">
        <v>171</v>
      </c>
      <c r="B245" s="435" t="s">
        <v>172</v>
      </c>
      <c r="C245" s="435" t="s">
        <v>143</v>
      </c>
      <c r="D245" s="435" t="s">
        <v>174</v>
      </c>
      <c r="E245" s="435" t="s">
        <v>182</v>
      </c>
      <c r="F245" s="435" t="s">
        <v>118</v>
      </c>
      <c r="G245" s="889"/>
      <c r="H245" s="890"/>
      <c r="K245" s="862"/>
    </row>
    <row r="246" spans="1:11" ht="16.5" thickBot="1" x14ac:dyDescent="0.3">
      <c r="A246" s="371">
        <v>3</v>
      </c>
      <c r="B246" s="372" t="s">
        <v>53</v>
      </c>
      <c r="C246" s="372" t="s">
        <v>327</v>
      </c>
      <c r="D246" s="372" t="s">
        <v>51</v>
      </c>
      <c r="E246" s="372" t="s">
        <v>54</v>
      </c>
      <c r="F246" s="373"/>
      <c r="G246" s="374" t="str">
        <f>proyectos!P1</f>
        <v>Productos Agropecuarios y Forestales</v>
      </c>
      <c r="H246" s="375">
        <f>proyectos!P20</f>
        <v>15000</v>
      </c>
    </row>
    <row r="247" spans="1:11" ht="18.75" thickBot="1" x14ac:dyDescent="0.25">
      <c r="A247" s="875" t="s">
        <v>374</v>
      </c>
      <c r="B247" s="876"/>
      <c r="C247" s="876"/>
      <c r="D247" s="876"/>
      <c r="E247" s="876"/>
      <c r="F247" s="876"/>
      <c r="G247" s="877"/>
      <c r="H247" s="412">
        <f>SUM(H246:H246)</f>
        <v>15000</v>
      </c>
    </row>
    <row r="248" spans="1:11" x14ac:dyDescent="0.2">
      <c r="A248" s="402"/>
      <c r="B248" s="402"/>
      <c r="C248" s="402"/>
      <c r="D248" s="402"/>
      <c r="E248" s="402"/>
      <c r="F248" s="402"/>
      <c r="G248" s="48"/>
      <c r="H248" s="403"/>
    </row>
    <row r="249" spans="1:11" x14ac:dyDescent="0.2">
      <c r="A249" s="869"/>
      <c r="B249" s="869"/>
      <c r="C249" s="869"/>
      <c r="D249" s="869"/>
      <c r="E249" s="869"/>
      <c r="F249" s="869"/>
      <c r="G249" s="869"/>
      <c r="H249" s="193"/>
    </row>
    <row r="250" spans="1:11" x14ac:dyDescent="0.2">
      <c r="A250" s="869"/>
      <c r="B250" s="869"/>
      <c r="C250" s="869"/>
      <c r="D250" s="869"/>
      <c r="E250" s="869"/>
      <c r="F250" s="869"/>
      <c r="G250" s="869"/>
      <c r="H250" s="71"/>
    </row>
    <row r="251" spans="1:11" x14ac:dyDescent="0.2">
      <c r="A251" s="425"/>
      <c r="B251" s="425"/>
      <c r="C251" s="425"/>
      <c r="D251" s="425"/>
      <c r="E251" s="425"/>
      <c r="F251" s="425"/>
      <c r="G251" s="48"/>
      <c r="H251" s="71"/>
    </row>
    <row r="252" spans="1:11" ht="18" x14ac:dyDescent="0.2">
      <c r="A252" s="870" t="s">
        <v>412</v>
      </c>
      <c r="B252" s="870"/>
      <c r="C252" s="870"/>
      <c r="D252" s="870"/>
      <c r="E252" s="870"/>
      <c r="F252" s="870"/>
      <c r="G252" s="870"/>
      <c r="H252" s="870"/>
    </row>
    <row r="253" spans="1:11" ht="18" x14ac:dyDescent="0.2">
      <c r="A253" s="871" t="s">
        <v>411</v>
      </c>
      <c r="B253" s="871"/>
      <c r="C253" s="871"/>
      <c r="D253" s="871"/>
      <c r="E253" s="871"/>
      <c r="F253" s="871"/>
      <c r="G253" s="871"/>
      <c r="H253" s="871"/>
    </row>
    <row r="254" spans="1:11" ht="15.75" x14ac:dyDescent="0.2">
      <c r="A254" s="896" t="s">
        <v>227</v>
      </c>
      <c r="B254" s="896"/>
      <c r="C254" s="896"/>
      <c r="D254" s="896"/>
      <c r="E254" s="896"/>
      <c r="F254" s="896"/>
      <c r="G254" s="896"/>
      <c r="H254" s="896"/>
    </row>
    <row r="255" spans="1:11" ht="15.75" x14ac:dyDescent="0.2">
      <c r="A255" s="872" t="s">
        <v>605</v>
      </c>
      <c r="B255" s="872"/>
      <c r="C255" s="872"/>
      <c r="D255" s="872"/>
      <c r="E255" s="872"/>
      <c r="F255" s="872"/>
      <c r="G255" s="872"/>
      <c r="H255" s="872"/>
    </row>
    <row r="256" spans="1:11" ht="15.75" x14ac:dyDescent="0.25">
      <c r="A256" s="867" t="s">
        <v>13</v>
      </c>
      <c r="B256" s="867"/>
      <c r="C256" s="867"/>
      <c r="D256" s="867"/>
      <c r="E256" s="867"/>
      <c r="F256" s="867"/>
      <c r="G256" s="867"/>
      <c r="H256" s="867"/>
    </row>
    <row r="257" spans="1:11" ht="15.75" x14ac:dyDescent="0.25">
      <c r="A257" s="837" t="s">
        <v>378</v>
      </c>
      <c r="B257" s="837"/>
      <c r="C257" s="837"/>
      <c r="D257" s="837"/>
      <c r="E257" s="837"/>
      <c r="F257" s="837"/>
      <c r="G257" s="837"/>
      <c r="H257" s="837"/>
    </row>
    <row r="258" spans="1:11" ht="15.75" x14ac:dyDescent="0.25">
      <c r="A258" s="865" t="str">
        <f>proyectos!B22</f>
        <v>PAVIMENTACION DE 170 MTS DE LA CALLE PPAL DE LA COMUNIDAD LA VEGA #2</v>
      </c>
      <c r="B258" s="865"/>
      <c r="C258" s="865"/>
      <c r="D258" s="865"/>
      <c r="E258" s="865"/>
      <c r="F258" s="865"/>
      <c r="G258" s="865"/>
      <c r="H258" s="865"/>
    </row>
    <row r="259" spans="1:11" ht="15.75" x14ac:dyDescent="0.25">
      <c r="A259" s="865" t="s">
        <v>373</v>
      </c>
      <c r="B259" s="865"/>
      <c r="C259" s="865"/>
      <c r="D259" s="865"/>
      <c r="E259" s="865"/>
      <c r="F259" s="865"/>
      <c r="G259" s="865"/>
      <c r="H259" s="865"/>
    </row>
    <row r="260" spans="1:11" ht="15.75" x14ac:dyDescent="0.25">
      <c r="A260" s="865" t="s">
        <v>376</v>
      </c>
      <c r="B260" s="865"/>
      <c r="C260" s="865"/>
      <c r="D260" s="865"/>
      <c r="E260" s="865"/>
      <c r="F260" s="865"/>
      <c r="G260" s="865"/>
      <c r="H260" s="865"/>
    </row>
    <row r="261" spans="1:11" ht="16.5" thickBot="1" x14ac:dyDescent="0.3">
      <c r="A261" s="878" t="str">
        <f>A258</f>
        <v>PAVIMENTACION DE 170 MTS DE LA CALLE PPAL DE LA COMUNIDAD LA VEGA #2</v>
      </c>
      <c r="B261" s="878"/>
      <c r="C261" s="878"/>
      <c r="D261" s="878"/>
      <c r="E261" s="878"/>
      <c r="F261" s="878"/>
      <c r="G261" s="878"/>
      <c r="H261" s="878"/>
    </row>
    <row r="262" spans="1:11" ht="23.25" customHeight="1" thickBot="1" x14ac:dyDescent="0.25">
      <c r="A262" s="885" t="s">
        <v>0</v>
      </c>
      <c r="B262" s="886"/>
      <c r="C262" s="886"/>
      <c r="D262" s="886"/>
      <c r="E262" s="886"/>
      <c r="F262" s="886"/>
      <c r="G262" s="775" t="s">
        <v>180</v>
      </c>
      <c r="H262" s="777" t="s">
        <v>181</v>
      </c>
      <c r="K262" s="863">
        <v>13</v>
      </c>
    </row>
    <row r="263" spans="1:11" ht="119.25" customHeight="1" thickBot="1" x14ac:dyDescent="0.25">
      <c r="A263" s="369" t="s">
        <v>171</v>
      </c>
      <c r="B263" s="307" t="s">
        <v>172</v>
      </c>
      <c r="C263" s="307" t="s">
        <v>143</v>
      </c>
      <c r="D263" s="307" t="s">
        <v>174</v>
      </c>
      <c r="E263" s="370" t="s">
        <v>182</v>
      </c>
      <c r="F263" s="308" t="s">
        <v>118</v>
      </c>
      <c r="G263" s="776"/>
      <c r="H263" s="778"/>
      <c r="K263" s="863"/>
    </row>
    <row r="264" spans="1:11" ht="15.75" x14ac:dyDescent="0.25">
      <c r="A264" s="371">
        <v>3</v>
      </c>
      <c r="B264" s="372" t="s">
        <v>53</v>
      </c>
      <c r="C264" s="372" t="s">
        <v>327</v>
      </c>
      <c r="D264" s="372" t="s">
        <v>51</v>
      </c>
      <c r="E264" s="372" t="s">
        <v>54</v>
      </c>
      <c r="F264" s="373" t="s">
        <v>226</v>
      </c>
      <c r="G264" s="374" t="s">
        <v>208</v>
      </c>
      <c r="H264" s="375">
        <f>proyectos!M22</f>
        <v>9000</v>
      </c>
    </row>
    <row r="265" spans="1:11" ht="15.75" x14ac:dyDescent="0.25">
      <c r="A265" s="376">
        <v>3</v>
      </c>
      <c r="B265" s="372" t="s">
        <v>53</v>
      </c>
      <c r="C265" s="372" t="s">
        <v>327</v>
      </c>
      <c r="D265" s="377" t="s">
        <v>51</v>
      </c>
      <c r="E265" s="372" t="s">
        <v>54</v>
      </c>
      <c r="F265" s="378">
        <v>54111</v>
      </c>
      <c r="G265" s="379" t="s">
        <v>48</v>
      </c>
      <c r="H265" s="375">
        <f>proyectos!T22</f>
        <v>21103.98</v>
      </c>
    </row>
    <row r="266" spans="1:11" ht="15.75" x14ac:dyDescent="0.25">
      <c r="A266" s="376">
        <v>3</v>
      </c>
      <c r="B266" s="372" t="s">
        <v>53</v>
      </c>
      <c r="C266" s="372" t="s">
        <v>327</v>
      </c>
      <c r="D266" s="377" t="s">
        <v>51</v>
      </c>
      <c r="E266" s="372" t="s">
        <v>54</v>
      </c>
      <c r="F266" s="378">
        <v>54112</v>
      </c>
      <c r="G266" s="379" t="s">
        <v>47</v>
      </c>
      <c r="H266" s="375">
        <f>proyectos!AV22</f>
        <v>2000</v>
      </c>
    </row>
    <row r="267" spans="1:11" ht="15.75" x14ac:dyDescent="0.25">
      <c r="A267" s="376">
        <v>3</v>
      </c>
      <c r="B267" s="372" t="s">
        <v>53</v>
      </c>
      <c r="C267" s="372" t="s">
        <v>327</v>
      </c>
      <c r="D267" s="377" t="s">
        <v>51</v>
      </c>
      <c r="E267" s="372" t="s">
        <v>54</v>
      </c>
      <c r="F267" s="378">
        <v>54118</v>
      </c>
      <c r="G267" s="379" t="s">
        <v>377</v>
      </c>
      <c r="H267" s="375">
        <f>proyectos!X22</f>
        <v>300</v>
      </c>
    </row>
    <row r="268" spans="1:11" ht="16.5" thickBot="1" x14ac:dyDescent="0.3">
      <c r="A268" s="376">
        <v>3</v>
      </c>
      <c r="B268" s="372" t="s">
        <v>53</v>
      </c>
      <c r="C268" s="372" t="s">
        <v>327</v>
      </c>
      <c r="D268" s="377" t="s">
        <v>51</v>
      </c>
      <c r="E268" s="372" t="s">
        <v>54</v>
      </c>
      <c r="F268" s="378">
        <v>54399</v>
      </c>
      <c r="G268" s="379" t="str">
        <f>proyectos!AH1</f>
        <v>Servicios Generales y Arrendamientos Diversos</v>
      </c>
      <c r="H268" s="375">
        <f>proyectos!AH22</f>
        <v>1596.02</v>
      </c>
    </row>
    <row r="269" spans="1:11" ht="18.75" thickBot="1" x14ac:dyDescent="0.25">
      <c r="A269" s="875" t="s">
        <v>374</v>
      </c>
      <c r="B269" s="876"/>
      <c r="C269" s="876"/>
      <c r="D269" s="876"/>
      <c r="E269" s="876"/>
      <c r="F269" s="876"/>
      <c r="G269" s="877"/>
      <c r="H269" s="430">
        <f>SUM(H264:H268)</f>
        <v>34000</v>
      </c>
    </row>
    <row r="270" spans="1:11" ht="18" x14ac:dyDescent="0.2">
      <c r="A270" s="427"/>
      <c r="B270" s="427"/>
      <c r="C270" s="427"/>
      <c r="D270" s="427"/>
      <c r="E270" s="427"/>
      <c r="F270" s="427"/>
      <c r="G270" s="427"/>
      <c r="H270" s="444"/>
    </row>
    <row r="271" spans="1:11" ht="18" x14ac:dyDescent="0.2">
      <c r="A271" s="427"/>
      <c r="B271" s="427"/>
      <c r="C271" s="427"/>
      <c r="D271" s="427"/>
      <c r="E271" s="427"/>
      <c r="F271" s="427"/>
      <c r="G271" s="427"/>
      <c r="H271" s="444"/>
    </row>
    <row r="272" spans="1:11" ht="18" x14ac:dyDescent="0.2">
      <c r="A272" s="870" t="s">
        <v>412</v>
      </c>
      <c r="B272" s="870"/>
      <c r="C272" s="870"/>
      <c r="D272" s="870"/>
      <c r="E272" s="870"/>
      <c r="F272" s="870"/>
      <c r="G272" s="870"/>
      <c r="H272" s="870"/>
    </row>
    <row r="273" spans="1:8" ht="18" x14ac:dyDescent="0.2">
      <c r="A273" s="871" t="s">
        <v>411</v>
      </c>
      <c r="B273" s="871"/>
      <c r="C273" s="871"/>
      <c r="D273" s="871"/>
      <c r="E273" s="871"/>
      <c r="F273" s="871"/>
      <c r="G273" s="871"/>
      <c r="H273" s="871"/>
    </row>
    <row r="274" spans="1:8" ht="15.75" x14ac:dyDescent="0.2">
      <c r="A274" s="872" t="s">
        <v>227</v>
      </c>
      <c r="B274" s="872"/>
      <c r="C274" s="872"/>
      <c r="D274" s="872"/>
      <c r="E274" s="872"/>
      <c r="F274" s="872"/>
      <c r="G274" s="872"/>
      <c r="H274" s="872"/>
    </row>
    <row r="275" spans="1:8" ht="15.75" x14ac:dyDescent="0.2">
      <c r="A275" s="872" t="s">
        <v>605</v>
      </c>
      <c r="B275" s="872"/>
      <c r="C275" s="872"/>
      <c r="D275" s="872"/>
      <c r="E275" s="872"/>
      <c r="F275" s="872"/>
      <c r="G275" s="872"/>
      <c r="H275" s="872"/>
    </row>
    <row r="276" spans="1:8" ht="15.75" x14ac:dyDescent="0.25">
      <c r="A276" s="867" t="s">
        <v>13</v>
      </c>
      <c r="B276" s="867"/>
      <c r="C276" s="867"/>
      <c r="D276" s="867"/>
      <c r="E276" s="867"/>
      <c r="F276" s="867"/>
      <c r="G276" s="867"/>
      <c r="H276" s="867"/>
    </row>
    <row r="277" spans="1:8" ht="15.75" x14ac:dyDescent="0.25">
      <c r="A277" s="865" t="s">
        <v>378</v>
      </c>
      <c r="B277" s="865"/>
      <c r="C277" s="865"/>
      <c r="D277" s="865"/>
      <c r="E277" s="865"/>
      <c r="F277" s="865"/>
      <c r="G277" s="865"/>
      <c r="H277" s="865"/>
    </row>
    <row r="278" spans="1:8" ht="15.75" x14ac:dyDescent="0.25">
      <c r="A278" s="865" t="str">
        <f>proyectos!B27</f>
        <v>CONSTRUCION DE PUENTE EN COMUNIDAD CORINTO #1</v>
      </c>
      <c r="B278" s="865"/>
      <c r="C278" s="865"/>
      <c r="D278" s="865"/>
      <c r="E278" s="865"/>
      <c r="F278" s="865"/>
      <c r="G278" s="865"/>
      <c r="H278" s="865"/>
    </row>
    <row r="279" spans="1:8" ht="15.75" x14ac:dyDescent="0.25">
      <c r="A279" s="865" t="s">
        <v>373</v>
      </c>
      <c r="B279" s="865"/>
      <c r="C279" s="865"/>
      <c r="D279" s="865"/>
      <c r="E279" s="865"/>
      <c r="F279" s="865"/>
      <c r="G279" s="865"/>
      <c r="H279" s="865"/>
    </row>
    <row r="280" spans="1:8" ht="15.75" x14ac:dyDescent="0.25">
      <c r="A280" s="857" t="s">
        <v>376</v>
      </c>
      <c r="B280" s="857"/>
      <c r="C280" s="857"/>
      <c r="D280" s="857"/>
      <c r="E280" s="857"/>
      <c r="F280" s="857"/>
      <c r="G280" s="857"/>
      <c r="H280" s="857"/>
    </row>
    <row r="281" spans="1:8" ht="15.75" x14ac:dyDescent="0.25">
      <c r="A281" s="894" t="str">
        <f>A278</f>
        <v>CONSTRUCION DE PUENTE EN COMUNIDAD CORINTO #1</v>
      </c>
      <c r="B281" s="894"/>
      <c r="C281" s="894"/>
      <c r="D281" s="894"/>
      <c r="E281" s="894"/>
      <c r="F281" s="894"/>
      <c r="G281" s="894"/>
      <c r="H281" s="894"/>
    </row>
    <row r="282" spans="1:8" x14ac:dyDescent="0.2">
      <c r="A282" s="888" t="s">
        <v>0</v>
      </c>
      <c r="B282" s="888"/>
      <c r="C282" s="888"/>
      <c r="D282" s="888"/>
      <c r="E282" s="888"/>
      <c r="F282" s="888"/>
      <c r="G282" s="889" t="s">
        <v>180</v>
      </c>
      <c r="H282" s="890" t="s">
        <v>181</v>
      </c>
    </row>
    <row r="283" spans="1:8" ht="162.75" x14ac:dyDescent="0.2">
      <c r="A283" s="435" t="s">
        <v>171</v>
      </c>
      <c r="B283" s="435" t="s">
        <v>172</v>
      </c>
      <c r="C283" s="435" t="s">
        <v>143</v>
      </c>
      <c r="D283" s="435" t="s">
        <v>174</v>
      </c>
      <c r="E283" s="435" t="s">
        <v>182</v>
      </c>
      <c r="F283" s="435" t="s">
        <v>118</v>
      </c>
      <c r="G283" s="889"/>
      <c r="H283" s="890"/>
    </row>
    <row r="284" spans="1:8" ht="15.75" x14ac:dyDescent="0.25">
      <c r="A284" s="433">
        <v>3</v>
      </c>
      <c r="B284" s="377" t="s">
        <v>53</v>
      </c>
      <c r="C284" s="377" t="s">
        <v>327</v>
      </c>
      <c r="D284" s="377" t="s">
        <v>51</v>
      </c>
      <c r="E284" s="377" t="s">
        <v>54</v>
      </c>
      <c r="F284" s="436">
        <v>51202</v>
      </c>
      <c r="G284" s="445" t="str">
        <f>proyectos!M1</f>
        <v>Salarios por Jornal</v>
      </c>
      <c r="H284" s="446">
        <f>proyectos!M27</f>
        <v>18000</v>
      </c>
    </row>
    <row r="285" spans="1:8" ht="15.75" x14ac:dyDescent="0.25">
      <c r="A285" s="433">
        <v>3</v>
      </c>
      <c r="B285" s="377" t="s">
        <v>53</v>
      </c>
      <c r="C285" s="377" t="s">
        <v>327</v>
      </c>
      <c r="D285" s="377" t="s">
        <v>51</v>
      </c>
      <c r="E285" s="377" t="s">
        <v>54</v>
      </c>
      <c r="F285" s="436">
        <v>54111</v>
      </c>
      <c r="G285" s="445" t="str">
        <f>proyectos!T1</f>
        <v>Miner. No Metalicos y Prod. Der.</v>
      </c>
      <c r="H285" s="446">
        <f>proyectos!T27</f>
        <v>22000</v>
      </c>
    </row>
    <row r="286" spans="1:8" ht="15.75" x14ac:dyDescent="0.25">
      <c r="A286" s="433">
        <v>3</v>
      </c>
      <c r="B286" s="377" t="s">
        <v>53</v>
      </c>
      <c r="C286" s="377" t="s">
        <v>327</v>
      </c>
      <c r="D286" s="377" t="s">
        <v>51</v>
      </c>
      <c r="E286" s="377" t="s">
        <v>54</v>
      </c>
      <c r="F286" s="381">
        <v>54399</v>
      </c>
      <c r="G286" s="382" t="str">
        <f>proyectos!AH1</f>
        <v>Servicios Generales y Arrendamientos Diversos</v>
      </c>
      <c r="H286" s="447">
        <f>proyectos!AH27</f>
        <v>2000</v>
      </c>
    </row>
    <row r="287" spans="1:8" ht="15.75" x14ac:dyDescent="0.25">
      <c r="A287" s="433">
        <v>3</v>
      </c>
      <c r="B287" s="377" t="s">
        <v>53</v>
      </c>
      <c r="C287" s="377" t="s">
        <v>327</v>
      </c>
      <c r="D287" s="377" t="s">
        <v>51</v>
      </c>
      <c r="E287" s="377" t="s">
        <v>54</v>
      </c>
      <c r="F287" s="381">
        <v>54112</v>
      </c>
      <c r="G287" s="382" t="str">
        <f>proyectos!AV1</f>
        <v>Miner.meta. y prod.deriv</v>
      </c>
      <c r="H287" s="447">
        <f>proyectos!AV27</f>
        <v>3000</v>
      </c>
    </row>
    <row r="288" spans="1:8" ht="18" x14ac:dyDescent="0.2">
      <c r="A288" s="891" t="s">
        <v>374</v>
      </c>
      <c r="B288" s="891"/>
      <c r="C288" s="891"/>
      <c r="D288" s="891"/>
      <c r="E288" s="891"/>
      <c r="F288" s="891"/>
      <c r="G288" s="891"/>
      <c r="H288" s="439">
        <f>SUM(H284:H287)</f>
        <v>45000</v>
      </c>
    </row>
    <row r="289" spans="1:11" ht="18" x14ac:dyDescent="0.2">
      <c r="A289" s="427"/>
      <c r="B289" s="427"/>
      <c r="C289" s="427"/>
      <c r="D289" s="427"/>
      <c r="E289" s="427"/>
      <c r="F289" s="427"/>
      <c r="G289" s="427"/>
      <c r="H289" s="444"/>
    </row>
    <row r="290" spans="1:11" x14ac:dyDescent="0.2">
      <c r="A290" s="431"/>
      <c r="B290" s="431"/>
      <c r="C290" s="431"/>
      <c r="D290" s="431"/>
      <c r="E290" s="431"/>
      <c r="F290" s="431"/>
      <c r="G290" s="431"/>
      <c r="H290" s="71"/>
    </row>
    <row r="291" spans="1:11" x14ac:dyDescent="0.2">
      <c r="A291" s="425"/>
      <c r="B291" s="425"/>
      <c r="C291" s="425"/>
      <c r="D291" s="425"/>
      <c r="E291" s="425"/>
      <c r="F291" s="425"/>
      <c r="G291" s="48"/>
      <c r="H291" s="71"/>
    </row>
    <row r="292" spans="1:11" ht="18" x14ac:dyDescent="0.2">
      <c r="A292" s="870" t="s">
        <v>412</v>
      </c>
      <c r="B292" s="870"/>
      <c r="C292" s="870"/>
      <c r="D292" s="870"/>
      <c r="E292" s="870"/>
      <c r="F292" s="870"/>
      <c r="G292" s="870"/>
      <c r="H292" s="870"/>
    </row>
    <row r="293" spans="1:11" ht="18" x14ac:dyDescent="0.2">
      <c r="A293" s="871" t="s">
        <v>411</v>
      </c>
      <c r="B293" s="871"/>
      <c r="C293" s="871"/>
      <c r="D293" s="871"/>
      <c r="E293" s="871"/>
      <c r="F293" s="871"/>
      <c r="G293" s="871"/>
      <c r="H293" s="871"/>
    </row>
    <row r="294" spans="1:11" ht="15.75" x14ac:dyDescent="0.2">
      <c r="A294" s="872" t="s">
        <v>227</v>
      </c>
      <c r="B294" s="872"/>
      <c r="C294" s="872"/>
      <c r="D294" s="872"/>
      <c r="E294" s="872"/>
      <c r="F294" s="872"/>
      <c r="G294" s="872"/>
      <c r="H294" s="872"/>
    </row>
    <row r="295" spans="1:11" ht="15.75" x14ac:dyDescent="0.2">
      <c r="A295" s="872" t="s">
        <v>605</v>
      </c>
      <c r="B295" s="872"/>
      <c r="C295" s="872"/>
      <c r="D295" s="872"/>
      <c r="E295" s="872"/>
      <c r="F295" s="872"/>
      <c r="G295" s="872"/>
      <c r="H295" s="872"/>
    </row>
    <row r="296" spans="1:11" ht="15.75" x14ac:dyDescent="0.25">
      <c r="A296" s="867" t="s">
        <v>13</v>
      </c>
      <c r="B296" s="867"/>
      <c r="C296" s="867"/>
      <c r="D296" s="867"/>
      <c r="E296" s="867"/>
      <c r="F296" s="867"/>
      <c r="G296" s="867"/>
      <c r="H296" s="867"/>
    </row>
    <row r="297" spans="1:11" ht="15.75" x14ac:dyDescent="0.25">
      <c r="A297" s="865" t="s">
        <v>378</v>
      </c>
      <c r="B297" s="865"/>
      <c r="C297" s="865"/>
      <c r="D297" s="865"/>
      <c r="E297" s="865"/>
      <c r="F297" s="865"/>
      <c r="G297" s="865"/>
      <c r="H297" s="865"/>
    </row>
    <row r="298" spans="1:11" ht="15.75" x14ac:dyDescent="0.25">
      <c r="A298" s="865" t="str">
        <f>proyectos!B28</f>
        <v>PAVIMENTACION DEL PASAJE #4  EN COL LAS MARGARITAS</v>
      </c>
      <c r="B298" s="865"/>
      <c r="C298" s="865"/>
      <c r="D298" s="865"/>
      <c r="E298" s="865"/>
      <c r="F298" s="865"/>
      <c r="G298" s="865"/>
      <c r="H298" s="865"/>
    </row>
    <row r="299" spans="1:11" ht="15.75" x14ac:dyDescent="0.25">
      <c r="A299" s="865" t="s">
        <v>373</v>
      </c>
      <c r="B299" s="865"/>
      <c r="C299" s="865"/>
      <c r="D299" s="865"/>
      <c r="E299" s="865"/>
      <c r="F299" s="865"/>
      <c r="G299" s="865"/>
      <c r="H299" s="865"/>
    </row>
    <row r="300" spans="1:11" ht="15.75" x14ac:dyDescent="0.25">
      <c r="A300" s="857" t="s">
        <v>376</v>
      </c>
      <c r="B300" s="857"/>
      <c r="C300" s="857"/>
      <c r="D300" s="857"/>
      <c r="E300" s="857"/>
      <c r="F300" s="857"/>
      <c r="G300" s="857"/>
      <c r="H300" s="857"/>
    </row>
    <row r="301" spans="1:11" ht="15.75" x14ac:dyDescent="0.25">
      <c r="A301" s="894" t="str">
        <f>A298</f>
        <v>PAVIMENTACION DEL PASAJE #4  EN COL LAS MARGARITAS</v>
      </c>
      <c r="B301" s="894"/>
      <c r="C301" s="894"/>
      <c r="D301" s="894"/>
      <c r="E301" s="894"/>
      <c r="F301" s="894"/>
      <c r="G301" s="894"/>
      <c r="H301" s="894"/>
    </row>
    <row r="302" spans="1:11" ht="32.25" customHeight="1" thickBot="1" x14ac:dyDescent="0.25">
      <c r="A302" s="897" t="s">
        <v>0</v>
      </c>
      <c r="B302" s="898"/>
      <c r="C302" s="898"/>
      <c r="D302" s="898"/>
      <c r="E302" s="898"/>
      <c r="F302" s="898"/>
      <c r="G302" s="899" t="s">
        <v>180</v>
      </c>
      <c r="H302" s="900" t="s">
        <v>181</v>
      </c>
      <c r="K302" s="862">
        <v>14</v>
      </c>
    </row>
    <row r="303" spans="1:11" ht="101.25" customHeight="1" thickBot="1" x14ac:dyDescent="0.25">
      <c r="A303" s="369" t="s">
        <v>171</v>
      </c>
      <c r="B303" s="307" t="s">
        <v>172</v>
      </c>
      <c r="C303" s="307" t="s">
        <v>143</v>
      </c>
      <c r="D303" s="307" t="s">
        <v>174</v>
      </c>
      <c r="E303" s="370" t="s">
        <v>182</v>
      </c>
      <c r="F303" s="308" t="s">
        <v>118</v>
      </c>
      <c r="G303" s="776"/>
      <c r="H303" s="778"/>
      <c r="K303" s="862"/>
    </row>
    <row r="304" spans="1:11" ht="15.75" x14ac:dyDescent="0.25">
      <c r="A304" s="376">
        <v>3</v>
      </c>
      <c r="B304" s="372" t="s">
        <v>53</v>
      </c>
      <c r="C304" s="372" t="s">
        <v>327</v>
      </c>
      <c r="D304" s="377" t="s">
        <v>51</v>
      </c>
      <c r="E304" s="372" t="s">
        <v>54</v>
      </c>
      <c r="F304" s="436">
        <v>51202</v>
      </c>
      <c r="G304" s="445" t="str">
        <f>G284</f>
        <v>Salarios por Jornal</v>
      </c>
      <c r="H304" s="380">
        <f>proyectos!M28</f>
        <v>9000</v>
      </c>
    </row>
    <row r="305" spans="1:8" ht="15.75" x14ac:dyDescent="0.25">
      <c r="A305" s="376">
        <v>3</v>
      </c>
      <c r="B305" s="372" t="s">
        <v>53</v>
      </c>
      <c r="C305" s="372" t="s">
        <v>327</v>
      </c>
      <c r="D305" s="377" t="s">
        <v>51</v>
      </c>
      <c r="E305" s="372" t="s">
        <v>54</v>
      </c>
      <c r="F305" s="436">
        <v>54111</v>
      </c>
      <c r="G305" s="445" t="str">
        <f>G285</f>
        <v>Miner. No Metalicos y Prod. Der.</v>
      </c>
      <c r="H305" s="380">
        <f>proyectos!T28</f>
        <v>12000</v>
      </c>
    </row>
    <row r="306" spans="1:8" ht="15.75" x14ac:dyDescent="0.25">
      <c r="A306" s="376">
        <v>3</v>
      </c>
      <c r="B306" s="372" t="s">
        <v>53</v>
      </c>
      <c r="C306" s="372" t="s">
        <v>327</v>
      </c>
      <c r="D306" s="377" t="s">
        <v>51</v>
      </c>
      <c r="E306" s="372" t="s">
        <v>54</v>
      </c>
      <c r="F306" s="381">
        <v>54399</v>
      </c>
      <c r="G306" s="382" t="str">
        <f>G287</f>
        <v>Miner.meta. y prod.deriv</v>
      </c>
      <c r="H306" s="380">
        <f>proyectos!AV28</f>
        <v>2750</v>
      </c>
    </row>
    <row r="307" spans="1:8" ht="16.5" thickBot="1" x14ac:dyDescent="0.3">
      <c r="A307" s="376">
        <v>3</v>
      </c>
      <c r="B307" s="372" t="s">
        <v>53</v>
      </c>
      <c r="C307" s="372" t="s">
        <v>327</v>
      </c>
      <c r="D307" s="377" t="s">
        <v>51</v>
      </c>
      <c r="E307" s="372" t="s">
        <v>54</v>
      </c>
      <c r="F307" s="381">
        <v>54112</v>
      </c>
      <c r="G307" s="382" t="str">
        <f>G286</f>
        <v>Servicios Generales y Arrendamientos Diversos</v>
      </c>
      <c r="H307" s="380">
        <f>proyectos!AH28</f>
        <v>1250</v>
      </c>
    </row>
    <row r="308" spans="1:8" ht="18.75" thickBot="1" x14ac:dyDescent="0.25">
      <c r="A308" s="875" t="s">
        <v>374</v>
      </c>
      <c r="B308" s="876"/>
      <c r="C308" s="876"/>
      <c r="D308" s="876"/>
      <c r="E308" s="876"/>
      <c r="F308" s="876"/>
      <c r="G308" s="877"/>
      <c r="H308" s="430">
        <f>SUM(H304:H307)</f>
        <v>25000</v>
      </c>
    </row>
    <row r="309" spans="1:8" x14ac:dyDescent="0.2">
      <c r="A309" s="402"/>
      <c r="B309" s="402"/>
      <c r="C309" s="402"/>
      <c r="D309" s="402"/>
      <c r="E309" s="402"/>
      <c r="F309" s="402"/>
      <c r="G309" s="48"/>
      <c r="H309" s="403"/>
    </row>
    <row r="310" spans="1:8" x14ac:dyDescent="0.2">
      <c r="A310" s="869"/>
      <c r="B310" s="869"/>
      <c r="C310" s="869"/>
      <c r="D310" s="869"/>
      <c r="E310" s="869"/>
      <c r="F310" s="869"/>
      <c r="G310" s="869"/>
      <c r="H310" s="71"/>
    </row>
    <row r="311" spans="1:8" x14ac:dyDescent="0.2">
      <c r="A311" s="425"/>
      <c r="B311" s="425"/>
      <c r="C311" s="425"/>
      <c r="D311" s="425"/>
      <c r="E311" s="425"/>
      <c r="F311" s="425"/>
      <c r="G311" s="48"/>
      <c r="H311" s="71"/>
    </row>
    <row r="312" spans="1:8" ht="18" x14ac:dyDescent="0.2">
      <c r="A312" s="870" t="s">
        <v>412</v>
      </c>
      <c r="B312" s="870"/>
      <c r="C312" s="870"/>
      <c r="D312" s="870"/>
      <c r="E312" s="870"/>
      <c r="F312" s="870"/>
      <c r="G312" s="870"/>
      <c r="H312" s="870"/>
    </row>
    <row r="313" spans="1:8" ht="18" x14ac:dyDescent="0.2">
      <c r="A313" s="871" t="s">
        <v>411</v>
      </c>
      <c r="B313" s="871"/>
      <c r="C313" s="871"/>
      <c r="D313" s="871"/>
      <c r="E313" s="871"/>
      <c r="F313" s="871"/>
      <c r="G313" s="871"/>
      <c r="H313" s="871"/>
    </row>
    <row r="314" spans="1:8" ht="15.75" x14ac:dyDescent="0.2">
      <c r="A314" s="872" t="s">
        <v>227</v>
      </c>
      <c r="B314" s="872"/>
      <c r="C314" s="872"/>
      <c r="D314" s="872"/>
      <c r="E314" s="872"/>
      <c r="F314" s="872"/>
      <c r="G314" s="872"/>
      <c r="H314" s="872"/>
    </row>
    <row r="315" spans="1:8" ht="15.75" x14ac:dyDescent="0.2">
      <c r="A315" s="872" t="s">
        <v>605</v>
      </c>
      <c r="B315" s="872"/>
      <c r="C315" s="872"/>
      <c r="D315" s="872"/>
      <c r="E315" s="872"/>
      <c r="F315" s="872"/>
      <c r="G315" s="872"/>
      <c r="H315" s="872"/>
    </row>
    <row r="316" spans="1:8" ht="15.75" x14ac:dyDescent="0.25">
      <c r="A316" s="867" t="s">
        <v>13</v>
      </c>
      <c r="B316" s="867"/>
      <c r="C316" s="867"/>
      <c r="D316" s="867"/>
      <c r="E316" s="867"/>
      <c r="F316" s="867"/>
      <c r="G316" s="867"/>
      <c r="H316" s="867"/>
    </row>
    <row r="317" spans="1:8" ht="15.75" x14ac:dyDescent="0.25">
      <c r="A317" s="865" t="s">
        <v>378</v>
      </c>
      <c r="B317" s="865"/>
      <c r="C317" s="865"/>
      <c r="D317" s="865"/>
      <c r="E317" s="865"/>
      <c r="F317" s="865"/>
      <c r="G317" s="865"/>
      <c r="H317" s="865"/>
    </row>
    <row r="318" spans="1:8" ht="14.25" x14ac:dyDescent="0.2">
      <c r="A318" s="866" t="str">
        <f>proyectos!B29</f>
        <v xml:space="preserve">ALUMBRADO PUBLICO </v>
      </c>
      <c r="B318" s="866"/>
      <c r="C318" s="866"/>
      <c r="D318" s="866"/>
      <c r="E318" s="866"/>
      <c r="F318" s="866"/>
      <c r="G318" s="866"/>
      <c r="H318" s="866"/>
    </row>
    <row r="319" spans="1:8" ht="15.75" x14ac:dyDescent="0.25">
      <c r="A319" s="865" t="s">
        <v>373</v>
      </c>
      <c r="B319" s="865"/>
      <c r="C319" s="865"/>
      <c r="D319" s="865"/>
      <c r="E319" s="865"/>
      <c r="F319" s="865"/>
      <c r="G319" s="865"/>
      <c r="H319" s="865"/>
    </row>
    <row r="320" spans="1:8" ht="15.75" x14ac:dyDescent="0.25">
      <c r="A320" s="865" t="s">
        <v>376</v>
      </c>
      <c r="B320" s="865"/>
      <c r="C320" s="865"/>
      <c r="D320" s="865"/>
      <c r="E320" s="865"/>
      <c r="F320" s="865"/>
      <c r="G320" s="865"/>
      <c r="H320" s="865"/>
    </row>
    <row r="321" spans="1:11" ht="15" thickBot="1" x14ac:dyDescent="0.25">
      <c r="A321" s="887" t="str">
        <f>A318</f>
        <v xml:space="preserve">ALUMBRADO PUBLICO </v>
      </c>
      <c r="B321" s="887"/>
      <c r="C321" s="887"/>
      <c r="D321" s="887"/>
      <c r="E321" s="887"/>
      <c r="F321" s="887"/>
      <c r="G321" s="887"/>
      <c r="H321" s="887"/>
    </row>
    <row r="322" spans="1:11" ht="26.25" customHeight="1" thickBot="1" x14ac:dyDescent="0.25">
      <c r="A322" s="885" t="s">
        <v>0</v>
      </c>
      <c r="B322" s="886"/>
      <c r="C322" s="886"/>
      <c r="D322" s="886"/>
      <c r="E322" s="886"/>
      <c r="F322" s="886"/>
      <c r="G322" s="775" t="s">
        <v>180</v>
      </c>
      <c r="H322" s="777" t="s">
        <v>181</v>
      </c>
      <c r="K322" s="862">
        <v>15</v>
      </c>
    </row>
    <row r="323" spans="1:11" ht="112.5" customHeight="1" thickBot="1" x14ac:dyDescent="0.25">
      <c r="A323" s="369" t="s">
        <v>171</v>
      </c>
      <c r="B323" s="307" t="s">
        <v>172</v>
      </c>
      <c r="C323" s="307" t="s">
        <v>143</v>
      </c>
      <c r="D323" s="307" t="s">
        <v>174</v>
      </c>
      <c r="E323" s="370" t="s">
        <v>182</v>
      </c>
      <c r="F323" s="308" t="s">
        <v>118</v>
      </c>
      <c r="G323" s="776"/>
      <c r="H323" s="778"/>
      <c r="K323" s="862"/>
    </row>
    <row r="324" spans="1:11" ht="15.75" x14ac:dyDescent="0.25">
      <c r="A324" s="371">
        <v>3</v>
      </c>
      <c r="B324" s="372" t="s">
        <v>53</v>
      </c>
      <c r="C324" s="449" t="s">
        <v>49</v>
      </c>
      <c r="D324" s="372" t="s">
        <v>51</v>
      </c>
      <c r="E324" s="372" t="s">
        <v>54</v>
      </c>
      <c r="F324" s="373" t="s">
        <v>641</v>
      </c>
      <c r="G324" s="374" t="str">
        <f>proyectos!AB1</f>
        <v>Materiales Electricos</v>
      </c>
      <c r="H324" s="375">
        <f>proyectos!AB29</f>
        <v>28000</v>
      </c>
    </row>
    <row r="325" spans="1:11" ht="16.5" thickBot="1" x14ac:dyDescent="0.3">
      <c r="A325" s="376">
        <v>3</v>
      </c>
      <c r="B325" s="372" t="s">
        <v>53</v>
      </c>
      <c r="C325" s="449" t="s">
        <v>49</v>
      </c>
      <c r="D325" s="377" t="s">
        <v>51</v>
      </c>
      <c r="E325" s="372" t="s">
        <v>54</v>
      </c>
      <c r="F325" s="378"/>
      <c r="G325" s="379"/>
      <c r="H325" s="380"/>
    </row>
    <row r="326" spans="1:11" ht="18.75" thickBot="1" x14ac:dyDescent="0.25">
      <c r="A326" s="875" t="s">
        <v>374</v>
      </c>
      <c r="B326" s="876"/>
      <c r="C326" s="876"/>
      <c r="D326" s="876"/>
      <c r="E326" s="876"/>
      <c r="F326" s="876"/>
      <c r="G326" s="877"/>
      <c r="H326" s="430">
        <f>SUM(H324:H325)</f>
        <v>28000</v>
      </c>
    </row>
    <row r="327" spans="1:11" x14ac:dyDescent="0.2">
      <c r="A327" s="402"/>
      <c r="B327" s="402"/>
      <c r="C327" s="402"/>
      <c r="D327" s="402"/>
      <c r="E327" s="402"/>
      <c r="F327" s="402"/>
      <c r="G327" s="48"/>
      <c r="H327" s="403"/>
    </row>
    <row r="328" spans="1:11" x14ac:dyDescent="0.2">
      <c r="A328" s="869"/>
      <c r="B328" s="869"/>
      <c r="C328" s="869"/>
      <c r="D328" s="869"/>
      <c r="E328" s="869"/>
      <c r="F328" s="869"/>
      <c r="G328" s="869"/>
      <c r="H328" s="71"/>
    </row>
    <row r="329" spans="1:11" x14ac:dyDescent="0.2">
      <c r="A329" s="425"/>
      <c r="B329" s="425"/>
      <c r="C329" s="425"/>
      <c r="D329" s="425"/>
      <c r="E329" s="425"/>
      <c r="F329" s="425"/>
      <c r="G329" s="48"/>
      <c r="H329" s="71"/>
    </row>
    <row r="330" spans="1:11" ht="18" x14ac:dyDescent="0.2">
      <c r="A330" s="870" t="s">
        <v>412</v>
      </c>
      <c r="B330" s="870"/>
      <c r="C330" s="870"/>
      <c r="D330" s="870"/>
      <c r="E330" s="870"/>
      <c r="F330" s="870"/>
      <c r="G330" s="870"/>
      <c r="H330" s="870"/>
    </row>
    <row r="331" spans="1:11" ht="18" x14ac:dyDescent="0.2">
      <c r="A331" s="871" t="s">
        <v>411</v>
      </c>
      <c r="B331" s="871"/>
      <c r="C331" s="871"/>
      <c r="D331" s="871"/>
      <c r="E331" s="871"/>
      <c r="F331" s="871"/>
      <c r="G331" s="871"/>
      <c r="H331" s="871"/>
    </row>
    <row r="332" spans="1:11" ht="15.75" x14ac:dyDescent="0.2">
      <c r="A332" s="872" t="s">
        <v>227</v>
      </c>
      <c r="B332" s="872"/>
      <c r="C332" s="872"/>
      <c r="D332" s="872"/>
      <c r="E332" s="872"/>
      <c r="F332" s="872"/>
      <c r="G332" s="872"/>
      <c r="H332" s="872"/>
    </row>
    <row r="333" spans="1:11" ht="15.75" x14ac:dyDescent="0.2">
      <c r="A333" s="872" t="s">
        <v>605</v>
      </c>
      <c r="B333" s="872"/>
      <c r="C333" s="872"/>
      <c r="D333" s="872"/>
      <c r="E333" s="872"/>
      <c r="F333" s="872"/>
      <c r="G333" s="872"/>
      <c r="H333" s="872"/>
    </row>
    <row r="334" spans="1:11" ht="15.75" x14ac:dyDescent="0.25">
      <c r="A334" s="867" t="s">
        <v>13</v>
      </c>
      <c r="B334" s="867"/>
      <c r="C334" s="867"/>
      <c r="D334" s="867"/>
      <c r="E334" s="867"/>
      <c r="F334" s="867"/>
      <c r="G334" s="867"/>
      <c r="H334" s="867"/>
    </row>
    <row r="335" spans="1:11" ht="15.75" x14ac:dyDescent="0.25">
      <c r="A335" s="867" t="s">
        <v>378</v>
      </c>
      <c r="B335" s="867"/>
      <c r="C335" s="867"/>
      <c r="D335" s="867"/>
      <c r="E335" s="867"/>
      <c r="F335" s="867"/>
      <c r="G335" s="867"/>
      <c r="H335" s="867"/>
    </row>
    <row r="336" spans="1:11" ht="14.25" x14ac:dyDescent="0.2">
      <c r="A336" s="901" t="str">
        <f>proyectos!B30</f>
        <v>CAMBIO DE PASTO SINTETICO EN CANCHAS DEL POLIDEPORTIVO</v>
      </c>
      <c r="B336" s="901"/>
      <c r="C336" s="901"/>
      <c r="D336" s="901"/>
      <c r="E336" s="901"/>
      <c r="F336" s="901"/>
      <c r="G336" s="901"/>
      <c r="H336" s="901"/>
    </row>
    <row r="337" spans="1:11" ht="15.75" x14ac:dyDescent="0.25">
      <c r="A337" s="867" t="s">
        <v>373</v>
      </c>
      <c r="B337" s="867"/>
      <c r="C337" s="867"/>
      <c r="D337" s="867"/>
      <c r="E337" s="867"/>
      <c r="F337" s="867"/>
      <c r="G337" s="867"/>
      <c r="H337" s="867"/>
    </row>
    <row r="338" spans="1:11" ht="15.75" x14ac:dyDescent="0.25">
      <c r="A338" s="856" t="s">
        <v>376</v>
      </c>
      <c r="B338" s="856"/>
      <c r="C338" s="856"/>
      <c r="D338" s="856"/>
      <c r="E338" s="856"/>
      <c r="F338" s="856"/>
      <c r="G338" s="856"/>
      <c r="H338" s="856"/>
    </row>
    <row r="339" spans="1:11" ht="14.25" x14ac:dyDescent="0.2">
      <c r="A339" s="895" t="str">
        <f>A336</f>
        <v>CAMBIO DE PASTO SINTETICO EN CANCHAS DEL POLIDEPORTIVO</v>
      </c>
      <c r="B339" s="895"/>
      <c r="C339" s="895"/>
      <c r="D339" s="895"/>
      <c r="E339" s="895"/>
      <c r="F339" s="895"/>
      <c r="G339" s="895"/>
      <c r="H339" s="895"/>
    </row>
    <row r="340" spans="1:11" ht="24.75" customHeight="1" x14ac:dyDescent="0.2">
      <c r="A340" s="902" t="s">
        <v>0</v>
      </c>
      <c r="B340" s="902"/>
      <c r="C340" s="902"/>
      <c r="D340" s="902"/>
      <c r="E340" s="902"/>
      <c r="F340" s="902"/>
      <c r="G340" s="889" t="s">
        <v>180</v>
      </c>
      <c r="H340" s="890" t="s">
        <v>181</v>
      </c>
      <c r="K340" s="862">
        <v>16</v>
      </c>
    </row>
    <row r="341" spans="1:11" ht="99" customHeight="1" x14ac:dyDescent="0.2">
      <c r="A341" s="435" t="s">
        <v>171</v>
      </c>
      <c r="B341" s="435" t="s">
        <v>172</v>
      </c>
      <c r="C341" s="435" t="s">
        <v>143</v>
      </c>
      <c r="D341" s="435" t="s">
        <v>174</v>
      </c>
      <c r="E341" s="435" t="s">
        <v>182</v>
      </c>
      <c r="F341" s="435" t="s">
        <v>118</v>
      </c>
      <c r="G341" s="889"/>
      <c r="H341" s="890"/>
      <c r="K341" s="862"/>
    </row>
    <row r="342" spans="1:11" ht="15.75" x14ac:dyDescent="0.25">
      <c r="A342" s="433">
        <v>3</v>
      </c>
      <c r="B342" s="377" t="s">
        <v>53</v>
      </c>
      <c r="C342" s="521" t="s">
        <v>49</v>
      </c>
      <c r="D342" s="377" t="s">
        <v>51</v>
      </c>
      <c r="E342" s="377" t="s">
        <v>54</v>
      </c>
      <c r="F342" s="381">
        <v>54399</v>
      </c>
      <c r="G342" s="382" t="s">
        <v>559</v>
      </c>
      <c r="H342" s="383">
        <f>proyectos!AH30</f>
        <v>25000</v>
      </c>
    </row>
    <row r="343" spans="1:11" ht="18" x14ac:dyDescent="0.2">
      <c r="A343" s="891" t="s">
        <v>374</v>
      </c>
      <c r="B343" s="891"/>
      <c r="C343" s="891"/>
      <c r="D343" s="891"/>
      <c r="E343" s="891"/>
      <c r="F343" s="891"/>
      <c r="G343" s="891"/>
      <c r="H343" s="452">
        <f>SUM(H342:H342)</f>
        <v>25000</v>
      </c>
    </row>
    <row r="344" spans="1:11" x14ac:dyDescent="0.2">
      <c r="A344" s="402"/>
      <c r="B344" s="402"/>
      <c r="C344" s="402"/>
      <c r="D344" s="402"/>
      <c r="E344" s="402"/>
      <c r="F344" s="402"/>
      <c r="G344" s="48"/>
      <c r="H344" s="403"/>
    </row>
    <row r="345" spans="1:11" x14ac:dyDescent="0.2">
      <c r="A345" s="869"/>
      <c r="B345" s="869"/>
      <c r="C345" s="869"/>
      <c r="D345" s="869"/>
      <c r="E345" s="869"/>
      <c r="F345" s="869"/>
      <c r="G345" s="869"/>
      <c r="H345" s="193"/>
    </row>
    <row r="346" spans="1:11" x14ac:dyDescent="0.2">
      <c r="A346" s="869"/>
      <c r="B346" s="869"/>
      <c r="C346" s="869"/>
      <c r="D346" s="869"/>
      <c r="E346" s="869"/>
      <c r="F346" s="869"/>
      <c r="G346" s="869"/>
      <c r="H346" s="71"/>
    </row>
    <row r="347" spans="1:11" ht="18" x14ac:dyDescent="0.2">
      <c r="A347" s="870" t="s">
        <v>412</v>
      </c>
      <c r="B347" s="870"/>
      <c r="C347" s="870"/>
      <c r="D347" s="870"/>
      <c r="E347" s="870"/>
      <c r="F347" s="870"/>
      <c r="G347" s="870"/>
      <c r="H347" s="870"/>
    </row>
    <row r="348" spans="1:11" ht="18" x14ac:dyDescent="0.2">
      <c r="A348" s="870" t="s">
        <v>411</v>
      </c>
      <c r="B348" s="870"/>
      <c r="C348" s="870"/>
      <c r="D348" s="870"/>
      <c r="E348" s="870"/>
      <c r="F348" s="870"/>
      <c r="G348" s="870"/>
      <c r="H348" s="870"/>
    </row>
    <row r="349" spans="1:11" ht="15.75" x14ac:dyDescent="0.2">
      <c r="A349" s="872" t="s">
        <v>227</v>
      </c>
      <c r="B349" s="872"/>
      <c r="C349" s="872"/>
      <c r="D349" s="872"/>
      <c r="E349" s="872"/>
      <c r="F349" s="872"/>
      <c r="G349" s="872"/>
      <c r="H349" s="872"/>
      <c r="I349" s="180"/>
    </row>
    <row r="350" spans="1:11" ht="15.75" x14ac:dyDescent="0.2">
      <c r="A350" s="872" t="s">
        <v>605</v>
      </c>
      <c r="B350" s="872"/>
      <c r="C350" s="872"/>
      <c r="D350" s="872"/>
      <c r="E350" s="872"/>
      <c r="F350" s="872"/>
      <c r="G350" s="872"/>
      <c r="H350" s="872"/>
      <c r="I350" s="180"/>
    </row>
    <row r="351" spans="1:11" ht="15.75" x14ac:dyDescent="0.25">
      <c r="A351" s="867" t="s">
        <v>13</v>
      </c>
      <c r="B351" s="867"/>
      <c r="C351" s="867"/>
      <c r="D351" s="867"/>
      <c r="E351" s="867"/>
      <c r="F351" s="867"/>
      <c r="G351" s="867"/>
      <c r="H351" s="867"/>
      <c r="I351" s="180"/>
    </row>
    <row r="352" spans="1:11" ht="15.75" x14ac:dyDescent="0.25">
      <c r="A352" s="867" t="s">
        <v>378</v>
      </c>
      <c r="B352" s="867"/>
      <c r="C352" s="867"/>
      <c r="D352" s="867"/>
      <c r="E352" s="867"/>
      <c r="F352" s="867"/>
      <c r="G352" s="867"/>
      <c r="H352" s="867"/>
      <c r="I352" s="180"/>
    </row>
    <row r="353" spans="1:9" ht="14.25" x14ac:dyDescent="0.2">
      <c r="A353" s="901" t="str">
        <f>proyectos!B31</f>
        <v>BALASTREADO Y MANTENIMIENTO DE CALLES RURALES DEL MUNICIPIO</v>
      </c>
      <c r="B353" s="901"/>
      <c r="C353" s="901"/>
      <c r="D353" s="901"/>
      <c r="E353" s="901"/>
      <c r="F353" s="901"/>
      <c r="G353" s="901"/>
      <c r="H353" s="901"/>
      <c r="I353" s="180"/>
    </row>
    <row r="354" spans="1:9" ht="15.75" x14ac:dyDescent="0.25">
      <c r="A354" s="867" t="s">
        <v>373</v>
      </c>
      <c r="B354" s="867"/>
      <c r="C354" s="867"/>
      <c r="D354" s="867"/>
      <c r="E354" s="867"/>
      <c r="F354" s="867"/>
      <c r="G354" s="867"/>
      <c r="H354" s="867"/>
      <c r="I354" s="180"/>
    </row>
    <row r="355" spans="1:9" ht="15.75" x14ac:dyDescent="0.25">
      <c r="A355" s="856" t="s">
        <v>376</v>
      </c>
      <c r="B355" s="856"/>
      <c r="C355" s="856"/>
      <c r="D355" s="856"/>
      <c r="E355" s="856"/>
      <c r="F355" s="856"/>
      <c r="G355" s="856"/>
      <c r="H355" s="856"/>
      <c r="I355" s="180"/>
    </row>
    <row r="356" spans="1:9" ht="14.25" x14ac:dyDescent="0.2">
      <c r="A356" s="848" t="str">
        <f>A353</f>
        <v>BALASTREADO Y MANTENIMIENTO DE CALLES RURALES DEL MUNICIPIO</v>
      </c>
      <c r="B356" s="848"/>
      <c r="C356" s="848"/>
      <c r="D356" s="848"/>
      <c r="E356" s="848"/>
      <c r="F356" s="848"/>
      <c r="G356" s="848"/>
      <c r="H356" s="848"/>
      <c r="I356" s="180"/>
    </row>
    <row r="357" spans="1:9" ht="13.5" thickBot="1" x14ac:dyDescent="0.25">
      <c r="A357" s="903" t="s">
        <v>0</v>
      </c>
      <c r="B357" s="904"/>
      <c r="C357" s="904"/>
      <c r="D357" s="904"/>
      <c r="E357" s="904"/>
      <c r="F357" s="904"/>
      <c r="G357" s="899" t="s">
        <v>180</v>
      </c>
      <c r="H357" s="900" t="s">
        <v>181</v>
      </c>
      <c r="I357" s="180"/>
    </row>
    <row r="358" spans="1:9" ht="163.5" thickBot="1" x14ac:dyDescent="0.25">
      <c r="A358" s="369" t="s">
        <v>171</v>
      </c>
      <c r="B358" s="307" t="s">
        <v>172</v>
      </c>
      <c r="C358" s="307" t="s">
        <v>143</v>
      </c>
      <c r="D358" s="307" t="s">
        <v>174</v>
      </c>
      <c r="E358" s="370" t="s">
        <v>182</v>
      </c>
      <c r="F358" s="308" t="s">
        <v>118</v>
      </c>
      <c r="G358" s="776"/>
      <c r="H358" s="778"/>
      <c r="I358" s="180"/>
    </row>
    <row r="359" spans="1:9" ht="15.75" x14ac:dyDescent="0.25">
      <c r="A359" s="371">
        <v>3</v>
      </c>
      <c r="B359" s="372" t="s">
        <v>53</v>
      </c>
      <c r="C359" s="372" t="s">
        <v>327</v>
      </c>
      <c r="D359" s="372" t="s">
        <v>51</v>
      </c>
      <c r="E359" s="372" t="s">
        <v>54</v>
      </c>
      <c r="F359" s="373" t="s">
        <v>226</v>
      </c>
      <c r="G359" s="374" t="str">
        <f>proyectos!M1</f>
        <v>Salarios por Jornal</v>
      </c>
      <c r="H359" s="375">
        <f>proyectos!M31</f>
        <v>7000</v>
      </c>
      <c r="I359" s="180"/>
    </row>
    <row r="360" spans="1:9" ht="15.75" x14ac:dyDescent="0.25">
      <c r="A360" s="376">
        <v>3</v>
      </c>
      <c r="B360" s="372" t="s">
        <v>53</v>
      </c>
      <c r="C360" s="372" t="s">
        <v>327</v>
      </c>
      <c r="D360" s="377" t="s">
        <v>51</v>
      </c>
      <c r="E360" s="372" t="s">
        <v>54</v>
      </c>
      <c r="F360" s="378">
        <v>54111</v>
      </c>
      <c r="G360" s="379" t="str">
        <f>proyectos!T1</f>
        <v>Miner. No Metalicos y Prod. Der.</v>
      </c>
      <c r="H360" s="380">
        <f>proyectos!T31</f>
        <v>28000</v>
      </c>
      <c r="I360" s="180"/>
    </row>
    <row r="361" spans="1:9" ht="18.75" thickBot="1" x14ac:dyDescent="0.25">
      <c r="A361" s="882" t="s">
        <v>374</v>
      </c>
      <c r="B361" s="883"/>
      <c r="C361" s="883"/>
      <c r="D361" s="883"/>
      <c r="E361" s="883"/>
      <c r="F361" s="883"/>
      <c r="G361" s="884"/>
      <c r="H361" s="401">
        <f>SUM(H359:H360)</f>
        <v>35000</v>
      </c>
      <c r="I361" s="180"/>
    </row>
    <row r="362" spans="1:9" x14ac:dyDescent="0.2">
      <c r="A362" s="179"/>
      <c r="B362" s="179"/>
      <c r="C362" s="179"/>
      <c r="D362" s="179"/>
      <c r="E362" s="179"/>
      <c r="F362" s="179"/>
      <c r="G362" s="179"/>
      <c r="H362" s="161"/>
      <c r="I362" s="180"/>
    </row>
    <row r="363" spans="1:9" x14ac:dyDescent="0.2">
      <c r="A363" s="179"/>
      <c r="B363" s="179"/>
      <c r="C363" s="179"/>
      <c r="D363" s="179"/>
      <c r="E363" s="179"/>
      <c r="F363" s="179"/>
      <c r="G363" s="179"/>
      <c r="H363" s="161"/>
      <c r="I363" s="180"/>
    </row>
    <row r="364" spans="1:9" x14ac:dyDescent="0.2">
      <c r="A364" s="179"/>
      <c r="B364" s="179"/>
      <c r="C364" s="179"/>
      <c r="D364" s="179"/>
      <c r="E364" s="179"/>
      <c r="F364" s="179"/>
      <c r="G364" s="179"/>
      <c r="H364" s="161"/>
      <c r="I364" s="180"/>
    </row>
    <row r="365" spans="1:9" ht="18" x14ac:dyDescent="0.2">
      <c r="A365" s="870" t="s">
        <v>412</v>
      </c>
      <c r="B365" s="870"/>
      <c r="C365" s="870"/>
      <c r="D365" s="870"/>
      <c r="E365" s="870"/>
      <c r="F365" s="870"/>
      <c r="G365" s="870"/>
      <c r="H365" s="870"/>
      <c r="I365" s="180"/>
    </row>
    <row r="366" spans="1:9" ht="18" x14ac:dyDescent="0.2">
      <c r="A366" s="871" t="s">
        <v>411</v>
      </c>
      <c r="B366" s="871"/>
      <c r="C366" s="871"/>
      <c r="D366" s="871"/>
      <c r="E366" s="871"/>
      <c r="F366" s="871"/>
      <c r="G366" s="871"/>
      <c r="H366" s="871"/>
      <c r="I366" s="180"/>
    </row>
    <row r="367" spans="1:9" ht="15.75" x14ac:dyDescent="0.2">
      <c r="A367" s="872" t="s">
        <v>227</v>
      </c>
      <c r="B367" s="872"/>
      <c r="C367" s="872"/>
      <c r="D367" s="872"/>
      <c r="E367" s="872"/>
      <c r="F367" s="872"/>
      <c r="G367" s="872"/>
      <c r="H367" s="872"/>
      <c r="I367" s="180"/>
    </row>
    <row r="368" spans="1:9" ht="15.75" x14ac:dyDescent="0.2">
      <c r="A368" s="872" t="s">
        <v>605</v>
      </c>
      <c r="B368" s="872"/>
      <c r="C368" s="872"/>
      <c r="D368" s="872"/>
      <c r="E368" s="872"/>
      <c r="F368" s="872"/>
      <c r="G368" s="872"/>
      <c r="H368" s="872"/>
      <c r="I368" s="180"/>
    </row>
    <row r="369" spans="1:15" ht="15.75" x14ac:dyDescent="0.25">
      <c r="A369" s="867" t="s">
        <v>13</v>
      </c>
      <c r="B369" s="867"/>
      <c r="C369" s="867"/>
      <c r="D369" s="867"/>
      <c r="E369" s="867"/>
      <c r="F369" s="867"/>
      <c r="G369" s="867"/>
      <c r="H369" s="867"/>
      <c r="I369" s="180"/>
    </row>
    <row r="370" spans="1:15" ht="15.75" x14ac:dyDescent="0.25">
      <c r="A370" s="867" t="s">
        <v>378</v>
      </c>
      <c r="B370" s="867"/>
      <c r="C370" s="867"/>
      <c r="D370" s="867"/>
      <c r="E370" s="867"/>
      <c r="F370" s="867"/>
      <c r="G370" s="867"/>
      <c r="H370" s="867"/>
      <c r="I370" s="180"/>
    </row>
    <row r="371" spans="1:15" ht="14.25" x14ac:dyDescent="0.2">
      <c r="A371" s="901" t="str">
        <f>proyectos!B32</f>
        <v>PLAN BACHEO URBANO 2020</v>
      </c>
      <c r="B371" s="901"/>
      <c r="C371" s="901"/>
      <c r="D371" s="901"/>
      <c r="E371" s="901"/>
      <c r="F371" s="901"/>
      <c r="G371" s="901"/>
      <c r="H371" s="901"/>
      <c r="I371" s="180"/>
    </row>
    <row r="372" spans="1:15" ht="15.75" x14ac:dyDescent="0.25">
      <c r="A372" s="867" t="s">
        <v>373</v>
      </c>
      <c r="B372" s="867"/>
      <c r="C372" s="867"/>
      <c r="D372" s="867"/>
      <c r="E372" s="867"/>
      <c r="F372" s="867"/>
      <c r="G372" s="867"/>
      <c r="H372" s="867"/>
      <c r="I372" s="180"/>
    </row>
    <row r="373" spans="1:15" ht="15.75" x14ac:dyDescent="0.25">
      <c r="A373" s="867" t="s">
        <v>376</v>
      </c>
      <c r="B373" s="867"/>
      <c r="C373" s="867"/>
      <c r="D373" s="867"/>
      <c r="E373" s="867"/>
      <c r="F373" s="867"/>
      <c r="G373" s="867"/>
      <c r="H373" s="867"/>
      <c r="I373" s="180"/>
    </row>
    <row r="374" spans="1:15" ht="14.25" x14ac:dyDescent="0.2">
      <c r="A374" s="858" t="str">
        <f>A371</f>
        <v>PLAN BACHEO URBANO 2020</v>
      </c>
      <c r="B374" s="858"/>
      <c r="C374" s="858"/>
      <c r="D374" s="858"/>
      <c r="E374" s="858"/>
      <c r="F374" s="858"/>
      <c r="G374" s="858"/>
      <c r="H374" s="858"/>
      <c r="I374" s="180"/>
    </row>
    <row r="375" spans="1:15" x14ac:dyDescent="0.2">
      <c r="A375" s="902" t="s">
        <v>0</v>
      </c>
      <c r="B375" s="902"/>
      <c r="C375" s="902"/>
      <c r="D375" s="902"/>
      <c r="E375" s="902"/>
      <c r="F375" s="902"/>
      <c r="G375" s="889" t="s">
        <v>180</v>
      </c>
      <c r="H375" s="890" t="s">
        <v>181</v>
      </c>
      <c r="I375" s="180"/>
    </row>
    <row r="376" spans="1:15" ht="127.5" customHeight="1" x14ac:dyDescent="0.2">
      <c r="A376" s="435" t="s">
        <v>171</v>
      </c>
      <c r="B376" s="435" t="s">
        <v>172</v>
      </c>
      <c r="C376" s="435" t="s">
        <v>143</v>
      </c>
      <c r="D376" s="435" t="s">
        <v>174</v>
      </c>
      <c r="E376" s="435" t="s">
        <v>182</v>
      </c>
      <c r="F376" s="435" t="s">
        <v>118</v>
      </c>
      <c r="G376" s="889"/>
      <c r="H376" s="890"/>
      <c r="I376" s="180"/>
    </row>
    <row r="377" spans="1:15" ht="15.75" x14ac:dyDescent="0.25">
      <c r="A377" s="433">
        <v>3</v>
      </c>
      <c r="B377" s="377" t="s">
        <v>53</v>
      </c>
      <c r="C377" s="377" t="s">
        <v>327</v>
      </c>
      <c r="D377" s="377" t="s">
        <v>51</v>
      </c>
      <c r="E377" s="377" t="s">
        <v>54</v>
      </c>
      <c r="F377" s="377" t="s">
        <v>226</v>
      </c>
      <c r="G377" s="382" t="s">
        <v>208</v>
      </c>
      <c r="H377" s="383">
        <f>proyectos!M32</f>
        <v>5000</v>
      </c>
      <c r="I377" s="180"/>
    </row>
    <row r="378" spans="1:15" ht="15.75" x14ac:dyDescent="0.25">
      <c r="A378" s="433">
        <v>3</v>
      </c>
      <c r="B378" s="377" t="s">
        <v>53</v>
      </c>
      <c r="C378" s="377" t="s">
        <v>327</v>
      </c>
      <c r="D378" s="377" t="s">
        <v>51</v>
      </c>
      <c r="E378" s="377" t="s">
        <v>54</v>
      </c>
      <c r="F378" s="381">
        <v>54111</v>
      </c>
      <c r="G378" s="382" t="s">
        <v>48</v>
      </c>
      <c r="H378" s="383">
        <f>proyectos!T32</f>
        <v>20000</v>
      </c>
      <c r="I378" s="180"/>
    </row>
    <row r="379" spans="1:15" ht="15.75" x14ac:dyDescent="0.25">
      <c r="A379" s="433">
        <v>3</v>
      </c>
      <c r="B379" s="377" t="s">
        <v>53</v>
      </c>
      <c r="C379" s="377" t="s">
        <v>327</v>
      </c>
      <c r="D379" s="377" t="s">
        <v>51</v>
      </c>
      <c r="E379" s="377" t="s">
        <v>54</v>
      </c>
      <c r="F379" s="381">
        <v>54399</v>
      </c>
      <c r="G379" s="382" t="s">
        <v>559</v>
      </c>
      <c r="H379" s="383"/>
      <c r="I379" s="180"/>
    </row>
    <row r="380" spans="1:15" ht="18" x14ac:dyDescent="0.2">
      <c r="A380" s="891" t="s">
        <v>374</v>
      </c>
      <c r="B380" s="891"/>
      <c r="C380" s="891"/>
      <c r="D380" s="891"/>
      <c r="E380" s="891"/>
      <c r="F380" s="891"/>
      <c r="G380" s="891"/>
      <c r="H380" s="452">
        <f>SUM(H377:H379)</f>
        <v>25000</v>
      </c>
      <c r="I380" s="180"/>
    </row>
    <row r="381" spans="1:15" ht="18" x14ac:dyDescent="0.2">
      <c r="A381" s="427"/>
      <c r="B381" s="427"/>
      <c r="C381" s="427"/>
      <c r="D381" s="427"/>
      <c r="E381" s="427"/>
      <c r="F381" s="427"/>
      <c r="G381" s="427"/>
      <c r="H381" s="450"/>
      <c r="I381" s="180"/>
    </row>
    <row r="382" spans="1:15" x14ac:dyDescent="0.2">
      <c r="A382" s="273"/>
      <c r="B382" s="273"/>
      <c r="C382" s="273"/>
      <c r="D382" s="273"/>
      <c r="E382" s="273"/>
      <c r="F382" s="273"/>
      <c r="G382" s="273"/>
      <c r="H382" s="274"/>
      <c r="I382" s="180"/>
    </row>
    <row r="383" spans="1:15" hidden="1" x14ac:dyDescent="0.2">
      <c r="A383" s="264"/>
      <c r="B383" s="264"/>
      <c r="C383" s="264"/>
      <c r="D383" s="264"/>
      <c r="E383" s="264"/>
      <c r="F383" s="264"/>
      <c r="G383" s="264"/>
      <c r="H383" s="265"/>
      <c r="I383" s="266"/>
      <c r="J383" s="267"/>
      <c r="K383" s="267"/>
      <c r="L383" s="267"/>
      <c r="M383" s="267"/>
      <c r="N383" s="267"/>
      <c r="O383" s="267"/>
    </row>
    <row r="384" spans="1:15" hidden="1" x14ac:dyDescent="0.2">
      <c r="A384" s="264"/>
      <c r="B384" s="264"/>
      <c r="C384" s="264"/>
      <c r="D384" s="264"/>
      <c r="E384" s="264"/>
      <c r="F384" s="264"/>
      <c r="G384" s="264"/>
      <c r="H384" s="265"/>
      <c r="I384" s="266"/>
      <c r="J384" s="267"/>
      <c r="K384" s="267"/>
      <c r="L384" s="267"/>
      <c r="M384" s="267"/>
      <c r="N384" s="267"/>
      <c r="O384" s="267"/>
    </row>
    <row r="385" spans="1:15" hidden="1" x14ac:dyDescent="0.2">
      <c r="A385" s="264"/>
      <c r="B385" s="264"/>
      <c r="C385" s="264"/>
      <c r="D385" s="264"/>
      <c r="E385" s="264"/>
      <c r="F385" s="264"/>
      <c r="G385" s="264"/>
      <c r="H385" s="265"/>
      <c r="I385" s="266"/>
      <c r="J385" s="267"/>
      <c r="K385" s="267"/>
      <c r="L385" s="267"/>
      <c r="M385" s="267"/>
      <c r="N385" s="267"/>
      <c r="O385" s="267"/>
    </row>
    <row r="386" spans="1:15" hidden="1" x14ac:dyDescent="0.2">
      <c r="A386" s="264"/>
      <c r="B386" s="264"/>
      <c r="C386" s="264"/>
      <c r="D386" s="264"/>
      <c r="E386" s="264"/>
      <c r="F386" s="264"/>
      <c r="G386" s="264"/>
      <c r="H386" s="265"/>
      <c r="I386" s="266"/>
      <c r="J386" s="267"/>
      <c r="K386" s="267"/>
      <c r="L386" s="267"/>
      <c r="M386" s="267"/>
      <c r="N386" s="267"/>
      <c r="O386" s="267"/>
    </row>
    <row r="387" spans="1:15" hidden="1" x14ac:dyDescent="0.2">
      <c r="A387" s="264"/>
      <c r="B387" s="264"/>
      <c r="C387" s="264"/>
      <c r="D387" s="264"/>
      <c r="E387" s="264"/>
      <c r="F387" s="264"/>
      <c r="G387" s="264"/>
      <c r="H387" s="265"/>
      <c r="I387" s="266"/>
      <c r="J387" s="267"/>
      <c r="K387" s="267"/>
      <c r="L387" s="267"/>
      <c r="M387" s="267"/>
      <c r="N387" s="267"/>
      <c r="O387" s="267"/>
    </row>
    <row r="388" spans="1:15" hidden="1" x14ac:dyDescent="0.2">
      <c r="A388" s="264"/>
      <c r="B388" s="264"/>
      <c r="C388" s="264"/>
      <c r="D388" s="264"/>
      <c r="E388" s="264"/>
      <c r="F388" s="264"/>
      <c r="G388" s="264"/>
      <c r="H388" s="265"/>
      <c r="I388" s="266"/>
      <c r="J388" s="267"/>
      <c r="K388" s="267"/>
      <c r="L388" s="267"/>
      <c r="M388" s="267"/>
      <c r="N388" s="267"/>
      <c r="O388" s="267"/>
    </row>
    <row r="389" spans="1:15" hidden="1" x14ac:dyDescent="0.2">
      <c r="A389" s="264"/>
      <c r="B389" s="264"/>
      <c r="C389" s="264"/>
      <c r="D389" s="264"/>
      <c r="E389" s="264"/>
      <c r="F389" s="264"/>
      <c r="G389" s="264"/>
      <c r="H389" s="265"/>
      <c r="I389" s="266"/>
      <c r="J389" s="267"/>
      <c r="K389" s="267"/>
      <c r="L389" s="267"/>
      <c r="M389" s="267"/>
      <c r="N389" s="267"/>
      <c r="O389" s="267"/>
    </row>
    <row r="390" spans="1:15" hidden="1" x14ac:dyDescent="0.2">
      <c r="A390" s="264"/>
      <c r="B390" s="264"/>
      <c r="C390" s="264"/>
      <c r="D390" s="264"/>
      <c r="E390" s="264"/>
      <c r="F390" s="264"/>
      <c r="G390" s="264"/>
      <c r="H390" s="265"/>
      <c r="I390" s="266"/>
      <c r="J390" s="267"/>
      <c r="K390" s="267"/>
      <c r="L390" s="267"/>
      <c r="M390" s="267"/>
      <c r="N390" s="267"/>
      <c r="O390" s="267"/>
    </row>
    <row r="391" spans="1:15" hidden="1" x14ac:dyDescent="0.2">
      <c r="A391" s="264"/>
      <c r="B391" s="264"/>
      <c r="C391" s="264"/>
      <c r="D391" s="264"/>
      <c r="E391" s="264"/>
      <c r="F391" s="264"/>
      <c r="G391" s="264"/>
      <c r="H391" s="265"/>
      <c r="I391" s="266"/>
      <c r="J391" s="267"/>
      <c r="K391" s="267"/>
      <c r="L391" s="267"/>
      <c r="M391" s="267"/>
      <c r="N391" s="267"/>
      <c r="O391" s="267"/>
    </row>
    <row r="392" spans="1:15" ht="107.25" hidden="1" customHeight="1" x14ac:dyDescent="0.2">
      <c r="A392" s="264"/>
      <c r="B392" s="264"/>
      <c r="C392" s="264"/>
      <c r="D392" s="264"/>
      <c r="E392" s="264"/>
      <c r="F392" s="264"/>
      <c r="G392" s="264"/>
      <c r="H392" s="265"/>
      <c r="I392" s="266"/>
      <c r="J392" s="267"/>
      <c r="K392" s="267"/>
      <c r="L392" s="267"/>
      <c r="M392" s="267"/>
      <c r="N392" s="267"/>
      <c r="O392" s="267"/>
    </row>
    <row r="393" spans="1:15" ht="18" x14ac:dyDescent="0.2">
      <c r="A393" s="871" t="s">
        <v>412</v>
      </c>
      <c r="B393" s="871"/>
      <c r="C393" s="871"/>
      <c r="D393" s="871"/>
      <c r="E393" s="871"/>
      <c r="F393" s="871"/>
      <c r="G393" s="871"/>
      <c r="H393" s="871"/>
      <c r="I393" s="180"/>
    </row>
    <row r="394" spans="1:15" ht="18" x14ac:dyDescent="0.2">
      <c r="A394" s="871" t="s">
        <v>411</v>
      </c>
      <c r="B394" s="871"/>
      <c r="C394" s="871"/>
      <c r="D394" s="871"/>
      <c r="E394" s="871"/>
      <c r="F394" s="871"/>
      <c r="G394" s="871"/>
      <c r="H394" s="871"/>
      <c r="I394" s="180"/>
    </row>
    <row r="395" spans="1:15" ht="15.75" x14ac:dyDescent="0.2">
      <c r="A395" s="896" t="s">
        <v>227</v>
      </c>
      <c r="B395" s="896"/>
      <c r="C395" s="896"/>
      <c r="D395" s="896"/>
      <c r="E395" s="896"/>
      <c r="F395" s="896"/>
      <c r="G395" s="896"/>
      <c r="H395" s="896"/>
      <c r="I395" s="180"/>
    </row>
    <row r="396" spans="1:15" ht="15.75" x14ac:dyDescent="0.2">
      <c r="A396" s="896" t="s">
        <v>605</v>
      </c>
      <c r="B396" s="896"/>
      <c r="C396" s="896"/>
      <c r="D396" s="896"/>
      <c r="E396" s="896"/>
      <c r="F396" s="896"/>
      <c r="G396" s="896"/>
      <c r="H396" s="896"/>
      <c r="I396" s="180"/>
    </row>
    <row r="397" spans="1:15" ht="15.75" x14ac:dyDescent="0.25">
      <c r="A397" s="865" t="s">
        <v>13</v>
      </c>
      <c r="B397" s="865"/>
      <c r="C397" s="865"/>
      <c r="D397" s="865"/>
      <c r="E397" s="865"/>
      <c r="F397" s="865"/>
      <c r="G397" s="865"/>
      <c r="H397" s="865"/>
      <c r="I397" s="180"/>
    </row>
    <row r="398" spans="1:15" ht="15.75" x14ac:dyDescent="0.25">
      <c r="A398" s="865" t="str">
        <f>proyectos!B33</f>
        <v>PAVIMENTACION DE 100 MTS DE CALLE PPAL DE LA COL MALDONADO</v>
      </c>
      <c r="B398" s="865"/>
      <c r="C398" s="865"/>
      <c r="D398" s="865"/>
      <c r="E398" s="865"/>
      <c r="F398" s="865"/>
      <c r="G398" s="865"/>
      <c r="H398" s="865"/>
      <c r="I398" s="180"/>
    </row>
    <row r="399" spans="1:15" ht="15.75" x14ac:dyDescent="0.25">
      <c r="A399" s="865" t="s">
        <v>376</v>
      </c>
      <c r="B399" s="865"/>
      <c r="C399" s="865"/>
      <c r="D399" s="865"/>
      <c r="E399" s="865"/>
      <c r="F399" s="865"/>
      <c r="G399" s="865"/>
      <c r="H399" s="865"/>
      <c r="I399" s="180"/>
    </row>
    <row r="400" spans="1:15" ht="15.75" x14ac:dyDescent="0.25">
      <c r="A400" s="857" t="str">
        <f>A398</f>
        <v>PAVIMENTACION DE 100 MTS DE CALLE PPAL DE LA COL MALDONADO</v>
      </c>
      <c r="B400" s="857"/>
      <c r="C400" s="857"/>
      <c r="D400" s="857"/>
      <c r="E400" s="857"/>
      <c r="F400" s="857"/>
      <c r="G400" s="857"/>
      <c r="H400" s="857"/>
      <c r="I400" s="180"/>
    </row>
    <row r="401" spans="1:9" x14ac:dyDescent="0.2">
      <c r="A401" s="849" t="s">
        <v>0</v>
      </c>
      <c r="B401" s="849"/>
      <c r="C401" s="849"/>
      <c r="D401" s="849"/>
      <c r="E401" s="849"/>
      <c r="F401" s="849"/>
      <c r="G401" s="850" t="s">
        <v>180</v>
      </c>
      <c r="H401" s="851" t="s">
        <v>181</v>
      </c>
      <c r="I401" s="180"/>
    </row>
    <row r="402" spans="1:9" ht="110.25" customHeight="1" x14ac:dyDescent="0.2">
      <c r="A402" s="448" t="s">
        <v>171</v>
      </c>
      <c r="B402" s="448" t="s">
        <v>172</v>
      </c>
      <c r="C402" s="448" t="s">
        <v>143</v>
      </c>
      <c r="D402" s="448" t="s">
        <v>174</v>
      </c>
      <c r="E402" s="448" t="s">
        <v>182</v>
      </c>
      <c r="F402" s="448" t="s">
        <v>118</v>
      </c>
      <c r="G402" s="850"/>
      <c r="H402" s="851"/>
      <c r="I402" s="180"/>
    </row>
    <row r="403" spans="1:9" ht="15.75" x14ac:dyDescent="0.25">
      <c r="A403" s="433">
        <v>3</v>
      </c>
      <c r="B403" s="377" t="s">
        <v>53</v>
      </c>
      <c r="C403" s="377" t="s">
        <v>49</v>
      </c>
      <c r="D403" s="377" t="s">
        <v>51</v>
      </c>
      <c r="E403" s="377" t="s">
        <v>54</v>
      </c>
      <c r="F403" s="377" t="s">
        <v>226</v>
      </c>
      <c r="G403" s="382" t="s">
        <v>208</v>
      </c>
      <c r="H403" s="383">
        <f>proyectos!M33</f>
        <v>5000</v>
      </c>
      <c r="I403" s="180"/>
    </row>
    <row r="404" spans="1:9" ht="15.75" x14ac:dyDescent="0.25">
      <c r="A404" s="433">
        <v>3</v>
      </c>
      <c r="B404" s="377" t="s">
        <v>53</v>
      </c>
      <c r="C404" s="377" t="s">
        <v>49</v>
      </c>
      <c r="D404" s="377" t="s">
        <v>51</v>
      </c>
      <c r="E404" s="377" t="s">
        <v>54</v>
      </c>
      <c r="F404" s="381">
        <v>54111</v>
      </c>
      <c r="G404" s="382" t="s">
        <v>48</v>
      </c>
      <c r="H404" s="383">
        <f>proyectos!T33</f>
        <v>12000</v>
      </c>
      <c r="I404" s="180"/>
    </row>
    <row r="405" spans="1:9" ht="15.75" x14ac:dyDescent="0.25">
      <c r="A405" s="433">
        <v>3</v>
      </c>
      <c r="B405" s="377" t="s">
        <v>53</v>
      </c>
      <c r="C405" s="377" t="s">
        <v>49</v>
      </c>
      <c r="D405" s="377" t="s">
        <v>51</v>
      </c>
      <c r="E405" s="377" t="s">
        <v>54</v>
      </c>
      <c r="F405" s="381">
        <v>54399</v>
      </c>
      <c r="G405" s="382" t="s">
        <v>559</v>
      </c>
      <c r="H405" s="383">
        <f>proyectos!AH33</f>
        <v>3000</v>
      </c>
      <c r="I405" s="180"/>
    </row>
    <row r="406" spans="1:9" ht="15.75" x14ac:dyDescent="0.25">
      <c r="A406" s="433">
        <v>3</v>
      </c>
      <c r="B406" s="377" t="s">
        <v>53</v>
      </c>
      <c r="C406" s="377" t="s">
        <v>49</v>
      </c>
      <c r="D406" s="377" t="s">
        <v>51</v>
      </c>
      <c r="E406" s="377" t="s">
        <v>54</v>
      </c>
      <c r="F406" s="381">
        <v>54316</v>
      </c>
      <c r="G406" s="382" t="s">
        <v>233</v>
      </c>
      <c r="H406" s="383"/>
      <c r="I406" s="180"/>
    </row>
    <row r="407" spans="1:9" ht="18" x14ac:dyDescent="0.2">
      <c r="A407" s="859" t="s">
        <v>374</v>
      </c>
      <c r="B407" s="859"/>
      <c r="C407" s="859"/>
      <c r="D407" s="859"/>
      <c r="E407" s="859"/>
      <c r="F407" s="859"/>
      <c r="G407" s="859"/>
      <c r="H407" s="451">
        <f>SUM(H403:H406)</f>
        <v>20000</v>
      </c>
      <c r="I407" s="180"/>
    </row>
    <row r="408" spans="1:9" ht="18" x14ac:dyDescent="0.2">
      <c r="A408" s="270"/>
      <c r="B408" s="270"/>
      <c r="C408" s="270"/>
      <c r="D408" s="270"/>
      <c r="E408" s="270"/>
      <c r="F408" s="270"/>
      <c r="G408" s="270"/>
      <c r="H408" s="271"/>
      <c r="I408" s="180"/>
    </row>
    <row r="409" spans="1:9" x14ac:dyDescent="0.2">
      <c r="A409" s="273"/>
      <c r="B409" s="273"/>
      <c r="C409" s="273"/>
      <c r="D409" s="273"/>
      <c r="E409" s="273"/>
      <c r="F409" s="273"/>
      <c r="G409" s="273"/>
      <c r="H409" s="274"/>
      <c r="I409" s="180"/>
    </row>
    <row r="410" spans="1:9" ht="18" x14ac:dyDescent="0.2">
      <c r="A410" s="855" t="s">
        <v>412</v>
      </c>
      <c r="B410" s="855"/>
      <c r="C410" s="855"/>
      <c r="D410" s="855"/>
      <c r="E410" s="855"/>
      <c r="F410" s="855"/>
      <c r="G410" s="855"/>
      <c r="H410" s="855"/>
      <c r="I410" s="180"/>
    </row>
    <row r="411" spans="1:9" ht="18" x14ac:dyDescent="0.2">
      <c r="A411" s="855" t="s">
        <v>411</v>
      </c>
      <c r="B411" s="855"/>
      <c r="C411" s="855"/>
      <c r="D411" s="855"/>
      <c r="E411" s="855"/>
      <c r="F411" s="855"/>
      <c r="G411" s="855"/>
      <c r="H411" s="855"/>
      <c r="I411" s="180"/>
    </row>
    <row r="412" spans="1:9" ht="15.75" x14ac:dyDescent="0.2">
      <c r="A412" s="905" t="s">
        <v>227</v>
      </c>
      <c r="B412" s="905"/>
      <c r="C412" s="905"/>
      <c r="D412" s="905"/>
      <c r="E412" s="905"/>
      <c r="F412" s="905"/>
      <c r="G412" s="905"/>
      <c r="H412" s="905"/>
      <c r="I412" s="180"/>
    </row>
    <row r="413" spans="1:9" ht="15.75" x14ac:dyDescent="0.2">
      <c r="A413" s="905" t="s">
        <v>531</v>
      </c>
      <c r="B413" s="905"/>
      <c r="C413" s="905"/>
      <c r="D413" s="905"/>
      <c r="E413" s="905"/>
      <c r="F413" s="905"/>
      <c r="G413" s="905"/>
      <c r="H413" s="905"/>
      <c r="I413" s="180"/>
    </row>
    <row r="414" spans="1:9" ht="15" x14ac:dyDescent="0.2">
      <c r="A414" s="906" t="s">
        <v>13</v>
      </c>
      <c r="B414" s="906"/>
      <c r="C414" s="906"/>
      <c r="D414" s="906"/>
      <c r="E414" s="906"/>
      <c r="F414" s="906"/>
      <c r="G414" s="906"/>
      <c r="H414" s="906"/>
      <c r="I414" s="180"/>
    </row>
    <row r="415" spans="1:9" ht="15.75" x14ac:dyDescent="0.25">
      <c r="A415" s="865" t="str">
        <f>proyectos!B35</f>
        <v>PAVIMENTACION DE 200 METROS DE CALLES EN LA COL SAN ANTONIO #2</v>
      </c>
      <c r="B415" s="865"/>
      <c r="C415" s="865"/>
      <c r="D415" s="865"/>
      <c r="E415" s="865"/>
      <c r="F415" s="865"/>
      <c r="G415" s="865"/>
      <c r="H415" s="865"/>
      <c r="I415" s="180"/>
    </row>
    <row r="416" spans="1:9" ht="15.75" x14ac:dyDescent="0.25">
      <c r="A416" s="865" t="s">
        <v>376</v>
      </c>
      <c r="B416" s="865"/>
      <c r="C416" s="865"/>
      <c r="D416" s="865"/>
      <c r="E416" s="865"/>
      <c r="F416" s="865"/>
      <c r="G416" s="865"/>
      <c r="H416" s="865"/>
      <c r="I416" s="180"/>
    </row>
    <row r="417" spans="1:9" ht="15.75" x14ac:dyDescent="0.25">
      <c r="A417" s="865" t="str">
        <f>A415</f>
        <v>PAVIMENTACION DE 200 METROS DE CALLES EN LA COL SAN ANTONIO #2</v>
      </c>
      <c r="B417" s="865"/>
      <c r="C417" s="865"/>
      <c r="D417" s="865"/>
      <c r="E417" s="865"/>
      <c r="F417" s="865"/>
      <c r="G417" s="865"/>
      <c r="H417" s="865"/>
      <c r="I417" s="180"/>
    </row>
    <row r="418" spans="1:9" ht="14.25" x14ac:dyDescent="0.2">
      <c r="A418" s="895"/>
      <c r="B418" s="895"/>
      <c r="C418" s="895"/>
      <c r="D418" s="895"/>
      <c r="E418" s="895"/>
      <c r="F418" s="895"/>
      <c r="G418" s="895"/>
      <c r="H418" s="895"/>
      <c r="I418" s="180"/>
    </row>
    <row r="419" spans="1:9" x14ac:dyDescent="0.2">
      <c r="A419" s="902" t="s">
        <v>0</v>
      </c>
      <c r="B419" s="902"/>
      <c r="C419" s="902"/>
      <c r="D419" s="902"/>
      <c r="E419" s="902"/>
      <c r="F419" s="902"/>
      <c r="G419" s="889" t="s">
        <v>180</v>
      </c>
      <c r="H419" s="890" t="s">
        <v>181</v>
      </c>
      <c r="I419" s="180"/>
    </row>
    <row r="420" spans="1:9" ht="99" customHeight="1" x14ac:dyDescent="0.2">
      <c r="A420" s="435" t="s">
        <v>171</v>
      </c>
      <c r="B420" s="435" t="s">
        <v>172</v>
      </c>
      <c r="C420" s="435" t="s">
        <v>143</v>
      </c>
      <c r="D420" s="435" t="s">
        <v>174</v>
      </c>
      <c r="E420" s="435" t="s">
        <v>182</v>
      </c>
      <c r="F420" s="435" t="s">
        <v>118</v>
      </c>
      <c r="G420" s="889"/>
      <c r="H420" s="890"/>
      <c r="I420" s="180"/>
    </row>
    <row r="421" spans="1:9" ht="15.75" x14ac:dyDescent="0.25">
      <c r="A421" s="433">
        <v>3</v>
      </c>
      <c r="B421" s="377" t="s">
        <v>53</v>
      </c>
      <c r="C421" s="377" t="s">
        <v>49</v>
      </c>
      <c r="D421" s="377" t="s">
        <v>51</v>
      </c>
      <c r="E421" s="377" t="s">
        <v>54</v>
      </c>
      <c r="F421" s="377" t="s">
        <v>226</v>
      </c>
      <c r="G421" s="382" t="s">
        <v>208</v>
      </c>
      <c r="H421" s="383">
        <f>proyectos!M35</f>
        <v>9000</v>
      </c>
      <c r="I421" s="180"/>
    </row>
    <row r="422" spans="1:9" ht="15.75" x14ac:dyDescent="0.25">
      <c r="A422" s="433">
        <v>3</v>
      </c>
      <c r="B422" s="377" t="s">
        <v>53</v>
      </c>
      <c r="C422" s="377" t="s">
        <v>49</v>
      </c>
      <c r="D422" s="377" t="s">
        <v>51</v>
      </c>
      <c r="E422" s="377" t="s">
        <v>54</v>
      </c>
      <c r="F422" s="381">
        <v>54111</v>
      </c>
      <c r="G422" s="382" t="s">
        <v>48</v>
      </c>
      <c r="H422" s="383">
        <f>proyectos!T35</f>
        <v>23000</v>
      </c>
      <c r="I422" s="180"/>
    </row>
    <row r="423" spans="1:9" ht="15.75" x14ac:dyDescent="0.25">
      <c r="A423" s="433">
        <v>3</v>
      </c>
      <c r="B423" s="377" t="s">
        <v>53</v>
      </c>
      <c r="C423" s="377" t="s">
        <v>49</v>
      </c>
      <c r="D423" s="377" t="s">
        <v>51</v>
      </c>
      <c r="E423" s="377" t="s">
        <v>54</v>
      </c>
      <c r="F423" s="381">
        <v>54112</v>
      </c>
      <c r="G423" s="382" t="s">
        <v>47</v>
      </c>
      <c r="H423" s="383">
        <f>proyectos!AV35</f>
        <v>5000</v>
      </c>
      <c r="I423" s="180"/>
    </row>
    <row r="424" spans="1:9" ht="15.75" x14ac:dyDescent="0.25">
      <c r="A424" s="433">
        <v>3</v>
      </c>
      <c r="B424" s="377" t="s">
        <v>53</v>
      </c>
      <c r="C424" s="377" t="s">
        <v>49</v>
      </c>
      <c r="D424" s="377" t="s">
        <v>51</v>
      </c>
      <c r="E424" s="377" t="s">
        <v>54</v>
      </c>
      <c r="F424" s="381">
        <v>54304</v>
      </c>
      <c r="G424" s="382" t="str">
        <f>proyectos!AF1</f>
        <v>Transportes Fletes y almacenamientos</v>
      </c>
      <c r="H424" s="383">
        <f>proyectos!AF35</f>
        <v>1000</v>
      </c>
      <c r="I424" s="180"/>
    </row>
    <row r="425" spans="1:9" ht="15.75" x14ac:dyDescent="0.25">
      <c r="A425" s="433">
        <v>3</v>
      </c>
      <c r="B425" s="377" t="s">
        <v>53</v>
      </c>
      <c r="C425" s="377" t="s">
        <v>49</v>
      </c>
      <c r="D425" s="377" t="s">
        <v>51</v>
      </c>
      <c r="E425" s="377" t="s">
        <v>54</v>
      </c>
      <c r="F425" s="381">
        <v>54399</v>
      </c>
      <c r="G425" s="382" t="s">
        <v>559</v>
      </c>
      <c r="H425" s="383">
        <f>proyectos!AH35</f>
        <v>2000</v>
      </c>
      <c r="I425" s="180"/>
    </row>
    <row r="426" spans="1:9" ht="18" x14ac:dyDescent="0.2">
      <c r="A426" s="891" t="s">
        <v>374</v>
      </c>
      <c r="B426" s="891"/>
      <c r="C426" s="891"/>
      <c r="D426" s="891"/>
      <c r="E426" s="891"/>
      <c r="F426" s="891"/>
      <c r="G426" s="891"/>
      <c r="H426" s="452">
        <f>SUM(H421:H425)</f>
        <v>40000</v>
      </c>
      <c r="I426" s="180"/>
    </row>
    <row r="427" spans="1:9" x14ac:dyDescent="0.2">
      <c r="A427" s="179"/>
      <c r="B427" s="179"/>
      <c r="C427" s="179"/>
      <c r="D427" s="179"/>
      <c r="E427" s="179"/>
      <c r="F427" s="179"/>
      <c r="G427" s="179"/>
      <c r="H427" s="161"/>
      <c r="I427" s="180"/>
    </row>
    <row r="428" spans="1:9" x14ac:dyDescent="0.2">
      <c r="A428" s="268"/>
      <c r="B428" s="268"/>
      <c r="C428" s="268"/>
      <c r="D428" s="268"/>
      <c r="E428" s="268"/>
      <c r="F428" s="268"/>
      <c r="G428" s="268"/>
      <c r="H428" s="161"/>
      <c r="I428" s="180"/>
    </row>
    <row r="429" spans="1:9" x14ac:dyDescent="0.2">
      <c r="A429" s="268"/>
      <c r="B429" s="268"/>
      <c r="C429" s="268"/>
      <c r="D429" s="268"/>
      <c r="E429" s="268"/>
      <c r="F429" s="268"/>
      <c r="G429" s="268"/>
      <c r="H429" s="161"/>
      <c r="I429" s="180"/>
    </row>
    <row r="430" spans="1:9" x14ac:dyDescent="0.2">
      <c r="A430" s="179"/>
      <c r="B430" s="179"/>
      <c r="C430" s="179"/>
      <c r="D430" s="179"/>
      <c r="E430" s="179"/>
      <c r="F430" s="179"/>
      <c r="G430" s="179"/>
      <c r="H430" s="161"/>
      <c r="I430" s="180"/>
    </row>
    <row r="431" spans="1:9" ht="18" x14ac:dyDescent="0.2">
      <c r="A431" s="871" t="s">
        <v>412</v>
      </c>
      <c r="B431" s="871"/>
      <c r="C431" s="871"/>
      <c r="D431" s="871"/>
      <c r="E431" s="871"/>
      <c r="F431" s="871"/>
      <c r="G431" s="871"/>
      <c r="H431" s="871"/>
      <c r="I431" s="180"/>
    </row>
    <row r="432" spans="1:9" ht="18" x14ac:dyDescent="0.2">
      <c r="A432" s="871" t="s">
        <v>411</v>
      </c>
      <c r="B432" s="871"/>
      <c r="C432" s="871"/>
      <c r="D432" s="871"/>
      <c r="E432" s="871"/>
      <c r="F432" s="871"/>
      <c r="G432" s="871"/>
      <c r="H432" s="871"/>
      <c r="I432" s="180"/>
    </row>
    <row r="433" spans="1:9" ht="15.75" x14ac:dyDescent="0.2">
      <c r="A433" s="896" t="s">
        <v>227</v>
      </c>
      <c r="B433" s="896"/>
      <c r="C433" s="896"/>
      <c r="D433" s="896"/>
      <c r="E433" s="896"/>
      <c r="F433" s="896"/>
      <c r="G433" s="896"/>
      <c r="H433" s="896"/>
      <c r="I433" s="180"/>
    </row>
    <row r="434" spans="1:9" ht="15.75" x14ac:dyDescent="0.2">
      <c r="A434" s="896" t="s">
        <v>605</v>
      </c>
      <c r="B434" s="896"/>
      <c r="C434" s="896"/>
      <c r="D434" s="896"/>
      <c r="E434" s="896"/>
      <c r="F434" s="896"/>
      <c r="G434" s="896"/>
      <c r="H434" s="896"/>
      <c r="I434" s="180"/>
    </row>
    <row r="435" spans="1:9" ht="15.75" x14ac:dyDescent="0.25">
      <c r="A435" s="865" t="s">
        <v>13</v>
      </c>
      <c r="B435" s="865"/>
      <c r="C435" s="865"/>
      <c r="D435" s="865"/>
      <c r="E435" s="865"/>
      <c r="F435" s="865"/>
      <c r="G435" s="865"/>
      <c r="H435" s="865"/>
      <c r="I435" s="180"/>
    </row>
    <row r="436" spans="1:9" ht="15.75" x14ac:dyDescent="0.25">
      <c r="A436" s="865" t="s">
        <v>378</v>
      </c>
      <c r="B436" s="865"/>
      <c r="C436" s="865"/>
      <c r="D436" s="865"/>
      <c r="E436" s="865"/>
      <c r="F436" s="865"/>
      <c r="G436" s="865"/>
      <c r="H436" s="865"/>
      <c r="I436" s="180"/>
    </row>
    <row r="437" spans="1:9" ht="14.25" x14ac:dyDescent="0.2">
      <c r="A437" s="866" t="str">
        <f>proyectos!B36</f>
        <v>PAVIMENTACION de 200 METROS DE CALLE PRINCIPAL EL ZAITE #1</v>
      </c>
      <c r="B437" s="866"/>
      <c r="C437" s="866"/>
      <c r="D437" s="866"/>
      <c r="E437" s="866"/>
      <c r="F437" s="866"/>
      <c r="G437" s="866"/>
      <c r="H437" s="866"/>
      <c r="I437" s="180"/>
    </row>
    <row r="438" spans="1:9" ht="15.75" x14ac:dyDescent="0.25">
      <c r="A438" s="865" t="s">
        <v>373</v>
      </c>
      <c r="B438" s="865"/>
      <c r="C438" s="865"/>
      <c r="D438" s="865"/>
      <c r="E438" s="865"/>
      <c r="F438" s="865"/>
      <c r="G438" s="865"/>
      <c r="H438" s="865"/>
      <c r="I438" s="180"/>
    </row>
    <row r="439" spans="1:9" ht="15.75" x14ac:dyDescent="0.25">
      <c r="A439" s="857" t="s">
        <v>376</v>
      </c>
      <c r="B439" s="857"/>
      <c r="C439" s="857"/>
      <c r="D439" s="857"/>
      <c r="E439" s="857"/>
      <c r="F439" s="857"/>
      <c r="G439" s="857"/>
      <c r="H439" s="857"/>
      <c r="I439" s="180"/>
    </row>
    <row r="440" spans="1:9" ht="14.25" x14ac:dyDescent="0.2">
      <c r="A440" s="848" t="str">
        <f>A437</f>
        <v>PAVIMENTACION de 200 METROS DE CALLE PRINCIPAL EL ZAITE #1</v>
      </c>
      <c r="B440" s="848"/>
      <c r="C440" s="848"/>
      <c r="D440" s="848"/>
      <c r="E440" s="848"/>
      <c r="F440" s="848"/>
      <c r="G440" s="848"/>
      <c r="H440" s="848"/>
      <c r="I440" s="180"/>
    </row>
    <row r="441" spans="1:9" x14ac:dyDescent="0.2">
      <c r="A441" s="902" t="s">
        <v>0</v>
      </c>
      <c r="B441" s="902"/>
      <c r="C441" s="902"/>
      <c r="D441" s="902"/>
      <c r="E441" s="902"/>
      <c r="F441" s="902"/>
      <c r="G441" s="889" t="s">
        <v>180</v>
      </c>
      <c r="H441" s="890" t="s">
        <v>181</v>
      </c>
      <c r="I441" s="180"/>
    </row>
    <row r="442" spans="1:9" ht="123.75" customHeight="1" x14ac:dyDescent="0.2">
      <c r="A442" s="435" t="s">
        <v>171</v>
      </c>
      <c r="B442" s="435" t="s">
        <v>172</v>
      </c>
      <c r="C442" s="435" t="s">
        <v>143</v>
      </c>
      <c r="D442" s="435" t="s">
        <v>174</v>
      </c>
      <c r="E442" s="435" t="s">
        <v>182</v>
      </c>
      <c r="F442" s="435" t="s">
        <v>118</v>
      </c>
      <c r="G442" s="889"/>
      <c r="H442" s="890"/>
      <c r="I442" s="180"/>
    </row>
    <row r="443" spans="1:9" ht="15.75" x14ac:dyDescent="0.25">
      <c r="A443" s="433">
        <v>3</v>
      </c>
      <c r="B443" s="377" t="s">
        <v>53</v>
      </c>
      <c r="C443" s="377" t="s">
        <v>49</v>
      </c>
      <c r="D443" s="377" t="s">
        <v>51</v>
      </c>
      <c r="E443" s="377" t="s">
        <v>54</v>
      </c>
      <c r="F443" s="377" t="s">
        <v>226</v>
      </c>
      <c r="G443" s="382" t="s">
        <v>208</v>
      </c>
      <c r="H443" s="383">
        <f>proyectos!M36</f>
        <v>9000</v>
      </c>
      <c r="I443" s="180"/>
    </row>
    <row r="444" spans="1:9" ht="15.75" x14ac:dyDescent="0.25">
      <c r="A444" s="433">
        <v>3</v>
      </c>
      <c r="B444" s="377" t="s">
        <v>53</v>
      </c>
      <c r="C444" s="377" t="s">
        <v>49</v>
      </c>
      <c r="D444" s="377" t="s">
        <v>51</v>
      </c>
      <c r="E444" s="377" t="s">
        <v>54</v>
      </c>
      <c r="F444" s="381">
        <v>54111</v>
      </c>
      <c r="G444" s="382" t="s">
        <v>48</v>
      </c>
      <c r="H444" s="383">
        <f>proyectos!T36</f>
        <v>24000</v>
      </c>
      <c r="I444" s="180"/>
    </row>
    <row r="445" spans="1:9" ht="15.75" x14ac:dyDescent="0.25">
      <c r="A445" s="433">
        <v>3</v>
      </c>
      <c r="B445" s="377" t="s">
        <v>53</v>
      </c>
      <c r="C445" s="377" t="s">
        <v>49</v>
      </c>
      <c r="D445" s="377" t="s">
        <v>51</v>
      </c>
      <c r="E445" s="377" t="s">
        <v>54</v>
      </c>
      <c r="F445" s="381">
        <v>54112</v>
      </c>
      <c r="G445" s="382" t="s">
        <v>47</v>
      </c>
      <c r="H445" s="383">
        <f>proyectos!AV36</f>
        <v>4000</v>
      </c>
      <c r="I445" s="180"/>
    </row>
    <row r="446" spans="1:9" ht="15.75" x14ac:dyDescent="0.25">
      <c r="A446" s="433">
        <v>3</v>
      </c>
      <c r="B446" s="377" t="s">
        <v>53</v>
      </c>
      <c r="C446" s="377" t="s">
        <v>49</v>
      </c>
      <c r="D446" s="377" t="s">
        <v>51</v>
      </c>
      <c r="E446" s="377" t="s">
        <v>54</v>
      </c>
      <c r="F446" s="381">
        <v>54304</v>
      </c>
      <c r="G446" s="382" t="str">
        <f>proyectos!AF1</f>
        <v>Transportes Fletes y almacenamientos</v>
      </c>
      <c r="H446" s="383">
        <f>proyectos!AF36</f>
        <v>500</v>
      </c>
      <c r="I446" s="180"/>
    </row>
    <row r="447" spans="1:9" ht="15.75" x14ac:dyDescent="0.25">
      <c r="A447" s="433">
        <v>3</v>
      </c>
      <c r="B447" s="377" t="s">
        <v>53</v>
      </c>
      <c r="C447" s="377" t="s">
        <v>49</v>
      </c>
      <c r="D447" s="377" t="s">
        <v>51</v>
      </c>
      <c r="E447" s="377" t="s">
        <v>54</v>
      </c>
      <c r="F447" s="381">
        <v>54399</v>
      </c>
      <c r="G447" s="382" t="s">
        <v>559</v>
      </c>
      <c r="H447" s="383">
        <f>proyectos!AH36</f>
        <v>2500</v>
      </c>
      <c r="I447" s="180"/>
    </row>
    <row r="448" spans="1:9" ht="18" x14ac:dyDescent="0.2">
      <c r="A448" s="891" t="s">
        <v>374</v>
      </c>
      <c r="B448" s="891"/>
      <c r="C448" s="891"/>
      <c r="D448" s="891"/>
      <c r="E448" s="891"/>
      <c r="F448" s="891"/>
      <c r="G448" s="891"/>
      <c r="H448" s="452">
        <f>SUM(H443:H447)</f>
        <v>40000</v>
      </c>
      <c r="I448" s="180"/>
    </row>
    <row r="449" spans="1:9" ht="13.5" customHeight="1" x14ac:dyDescent="0.2">
      <c r="A449" s="273"/>
      <c r="B449" s="273"/>
      <c r="C449" s="273"/>
      <c r="D449" s="273"/>
      <c r="E449" s="273"/>
      <c r="F449" s="273"/>
      <c r="G449" s="273"/>
      <c r="H449" s="274"/>
      <c r="I449" s="180"/>
    </row>
    <row r="450" spans="1:9" ht="13.5" customHeight="1" x14ac:dyDescent="0.2">
      <c r="A450" s="269"/>
      <c r="B450" s="269"/>
      <c r="C450" s="269"/>
      <c r="D450" s="269"/>
      <c r="E450" s="269"/>
      <c r="F450" s="269"/>
      <c r="G450" s="269"/>
      <c r="H450" s="161"/>
      <c r="I450" s="180"/>
    </row>
    <row r="451" spans="1:9" ht="13.5" customHeight="1" x14ac:dyDescent="0.2">
      <c r="A451" s="269"/>
      <c r="B451" s="269"/>
      <c r="C451" s="269"/>
      <c r="D451" s="269"/>
      <c r="E451" s="269"/>
      <c r="F451" s="269"/>
      <c r="G451" s="269"/>
      <c r="H451" s="161"/>
      <c r="I451" s="180"/>
    </row>
    <row r="452" spans="1:9" ht="13.5" customHeight="1" x14ac:dyDescent="0.2">
      <c r="A452" s="269"/>
      <c r="B452" s="269"/>
      <c r="C452" s="269"/>
      <c r="D452" s="269"/>
      <c r="E452" s="269"/>
      <c r="F452" s="269"/>
      <c r="G452" s="269"/>
      <c r="H452" s="161"/>
      <c r="I452" s="180"/>
    </row>
    <row r="453" spans="1:9" ht="18" x14ac:dyDescent="0.2">
      <c r="A453" s="807" t="s">
        <v>412</v>
      </c>
      <c r="B453" s="807"/>
      <c r="C453" s="807"/>
      <c r="D453" s="807"/>
      <c r="E453" s="807"/>
      <c r="F453" s="807"/>
      <c r="G453" s="807"/>
      <c r="H453" s="807"/>
    </row>
    <row r="454" spans="1:9" ht="18" x14ac:dyDescent="0.2">
      <c r="A454" s="855" t="s">
        <v>411</v>
      </c>
      <c r="B454" s="855"/>
      <c r="C454" s="855"/>
      <c r="D454" s="855"/>
      <c r="E454" s="855"/>
      <c r="F454" s="855"/>
      <c r="G454" s="855"/>
      <c r="H454" s="855"/>
    </row>
    <row r="455" spans="1:9" ht="15.75" x14ac:dyDescent="0.2">
      <c r="A455" s="809" t="s">
        <v>227</v>
      </c>
      <c r="B455" s="809"/>
      <c r="C455" s="809"/>
      <c r="D455" s="809"/>
      <c r="E455" s="809"/>
      <c r="F455" s="809"/>
      <c r="G455" s="809"/>
      <c r="H455" s="809"/>
    </row>
    <row r="456" spans="1:9" ht="15.75" x14ac:dyDescent="0.2">
      <c r="A456" s="809" t="s">
        <v>605</v>
      </c>
      <c r="B456" s="809"/>
      <c r="C456" s="809"/>
      <c r="D456" s="809"/>
      <c r="E456" s="809"/>
      <c r="F456" s="809"/>
      <c r="G456" s="809"/>
      <c r="H456" s="809"/>
    </row>
    <row r="457" spans="1:9" ht="15.75" x14ac:dyDescent="0.25">
      <c r="A457" s="867" t="s">
        <v>13</v>
      </c>
      <c r="B457" s="867"/>
      <c r="C457" s="867"/>
      <c r="D457" s="867"/>
      <c r="E457" s="867"/>
      <c r="F457" s="867"/>
      <c r="G457" s="867"/>
      <c r="H457" s="867"/>
    </row>
    <row r="458" spans="1:9" ht="15.75" x14ac:dyDescent="0.25">
      <c r="A458" s="867" t="s">
        <v>378</v>
      </c>
      <c r="B458" s="867"/>
      <c r="C458" s="867"/>
      <c r="D458" s="867"/>
      <c r="E458" s="867"/>
      <c r="F458" s="867"/>
      <c r="G458" s="867"/>
      <c r="H458" s="867"/>
    </row>
    <row r="459" spans="1:9" ht="14.25" x14ac:dyDescent="0.2">
      <c r="A459" s="901" t="str">
        <f>proyectos!B37</f>
        <v>PAVIMENTACION DE 200 METROS DE CALLE EN LA LOTIFICACION EL CORRALITO</v>
      </c>
      <c r="B459" s="901"/>
      <c r="C459" s="901"/>
      <c r="D459" s="901"/>
      <c r="E459" s="901"/>
      <c r="F459" s="901"/>
      <c r="G459" s="901"/>
      <c r="H459" s="901"/>
    </row>
    <row r="460" spans="1:9" ht="15.75" x14ac:dyDescent="0.25">
      <c r="A460" s="867" t="s">
        <v>373</v>
      </c>
      <c r="B460" s="867"/>
      <c r="C460" s="867"/>
      <c r="D460" s="867"/>
      <c r="E460" s="867"/>
      <c r="F460" s="867"/>
      <c r="G460" s="867"/>
      <c r="H460" s="867"/>
    </row>
    <row r="461" spans="1:9" ht="15.75" x14ac:dyDescent="0.25">
      <c r="A461" s="867" t="str">
        <f>A459</f>
        <v>PAVIMENTACION DE 200 METROS DE CALLE EN LA LOTIFICACION EL CORRALITO</v>
      </c>
      <c r="B461" s="867"/>
      <c r="C461" s="867"/>
      <c r="D461" s="867"/>
      <c r="E461" s="867"/>
      <c r="F461" s="867"/>
      <c r="G461" s="867"/>
      <c r="H461" s="867"/>
    </row>
    <row r="462" spans="1:9" ht="14.25" hidden="1" x14ac:dyDescent="0.2">
      <c r="A462" s="907"/>
      <c r="B462" s="907"/>
      <c r="C462" s="907"/>
      <c r="D462" s="907"/>
      <c r="E462" s="907"/>
      <c r="F462" s="907"/>
      <c r="G462" s="907"/>
      <c r="H462" s="907"/>
    </row>
    <row r="463" spans="1:9" x14ac:dyDescent="0.2">
      <c r="A463" s="849" t="s">
        <v>0</v>
      </c>
      <c r="B463" s="849"/>
      <c r="C463" s="849"/>
      <c r="D463" s="849"/>
      <c r="E463" s="849"/>
      <c r="F463" s="849"/>
      <c r="G463" s="850" t="s">
        <v>180</v>
      </c>
      <c r="H463" s="851" t="s">
        <v>181</v>
      </c>
    </row>
    <row r="464" spans="1:9" ht="120.75" customHeight="1" x14ac:dyDescent="0.2">
      <c r="A464" s="448" t="s">
        <v>171</v>
      </c>
      <c r="B464" s="448" t="s">
        <v>172</v>
      </c>
      <c r="C464" s="448" t="s">
        <v>143</v>
      </c>
      <c r="D464" s="448" t="s">
        <v>174</v>
      </c>
      <c r="E464" s="448" t="s">
        <v>182</v>
      </c>
      <c r="F464" s="448" t="s">
        <v>118</v>
      </c>
      <c r="G464" s="850"/>
      <c r="H464" s="851"/>
    </row>
    <row r="465" spans="1:10" ht="15.75" x14ac:dyDescent="0.25">
      <c r="A465" s="433">
        <v>3</v>
      </c>
      <c r="B465" s="377" t="s">
        <v>53</v>
      </c>
      <c r="C465" s="377" t="s">
        <v>49</v>
      </c>
      <c r="D465" s="377" t="s">
        <v>51</v>
      </c>
      <c r="E465" s="377" t="s">
        <v>54</v>
      </c>
      <c r="F465" s="377" t="s">
        <v>226</v>
      </c>
      <c r="G465" s="382" t="s">
        <v>208</v>
      </c>
      <c r="H465" s="383">
        <f>proyectos!M37</f>
        <v>6000</v>
      </c>
    </row>
    <row r="466" spans="1:10" ht="15.75" x14ac:dyDescent="0.25">
      <c r="A466" s="433">
        <v>3</v>
      </c>
      <c r="B466" s="377" t="s">
        <v>53</v>
      </c>
      <c r="C466" s="377" t="s">
        <v>49</v>
      </c>
      <c r="D466" s="377" t="s">
        <v>51</v>
      </c>
      <c r="E466" s="377" t="s">
        <v>54</v>
      </c>
      <c r="F466" s="381">
        <v>54111</v>
      </c>
      <c r="G466" s="382" t="s">
        <v>48</v>
      </c>
      <c r="H466" s="383">
        <f>proyectos!T37</f>
        <v>15000</v>
      </c>
    </row>
    <row r="467" spans="1:10" ht="15.75" x14ac:dyDescent="0.25">
      <c r="A467" s="433">
        <v>3</v>
      </c>
      <c r="B467" s="377" t="s">
        <v>53</v>
      </c>
      <c r="C467" s="377" t="s">
        <v>49</v>
      </c>
      <c r="D467" s="377" t="s">
        <v>51</v>
      </c>
      <c r="E467" s="377" t="s">
        <v>54</v>
      </c>
      <c r="F467" s="381">
        <v>54304</v>
      </c>
      <c r="G467" s="382" t="str">
        <f>proyectos!AF1</f>
        <v>Transportes Fletes y almacenamientos</v>
      </c>
      <c r="H467" s="383">
        <f>proyectos!AF37</f>
        <v>1000</v>
      </c>
    </row>
    <row r="468" spans="1:10" ht="15.75" x14ac:dyDescent="0.25">
      <c r="A468" s="433">
        <v>3</v>
      </c>
      <c r="B468" s="377" t="s">
        <v>53</v>
      </c>
      <c r="C468" s="377" t="s">
        <v>49</v>
      </c>
      <c r="D468" s="377" t="s">
        <v>51</v>
      </c>
      <c r="E468" s="377" t="s">
        <v>54</v>
      </c>
      <c r="F468" s="381">
        <v>54399</v>
      </c>
      <c r="G468" s="382" t="s">
        <v>559</v>
      </c>
      <c r="H468" s="383">
        <f>proyectos!AH37</f>
        <v>8000</v>
      </c>
    </row>
    <row r="469" spans="1:10" ht="18" x14ac:dyDescent="0.2">
      <c r="A469" s="859" t="s">
        <v>374</v>
      </c>
      <c r="B469" s="859"/>
      <c r="C469" s="859"/>
      <c r="D469" s="859"/>
      <c r="E469" s="859"/>
      <c r="F469" s="859"/>
      <c r="G469" s="859"/>
      <c r="H469" s="451">
        <f>SUM(H465:H468)</f>
        <v>30000</v>
      </c>
    </row>
    <row r="470" spans="1:10" ht="8.25" customHeight="1" x14ac:dyDescent="0.2">
      <c r="A470" s="142"/>
      <c r="B470" s="142"/>
      <c r="C470" s="142"/>
      <c r="D470" s="142"/>
      <c r="E470" s="142"/>
      <c r="F470" s="142"/>
      <c r="G470" s="21"/>
      <c r="H470" s="161"/>
    </row>
    <row r="471" spans="1:10" ht="24.75" customHeight="1" x14ac:dyDescent="0.2">
      <c r="A471" s="142"/>
      <c r="B471" s="142"/>
      <c r="C471" s="142"/>
      <c r="D471" s="142"/>
      <c r="E471" s="142"/>
      <c r="F471" s="142"/>
      <c r="G471" s="21"/>
      <c r="H471" s="161"/>
    </row>
    <row r="472" spans="1:10" ht="18" x14ac:dyDescent="0.2">
      <c r="A472" s="807" t="s">
        <v>412</v>
      </c>
      <c r="B472" s="807"/>
      <c r="C472" s="807"/>
      <c r="D472" s="807"/>
      <c r="E472" s="807"/>
      <c r="F472" s="807"/>
      <c r="G472" s="807"/>
      <c r="H472" s="807"/>
    </row>
    <row r="473" spans="1:10" ht="18" x14ac:dyDescent="0.2">
      <c r="A473" s="855" t="s">
        <v>411</v>
      </c>
      <c r="B473" s="855"/>
      <c r="C473" s="855"/>
      <c r="D473" s="855"/>
      <c r="E473" s="855"/>
      <c r="F473" s="855"/>
      <c r="G473" s="855"/>
      <c r="H473" s="855"/>
    </row>
    <row r="474" spans="1:10" ht="15.75" x14ac:dyDescent="0.2">
      <c r="A474" s="809" t="s">
        <v>227</v>
      </c>
      <c r="B474" s="809"/>
      <c r="C474" s="809"/>
      <c r="D474" s="809"/>
      <c r="E474" s="809"/>
      <c r="F474" s="809"/>
      <c r="G474" s="809"/>
      <c r="H474" s="809"/>
      <c r="J474" s="21" t="s">
        <v>645</v>
      </c>
    </row>
    <row r="475" spans="1:10" ht="15.75" x14ac:dyDescent="0.2">
      <c r="A475" s="864" t="s">
        <v>605</v>
      </c>
      <c r="B475" s="864"/>
      <c r="C475" s="864"/>
      <c r="D475" s="864"/>
      <c r="E475" s="864"/>
      <c r="F475" s="864"/>
      <c r="G475" s="864"/>
      <c r="H475" s="864"/>
    </row>
    <row r="476" spans="1:10" ht="15.75" x14ac:dyDescent="0.25">
      <c r="A476" s="865" t="s">
        <v>13</v>
      </c>
      <c r="B476" s="865"/>
      <c r="C476" s="865"/>
      <c r="D476" s="865"/>
      <c r="E476" s="865"/>
      <c r="F476" s="865"/>
      <c r="G476" s="865"/>
      <c r="H476" s="865"/>
    </row>
    <row r="477" spans="1:10" ht="15.75" x14ac:dyDescent="0.25">
      <c r="A477" s="865" t="s">
        <v>378</v>
      </c>
      <c r="B477" s="865"/>
      <c r="C477" s="865"/>
      <c r="D477" s="865"/>
      <c r="E477" s="865"/>
      <c r="F477" s="865"/>
      <c r="G477" s="865"/>
      <c r="H477" s="865"/>
    </row>
    <row r="478" spans="1:10" ht="14.25" x14ac:dyDescent="0.2">
      <c r="A478" s="866" t="str">
        <f>proyectos!B38</f>
        <v>AMPLIACION DE PLAZA COMERCIAL MUNICIPAL</v>
      </c>
      <c r="B478" s="866"/>
      <c r="C478" s="866"/>
      <c r="D478" s="866"/>
      <c r="E478" s="866"/>
      <c r="F478" s="866"/>
      <c r="G478" s="866"/>
      <c r="H478" s="866"/>
    </row>
    <row r="479" spans="1:10" ht="15.75" x14ac:dyDescent="0.25">
      <c r="A479" s="865" t="s">
        <v>373</v>
      </c>
      <c r="B479" s="865"/>
      <c r="C479" s="865"/>
      <c r="D479" s="865"/>
      <c r="E479" s="865"/>
      <c r="F479" s="865"/>
      <c r="G479" s="865"/>
      <c r="H479" s="865"/>
    </row>
    <row r="480" spans="1:10" ht="15" customHeight="1" x14ac:dyDescent="0.25">
      <c r="A480" s="857" t="str">
        <f>A478</f>
        <v>AMPLIACION DE PLAZA COMERCIAL MUNICIPAL</v>
      </c>
      <c r="B480" s="857"/>
      <c r="C480" s="857"/>
      <c r="D480" s="857"/>
      <c r="E480" s="857"/>
      <c r="F480" s="857"/>
      <c r="G480" s="857"/>
      <c r="H480" s="857"/>
    </row>
    <row r="481" spans="1:8" ht="14.25" x14ac:dyDescent="0.2">
      <c r="A481" s="848"/>
      <c r="B481" s="848"/>
      <c r="C481" s="848"/>
      <c r="D481" s="848"/>
      <c r="E481" s="848"/>
      <c r="F481" s="848"/>
      <c r="G481" s="848"/>
      <c r="H481" s="848"/>
    </row>
    <row r="482" spans="1:8" x14ac:dyDescent="0.2">
      <c r="A482" s="849" t="s">
        <v>0</v>
      </c>
      <c r="B482" s="849"/>
      <c r="C482" s="849"/>
      <c r="D482" s="849"/>
      <c r="E482" s="849"/>
      <c r="F482" s="849"/>
      <c r="G482" s="850" t="s">
        <v>180</v>
      </c>
      <c r="H482" s="851" t="s">
        <v>181</v>
      </c>
    </row>
    <row r="483" spans="1:8" ht="146.25" x14ac:dyDescent="0.2">
      <c r="A483" s="448" t="s">
        <v>171</v>
      </c>
      <c r="B483" s="448" t="s">
        <v>172</v>
      </c>
      <c r="C483" s="448" t="s">
        <v>143</v>
      </c>
      <c r="D483" s="448" t="s">
        <v>174</v>
      </c>
      <c r="E483" s="448" t="s">
        <v>182</v>
      </c>
      <c r="F483" s="448" t="s">
        <v>118</v>
      </c>
      <c r="G483" s="850"/>
      <c r="H483" s="851"/>
    </row>
    <row r="484" spans="1:8" ht="15.75" x14ac:dyDescent="0.25">
      <c r="A484" s="433">
        <v>3</v>
      </c>
      <c r="B484" s="377" t="s">
        <v>53</v>
      </c>
      <c r="C484" s="377" t="s">
        <v>49</v>
      </c>
      <c r="D484" s="377" t="s">
        <v>51</v>
      </c>
      <c r="E484" s="377" t="s">
        <v>54</v>
      </c>
      <c r="F484" s="377" t="s">
        <v>226</v>
      </c>
      <c r="G484" s="382" t="s">
        <v>208</v>
      </c>
      <c r="H484" s="383">
        <f>proyectos!M38</f>
        <v>4000</v>
      </c>
    </row>
    <row r="485" spans="1:8" ht="15.75" x14ac:dyDescent="0.25">
      <c r="A485" s="433">
        <v>3</v>
      </c>
      <c r="B485" s="377" t="s">
        <v>53</v>
      </c>
      <c r="C485" s="377" t="s">
        <v>49</v>
      </c>
      <c r="D485" s="377" t="s">
        <v>51</v>
      </c>
      <c r="E485" s="377" t="s">
        <v>54</v>
      </c>
      <c r="F485" s="381">
        <v>54111</v>
      </c>
      <c r="G485" s="382" t="s">
        <v>48</v>
      </c>
      <c r="H485" s="383">
        <f>proyectos!T38</f>
        <v>5000</v>
      </c>
    </row>
    <row r="486" spans="1:8" ht="15.75" x14ac:dyDescent="0.25">
      <c r="A486" s="433">
        <v>3</v>
      </c>
      <c r="B486" s="377" t="s">
        <v>53</v>
      </c>
      <c r="C486" s="377" t="s">
        <v>49</v>
      </c>
      <c r="D486" s="377" t="s">
        <v>51</v>
      </c>
      <c r="E486" s="377" t="s">
        <v>54</v>
      </c>
      <c r="F486" s="381">
        <v>54112</v>
      </c>
      <c r="G486" s="382" t="s">
        <v>47</v>
      </c>
      <c r="H486" s="383">
        <f>proyectos!AV38</f>
        <v>1000</v>
      </c>
    </row>
    <row r="487" spans="1:8" ht="15.75" x14ac:dyDescent="0.25">
      <c r="A487" s="433">
        <v>3</v>
      </c>
      <c r="B487" s="377" t="s">
        <v>53</v>
      </c>
      <c r="C487" s="377" t="s">
        <v>49</v>
      </c>
      <c r="D487" s="377" t="s">
        <v>51</v>
      </c>
      <c r="E487" s="377" t="s">
        <v>54</v>
      </c>
      <c r="F487" s="381">
        <v>54399</v>
      </c>
      <c r="G487" s="382" t="s">
        <v>559</v>
      </c>
      <c r="H487" s="383">
        <f>proyectos!AH38</f>
        <v>20000</v>
      </c>
    </row>
    <row r="488" spans="1:8" ht="27.75" customHeight="1" x14ac:dyDescent="0.2">
      <c r="A488" s="859" t="s">
        <v>374</v>
      </c>
      <c r="B488" s="859"/>
      <c r="C488" s="859"/>
      <c r="D488" s="859"/>
      <c r="E488" s="859"/>
      <c r="F488" s="859"/>
      <c r="G488" s="859"/>
      <c r="H488" s="451">
        <f>SUM(H484:H487)</f>
        <v>30000</v>
      </c>
    </row>
    <row r="489" spans="1:8" ht="22.5" customHeight="1" x14ac:dyDescent="0.2">
      <c r="A489" s="522"/>
      <c r="B489" s="522"/>
      <c r="C489" s="522"/>
      <c r="D489" s="522"/>
      <c r="E489" s="522"/>
      <c r="F489" s="522"/>
      <c r="G489" s="522"/>
      <c r="H489" s="523"/>
    </row>
    <row r="490" spans="1:8" ht="19.5" customHeight="1" x14ac:dyDescent="0.2"/>
    <row r="491" spans="1:8" ht="18" x14ac:dyDescent="0.2">
      <c r="A491" s="807" t="s">
        <v>412</v>
      </c>
      <c r="B491" s="807"/>
      <c r="C491" s="807"/>
      <c r="D491" s="807"/>
      <c r="E491" s="807"/>
      <c r="F491" s="807"/>
      <c r="G491" s="807"/>
      <c r="H491" s="807"/>
    </row>
    <row r="492" spans="1:8" ht="18" x14ac:dyDescent="0.2">
      <c r="A492" s="855" t="s">
        <v>411</v>
      </c>
      <c r="B492" s="855"/>
      <c r="C492" s="855"/>
      <c r="D492" s="855"/>
      <c r="E492" s="855"/>
      <c r="F492" s="855"/>
      <c r="G492" s="855"/>
      <c r="H492" s="855"/>
    </row>
    <row r="493" spans="1:8" ht="15.75" x14ac:dyDescent="0.2">
      <c r="A493" s="809" t="s">
        <v>227</v>
      </c>
      <c r="B493" s="809"/>
      <c r="C493" s="809"/>
      <c r="D493" s="809"/>
      <c r="E493" s="809"/>
      <c r="F493" s="809"/>
      <c r="G493" s="809"/>
      <c r="H493" s="809"/>
    </row>
    <row r="494" spans="1:8" ht="15.75" x14ac:dyDescent="0.2">
      <c r="A494" s="809" t="s">
        <v>605</v>
      </c>
      <c r="B494" s="809"/>
      <c r="C494" s="809"/>
      <c r="D494" s="809"/>
      <c r="E494" s="809"/>
      <c r="F494" s="809"/>
      <c r="G494" s="809"/>
      <c r="H494" s="809"/>
    </row>
    <row r="495" spans="1:8" ht="15" x14ac:dyDescent="0.2">
      <c r="A495" s="860" t="s">
        <v>13</v>
      </c>
      <c r="B495" s="860"/>
      <c r="C495" s="860"/>
      <c r="D495" s="860"/>
      <c r="E495" s="860"/>
      <c r="F495" s="860"/>
      <c r="G495" s="860"/>
      <c r="H495" s="860"/>
    </row>
    <row r="496" spans="1:8" ht="15.75" x14ac:dyDescent="0.25">
      <c r="A496" s="857" t="s">
        <v>378</v>
      </c>
      <c r="B496" s="857"/>
      <c r="C496" s="857"/>
      <c r="D496" s="857"/>
      <c r="E496" s="857"/>
      <c r="F496" s="857"/>
      <c r="G496" s="857"/>
      <c r="H496" s="857"/>
    </row>
    <row r="497" spans="1:8" ht="14.25" x14ac:dyDescent="0.2">
      <c r="A497" s="858" t="str">
        <f>proyectos!B39</f>
        <v>PAVIMENTACION DE 250 MTS DE CALLE PPAL EN CORINTO #2</v>
      </c>
      <c r="B497" s="858"/>
      <c r="C497" s="858"/>
      <c r="D497" s="858"/>
      <c r="E497" s="858"/>
      <c r="F497" s="858"/>
      <c r="G497" s="858"/>
      <c r="H497" s="858"/>
    </row>
    <row r="498" spans="1:8" ht="15.75" x14ac:dyDescent="0.25">
      <c r="A498" s="857" t="s">
        <v>373</v>
      </c>
      <c r="B498" s="857"/>
      <c r="C498" s="857"/>
      <c r="D498" s="857"/>
      <c r="E498" s="857"/>
      <c r="F498" s="857"/>
      <c r="G498" s="857"/>
      <c r="H498" s="857"/>
    </row>
    <row r="499" spans="1:8" ht="15.75" x14ac:dyDescent="0.25">
      <c r="A499" s="857" t="str">
        <f>A497</f>
        <v>PAVIMENTACION DE 250 MTS DE CALLE PPAL EN CORINTO #2</v>
      </c>
      <c r="B499" s="857"/>
      <c r="C499" s="857"/>
      <c r="D499" s="857"/>
      <c r="E499" s="857"/>
      <c r="F499" s="857"/>
      <c r="G499" s="857"/>
      <c r="H499" s="857"/>
    </row>
    <row r="500" spans="1:8" ht="14.25" x14ac:dyDescent="0.2">
      <c r="A500" s="848"/>
      <c r="B500" s="848"/>
      <c r="C500" s="848"/>
      <c r="D500" s="848"/>
      <c r="E500" s="848"/>
      <c r="F500" s="848"/>
      <c r="G500" s="848"/>
      <c r="H500" s="848"/>
    </row>
    <row r="501" spans="1:8" x14ac:dyDescent="0.2">
      <c r="A501" s="849" t="s">
        <v>0</v>
      </c>
      <c r="B501" s="849"/>
      <c r="C501" s="849"/>
      <c r="D501" s="849"/>
      <c r="E501" s="849"/>
      <c r="F501" s="849"/>
      <c r="G501" s="850" t="s">
        <v>180</v>
      </c>
      <c r="H501" s="851" t="s">
        <v>181</v>
      </c>
    </row>
    <row r="502" spans="1:8" ht="111" customHeight="1" x14ac:dyDescent="0.2">
      <c r="A502" s="448" t="s">
        <v>171</v>
      </c>
      <c r="B502" s="448" t="s">
        <v>172</v>
      </c>
      <c r="C502" s="448" t="s">
        <v>143</v>
      </c>
      <c r="D502" s="448" t="s">
        <v>174</v>
      </c>
      <c r="E502" s="448" t="s">
        <v>182</v>
      </c>
      <c r="F502" s="448" t="s">
        <v>118</v>
      </c>
      <c r="G502" s="850"/>
      <c r="H502" s="851"/>
    </row>
    <row r="503" spans="1:8" ht="15.75" x14ac:dyDescent="0.25">
      <c r="A503" s="433">
        <v>3</v>
      </c>
      <c r="B503" s="377" t="s">
        <v>53</v>
      </c>
      <c r="C503" s="377" t="s">
        <v>49</v>
      </c>
      <c r="D503" s="377" t="s">
        <v>51</v>
      </c>
      <c r="E503" s="377" t="s">
        <v>54</v>
      </c>
      <c r="F503" s="377" t="s">
        <v>226</v>
      </c>
      <c r="G503" s="382" t="s">
        <v>208</v>
      </c>
      <c r="H503" s="383">
        <f>proyectos!M39</f>
        <v>15000</v>
      </c>
    </row>
    <row r="504" spans="1:8" ht="15.75" x14ac:dyDescent="0.25">
      <c r="A504" s="433">
        <v>3</v>
      </c>
      <c r="B504" s="377" t="s">
        <v>53</v>
      </c>
      <c r="C504" s="377" t="s">
        <v>49</v>
      </c>
      <c r="D504" s="377" t="s">
        <v>51</v>
      </c>
      <c r="E504" s="377" t="s">
        <v>54</v>
      </c>
      <c r="F504" s="381">
        <v>54111</v>
      </c>
      <c r="G504" s="382" t="s">
        <v>48</v>
      </c>
      <c r="H504" s="383">
        <f>proyectos!T39</f>
        <v>25000</v>
      </c>
    </row>
    <row r="505" spans="1:8" ht="15.75" x14ac:dyDescent="0.25">
      <c r="A505" s="433">
        <v>3</v>
      </c>
      <c r="B505" s="377" t="s">
        <v>53</v>
      </c>
      <c r="C505" s="377" t="s">
        <v>49</v>
      </c>
      <c r="D505" s="377" t="s">
        <v>51</v>
      </c>
      <c r="E505" s="377" t="s">
        <v>54</v>
      </c>
      <c r="F505" s="381">
        <v>54112</v>
      </c>
      <c r="G505" s="382" t="s">
        <v>47</v>
      </c>
      <c r="H505" s="383">
        <f>proyectos!AV39</f>
        <v>2000</v>
      </c>
    </row>
    <row r="506" spans="1:8" ht="15.75" x14ac:dyDescent="0.25">
      <c r="A506" s="433">
        <v>3</v>
      </c>
      <c r="B506" s="377" t="s">
        <v>53</v>
      </c>
      <c r="C506" s="377" t="s">
        <v>49</v>
      </c>
      <c r="D506" s="377" t="s">
        <v>51</v>
      </c>
      <c r="E506" s="377" t="s">
        <v>54</v>
      </c>
      <c r="F506" s="381">
        <v>54304</v>
      </c>
      <c r="G506" s="382" t="s">
        <v>572</v>
      </c>
      <c r="H506" s="383">
        <f>proyectos!AF39</f>
        <v>1000</v>
      </c>
    </row>
    <row r="507" spans="1:8" ht="15.75" x14ac:dyDescent="0.25">
      <c r="A507" s="433">
        <v>3</v>
      </c>
      <c r="B507" s="377" t="s">
        <v>53</v>
      </c>
      <c r="C507" s="377" t="s">
        <v>49</v>
      </c>
      <c r="D507" s="377" t="s">
        <v>51</v>
      </c>
      <c r="E507" s="377" t="s">
        <v>54</v>
      </c>
      <c r="F507" s="381">
        <v>54399</v>
      </c>
      <c r="G507" s="382" t="s">
        <v>559</v>
      </c>
      <c r="H507" s="383">
        <f>proyectos!AH39</f>
        <v>2000</v>
      </c>
    </row>
    <row r="508" spans="1:8" ht="18" x14ac:dyDescent="0.2">
      <c r="A508" s="859" t="s">
        <v>374</v>
      </c>
      <c r="B508" s="859"/>
      <c r="C508" s="859"/>
      <c r="D508" s="859"/>
      <c r="E508" s="859"/>
      <c r="F508" s="859"/>
      <c r="G508" s="859"/>
      <c r="H508" s="451">
        <f>SUM(H503:H507)</f>
        <v>45000</v>
      </c>
    </row>
    <row r="511" spans="1:8" ht="18" x14ac:dyDescent="0.2">
      <c r="A511" s="807" t="s">
        <v>412</v>
      </c>
      <c r="B511" s="807"/>
      <c r="C511" s="807"/>
      <c r="D511" s="807"/>
      <c r="E511" s="807"/>
      <c r="F511" s="807"/>
      <c r="G511" s="807"/>
      <c r="H511" s="807"/>
    </row>
    <row r="512" spans="1:8" ht="18" x14ac:dyDescent="0.2">
      <c r="A512" s="855" t="s">
        <v>411</v>
      </c>
      <c r="B512" s="855"/>
      <c r="C512" s="855"/>
      <c r="D512" s="855"/>
      <c r="E512" s="855"/>
      <c r="F512" s="855"/>
      <c r="G512" s="855"/>
      <c r="H512" s="855"/>
    </row>
    <row r="513" spans="1:8" ht="15.75" x14ac:dyDescent="0.2">
      <c r="A513" s="809" t="s">
        <v>227</v>
      </c>
      <c r="B513" s="809"/>
      <c r="C513" s="809"/>
      <c r="D513" s="809"/>
      <c r="E513" s="809"/>
      <c r="F513" s="809"/>
      <c r="G513" s="809"/>
      <c r="H513" s="809"/>
    </row>
    <row r="514" spans="1:8" ht="15.75" x14ac:dyDescent="0.2">
      <c r="A514" s="809" t="s">
        <v>605</v>
      </c>
      <c r="B514" s="809"/>
      <c r="C514" s="809"/>
      <c r="D514" s="809"/>
      <c r="E514" s="809"/>
      <c r="F514" s="809"/>
      <c r="G514" s="809"/>
      <c r="H514" s="809"/>
    </row>
    <row r="515" spans="1:8" ht="15" x14ac:dyDescent="0.2">
      <c r="A515" s="860" t="s">
        <v>13</v>
      </c>
      <c r="B515" s="860"/>
      <c r="C515" s="860"/>
      <c r="D515" s="860"/>
      <c r="E515" s="860"/>
      <c r="F515" s="860"/>
      <c r="G515" s="860"/>
      <c r="H515" s="860"/>
    </row>
    <row r="516" spans="1:8" ht="15.75" x14ac:dyDescent="0.25">
      <c r="A516" s="857" t="s">
        <v>378</v>
      </c>
      <c r="B516" s="857"/>
      <c r="C516" s="857"/>
      <c r="D516" s="857"/>
      <c r="E516" s="857"/>
      <c r="F516" s="857"/>
      <c r="G516" s="857"/>
      <c r="H516" s="857"/>
    </row>
    <row r="517" spans="1:8" ht="14.25" x14ac:dyDescent="0.2">
      <c r="A517" s="858" t="str">
        <f>proyectos!B40</f>
        <v>PAVIM. CON CONCR.HIDRAULICO DE 150 MTS DE CALLE EN C/ PPAL EL FRUTAL</v>
      </c>
      <c r="B517" s="858"/>
      <c r="C517" s="858"/>
      <c r="D517" s="858"/>
      <c r="E517" s="858"/>
      <c r="F517" s="858"/>
      <c r="G517" s="858"/>
      <c r="H517" s="858"/>
    </row>
    <row r="518" spans="1:8" ht="15.75" x14ac:dyDescent="0.25">
      <c r="A518" s="857" t="s">
        <v>373</v>
      </c>
      <c r="B518" s="857"/>
      <c r="C518" s="857"/>
      <c r="D518" s="857"/>
      <c r="E518" s="857"/>
      <c r="F518" s="857"/>
      <c r="G518" s="857"/>
      <c r="H518" s="857"/>
    </row>
    <row r="519" spans="1:8" ht="15.75" x14ac:dyDescent="0.25">
      <c r="A519" s="857" t="str">
        <f>A517</f>
        <v>PAVIM. CON CONCR.HIDRAULICO DE 150 MTS DE CALLE EN C/ PPAL EL FRUTAL</v>
      </c>
      <c r="B519" s="857"/>
      <c r="C519" s="857"/>
      <c r="D519" s="857"/>
      <c r="E519" s="857"/>
      <c r="F519" s="857"/>
      <c r="G519" s="857"/>
      <c r="H519" s="857"/>
    </row>
    <row r="520" spans="1:8" ht="14.25" x14ac:dyDescent="0.2">
      <c r="A520" s="848"/>
      <c r="B520" s="848"/>
      <c r="C520" s="848"/>
      <c r="D520" s="848"/>
      <c r="E520" s="848"/>
      <c r="F520" s="848"/>
      <c r="G520" s="848"/>
      <c r="H520" s="848"/>
    </row>
    <row r="521" spans="1:8" x14ac:dyDescent="0.2">
      <c r="A521" s="849" t="s">
        <v>0</v>
      </c>
      <c r="B521" s="849"/>
      <c r="C521" s="849"/>
      <c r="D521" s="849"/>
      <c r="E521" s="849"/>
      <c r="F521" s="849"/>
      <c r="G521" s="850" t="s">
        <v>180</v>
      </c>
      <c r="H521" s="851" t="s">
        <v>181</v>
      </c>
    </row>
    <row r="522" spans="1:8" ht="146.25" x14ac:dyDescent="0.2">
      <c r="A522" s="448" t="s">
        <v>171</v>
      </c>
      <c r="B522" s="448" t="s">
        <v>172</v>
      </c>
      <c r="C522" s="448" t="s">
        <v>143</v>
      </c>
      <c r="D522" s="448" t="s">
        <v>174</v>
      </c>
      <c r="E522" s="448" t="s">
        <v>182</v>
      </c>
      <c r="F522" s="448" t="s">
        <v>118</v>
      </c>
      <c r="G522" s="850"/>
      <c r="H522" s="851"/>
    </row>
    <row r="523" spans="1:8" ht="15.75" x14ac:dyDescent="0.25">
      <c r="A523" s="433">
        <v>3</v>
      </c>
      <c r="B523" s="377" t="s">
        <v>53</v>
      </c>
      <c r="C523" s="377" t="s">
        <v>49</v>
      </c>
      <c r="D523" s="377" t="s">
        <v>51</v>
      </c>
      <c r="E523" s="377" t="s">
        <v>54</v>
      </c>
      <c r="F523" s="377" t="s">
        <v>226</v>
      </c>
      <c r="G523" s="382" t="s">
        <v>208</v>
      </c>
      <c r="H523" s="383">
        <f>proyectos!M40</f>
        <v>10000</v>
      </c>
    </row>
    <row r="524" spans="1:8" ht="15.75" x14ac:dyDescent="0.25">
      <c r="A524" s="433">
        <v>3</v>
      </c>
      <c r="B524" s="377" t="s">
        <v>53</v>
      </c>
      <c r="C524" s="377" t="s">
        <v>49</v>
      </c>
      <c r="D524" s="377" t="s">
        <v>51</v>
      </c>
      <c r="E524" s="377" t="s">
        <v>54</v>
      </c>
      <c r="F524" s="377" t="s">
        <v>646</v>
      </c>
      <c r="G524" s="382" t="str">
        <f>proyectos!S1</f>
        <v>Combustibles y Lubricantes</v>
      </c>
      <c r="H524" s="383">
        <f>proyectos!S40</f>
        <v>2000</v>
      </c>
    </row>
    <row r="525" spans="1:8" ht="15.75" x14ac:dyDescent="0.25">
      <c r="A525" s="433">
        <v>3</v>
      </c>
      <c r="B525" s="377" t="s">
        <v>53</v>
      </c>
      <c r="C525" s="377" t="s">
        <v>49</v>
      </c>
      <c r="D525" s="377" t="s">
        <v>51</v>
      </c>
      <c r="E525" s="377" t="s">
        <v>54</v>
      </c>
      <c r="F525" s="381">
        <v>54111</v>
      </c>
      <c r="G525" s="382" t="s">
        <v>48</v>
      </c>
      <c r="H525" s="383">
        <f>proyectos!T40</f>
        <v>15000</v>
      </c>
    </row>
    <row r="526" spans="1:8" ht="15.75" x14ac:dyDescent="0.25">
      <c r="A526" s="433">
        <v>3</v>
      </c>
      <c r="B526" s="377" t="s">
        <v>53</v>
      </c>
      <c r="C526" s="377" t="s">
        <v>49</v>
      </c>
      <c r="D526" s="377" t="s">
        <v>51</v>
      </c>
      <c r="E526" s="377" t="s">
        <v>54</v>
      </c>
      <c r="F526" s="381">
        <v>54112</v>
      </c>
      <c r="G526" s="382" t="s">
        <v>47</v>
      </c>
      <c r="H526" s="383">
        <f>proyectos!AV40</f>
        <v>2000</v>
      </c>
    </row>
    <row r="527" spans="1:8" ht="15.75" x14ac:dyDescent="0.25">
      <c r="A527" s="433">
        <v>3</v>
      </c>
      <c r="B527" s="377" t="s">
        <v>53</v>
      </c>
      <c r="C527" s="377" t="s">
        <v>49</v>
      </c>
      <c r="D527" s="377" t="s">
        <v>51</v>
      </c>
      <c r="E527" s="377" t="s">
        <v>54</v>
      </c>
      <c r="F527" s="381">
        <v>54304</v>
      </c>
      <c r="G527" s="382" t="s">
        <v>572</v>
      </c>
      <c r="H527" s="383">
        <f>proyectos!AF40</f>
        <v>1000</v>
      </c>
    </row>
    <row r="528" spans="1:8" ht="18" x14ac:dyDescent="0.2">
      <c r="A528" s="859" t="s">
        <v>374</v>
      </c>
      <c r="B528" s="859"/>
      <c r="C528" s="859"/>
      <c r="D528" s="859"/>
      <c r="E528" s="859"/>
      <c r="F528" s="859"/>
      <c r="G528" s="859"/>
      <c r="H528" s="451">
        <f>SUM(H523:H527)</f>
        <v>30000</v>
      </c>
    </row>
    <row r="531" spans="1:8" ht="18" x14ac:dyDescent="0.2">
      <c r="A531" s="807" t="s">
        <v>412</v>
      </c>
      <c r="B531" s="807"/>
      <c r="C531" s="807"/>
      <c r="D531" s="807"/>
      <c r="E531" s="807"/>
      <c r="F531" s="807"/>
      <c r="G531" s="807"/>
      <c r="H531" s="807"/>
    </row>
    <row r="532" spans="1:8" ht="18" x14ac:dyDescent="0.2">
      <c r="A532" s="855" t="s">
        <v>411</v>
      </c>
      <c r="B532" s="855"/>
      <c r="C532" s="855"/>
      <c r="D532" s="855"/>
      <c r="E532" s="855"/>
      <c r="F532" s="855"/>
      <c r="G532" s="855"/>
      <c r="H532" s="855"/>
    </row>
    <row r="533" spans="1:8" ht="15.75" x14ac:dyDescent="0.2">
      <c r="A533" s="809" t="s">
        <v>227</v>
      </c>
      <c r="B533" s="809"/>
      <c r="C533" s="809"/>
      <c r="D533" s="809"/>
      <c r="E533" s="809"/>
      <c r="F533" s="809"/>
      <c r="G533" s="809"/>
      <c r="H533" s="809"/>
    </row>
    <row r="534" spans="1:8" ht="15.75" x14ac:dyDescent="0.2">
      <c r="A534" s="809" t="s">
        <v>605</v>
      </c>
      <c r="B534" s="809"/>
      <c r="C534" s="809"/>
      <c r="D534" s="809"/>
      <c r="E534" s="809"/>
      <c r="F534" s="809"/>
      <c r="G534" s="809"/>
      <c r="H534" s="809"/>
    </row>
    <row r="535" spans="1:8" ht="15" x14ac:dyDescent="0.2">
      <c r="A535" s="860" t="s">
        <v>13</v>
      </c>
      <c r="B535" s="860"/>
      <c r="C535" s="860"/>
      <c r="D535" s="860"/>
      <c r="E535" s="860"/>
      <c r="F535" s="860"/>
      <c r="G535" s="860"/>
      <c r="H535" s="860"/>
    </row>
    <row r="536" spans="1:8" ht="15.75" x14ac:dyDescent="0.25">
      <c r="A536" s="857" t="s">
        <v>378</v>
      </c>
      <c r="B536" s="857"/>
      <c r="C536" s="857"/>
      <c r="D536" s="857"/>
      <c r="E536" s="857"/>
      <c r="F536" s="857"/>
      <c r="G536" s="857"/>
      <c r="H536" s="857"/>
    </row>
    <row r="537" spans="1:8" ht="14.25" x14ac:dyDescent="0.2">
      <c r="A537" s="858" t="str">
        <f>proyectos!B41</f>
        <v>PAVIMENTACION DE 150 MTS DE CALLE PPAL DE COL VILLAS DE ZARAGOZA</v>
      </c>
      <c r="B537" s="858"/>
      <c r="C537" s="858"/>
      <c r="D537" s="858"/>
      <c r="E537" s="858"/>
      <c r="F537" s="858"/>
      <c r="G537" s="858"/>
      <c r="H537" s="858"/>
    </row>
    <row r="538" spans="1:8" ht="15.75" x14ac:dyDescent="0.25">
      <c r="A538" s="857" t="s">
        <v>373</v>
      </c>
      <c r="B538" s="857"/>
      <c r="C538" s="857"/>
      <c r="D538" s="857"/>
      <c r="E538" s="857"/>
      <c r="F538" s="857"/>
      <c r="G538" s="857"/>
      <c r="H538" s="857"/>
    </row>
    <row r="539" spans="1:8" ht="15.75" x14ac:dyDescent="0.25">
      <c r="A539" s="857" t="str">
        <f>A537</f>
        <v>PAVIMENTACION DE 150 MTS DE CALLE PPAL DE COL VILLAS DE ZARAGOZA</v>
      </c>
      <c r="B539" s="857"/>
      <c r="C539" s="857"/>
      <c r="D539" s="857"/>
      <c r="E539" s="857"/>
      <c r="F539" s="857"/>
      <c r="G539" s="857"/>
      <c r="H539" s="857"/>
    </row>
    <row r="540" spans="1:8" ht="14.25" x14ac:dyDescent="0.2">
      <c r="A540" s="848"/>
      <c r="B540" s="848"/>
      <c r="C540" s="848"/>
      <c r="D540" s="848"/>
      <c r="E540" s="848"/>
      <c r="F540" s="848"/>
      <c r="G540" s="848"/>
      <c r="H540" s="848"/>
    </row>
    <row r="541" spans="1:8" x14ac:dyDescent="0.2">
      <c r="A541" s="849" t="s">
        <v>0</v>
      </c>
      <c r="B541" s="849"/>
      <c r="C541" s="849"/>
      <c r="D541" s="849"/>
      <c r="E541" s="849"/>
      <c r="F541" s="849"/>
      <c r="G541" s="850" t="s">
        <v>180</v>
      </c>
      <c r="H541" s="851" t="s">
        <v>181</v>
      </c>
    </row>
    <row r="542" spans="1:8" ht="146.25" x14ac:dyDescent="0.2">
      <c r="A542" s="448" t="s">
        <v>171</v>
      </c>
      <c r="B542" s="448" t="s">
        <v>172</v>
      </c>
      <c r="C542" s="448" t="s">
        <v>143</v>
      </c>
      <c r="D542" s="448" t="s">
        <v>174</v>
      </c>
      <c r="E542" s="448" t="s">
        <v>182</v>
      </c>
      <c r="F542" s="448" t="s">
        <v>118</v>
      </c>
      <c r="G542" s="850"/>
      <c r="H542" s="851"/>
    </row>
    <row r="543" spans="1:8" ht="15.75" x14ac:dyDescent="0.25">
      <c r="A543" s="433">
        <v>3</v>
      </c>
      <c r="B543" s="377" t="s">
        <v>53</v>
      </c>
      <c r="C543" s="377" t="s">
        <v>49</v>
      </c>
      <c r="D543" s="377" t="s">
        <v>51</v>
      </c>
      <c r="E543" s="377" t="s">
        <v>54</v>
      </c>
      <c r="F543" s="377" t="s">
        <v>226</v>
      </c>
      <c r="G543" s="382" t="s">
        <v>208</v>
      </c>
      <c r="H543" s="383">
        <f>proyectos!M41</f>
        <v>10000</v>
      </c>
    </row>
    <row r="544" spans="1:8" ht="15.75" x14ac:dyDescent="0.25">
      <c r="A544" s="433">
        <v>3</v>
      </c>
      <c r="B544" s="377" t="s">
        <v>53</v>
      </c>
      <c r="C544" s="377" t="s">
        <v>49</v>
      </c>
      <c r="D544" s="377" t="s">
        <v>51</v>
      </c>
      <c r="E544" s="377" t="s">
        <v>54</v>
      </c>
      <c r="F544" s="377" t="s">
        <v>647</v>
      </c>
      <c r="G544" s="382" t="s">
        <v>648</v>
      </c>
      <c r="H544" s="383">
        <f>proyectos!S41</f>
        <v>1000</v>
      </c>
    </row>
    <row r="545" spans="1:8" ht="15.75" x14ac:dyDescent="0.25">
      <c r="A545" s="433">
        <v>3</v>
      </c>
      <c r="B545" s="377" t="s">
        <v>53</v>
      </c>
      <c r="C545" s="377" t="s">
        <v>49</v>
      </c>
      <c r="D545" s="377" t="s">
        <v>51</v>
      </c>
      <c r="E545" s="377" t="s">
        <v>54</v>
      </c>
      <c r="F545" s="381">
        <v>54111</v>
      </c>
      <c r="G545" s="382" t="s">
        <v>48</v>
      </c>
      <c r="H545" s="383">
        <f>proyectos!T41</f>
        <v>12000</v>
      </c>
    </row>
    <row r="546" spans="1:8" ht="15.75" x14ac:dyDescent="0.25">
      <c r="A546" s="433">
        <v>3</v>
      </c>
      <c r="B546" s="377" t="s">
        <v>53</v>
      </c>
      <c r="C546" s="377" t="s">
        <v>49</v>
      </c>
      <c r="D546" s="377" t="s">
        <v>51</v>
      </c>
      <c r="E546" s="377" t="s">
        <v>54</v>
      </c>
      <c r="F546" s="381">
        <v>54399</v>
      </c>
      <c r="G546" s="382" t="s">
        <v>649</v>
      </c>
      <c r="H546" s="383">
        <f>proyectos!AH41</f>
        <v>3500</v>
      </c>
    </row>
    <row r="547" spans="1:8" ht="15.75" x14ac:dyDescent="0.25">
      <c r="A547" s="433">
        <v>3</v>
      </c>
      <c r="B547" s="377" t="s">
        <v>53</v>
      </c>
      <c r="C547" s="377" t="s">
        <v>49</v>
      </c>
      <c r="D547" s="377" t="s">
        <v>51</v>
      </c>
      <c r="E547" s="377" t="s">
        <v>54</v>
      </c>
      <c r="F547" s="381">
        <v>54304</v>
      </c>
      <c r="G547" s="382" t="s">
        <v>572</v>
      </c>
      <c r="H547" s="383">
        <f>proyectos!AF41</f>
        <v>1500</v>
      </c>
    </row>
    <row r="548" spans="1:8" ht="18" x14ac:dyDescent="0.2">
      <c r="A548" s="859" t="s">
        <v>374</v>
      </c>
      <c r="B548" s="859"/>
      <c r="C548" s="859"/>
      <c r="D548" s="859"/>
      <c r="E548" s="859"/>
      <c r="F548" s="859"/>
      <c r="G548" s="859"/>
      <c r="H548" s="451">
        <f>SUM(H543:H547)</f>
        <v>28000</v>
      </c>
    </row>
    <row r="551" spans="1:8" ht="18" x14ac:dyDescent="0.2">
      <c r="A551" s="807" t="s">
        <v>412</v>
      </c>
      <c r="B551" s="807"/>
      <c r="C551" s="807"/>
      <c r="D551" s="807"/>
      <c r="E551" s="807"/>
      <c r="F551" s="807"/>
      <c r="G551" s="807"/>
      <c r="H551" s="807"/>
    </row>
    <row r="552" spans="1:8" ht="18" x14ac:dyDescent="0.2">
      <c r="A552" s="855" t="s">
        <v>411</v>
      </c>
      <c r="B552" s="855"/>
      <c r="C552" s="855"/>
      <c r="D552" s="855"/>
      <c r="E552" s="855"/>
      <c r="F552" s="855"/>
      <c r="G552" s="855"/>
      <c r="H552" s="855"/>
    </row>
    <row r="553" spans="1:8" ht="15.75" x14ac:dyDescent="0.2">
      <c r="A553" s="809" t="s">
        <v>227</v>
      </c>
      <c r="B553" s="809"/>
      <c r="C553" s="809"/>
      <c r="D553" s="809"/>
      <c r="E553" s="809"/>
      <c r="F553" s="809"/>
      <c r="G553" s="809"/>
      <c r="H553" s="809"/>
    </row>
    <row r="554" spans="1:8" ht="15.75" x14ac:dyDescent="0.2">
      <c r="A554" s="809" t="s">
        <v>605</v>
      </c>
      <c r="B554" s="809"/>
      <c r="C554" s="809"/>
      <c r="D554" s="809"/>
      <c r="E554" s="809"/>
      <c r="F554" s="809"/>
      <c r="G554" s="809"/>
      <c r="H554" s="809"/>
    </row>
    <row r="555" spans="1:8" ht="15" x14ac:dyDescent="0.2">
      <c r="A555" s="860" t="s">
        <v>13</v>
      </c>
      <c r="B555" s="860"/>
      <c r="C555" s="860"/>
      <c r="D555" s="860"/>
      <c r="E555" s="860"/>
      <c r="F555" s="860"/>
      <c r="G555" s="860"/>
      <c r="H555" s="860"/>
    </row>
    <row r="556" spans="1:8" ht="15.75" x14ac:dyDescent="0.25">
      <c r="A556" s="857" t="s">
        <v>378</v>
      </c>
      <c r="B556" s="857"/>
      <c r="C556" s="857"/>
      <c r="D556" s="857"/>
      <c r="E556" s="857"/>
      <c r="F556" s="857"/>
      <c r="G556" s="857"/>
      <c r="H556" s="857"/>
    </row>
    <row r="557" spans="1:8" ht="14.25" x14ac:dyDescent="0.2">
      <c r="A557" s="858" t="str">
        <f>proyectos!B43</f>
        <v>CONSTRUCCION DE MURO EN COL NUEVA SAN NICOLAS</v>
      </c>
      <c r="B557" s="858"/>
      <c r="C557" s="858"/>
      <c r="D557" s="858"/>
      <c r="E557" s="858"/>
      <c r="F557" s="858"/>
      <c r="G557" s="858"/>
      <c r="H557" s="858"/>
    </row>
    <row r="558" spans="1:8" ht="15.75" x14ac:dyDescent="0.25">
      <c r="A558" s="857" t="s">
        <v>373</v>
      </c>
      <c r="B558" s="857"/>
      <c r="C558" s="857"/>
      <c r="D558" s="857"/>
      <c r="E558" s="857"/>
      <c r="F558" s="857"/>
      <c r="G558" s="857"/>
      <c r="H558" s="857"/>
    </row>
    <row r="559" spans="1:8" ht="15.75" x14ac:dyDescent="0.25">
      <c r="A559" s="857" t="str">
        <f>A557</f>
        <v>CONSTRUCCION DE MURO EN COL NUEVA SAN NICOLAS</v>
      </c>
      <c r="B559" s="857"/>
      <c r="C559" s="857"/>
      <c r="D559" s="857"/>
      <c r="E559" s="857"/>
      <c r="F559" s="857"/>
      <c r="G559" s="857"/>
      <c r="H559" s="857"/>
    </row>
    <row r="560" spans="1:8" ht="14.25" x14ac:dyDescent="0.2">
      <c r="A560" s="848"/>
      <c r="B560" s="848"/>
      <c r="C560" s="848"/>
      <c r="D560" s="848"/>
      <c r="E560" s="848"/>
      <c r="F560" s="848"/>
      <c r="G560" s="848"/>
      <c r="H560" s="848"/>
    </row>
    <row r="561" spans="1:8" x14ac:dyDescent="0.2">
      <c r="A561" s="849" t="s">
        <v>0</v>
      </c>
      <c r="B561" s="849"/>
      <c r="C561" s="849"/>
      <c r="D561" s="849"/>
      <c r="E561" s="849"/>
      <c r="F561" s="849"/>
      <c r="G561" s="850" t="s">
        <v>180</v>
      </c>
      <c r="H561" s="851" t="s">
        <v>181</v>
      </c>
    </row>
    <row r="562" spans="1:8" ht="114.75" customHeight="1" x14ac:dyDescent="0.2">
      <c r="A562" s="448" t="s">
        <v>171</v>
      </c>
      <c r="B562" s="448" t="s">
        <v>172</v>
      </c>
      <c r="C562" s="448" t="s">
        <v>143</v>
      </c>
      <c r="D562" s="448" t="s">
        <v>174</v>
      </c>
      <c r="E562" s="448" t="s">
        <v>182</v>
      </c>
      <c r="F562" s="448" t="s">
        <v>118</v>
      </c>
      <c r="G562" s="850"/>
      <c r="H562" s="851"/>
    </row>
    <row r="563" spans="1:8" ht="15.75" x14ac:dyDescent="0.25">
      <c r="A563" s="433">
        <v>3</v>
      </c>
      <c r="B563" s="377" t="s">
        <v>53</v>
      </c>
      <c r="C563" s="377" t="s">
        <v>49</v>
      </c>
      <c r="D563" s="377" t="s">
        <v>51</v>
      </c>
      <c r="E563" s="377" t="s">
        <v>54</v>
      </c>
      <c r="F563" s="377" t="s">
        <v>226</v>
      </c>
      <c r="G563" s="382" t="s">
        <v>208</v>
      </c>
      <c r="H563" s="383">
        <f>proyectos!M43</f>
        <v>6000</v>
      </c>
    </row>
    <row r="564" spans="1:8" ht="15.75" x14ac:dyDescent="0.25">
      <c r="A564" s="433">
        <v>3</v>
      </c>
      <c r="B564" s="377" t="s">
        <v>53</v>
      </c>
      <c r="C564" s="377" t="s">
        <v>49</v>
      </c>
      <c r="D564" s="377" t="s">
        <v>51</v>
      </c>
      <c r="E564" s="377" t="s">
        <v>54</v>
      </c>
      <c r="F564" s="381">
        <v>54111</v>
      </c>
      <c r="G564" s="382" t="s">
        <v>48</v>
      </c>
      <c r="H564" s="383">
        <f>proyectos!T43</f>
        <v>6000</v>
      </c>
    </row>
    <row r="565" spans="1:8" ht="15.75" x14ac:dyDescent="0.25">
      <c r="A565" s="433">
        <v>3</v>
      </c>
      <c r="B565" s="377" t="s">
        <v>53</v>
      </c>
      <c r="C565" s="377" t="s">
        <v>49</v>
      </c>
      <c r="D565" s="377" t="s">
        <v>51</v>
      </c>
      <c r="E565" s="377" t="s">
        <v>54</v>
      </c>
      <c r="F565" s="381">
        <v>54399</v>
      </c>
      <c r="G565" s="382" t="str">
        <f>proyectos!AV1</f>
        <v>Miner.meta. y prod.deriv</v>
      </c>
      <c r="H565" s="383">
        <f>proyectos!AV43</f>
        <v>3000</v>
      </c>
    </row>
    <row r="566" spans="1:8" ht="18" x14ac:dyDescent="0.2">
      <c r="A566" s="859" t="s">
        <v>374</v>
      </c>
      <c r="B566" s="859"/>
      <c r="C566" s="859"/>
      <c r="D566" s="859"/>
      <c r="E566" s="859"/>
      <c r="F566" s="859"/>
      <c r="G566" s="859"/>
      <c r="H566" s="451">
        <f>SUM(H563:H565)</f>
        <v>15000</v>
      </c>
    </row>
    <row r="569" spans="1:8" ht="18" x14ac:dyDescent="0.2">
      <c r="A569" s="807" t="s">
        <v>412</v>
      </c>
      <c r="B569" s="807"/>
      <c r="C569" s="807"/>
      <c r="D569" s="807"/>
      <c r="E569" s="807"/>
      <c r="F569" s="807"/>
      <c r="G569" s="807"/>
      <c r="H569" s="807"/>
    </row>
    <row r="570" spans="1:8" ht="18" x14ac:dyDescent="0.2">
      <c r="A570" s="855" t="s">
        <v>411</v>
      </c>
      <c r="B570" s="855"/>
      <c r="C570" s="855"/>
      <c r="D570" s="855"/>
      <c r="E570" s="855"/>
      <c r="F570" s="855"/>
      <c r="G570" s="855"/>
      <c r="H570" s="855"/>
    </row>
    <row r="571" spans="1:8" ht="15.75" x14ac:dyDescent="0.2">
      <c r="A571" s="809" t="s">
        <v>227</v>
      </c>
      <c r="B571" s="809"/>
      <c r="C571" s="809"/>
      <c r="D571" s="809"/>
      <c r="E571" s="809"/>
      <c r="F571" s="809"/>
      <c r="G571" s="809"/>
      <c r="H571" s="809"/>
    </row>
    <row r="572" spans="1:8" ht="15.75" x14ac:dyDescent="0.2">
      <c r="A572" s="809" t="s">
        <v>605</v>
      </c>
      <c r="B572" s="809"/>
      <c r="C572" s="809"/>
      <c r="D572" s="809"/>
      <c r="E572" s="809"/>
      <c r="F572" s="809"/>
      <c r="G572" s="809"/>
      <c r="H572" s="809"/>
    </row>
    <row r="573" spans="1:8" ht="15.75" x14ac:dyDescent="0.25">
      <c r="A573" s="856" t="s">
        <v>13</v>
      </c>
      <c r="B573" s="856"/>
      <c r="C573" s="856"/>
      <c r="D573" s="856"/>
      <c r="E573" s="856"/>
      <c r="F573" s="856"/>
      <c r="G573" s="856"/>
      <c r="H573" s="856"/>
    </row>
    <row r="574" spans="1:8" ht="15.75" x14ac:dyDescent="0.25">
      <c r="A574" s="857" t="s">
        <v>378</v>
      </c>
      <c r="B574" s="857"/>
      <c r="C574" s="857"/>
      <c r="D574" s="857"/>
      <c r="E574" s="857"/>
      <c r="F574" s="857"/>
      <c r="G574" s="857"/>
      <c r="H574" s="857"/>
    </row>
    <row r="575" spans="1:8" ht="14.25" x14ac:dyDescent="0.2">
      <c r="A575" s="858" t="str">
        <f>proyectos!B45</f>
        <v>PAVIMENTACION DE 100 METROS DE CALLE EN COL SAN NICOLAS</v>
      </c>
      <c r="B575" s="858"/>
      <c r="C575" s="858"/>
      <c r="D575" s="858"/>
      <c r="E575" s="858"/>
      <c r="F575" s="858"/>
      <c r="G575" s="858"/>
      <c r="H575" s="858"/>
    </row>
    <row r="576" spans="1:8" ht="15.75" x14ac:dyDescent="0.25">
      <c r="A576" s="857" t="s">
        <v>373</v>
      </c>
      <c r="B576" s="857"/>
      <c r="C576" s="857"/>
      <c r="D576" s="857"/>
      <c r="E576" s="857"/>
      <c r="F576" s="857"/>
      <c r="G576" s="857"/>
      <c r="H576" s="857"/>
    </row>
    <row r="577" spans="1:8" ht="15.75" x14ac:dyDescent="0.25">
      <c r="A577" s="857" t="str">
        <f>A575</f>
        <v>PAVIMENTACION DE 100 METROS DE CALLE EN COL SAN NICOLAS</v>
      </c>
      <c r="B577" s="857"/>
      <c r="C577" s="857"/>
      <c r="D577" s="857"/>
      <c r="E577" s="857"/>
      <c r="F577" s="857"/>
      <c r="G577" s="857"/>
      <c r="H577" s="857"/>
    </row>
    <row r="578" spans="1:8" ht="14.25" x14ac:dyDescent="0.2">
      <c r="A578" s="848"/>
      <c r="B578" s="848"/>
      <c r="C578" s="848"/>
      <c r="D578" s="848"/>
      <c r="E578" s="848"/>
      <c r="F578" s="848"/>
      <c r="G578" s="848"/>
      <c r="H578" s="848"/>
    </row>
    <row r="579" spans="1:8" x14ac:dyDescent="0.2">
      <c r="A579" s="849" t="s">
        <v>0</v>
      </c>
      <c r="B579" s="849"/>
      <c r="C579" s="849"/>
      <c r="D579" s="849"/>
      <c r="E579" s="849"/>
      <c r="F579" s="849"/>
      <c r="G579" s="850" t="s">
        <v>180</v>
      </c>
      <c r="H579" s="851" t="s">
        <v>181</v>
      </c>
    </row>
    <row r="580" spans="1:8" ht="141.75" customHeight="1" x14ac:dyDescent="0.2">
      <c r="A580" s="448" t="s">
        <v>171</v>
      </c>
      <c r="B580" s="448" t="s">
        <v>172</v>
      </c>
      <c r="C580" s="448" t="s">
        <v>143</v>
      </c>
      <c r="D580" s="448" t="s">
        <v>174</v>
      </c>
      <c r="E580" s="448" t="s">
        <v>182</v>
      </c>
      <c r="F580" s="448" t="s">
        <v>118</v>
      </c>
      <c r="G580" s="850"/>
      <c r="H580" s="851"/>
    </row>
    <row r="581" spans="1:8" ht="15.75" x14ac:dyDescent="0.25">
      <c r="A581" s="433">
        <v>3</v>
      </c>
      <c r="B581" s="377" t="s">
        <v>53</v>
      </c>
      <c r="C581" s="377" t="s">
        <v>49</v>
      </c>
      <c r="D581" s="377" t="s">
        <v>51</v>
      </c>
      <c r="E581" s="377" t="s">
        <v>54</v>
      </c>
      <c r="F581" s="377" t="s">
        <v>226</v>
      </c>
      <c r="G581" s="382" t="s">
        <v>208</v>
      </c>
      <c r="H581" s="383">
        <f>proyectos!M45</f>
        <v>8000</v>
      </c>
    </row>
    <row r="582" spans="1:8" ht="15.75" x14ac:dyDescent="0.25">
      <c r="A582" s="433">
        <v>3</v>
      </c>
      <c r="B582" s="377" t="s">
        <v>53</v>
      </c>
      <c r="C582" s="377" t="s">
        <v>49</v>
      </c>
      <c r="D582" s="377" t="s">
        <v>51</v>
      </c>
      <c r="E582" s="377" t="s">
        <v>54</v>
      </c>
      <c r="F582" s="381">
        <v>54111</v>
      </c>
      <c r="G582" s="382" t="s">
        <v>48</v>
      </c>
      <c r="H582" s="383">
        <f>proyectos!T45</f>
        <v>10000</v>
      </c>
    </row>
    <row r="583" spans="1:8" ht="15.75" x14ac:dyDescent="0.25">
      <c r="A583" s="433">
        <v>3</v>
      </c>
      <c r="B583" s="377" t="s">
        <v>53</v>
      </c>
      <c r="C583" s="377" t="s">
        <v>49</v>
      </c>
      <c r="D583" s="377" t="s">
        <v>51</v>
      </c>
      <c r="E583" s="377" t="s">
        <v>54</v>
      </c>
      <c r="F583" s="381">
        <v>54112</v>
      </c>
      <c r="G583" s="382" t="s">
        <v>47</v>
      </c>
      <c r="H583" s="383">
        <f>proyectos!AV45</f>
        <v>1000</v>
      </c>
    </row>
    <row r="584" spans="1:8" ht="15.75" x14ac:dyDescent="0.25">
      <c r="A584" s="433">
        <v>3</v>
      </c>
      <c r="B584" s="377" t="s">
        <v>53</v>
      </c>
      <c r="C584" s="377" t="s">
        <v>49</v>
      </c>
      <c r="D584" s="377" t="s">
        <v>51</v>
      </c>
      <c r="E584" s="377" t="s">
        <v>54</v>
      </c>
      <c r="F584" s="381">
        <v>54399</v>
      </c>
      <c r="G584" s="382" t="s">
        <v>650</v>
      </c>
      <c r="H584" s="383">
        <f>proyectos!AH45</f>
        <v>1000</v>
      </c>
    </row>
    <row r="585" spans="1:8" ht="18" x14ac:dyDescent="0.2">
      <c r="A585" s="859" t="s">
        <v>374</v>
      </c>
      <c r="B585" s="859"/>
      <c r="C585" s="859"/>
      <c r="D585" s="859"/>
      <c r="E585" s="859"/>
      <c r="F585" s="859"/>
      <c r="G585" s="859"/>
      <c r="H585" s="451">
        <f>SUM(H581:H584)</f>
        <v>20000</v>
      </c>
    </row>
    <row r="588" spans="1:8" ht="18" x14ac:dyDescent="0.2">
      <c r="A588" s="807" t="s">
        <v>412</v>
      </c>
      <c r="B588" s="807"/>
      <c r="C588" s="807"/>
      <c r="D588" s="807"/>
      <c r="E588" s="807"/>
      <c r="F588" s="807"/>
      <c r="G588" s="807"/>
      <c r="H588" s="807"/>
    </row>
    <row r="589" spans="1:8" ht="18" x14ac:dyDescent="0.2">
      <c r="A589" s="855" t="s">
        <v>411</v>
      </c>
      <c r="B589" s="855"/>
      <c r="C589" s="855"/>
      <c r="D589" s="855"/>
      <c r="E589" s="855"/>
      <c r="F589" s="855"/>
      <c r="G589" s="855"/>
      <c r="H589" s="855"/>
    </row>
    <row r="590" spans="1:8" ht="15.75" x14ac:dyDescent="0.2">
      <c r="A590" s="809" t="s">
        <v>227</v>
      </c>
      <c r="B590" s="809"/>
      <c r="C590" s="809"/>
      <c r="D590" s="809"/>
      <c r="E590" s="809"/>
      <c r="F590" s="809"/>
      <c r="G590" s="809"/>
      <c r="H590" s="809"/>
    </row>
    <row r="591" spans="1:8" ht="15.75" x14ac:dyDescent="0.2">
      <c r="A591" s="809" t="s">
        <v>605</v>
      </c>
      <c r="B591" s="809"/>
      <c r="C591" s="809"/>
      <c r="D591" s="809"/>
      <c r="E591" s="809"/>
      <c r="F591" s="809"/>
      <c r="G591" s="809"/>
      <c r="H591" s="809"/>
    </row>
    <row r="592" spans="1:8" ht="15.75" x14ac:dyDescent="0.25">
      <c r="A592" s="856" t="s">
        <v>13</v>
      </c>
      <c r="B592" s="856"/>
      <c r="C592" s="856"/>
      <c r="D592" s="856"/>
      <c r="E592" s="856"/>
      <c r="F592" s="856"/>
      <c r="G592" s="856"/>
      <c r="H592" s="856"/>
    </row>
    <row r="593" spans="1:8" ht="15.75" x14ac:dyDescent="0.25">
      <c r="A593" s="857" t="s">
        <v>378</v>
      </c>
      <c r="B593" s="857"/>
      <c r="C593" s="857"/>
      <c r="D593" s="857"/>
      <c r="E593" s="857"/>
      <c r="F593" s="857"/>
      <c r="G593" s="857"/>
      <c r="H593" s="857"/>
    </row>
    <row r="594" spans="1:8" ht="14.25" x14ac:dyDescent="0.2">
      <c r="A594" s="858" t="str">
        <f>proyectos!B46</f>
        <v>PAVIMENTACION DE 100 METROS DE CALLE EN CON VISTA HERMOSA #2</v>
      </c>
      <c r="B594" s="858"/>
      <c r="C594" s="858"/>
      <c r="D594" s="858"/>
      <c r="E594" s="858"/>
      <c r="F594" s="858"/>
      <c r="G594" s="858"/>
      <c r="H594" s="858"/>
    </row>
    <row r="595" spans="1:8" ht="15.75" x14ac:dyDescent="0.25">
      <c r="A595" s="857" t="s">
        <v>373</v>
      </c>
      <c r="B595" s="857"/>
      <c r="C595" s="857"/>
      <c r="D595" s="857"/>
      <c r="E595" s="857"/>
      <c r="F595" s="857"/>
      <c r="G595" s="857"/>
      <c r="H595" s="857"/>
    </row>
    <row r="596" spans="1:8" ht="15.75" x14ac:dyDescent="0.25">
      <c r="A596" s="857" t="str">
        <f>A594</f>
        <v>PAVIMENTACION DE 100 METROS DE CALLE EN CON VISTA HERMOSA #2</v>
      </c>
      <c r="B596" s="857"/>
      <c r="C596" s="857"/>
      <c r="D596" s="857"/>
      <c r="E596" s="857"/>
      <c r="F596" s="857"/>
      <c r="G596" s="857"/>
      <c r="H596" s="857"/>
    </row>
    <row r="597" spans="1:8" ht="14.25" x14ac:dyDescent="0.2">
      <c r="A597" s="848"/>
      <c r="B597" s="848"/>
      <c r="C597" s="848"/>
      <c r="D597" s="848"/>
      <c r="E597" s="848"/>
      <c r="F597" s="848"/>
      <c r="G597" s="848"/>
      <c r="H597" s="848"/>
    </row>
    <row r="598" spans="1:8" x14ac:dyDescent="0.2">
      <c r="A598" s="849" t="s">
        <v>0</v>
      </c>
      <c r="B598" s="849"/>
      <c r="C598" s="849"/>
      <c r="D598" s="849"/>
      <c r="E598" s="849"/>
      <c r="F598" s="849"/>
      <c r="G598" s="850" t="s">
        <v>180</v>
      </c>
      <c r="H598" s="851" t="s">
        <v>181</v>
      </c>
    </row>
    <row r="599" spans="1:8" ht="146.25" x14ac:dyDescent="0.2">
      <c r="A599" s="448" t="s">
        <v>171</v>
      </c>
      <c r="B599" s="448" t="s">
        <v>172</v>
      </c>
      <c r="C599" s="448" t="s">
        <v>143</v>
      </c>
      <c r="D599" s="448" t="s">
        <v>174</v>
      </c>
      <c r="E599" s="448" t="s">
        <v>182</v>
      </c>
      <c r="F599" s="448" t="s">
        <v>118</v>
      </c>
      <c r="G599" s="850"/>
      <c r="H599" s="851"/>
    </row>
    <row r="600" spans="1:8" ht="15.75" x14ac:dyDescent="0.25">
      <c r="A600" s="433">
        <v>3</v>
      </c>
      <c r="B600" s="377" t="s">
        <v>53</v>
      </c>
      <c r="C600" s="377" t="s">
        <v>49</v>
      </c>
      <c r="D600" s="377" t="s">
        <v>51</v>
      </c>
      <c r="E600" s="377" t="s">
        <v>54</v>
      </c>
      <c r="F600" s="377" t="s">
        <v>226</v>
      </c>
      <c r="G600" s="382" t="s">
        <v>208</v>
      </c>
      <c r="H600" s="383">
        <f>proyectos!M46</f>
        <v>6000</v>
      </c>
    </row>
    <row r="601" spans="1:8" ht="15.75" x14ac:dyDescent="0.25">
      <c r="A601" s="433">
        <v>3</v>
      </c>
      <c r="B601" s="377" t="s">
        <v>53</v>
      </c>
      <c r="C601" s="377" t="s">
        <v>49</v>
      </c>
      <c r="D601" s="377" t="s">
        <v>51</v>
      </c>
      <c r="E601" s="377" t="s">
        <v>54</v>
      </c>
      <c r="F601" s="377" t="s">
        <v>647</v>
      </c>
      <c r="G601" s="382" t="s">
        <v>651</v>
      </c>
      <c r="H601" s="383">
        <f>proyectos!S46</f>
        <v>500</v>
      </c>
    </row>
    <row r="602" spans="1:8" ht="15.75" x14ac:dyDescent="0.25">
      <c r="A602" s="433">
        <v>3</v>
      </c>
      <c r="B602" s="377" t="s">
        <v>53</v>
      </c>
      <c r="C602" s="377" t="s">
        <v>49</v>
      </c>
      <c r="D602" s="377" t="s">
        <v>51</v>
      </c>
      <c r="E602" s="377" t="s">
        <v>54</v>
      </c>
      <c r="F602" s="381">
        <v>54111</v>
      </c>
      <c r="G602" s="382" t="s">
        <v>48</v>
      </c>
      <c r="H602" s="383">
        <f>proyectos!T46</f>
        <v>9000</v>
      </c>
    </row>
    <row r="603" spans="1:8" ht="15.75" x14ac:dyDescent="0.25">
      <c r="A603" s="433">
        <v>3</v>
      </c>
      <c r="B603" s="377" t="s">
        <v>53</v>
      </c>
      <c r="C603" s="377" t="s">
        <v>49</v>
      </c>
      <c r="D603" s="377" t="s">
        <v>51</v>
      </c>
      <c r="E603" s="377" t="s">
        <v>54</v>
      </c>
      <c r="F603" s="381">
        <v>54112</v>
      </c>
      <c r="G603" s="382" t="s">
        <v>47</v>
      </c>
      <c r="H603" s="383">
        <f>proyectos!AV46</f>
        <v>2500</v>
      </c>
    </row>
    <row r="604" spans="1:8" ht="15.75" x14ac:dyDescent="0.25">
      <c r="A604" s="433">
        <v>3</v>
      </c>
      <c r="B604" s="377" t="s">
        <v>53</v>
      </c>
      <c r="C604" s="377" t="s">
        <v>49</v>
      </c>
      <c r="D604" s="377" t="s">
        <v>51</v>
      </c>
      <c r="E604" s="377" t="s">
        <v>54</v>
      </c>
      <c r="F604" s="381">
        <v>54399</v>
      </c>
      <c r="G604" s="382" t="s">
        <v>650</v>
      </c>
      <c r="H604" s="383">
        <f>proyectos!AH46</f>
        <v>1500</v>
      </c>
    </row>
    <row r="605" spans="1:8" ht="15.75" x14ac:dyDescent="0.25">
      <c r="A605" s="433">
        <v>3</v>
      </c>
      <c r="B605" s="377" t="s">
        <v>53</v>
      </c>
      <c r="C605" s="377" t="s">
        <v>49</v>
      </c>
      <c r="D605" s="377" t="s">
        <v>51</v>
      </c>
      <c r="E605" s="377" t="s">
        <v>54</v>
      </c>
      <c r="F605" s="381">
        <v>54118</v>
      </c>
      <c r="G605" s="382" t="str">
        <f>proyectos!X1</f>
        <v>Herramientas, Repuestos y Accesorios</v>
      </c>
      <c r="H605" s="383">
        <f>proyectos!X46</f>
        <v>500</v>
      </c>
    </row>
    <row r="606" spans="1:8" ht="18" x14ac:dyDescent="0.2">
      <c r="A606" s="859" t="s">
        <v>374</v>
      </c>
      <c r="B606" s="859"/>
      <c r="C606" s="859"/>
      <c r="D606" s="859"/>
      <c r="E606" s="859"/>
      <c r="F606" s="859"/>
      <c r="G606" s="859"/>
      <c r="H606" s="451">
        <f>SUM(H600:H605)</f>
        <v>20000</v>
      </c>
    </row>
    <row r="608" spans="1:8" ht="18" x14ac:dyDescent="0.2">
      <c r="A608" s="807" t="s">
        <v>412</v>
      </c>
      <c r="B608" s="807"/>
      <c r="C608" s="807"/>
      <c r="D608" s="807"/>
      <c r="E608" s="807"/>
      <c r="F608" s="807"/>
      <c r="G608" s="807"/>
      <c r="H608" s="807"/>
    </row>
    <row r="609" spans="1:8" ht="18" x14ac:dyDescent="0.2">
      <c r="A609" s="855" t="s">
        <v>411</v>
      </c>
      <c r="B609" s="855"/>
      <c r="C609" s="855"/>
      <c r="D609" s="855"/>
      <c r="E609" s="855"/>
      <c r="F609" s="855"/>
      <c r="G609" s="855"/>
      <c r="H609" s="855"/>
    </row>
    <row r="610" spans="1:8" ht="15.75" x14ac:dyDescent="0.2">
      <c r="A610" s="809" t="s">
        <v>227</v>
      </c>
      <c r="B610" s="809"/>
      <c r="C610" s="809"/>
      <c r="D610" s="809"/>
      <c r="E610" s="809"/>
      <c r="F610" s="809"/>
      <c r="G610" s="809"/>
      <c r="H610" s="809"/>
    </row>
    <row r="611" spans="1:8" ht="15.75" x14ac:dyDescent="0.2">
      <c r="A611" s="809" t="s">
        <v>605</v>
      </c>
      <c r="B611" s="809"/>
      <c r="C611" s="809"/>
      <c r="D611" s="809"/>
      <c r="E611" s="809"/>
      <c r="F611" s="809"/>
      <c r="G611" s="809"/>
      <c r="H611" s="809"/>
    </row>
    <row r="612" spans="1:8" ht="15.75" x14ac:dyDescent="0.25">
      <c r="A612" s="856" t="s">
        <v>13</v>
      </c>
      <c r="B612" s="856"/>
      <c r="C612" s="856"/>
      <c r="D612" s="856"/>
      <c r="E612" s="856"/>
      <c r="F612" s="856"/>
      <c r="G612" s="856"/>
      <c r="H612" s="856"/>
    </row>
    <row r="613" spans="1:8" ht="15.75" x14ac:dyDescent="0.25">
      <c r="A613" s="857" t="s">
        <v>378</v>
      </c>
      <c r="B613" s="857"/>
      <c r="C613" s="857"/>
      <c r="D613" s="857"/>
      <c r="E613" s="857"/>
      <c r="F613" s="857"/>
      <c r="G613" s="857"/>
      <c r="H613" s="857"/>
    </row>
    <row r="614" spans="1:8" ht="14.25" x14ac:dyDescent="0.2">
      <c r="A614" s="858" t="str">
        <f>proyectos!B47</f>
        <v>REPARACION DE PASAJE EN COL EL MIRADOR</v>
      </c>
      <c r="B614" s="858"/>
      <c r="C614" s="858"/>
      <c r="D614" s="858"/>
      <c r="E614" s="858"/>
      <c r="F614" s="858"/>
      <c r="G614" s="858"/>
      <c r="H614" s="858"/>
    </row>
    <row r="615" spans="1:8" ht="15.75" x14ac:dyDescent="0.25">
      <c r="A615" s="857" t="s">
        <v>373</v>
      </c>
      <c r="B615" s="857"/>
      <c r="C615" s="857"/>
      <c r="D615" s="857"/>
      <c r="E615" s="857"/>
      <c r="F615" s="857"/>
      <c r="G615" s="857"/>
      <c r="H615" s="857"/>
    </row>
    <row r="616" spans="1:8" ht="15.75" x14ac:dyDescent="0.25">
      <c r="A616" s="857" t="str">
        <f>A614</f>
        <v>REPARACION DE PASAJE EN COL EL MIRADOR</v>
      </c>
      <c r="B616" s="857"/>
      <c r="C616" s="857"/>
      <c r="D616" s="857"/>
      <c r="E616" s="857"/>
      <c r="F616" s="857"/>
      <c r="G616" s="857"/>
      <c r="H616" s="857"/>
    </row>
    <row r="617" spans="1:8" ht="14.25" x14ac:dyDescent="0.2">
      <c r="A617" s="848"/>
      <c r="B617" s="848"/>
      <c r="C617" s="848"/>
      <c r="D617" s="848"/>
      <c r="E617" s="848"/>
      <c r="F617" s="848"/>
      <c r="G617" s="848"/>
      <c r="H617" s="848"/>
    </row>
    <row r="618" spans="1:8" x14ac:dyDescent="0.2">
      <c r="A618" s="849" t="s">
        <v>0</v>
      </c>
      <c r="B618" s="849"/>
      <c r="C618" s="849"/>
      <c r="D618" s="849"/>
      <c r="E618" s="849"/>
      <c r="F618" s="849"/>
      <c r="G618" s="850" t="s">
        <v>180</v>
      </c>
      <c r="H618" s="851" t="s">
        <v>181</v>
      </c>
    </row>
    <row r="619" spans="1:8" ht="123.75" customHeight="1" x14ac:dyDescent="0.2">
      <c r="A619" s="448" t="s">
        <v>171</v>
      </c>
      <c r="B619" s="448" t="s">
        <v>172</v>
      </c>
      <c r="C619" s="448" t="s">
        <v>143</v>
      </c>
      <c r="D619" s="448" t="s">
        <v>174</v>
      </c>
      <c r="E619" s="448" t="s">
        <v>182</v>
      </c>
      <c r="F619" s="448" t="s">
        <v>118</v>
      </c>
      <c r="G619" s="850"/>
      <c r="H619" s="851"/>
    </row>
    <row r="620" spans="1:8" ht="15.75" x14ac:dyDescent="0.25">
      <c r="A620" s="536">
        <v>3</v>
      </c>
      <c r="B620" s="377" t="s">
        <v>53</v>
      </c>
      <c r="C620" s="377" t="s">
        <v>49</v>
      </c>
      <c r="D620" s="377" t="s">
        <v>51</v>
      </c>
      <c r="E620" s="377" t="s">
        <v>54</v>
      </c>
      <c r="F620" s="377" t="s">
        <v>226</v>
      </c>
      <c r="G620" s="382" t="s">
        <v>208</v>
      </c>
      <c r="H620" s="383">
        <f>proyectos!M47</f>
        <v>8000</v>
      </c>
    </row>
    <row r="621" spans="1:8" ht="15.75" x14ac:dyDescent="0.25">
      <c r="A621" s="536">
        <v>3</v>
      </c>
      <c r="B621" s="377" t="s">
        <v>53</v>
      </c>
      <c r="C621" s="377" t="s">
        <v>49</v>
      </c>
      <c r="D621" s="377" t="s">
        <v>51</v>
      </c>
      <c r="E621" s="377" t="s">
        <v>54</v>
      </c>
      <c r="F621" s="377" t="s">
        <v>647</v>
      </c>
      <c r="G621" s="382" t="s">
        <v>651</v>
      </c>
      <c r="H621" s="383">
        <f>proyectos!S46</f>
        <v>500</v>
      </c>
    </row>
    <row r="622" spans="1:8" ht="15.75" x14ac:dyDescent="0.25">
      <c r="A622" s="536">
        <v>3</v>
      </c>
      <c r="B622" s="377" t="s">
        <v>53</v>
      </c>
      <c r="C622" s="377" t="s">
        <v>49</v>
      </c>
      <c r="D622" s="377" t="s">
        <v>51</v>
      </c>
      <c r="E622" s="377" t="s">
        <v>54</v>
      </c>
      <c r="F622" s="381">
        <v>54111</v>
      </c>
      <c r="G622" s="382" t="s">
        <v>48</v>
      </c>
      <c r="H622" s="383">
        <f>proyectos!T47</f>
        <v>11000</v>
      </c>
    </row>
    <row r="623" spans="1:8" ht="15.75" x14ac:dyDescent="0.25">
      <c r="A623" s="536">
        <v>3</v>
      </c>
      <c r="B623" s="377" t="s">
        <v>53</v>
      </c>
      <c r="C623" s="377" t="s">
        <v>49</v>
      </c>
      <c r="D623" s="377" t="s">
        <v>51</v>
      </c>
      <c r="E623" s="377" t="s">
        <v>54</v>
      </c>
      <c r="F623" s="381">
        <v>54112</v>
      </c>
      <c r="G623" s="382" t="s">
        <v>47</v>
      </c>
      <c r="H623" s="383">
        <f>proyectos!AV47</f>
        <v>2000</v>
      </c>
    </row>
    <row r="624" spans="1:8" ht="15.75" x14ac:dyDescent="0.25">
      <c r="A624" s="536">
        <v>3</v>
      </c>
      <c r="B624" s="377" t="s">
        <v>53</v>
      </c>
      <c r="C624" s="377" t="s">
        <v>49</v>
      </c>
      <c r="D624" s="377" t="s">
        <v>51</v>
      </c>
      <c r="E624" s="377" t="s">
        <v>54</v>
      </c>
      <c r="F624" s="381">
        <v>54118</v>
      </c>
      <c r="G624" s="382" t="s">
        <v>652</v>
      </c>
      <c r="H624" s="383">
        <f>proyectos!X47</f>
        <v>500</v>
      </c>
    </row>
    <row r="625" spans="1:8" ht="15.75" x14ac:dyDescent="0.25">
      <c r="A625" s="536">
        <v>3</v>
      </c>
      <c r="B625" s="377" t="s">
        <v>53</v>
      </c>
      <c r="C625" s="377" t="s">
        <v>49</v>
      </c>
      <c r="D625" s="377" t="s">
        <v>51</v>
      </c>
      <c r="E625" s="377" t="s">
        <v>54</v>
      </c>
      <c r="F625" s="381">
        <v>54399</v>
      </c>
      <c r="G625" s="382" t="s">
        <v>650</v>
      </c>
      <c r="H625" s="383">
        <f>proyectos!AH47</f>
        <v>2500</v>
      </c>
    </row>
    <row r="626" spans="1:8" ht="15.75" x14ac:dyDescent="0.25">
      <c r="A626" s="536">
        <v>3</v>
      </c>
      <c r="B626" s="377" t="s">
        <v>53</v>
      </c>
      <c r="C626" s="377" t="s">
        <v>49</v>
      </c>
      <c r="D626" s="377" t="s">
        <v>51</v>
      </c>
      <c r="E626" s="377" t="s">
        <v>54</v>
      </c>
      <c r="F626" s="381">
        <v>54304</v>
      </c>
      <c r="G626" s="382" t="str">
        <f>proyectos!AF1</f>
        <v>Transportes Fletes y almacenamientos</v>
      </c>
      <c r="H626" s="383">
        <f>proyectos!AF47</f>
        <v>500</v>
      </c>
    </row>
    <row r="627" spans="1:8" ht="18" x14ac:dyDescent="0.2">
      <c r="A627" s="859" t="s">
        <v>374</v>
      </c>
      <c r="B627" s="859"/>
      <c r="C627" s="859"/>
      <c r="D627" s="859"/>
      <c r="E627" s="859"/>
      <c r="F627" s="859"/>
      <c r="G627" s="859"/>
      <c r="H627" s="656">
        <f>SUM(H620:H626)</f>
        <v>25000</v>
      </c>
    </row>
    <row r="630" spans="1:8" ht="18" x14ac:dyDescent="0.2">
      <c r="A630" s="807" t="s">
        <v>412</v>
      </c>
      <c r="B630" s="807"/>
      <c r="C630" s="807"/>
      <c r="D630" s="807"/>
      <c r="E630" s="807"/>
      <c r="F630" s="807"/>
      <c r="G630" s="807"/>
      <c r="H630" s="807"/>
    </row>
    <row r="631" spans="1:8" ht="18" x14ac:dyDescent="0.2">
      <c r="A631" s="855" t="s">
        <v>411</v>
      </c>
      <c r="B631" s="855"/>
      <c r="C631" s="855"/>
      <c r="D631" s="855"/>
      <c r="E631" s="855"/>
      <c r="F631" s="855"/>
      <c r="G631" s="855"/>
      <c r="H631" s="855"/>
    </row>
    <row r="632" spans="1:8" ht="15.75" x14ac:dyDescent="0.2">
      <c r="A632" s="809" t="s">
        <v>227</v>
      </c>
      <c r="B632" s="809"/>
      <c r="C632" s="809"/>
      <c r="D632" s="809"/>
      <c r="E632" s="809"/>
      <c r="F632" s="809"/>
      <c r="G632" s="809"/>
      <c r="H632" s="809"/>
    </row>
    <row r="633" spans="1:8" ht="15.75" x14ac:dyDescent="0.2">
      <c r="A633" s="809" t="s">
        <v>605</v>
      </c>
      <c r="B633" s="809"/>
      <c r="C633" s="809"/>
      <c r="D633" s="809"/>
      <c r="E633" s="809"/>
      <c r="F633" s="809"/>
      <c r="G633" s="809"/>
      <c r="H633" s="809"/>
    </row>
    <row r="634" spans="1:8" ht="15.75" x14ac:dyDescent="0.25">
      <c r="A634" s="856" t="s">
        <v>13</v>
      </c>
      <c r="B634" s="856"/>
      <c r="C634" s="856"/>
      <c r="D634" s="856"/>
      <c r="E634" s="856"/>
      <c r="F634" s="856"/>
      <c r="G634" s="856"/>
      <c r="H634" s="856"/>
    </row>
    <row r="635" spans="1:8" ht="15.75" x14ac:dyDescent="0.25">
      <c r="A635" s="857" t="s">
        <v>378</v>
      </c>
      <c r="B635" s="857"/>
      <c r="C635" s="857"/>
      <c r="D635" s="857"/>
      <c r="E635" s="857"/>
      <c r="F635" s="857"/>
      <c r="G635" s="857"/>
      <c r="H635" s="857"/>
    </row>
    <row r="636" spans="1:8" ht="14.25" x14ac:dyDescent="0.2">
      <c r="A636" s="858" t="str">
        <f>proyectos!B49</f>
        <v>CAMBIO DE TECHO DE PALACIO MUNICIPAL</v>
      </c>
      <c r="B636" s="858"/>
      <c r="C636" s="858"/>
      <c r="D636" s="858"/>
      <c r="E636" s="858"/>
      <c r="F636" s="858"/>
      <c r="G636" s="858"/>
      <c r="H636" s="858"/>
    </row>
    <row r="637" spans="1:8" ht="15.75" x14ac:dyDescent="0.25">
      <c r="A637" s="857" t="s">
        <v>373</v>
      </c>
      <c r="B637" s="857"/>
      <c r="C637" s="857"/>
      <c r="D637" s="857"/>
      <c r="E637" s="857"/>
      <c r="F637" s="857"/>
      <c r="G637" s="857"/>
      <c r="H637" s="857"/>
    </row>
    <row r="638" spans="1:8" ht="15.75" x14ac:dyDescent="0.25">
      <c r="A638" s="857" t="str">
        <f>A636</f>
        <v>CAMBIO DE TECHO DE PALACIO MUNICIPAL</v>
      </c>
      <c r="B638" s="857"/>
      <c r="C638" s="857"/>
      <c r="D638" s="857"/>
      <c r="E638" s="857"/>
      <c r="F638" s="857"/>
      <c r="G638" s="857"/>
      <c r="H638" s="857"/>
    </row>
    <row r="639" spans="1:8" ht="14.25" x14ac:dyDescent="0.2">
      <c r="A639" s="848"/>
      <c r="B639" s="848"/>
      <c r="C639" s="848"/>
      <c r="D639" s="848"/>
      <c r="E639" s="848"/>
      <c r="F639" s="848"/>
      <c r="G639" s="848"/>
      <c r="H639" s="848"/>
    </row>
    <row r="640" spans="1:8" x14ac:dyDescent="0.2">
      <c r="A640" s="849" t="s">
        <v>0</v>
      </c>
      <c r="B640" s="849"/>
      <c r="C640" s="849"/>
      <c r="D640" s="849"/>
      <c r="E640" s="849"/>
      <c r="F640" s="849"/>
      <c r="G640" s="850" t="s">
        <v>180</v>
      </c>
      <c r="H640" s="851" t="s">
        <v>181</v>
      </c>
    </row>
    <row r="641" spans="1:8" ht="146.25" x14ac:dyDescent="0.2">
      <c r="A641" s="448" t="s">
        <v>171</v>
      </c>
      <c r="B641" s="448" t="s">
        <v>172</v>
      </c>
      <c r="C641" s="448" t="s">
        <v>143</v>
      </c>
      <c r="D641" s="448" t="s">
        <v>174</v>
      </c>
      <c r="E641" s="448" t="s">
        <v>182</v>
      </c>
      <c r="F641" s="448" t="s">
        <v>118</v>
      </c>
      <c r="G641" s="850"/>
      <c r="H641" s="851"/>
    </row>
    <row r="642" spans="1:8" ht="15.75" x14ac:dyDescent="0.25">
      <c r="A642" s="433">
        <v>3</v>
      </c>
      <c r="B642" s="377" t="s">
        <v>53</v>
      </c>
      <c r="C642" s="377" t="s">
        <v>49</v>
      </c>
      <c r="D642" s="377" t="s">
        <v>51</v>
      </c>
      <c r="E642" s="377" t="s">
        <v>54</v>
      </c>
      <c r="F642" s="381">
        <v>54399</v>
      </c>
      <c r="G642" s="382" t="s">
        <v>650</v>
      </c>
      <c r="H642" s="383">
        <f>proyectos!AH49</f>
        <v>13497.2</v>
      </c>
    </row>
    <row r="643" spans="1:8" ht="18" x14ac:dyDescent="0.2">
      <c r="A643" s="859" t="s">
        <v>374</v>
      </c>
      <c r="B643" s="859"/>
      <c r="C643" s="859"/>
      <c r="D643" s="859"/>
      <c r="E643" s="859"/>
      <c r="F643" s="859"/>
      <c r="G643" s="859"/>
      <c r="H643" s="451">
        <f>SUM(H642:H642)</f>
        <v>13497.2</v>
      </c>
    </row>
    <row r="646" spans="1:8" ht="18" x14ac:dyDescent="0.2">
      <c r="A646" s="807" t="s">
        <v>412</v>
      </c>
      <c r="B646" s="807"/>
      <c r="C646" s="807"/>
      <c r="D646" s="807"/>
      <c r="E646" s="807"/>
      <c r="F646" s="807"/>
      <c r="G646" s="807"/>
      <c r="H646" s="807"/>
    </row>
    <row r="647" spans="1:8" ht="18" x14ac:dyDescent="0.2">
      <c r="A647" s="855" t="s">
        <v>411</v>
      </c>
      <c r="B647" s="855"/>
      <c r="C647" s="855"/>
      <c r="D647" s="855"/>
      <c r="E647" s="855"/>
      <c r="F647" s="855"/>
      <c r="G647" s="855"/>
      <c r="H647" s="855"/>
    </row>
    <row r="648" spans="1:8" ht="15.75" x14ac:dyDescent="0.2">
      <c r="A648" s="809" t="s">
        <v>227</v>
      </c>
      <c r="B648" s="809"/>
      <c r="C648" s="809"/>
      <c r="D648" s="809"/>
      <c r="E648" s="809"/>
      <c r="F648" s="809"/>
      <c r="G648" s="809"/>
      <c r="H648" s="809"/>
    </row>
    <row r="649" spans="1:8" ht="15.75" x14ac:dyDescent="0.2">
      <c r="A649" s="809" t="s">
        <v>605</v>
      </c>
      <c r="B649" s="809"/>
      <c r="C649" s="809"/>
      <c r="D649" s="809"/>
      <c r="E649" s="809"/>
      <c r="F649" s="809"/>
      <c r="G649" s="809"/>
      <c r="H649" s="809"/>
    </row>
    <row r="650" spans="1:8" ht="15.75" x14ac:dyDescent="0.25">
      <c r="A650" s="856" t="s">
        <v>13</v>
      </c>
      <c r="B650" s="856"/>
      <c r="C650" s="856"/>
      <c r="D650" s="856"/>
      <c r="E650" s="856"/>
      <c r="F650" s="856"/>
      <c r="G650" s="856"/>
      <c r="H650" s="856"/>
    </row>
    <row r="651" spans="1:8" ht="15.75" x14ac:dyDescent="0.25">
      <c r="A651" s="857" t="s">
        <v>378</v>
      </c>
      <c r="B651" s="857"/>
      <c r="C651" s="857"/>
      <c r="D651" s="857"/>
      <c r="E651" s="857"/>
      <c r="F651" s="857"/>
      <c r="G651" s="857"/>
      <c r="H651" s="857"/>
    </row>
    <row r="652" spans="1:8" ht="14.25" x14ac:dyDescent="0.2">
      <c r="A652" s="858" t="str">
        <f>proyectos!B50</f>
        <v>REPARACION DE CALLE PPAL. SANTA TERESA</v>
      </c>
      <c r="B652" s="858"/>
      <c r="C652" s="858"/>
      <c r="D652" s="858"/>
      <c r="E652" s="858"/>
      <c r="F652" s="858"/>
      <c r="G652" s="858"/>
      <c r="H652" s="858"/>
    </row>
    <row r="653" spans="1:8" ht="15.75" x14ac:dyDescent="0.25">
      <c r="A653" s="857" t="s">
        <v>373</v>
      </c>
      <c r="B653" s="857"/>
      <c r="C653" s="857"/>
      <c r="D653" s="857"/>
      <c r="E653" s="857"/>
      <c r="F653" s="857"/>
      <c r="G653" s="857"/>
      <c r="H653" s="857"/>
    </row>
    <row r="654" spans="1:8" ht="15.75" x14ac:dyDescent="0.25">
      <c r="A654" s="857" t="str">
        <f>A652</f>
        <v>REPARACION DE CALLE PPAL. SANTA TERESA</v>
      </c>
      <c r="B654" s="857"/>
      <c r="C654" s="857"/>
      <c r="D654" s="857"/>
      <c r="E654" s="857"/>
      <c r="F654" s="857"/>
      <c r="G654" s="857"/>
      <c r="H654" s="857"/>
    </row>
    <row r="655" spans="1:8" ht="14.25" x14ac:dyDescent="0.2">
      <c r="A655" s="848"/>
      <c r="B655" s="848"/>
      <c r="C655" s="848"/>
      <c r="D655" s="848"/>
      <c r="E655" s="848"/>
      <c r="F655" s="848"/>
      <c r="G655" s="848"/>
      <c r="H655" s="848"/>
    </row>
    <row r="656" spans="1:8" x14ac:dyDescent="0.2">
      <c r="A656" s="849" t="s">
        <v>0</v>
      </c>
      <c r="B656" s="849"/>
      <c r="C656" s="849"/>
      <c r="D656" s="849"/>
      <c r="E656" s="849"/>
      <c r="F656" s="849"/>
      <c r="G656" s="850" t="s">
        <v>180</v>
      </c>
      <c r="H656" s="851" t="s">
        <v>181</v>
      </c>
    </row>
    <row r="657" spans="1:8" ht="146.25" x14ac:dyDescent="0.2">
      <c r="A657" s="448" t="s">
        <v>171</v>
      </c>
      <c r="B657" s="448" t="s">
        <v>172</v>
      </c>
      <c r="C657" s="448" t="s">
        <v>143</v>
      </c>
      <c r="D657" s="448" t="s">
        <v>174</v>
      </c>
      <c r="E657" s="448" t="s">
        <v>182</v>
      </c>
      <c r="F657" s="448" t="s">
        <v>118</v>
      </c>
      <c r="G657" s="850"/>
      <c r="H657" s="851"/>
    </row>
    <row r="658" spans="1:8" ht="15.75" x14ac:dyDescent="0.25">
      <c r="A658" s="433">
        <v>3</v>
      </c>
      <c r="B658" s="377" t="s">
        <v>53</v>
      </c>
      <c r="C658" s="377" t="s">
        <v>49</v>
      </c>
      <c r="D658" s="377" t="s">
        <v>51</v>
      </c>
      <c r="E658" s="377" t="s">
        <v>54</v>
      </c>
      <c r="F658" s="513">
        <v>54202</v>
      </c>
      <c r="G658" s="382" t="s">
        <v>208</v>
      </c>
      <c r="H658" s="438">
        <f>proyectos!M50</f>
        <v>8000</v>
      </c>
    </row>
    <row r="659" spans="1:8" ht="15.75" x14ac:dyDescent="0.25">
      <c r="A659" s="433">
        <v>3</v>
      </c>
      <c r="B659" s="377" t="s">
        <v>53</v>
      </c>
      <c r="C659" s="377" t="s">
        <v>49</v>
      </c>
      <c r="D659" s="377" t="s">
        <v>51</v>
      </c>
      <c r="E659" s="377" t="s">
        <v>54</v>
      </c>
      <c r="F659" s="513">
        <v>54110</v>
      </c>
      <c r="G659" s="382" t="s">
        <v>651</v>
      </c>
      <c r="H659" s="438"/>
    </row>
    <row r="660" spans="1:8" ht="15.75" x14ac:dyDescent="0.25">
      <c r="A660" s="433">
        <v>3</v>
      </c>
      <c r="B660" s="377" t="s">
        <v>53</v>
      </c>
      <c r="C660" s="377" t="s">
        <v>49</v>
      </c>
      <c r="D660" s="377" t="s">
        <v>51</v>
      </c>
      <c r="E660" s="377" t="s">
        <v>54</v>
      </c>
      <c r="F660" s="513">
        <v>54112</v>
      </c>
      <c r="G660" s="382" t="s">
        <v>48</v>
      </c>
      <c r="H660" s="438">
        <f>proyectos!T50</f>
        <v>10000</v>
      </c>
    </row>
    <row r="661" spans="1:8" ht="15.75" x14ac:dyDescent="0.25">
      <c r="A661" s="433">
        <v>3</v>
      </c>
      <c r="B661" s="377" t="s">
        <v>53</v>
      </c>
      <c r="C661" s="377" t="s">
        <v>49</v>
      </c>
      <c r="D661" s="377" t="s">
        <v>51</v>
      </c>
      <c r="E661" s="377" t="s">
        <v>54</v>
      </c>
      <c r="F661" s="513">
        <v>54111</v>
      </c>
      <c r="G661" s="382" t="s">
        <v>47</v>
      </c>
      <c r="H661" s="438">
        <f>proyectos!AV50</f>
        <v>2000</v>
      </c>
    </row>
    <row r="662" spans="1:8" ht="15.75" x14ac:dyDescent="0.25">
      <c r="A662" s="433">
        <v>3</v>
      </c>
      <c r="B662" s="377" t="s">
        <v>53</v>
      </c>
      <c r="C662" s="377" t="s">
        <v>49</v>
      </c>
      <c r="D662" s="377" t="s">
        <v>51</v>
      </c>
      <c r="E662" s="377" t="s">
        <v>54</v>
      </c>
      <c r="F662" s="513">
        <v>54304</v>
      </c>
      <c r="G662" s="382" t="str">
        <f>proyectos!AF1</f>
        <v>Transportes Fletes y almacenamientos</v>
      </c>
      <c r="H662" s="438">
        <f>proyectos!AF50</f>
        <v>500</v>
      </c>
    </row>
    <row r="663" spans="1:8" ht="15.75" x14ac:dyDescent="0.25">
      <c r="A663" s="433">
        <v>3</v>
      </c>
      <c r="B663" s="377" t="s">
        <v>53</v>
      </c>
      <c r="C663" s="377" t="s">
        <v>49</v>
      </c>
      <c r="D663" s="377" t="s">
        <v>51</v>
      </c>
      <c r="E663" s="377" t="s">
        <v>54</v>
      </c>
      <c r="F663" s="513">
        <v>54118</v>
      </c>
      <c r="G663" s="382" t="s">
        <v>652</v>
      </c>
      <c r="H663" s="438"/>
    </row>
    <row r="664" spans="1:8" ht="15.75" x14ac:dyDescent="0.25">
      <c r="A664" s="433">
        <v>3</v>
      </c>
      <c r="B664" s="377" t="s">
        <v>53</v>
      </c>
      <c r="C664" s="377" t="s">
        <v>49</v>
      </c>
      <c r="D664" s="377" t="s">
        <v>51</v>
      </c>
      <c r="E664" s="377" t="s">
        <v>54</v>
      </c>
      <c r="F664" s="513">
        <v>54399</v>
      </c>
      <c r="G664" s="382" t="s">
        <v>650</v>
      </c>
      <c r="H664" s="438">
        <f>proyectos!AH50</f>
        <v>4500</v>
      </c>
    </row>
    <row r="665" spans="1:8" ht="18" x14ac:dyDescent="0.2">
      <c r="A665" s="852" t="s">
        <v>374</v>
      </c>
      <c r="B665" s="853"/>
      <c r="C665" s="853"/>
      <c r="D665" s="853"/>
      <c r="E665" s="853"/>
      <c r="F665" s="853"/>
      <c r="G665" s="854"/>
      <c r="H665" s="451">
        <f>SUM(H658:H664)</f>
        <v>25000</v>
      </c>
    </row>
    <row r="668" spans="1:8" ht="18" x14ac:dyDescent="0.2">
      <c r="A668" s="807" t="s">
        <v>412</v>
      </c>
      <c r="B668" s="807"/>
      <c r="C668" s="807"/>
      <c r="D668" s="807"/>
      <c r="E668" s="807"/>
      <c r="F668" s="807"/>
      <c r="G668" s="807"/>
      <c r="H668" s="807"/>
    </row>
    <row r="669" spans="1:8" ht="18" x14ac:dyDescent="0.2">
      <c r="A669" s="855" t="s">
        <v>411</v>
      </c>
      <c r="B669" s="855"/>
      <c r="C669" s="855"/>
      <c r="D669" s="855"/>
      <c r="E669" s="855"/>
      <c r="F669" s="855"/>
      <c r="G669" s="855"/>
      <c r="H669" s="855"/>
    </row>
    <row r="670" spans="1:8" ht="15.75" x14ac:dyDescent="0.2">
      <c r="A670" s="809" t="s">
        <v>227</v>
      </c>
      <c r="B670" s="809"/>
      <c r="C670" s="809"/>
      <c r="D670" s="809"/>
      <c r="E670" s="809"/>
      <c r="F670" s="809"/>
      <c r="G670" s="809"/>
      <c r="H670" s="809"/>
    </row>
    <row r="671" spans="1:8" ht="15.75" x14ac:dyDescent="0.2">
      <c r="A671" s="809" t="s">
        <v>605</v>
      </c>
      <c r="B671" s="809"/>
      <c r="C671" s="809"/>
      <c r="D671" s="809"/>
      <c r="E671" s="809"/>
      <c r="F671" s="809"/>
      <c r="G671" s="809"/>
      <c r="H671" s="809"/>
    </row>
    <row r="672" spans="1:8" ht="15.75" x14ac:dyDescent="0.25">
      <c r="A672" s="856" t="s">
        <v>13</v>
      </c>
      <c r="B672" s="856"/>
      <c r="C672" s="856"/>
      <c r="D672" s="856"/>
      <c r="E672" s="856"/>
      <c r="F672" s="856"/>
      <c r="G672" s="856"/>
      <c r="H672" s="856"/>
    </row>
    <row r="673" spans="1:8" ht="15.75" x14ac:dyDescent="0.25">
      <c r="A673" s="857" t="s">
        <v>378</v>
      </c>
      <c r="B673" s="857"/>
      <c r="C673" s="857"/>
      <c r="D673" s="857"/>
      <c r="E673" s="857"/>
      <c r="F673" s="857"/>
      <c r="G673" s="857"/>
      <c r="H673" s="857"/>
    </row>
    <row r="674" spans="1:8" ht="14.25" x14ac:dyDescent="0.2">
      <c r="A674" s="858" t="str">
        <f>proyectos!B51</f>
        <v>OBRAS DE MITIG. DE RIESGO EN ZONAS AFECT. POR LA EMERG. DE LAS LLUVIAS 2019 FODES 75%</v>
      </c>
      <c r="B674" s="858"/>
      <c r="C674" s="858"/>
      <c r="D674" s="858"/>
      <c r="E674" s="858"/>
      <c r="F674" s="858"/>
      <c r="G674" s="858"/>
      <c r="H674" s="858"/>
    </row>
    <row r="675" spans="1:8" ht="15.75" x14ac:dyDescent="0.25">
      <c r="A675" s="857" t="s">
        <v>373</v>
      </c>
      <c r="B675" s="857"/>
      <c r="C675" s="857"/>
      <c r="D675" s="857"/>
      <c r="E675" s="857"/>
      <c r="F675" s="857"/>
      <c r="G675" s="857"/>
      <c r="H675" s="857"/>
    </row>
    <row r="676" spans="1:8" ht="30.75" customHeight="1" x14ac:dyDescent="0.25">
      <c r="A676" s="847" t="str">
        <f>A674</f>
        <v>OBRAS DE MITIG. DE RIESGO EN ZONAS AFECT. POR LA EMERG. DE LAS LLUVIAS 2019 FODES 75%</v>
      </c>
      <c r="B676" s="847"/>
      <c r="C676" s="847"/>
      <c r="D676" s="847"/>
      <c r="E676" s="847"/>
      <c r="F676" s="847"/>
      <c r="G676" s="847"/>
      <c r="H676" s="847"/>
    </row>
    <row r="677" spans="1:8" ht="14.25" x14ac:dyDescent="0.2">
      <c r="A677" s="848"/>
      <c r="B677" s="848"/>
      <c r="C677" s="848"/>
      <c r="D677" s="848"/>
      <c r="E677" s="848"/>
      <c r="F677" s="848"/>
      <c r="G677" s="848"/>
      <c r="H677" s="848"/>
    </row>
    <row r="678" spans="1:8" x14ac:dyDescent="0.2">
      <c r="A678" s="849" t="s">
        <v>0</v>
      </c>
      <c r="B678" s="849"/>
      <c r="C678" s="849"/>
      <c r="D678" s="849"/>
      <c r="E678" s="849"/>
      <c r="F678" s="849"/>
      <c r="G678" s="850" t="s">
        <v>180</v>
      </c>
      <c r="H678" s="851" t="s">
        <v>181</v>
      </c>
    </row>
    <row r="679" spans="1:8" ht="146.25" x14ac:dyDescent="0.2">
      <c r="A679" s="448" t="s">
        <v>171</v>
      </c>
      <c r="B679" s="448" t="s">
        <v>172</v>
      </c>
      <c r="C679" s="448" t="s">
        <v>143</v>
      </c>
      <c r="D679" s="448" t="s">
        <v>174</v>
      </c>
      <c r="E679" s="448" t="s">
        <v>182</v>
      </c>
      <c r="F679" s="448" t="s">
        <v>118</v>
      </c>
      <c r="G679" s="850"/>
      <c r="H679" s="851"/>
    </row>
    <row r="680" spans="1:8" ht="15.75" x14ac:dyDescent="0.25">
      <c r="A680" s="433">
        <v>3</v>
      </c>
      <c r="B680" s="377" t="s">
        <v>53</v>
      </c>
      <c r="C680" s="377" t="s">
        <v>49</v>
      </c>
      <c r="D680" s="377" t="s">
        <v>51</v>
      </c>
      <c r="E680" s="377" t="s">
        <v>54</v>
      </c>
      <c r="F680" s="513">
        <v>54202</v>
      </c>
      <c r="G680" s="382" t="s">
        <v>208</v>
      </c>
      <c r="H680" s="438">
        <f>proyectos!M51</f>
        <v>3000</v>
      </c>
    </row>
    <row r="681" spans="1:8" ht="15.75" x14ac:dyDescent="0.25">
      <c r="A681" s="433">
        <v>3</v>
      </c>
      <c r="B681" s="377" t="s">
        <v>53</v>
      </c>
      <c r="C681" s="377" t="s">
        <v>49</v>
      </c>
      <c r="D681" s="377" t="s">
        <v>51</v>
      </c>
      <c r="E681" s="377" t="s">
        <v>54</v>
      </c>
      <c r="F681" s="513">
        <v>54112</v>
      </c>
      <c r="G681" s="382" t="s">
        <v>48</v>
      </c>
      <c r="H681" s="438">
        <f>proyectos!T51</f>
        <v>6952.28</v>
      </c>
    </row>
    <row r="682" spans="1:8" ht="18" x14ac:dyDescent="0.2">
      <c r="A682" s="852" t="s">
        <v>374</v>
      </c>
      <c r="B682" s="853"/>
      <c r="C682" s="853"/>
      <c r="D682" s="853"/>
      <c r="E682" s="853"/>
      <c r="F682" s="853"/>
      <c r="G682" s="854"/>
      <c r="H682" s="451">
        <f>SUM(H680:H681)</f>
        <v>9952.2799999999988</v>
      </c>
    </row>
  </sheetData>
  <mergeCells count="514">
    <mergeCell ref="A280:H280"/>
    <mergeCell ref="A281:H281"/>
    <mergeCell ref="A282:F282"/>
    <mergeCell ref="G282:G283"/>
    <mergeCell ref="H282:H283"/>
    <mergeCell ref="A288:G288"/>
    <mergeCell ref="A111:G111"/>
    <mergeCell ref="A98:H98"/>
    <mergeCell ref="A99:H99"/>
    <mergeCell ref="A100:H100"/>
    <mergeCell ref="A101:H101"/>
    <mergeCell ref="A102:H102"/>
    <mergeCell ref="A103:H103"/>
    <mergeCell ref="A104:H104"/>
    <mergeCell ref="A105:H105"/>
    <mergeCell ref="A106:F106"/>
    <mergeCell ref="G106:G107"/>
    <mergeCell ref="H106:H107"/>
    <mergeCell ref="A257:H257"/>
    <mergeCell ref="A258:H258"/>
    <mergeCell ref="A259:H259"/>
    <mergeCell ref="A260:H260"/>
    <mergeCell ref="A262:F262"/>
    <mergeCell ref="G262:G263"/>
    <mergeCell ref="A500:H500"/>
    <mergeCell ref="A501:F501"/>
    <mergeCell ref="G501:G502"/>
    <mergeCell ref="H501:H502"/>
    <mergeCell ref="A508:G508"/>
    <mergeCell ref="A491:H491"/>
    <mergeCell ref="A492:H492"/>
    <mergeCell ref="A493:H493"/>
    <mergeCell ref="A494:H494"/>
    <mergeCell ref="A495:H495"/>
    <mergeCell ref="A496:H496"/>
    <mergeCell ref="A497:H497"/>
    <mergeCell ref="A498:H498"/>
    <mergeCell ref="A499:H499"/>
    <mergeCell ref="A461:H461"/>
    <mergeCell ref="A462:H462"/>
    <mergeCell ref="A463:F463"/>
    <mergeCell ref="G463:G464"/>
    <mergeCell ref="H463:H464"/>
    <mergeCell ref="A469:G469"/>
    <mergeCell ref="A448:G448"/>
    <mergeCell ref="A453:H453"/>
    <mergeCell ref="A454:H454"/>
    <mergeCell ref="A455:H455"/>
    <mergeCell ref="A456:H456"/>
    <mergeCell ref="A457:H457"/>
    <mergeCell ref="A458:H458"/>
    <mergeCell ref="A459:H459"/>
    <mergeCell ref="A460:H460"/>
    <mergeCell ref="A435:H435"/>
    <mergeCell ref="A436:H436"/>
    <mergeCell ref="A437:H437"/>
    <mergeCell ref="A438:H438"/>
    <mergeCell ref="A439:H439"/>
    <mergeCell ref="A440:H440"/>
    <mergeCell ref="A441:F441"/>
    <mergeCell ref="G441:G442"/>
    <mergeCell ref="H441:H442"/>
    <mergeCell ref="A418:H418"/>
    <mergeCell ref="A419:F419"/>
    <mergeCell ref="G419:G420"/>
    <mergeCell ref="H419:H420"/>
    <mergeCell ref="A426:G426"/>
    <mergeCell ref="A431:H431"/>
    <mergeCell ref="A432:H432"/>
    <mergeCell ref="A433:H433"/>
    <mergeCell ref="A434:H434"/>
    <mergeCell ref="A407:G407"/>
    <mergeCell ref="A410:H410"/>
    <mergeCell ref="A411:H411"/>
    <mergeCell ref="A412:H412"/>
    <mergeCell ref="A413:H413"/>
    <mergeCell ref="A414:H414"/>
    <mergeCell ref="A415:H415"/>
    <mergeCell ref="A417:H417"/>
    <mergeCell ref="A397:H397"/>
    <mergeCell ref="A398:H398"/>
    <mergeCell ref="A400:H400"/>
    <mergeCell ref="A399:H399"/>
    <mergeCell ref="A401:F401"/>
    <mergeCell ref="G401:G402"/>
    <mergeCell ref="H401:H402"/>
    <mergeCell ref="A416:H416"/>
    <mergeCell ref="A374:H374"/>
    <mergeCell ref="A375:F375"/>
    <mergeCell ref="G375:G376"/>
    <mergeCell ref="H375:H376"/>
    <mergeCell ref="A380:G380"/>
    <mergeCell ref="A393:H393"/>
    <mergeCell ref="A394:H394"/>
    <mergeCell ref="A395:H395"/>
    <mergeCell ref="A396:H396"/>
    <mergeCell ref="A365:H365"/>
    <mergeCell ref="A366:H366"/>
    <mergeCell ref="A367:H367"/>
    <mergeCell ref="A368:H368"/>
    <mergeCell ref="A369:H369"/>
    <mergeCell ref="A370:H370"/>
    <mergeCell ref="A371:H371"/>
    <mergeCell ref="A372:H372"/>
    <mergeCell ref="A373:H373"/>
    <mergeCell ref="A356:H356"/>
    <mergeCell ref="A357:F357"/>
    <mergeCell ref="G357:G358"/>
    <mergeCell ref="H357:H358"/>
    <mergeCell ref="A361:G361"/>
    <mergeCell ref="A347:H347"/>
    <mergeCell ref="A348:H348"/>
    <mergeCell ref="A349:H349"/>
    <mergeCell ref="A350:H350"/>
    <mergeCell ref="A351:H351"/>
    <mergeCell ref="A352:H352"/>
    <mergeCell ref="A353:H353"/>
    <mergeCell ref="A354:H354"/>
    <mergeCell ref="A355:H355"/>
    <mergeCell ref="A346:G346"/>
    <mergeCell ref="A335:H335"/>
    <mergeCell ref="A336:H336"/>
    <mergeCell ref="A337:H337"/>
    <mergeCell ref="A338:H338"/>
    <mergeCell ref="A340:F340"/>
    <mergeCell ref="G340:G341"/>
    <mergeCell ref="H340:H341"/>
    <mergeCell ref="A339:H339"/>
    <mergeCell ref="A330:H330"/>
    <mergeCell ref="A331:H331"/>
    <mergeCell ref="A332:H332"/>
    <mergeCell ref="A333:H333"/>
    <mergeCell ref="A334:H334"/>
    <mergeCell ref="A326:G326"/>
    <mergeCell ref="A328:G328"/>
    <mergeCell ref="A343:G343"/>
    <mergeCell ref="A345:G345"/>
    <mergeCell ref="A317:H317"/>
    <mergeCell ref="A318:H318"/>
    <mergeCell ref="A319:H319"/>
    <mergeCell ref="A320:H320"/>
    <mergeCell ref="A322:F322"/>
    <mergeCell ref="G322:G323"/>
    <mergeCell ref="H322:H323"/>
    <mergeCell ref="A312:H312"/>
    <mergeCell ref="A313:H313"/>
    <mergeCell ref="A314:H314"/>
    <mergeCell ref="A315:H315"/>
    <mergeCell ref="A316:H316"/>
    <mergeCell ref="A321:H321"/>
    <mergeCell ref="A292:H292"/>
    <mergeCell ref="A293:H293"/>
    <mergeCell ref="A294:H294"/>
    <mergeCell ref="A295:H295"/>
    <mergeCell ref="A296:H296"/>
    <mergeCell ref="A269:G269"/>
    <mergeCell ref="A308:G308"/>
    <mergeCell ref="A310:G310"/>
    <mergeCell ref="A297:H297"/>
    <mergeCell ref="A298:H298"/>
    <mergeCell ref="A299:H299"/>
    <mergeCell ref="A300:H300"/>
    <mergeCell ref="A302:F302"/>
    <mergeCell ref="G302:G303"/>
    <mergeCell ref="H302:H303"/>
    <mergeCell ref="A301:H301"/>
    <mergeCell ref="A272:H272"/>
    <mergeCell ref="A273:H273"/>
    <mergeCell ref="A274:H274"/>
    <mergeCell ref="A275:H275"/>
    <mergeCell ref="A276:H276"/>
    <mergeCell ref="A277:H277"/>
    <mergeCell ref="A278:H278"/>
    <mergeCell ref="A279:H279"/>
    <mergeCell ref="H262:H263"/>
    <mergeCell ref="A252:H252"/>
    <mergeCell ref="A253:H253"/>
    <mergeCell ref="A254:H254"/>
    <mergeCell ref="A255:H255"/>
    <mergeCell ref="A256:H256"/>
    <mergeCell ref="A261:H261"/>
    <mergeCell ref="A249:G249"/>
    <mergeCell ref="A250:G250"/>
    <mergeCell ref="A231:G231"/>
    <mergeCell ref="A247:G247"/>
    <mergeCell ref="A217:H217"/>
    <mergeCell ref="A218:H218"/>
    <mergeCell ref="A219:H219"/>
    <mergeCell ref="A220:H220"/>
    <mergeCell ref="A222:F222"/>
    <mergeCell ref="G222:G223"/>
    <mergeCell ref="H222:H223"/>
    <mergeCell ref="A239:H239"/>
    <mergeCell ref="A240:H240"/>
    <mergeCell ref="A241:H241"/>
    <mergeCell ref="A242:H242"/>
    <mergeCell ref="A244:F244"/>
    <mergeCell ref="G244:G245"/>
    <mergeCell ref="H244:H245"/>
    <mergeCell ref="A243:H243"/>
    <mergeCell ref="A234:H234"/>
    <mergeCell ref="A235:H235"/>
    <mergeCell ref="A236:H236"/>
    <mergeCell ref="A237:H237"/>
    <mergeCell ref="A238:H238"/>
    <mergeCell ref="A212:H212"/>
    <mergeCell ref="A213:H213"/>
    <mergeCell ref="A214:H214"/>
    <mergeCell ref="A215:H215"/>
    <mergeCell ref="A216:H216"/>
    <mergeCell ref="A221:H221"/>
    <mergeCell ref="A188:H188"/>
    <mergeCell ref="A189:H189"/>
    <mergeCell ref="A190:H190"/>
    <mergeCell ref="A191:H191"/>
    <mergeCell ref="A192:H192"/>
    <mergeCell ref="A185:G185"/>
    <mergeCell ref="A207:G207"/>
    <mergeCell ref="A209:F209"/>
    <mergeCell ref="A193:H193"/>
    <mergeCell ref="A194:H194"/>
    <mergeCell ref="A195:H195"/>
    <mergeCell ref="A196:H196"/>
    <mergeCell ref="A199:F199"/>
    <mergeCell ref="G199:G200"/>
    <mergeCell ref="H199:H200"/>
    <mergeCell ref="A197:H197"/>
    <mergeCell ref="A175:H175"/>
    <mergeCell ref="A176:H176"/>
    <mergeCell ref="A177:H177"/>
    <mergeCell ref="A178:H178"/>
    <mergeCell ref="A181:F181"/>
    <mergeCell ref="G181:G182"/>
    <mergeCell ref="H181:H182"/>
    <mergeCell ref="A170:H170"/>
    <mergeCell ref="A171:H171"/>
    <mergeCell ref="A172:H172"/>
    <mergeCell ref="A173:H173"/>
    <mergeCell ref="A174:H174"/>
    <mergeCell ref="A179:H179"/>
    <mergeCell ref="A153:H153"/>
    <mergeCell ref="A154:H154"/>
    <mergeCell ref="A155:H155"/>
    <mergeCell ref="A156:H156"/>
    <mergeCell ref="A157:H157"/>
    <mergeCell ref="A150:G150"/>
    <mergeCell ref="A167:G167"/>
    <mergeCell ref="A158:H158"/>
    <mergeCell ref="A159:H159"/>
    <mergeCell ref="A160:H160"/>
    <mergeCell ref="A161:H161"/>
    <mergeCell ref="A163:F163"/>
    <mergeCell ref="G163:G164"/>
    <mergeCell ref="H163:H164"/>
    <mergeCell ref="A162:H162"/>
    <mergeCell ref="A143:H143"/>
    <mergeCell ref="A144:H144"/>
    <mergeCell ref="A146:F146"/>
    <mergeCell ref="G146:G147"/>
    <mergeCell ref="H146:H147"/>
    <mergeCell ref="A136:H136"/>
    <mergeCell ref="A137:H137"/>
    <mergeCell ref="A138:H138"/>
    <mergeCell ref="A139:H139"/>
    <mergeCell ref="A140:H140"/>
    <mergeCell ref="A145:H145"/>
    <mergeCell ref="A132:G132"/>
    <mergeCell ref="A120:H120"/>
    <mergeCell ref="A121:H121"/>
    <mergeCell ref="A122:H122"/>
    <mergeCell ref="A124:F124"/>
    <mergeCell ref="G124:G125"/>
    <mergeCell ref="H124:H125"/>
    <mergeCell ref="A141:H141"/>
    <mergeCell ref="A142:H142"/>
    <mergeCell ref="A123:H123"/>
    <mergeCell ref="A119:H119"/>
    <mergeCell ref="A75:H75"/>
    <mergeCell ref="A76:H76"/>
    <mergeCell ref="A77:H77"/>
    <mergeCell ref="A78:H78"/>
    <mergeCell ref="A79:H79"/>
    <mergeCell ref="A71:G71"/>
    <mergeCell ref="A73:G73"/>
    <mergeCell ref="A114:H114"/>
    <mergeCell ref="A115:H115"/>
    <mergeCell ref="A116:H116"/>
    <mergeCell ref="A117:H117"/>
    <mergeCell ref="A118:H118"/>
    <mergeCell ref="A94:G94"/>
    <mergeCell ref="A80:H80"/>
    <mergeCell ref="A81:H81"/>
    <mergeCell ref="A82:H82"/>
    <mergeCell ref="A83:H83"/>
    <mergeCell ref="A85:F85"/>
    <mergeCell ref="G85:G86"/>
    <mergeCell ref="H85:H86"/>
    <mergeCell ref="A84:H84"/>
    <mergeCell ref="A96:H96"/>
    <mergeCell ref="A97:H97"/>
    <mergeCell ref="A66:H66"/>
    <mergeCell ref="A68:F68"/>
    <mergeCell ref="G68:G69"/>
    <mergeCell ref="H68:H69"/>
    <mergeCell ref="A58:H58"/>
    <mergeCell ref="A59:H59"/>
    <mergeCell ref="A60:H60"/>
    <mergeCell ref="A61:H61"/>
    <mergeCell ref="A62:H62"/>
    <mergeCell ref="A67:G67"/>
    <mergeCell ref="A47:H47"/>
    <mergeCell ref="A63:H63"/>
    <mergeCell ref="A64:H64"/>
    <mergeCell ref="A65:H65"/>
    <mergeCell ref="A48:H48"/>
    <mergeCell ref="A50:F50"/>
    <mergeCell ref="G50:G51"/>
    <mergeCell ref="H50:H51"/>
    <mergeCell ref="A55:G55"/>
    <mergeCell ref="A49:H49"/>
    <mergeCell ref="A31:H31"/>
    <mergeCell ref="A1:H1"/>
    <mergeCell ref="A2:H2"/>
    <mergeCell ref="A3:H3"/>
    <mergeCell ref="A4:H4"/>
    <mergeCell ref="A5:H5"/>
    <mergeCell ref="A6:H6"/>
    <mergeCell ref="A7:H7"/>
    <mergeCell ref="A8:H8"/>
    <mergeCell ref="A10:H10"/>
    <mergeCell ref="A9:H9"/>
    <mergeCell ref="A17:G17"/>
    <mergeCell ref="A11:F11"/>
    <mergeCell ref="G11:G12"/>
    <mergeCell ref="H11:H12"/>
    <mergeCell ref="A44:H44"/>
    <mergeCell ref="A45:H45"/>
    <mergeCell ref="A46:H46"/>
    <mergeCell ref="A19:F19"/>
    <mergeCell ref="A20:G20"/>
    <mergeCell ref="A21:G21"/>
    <mergeCell ref="A40:H40"/>
    <mergeCell ref="A41:H41"/>
    <mergeCell ref="A42:H42"/>
    <mergeCell ref="A43:H43"/>
    <mergeCell ref="A27:H27"/>
    <mergeCell ref="A28:H28"/>
    <mergeCell ref="A29:H29"/>
    <mergeCell ref="A30:H30"/>
    <mergeCell ref="A32:F32"/>
    <mergeCell ref="G32:G33"/>
    <mergeCell ref="H32:H33"/>
    <mergeCell ref="A22:H22"/>
    <mergeCell ref="A23:H23"/>
    <mergeCell ref="A24:H24"/>
    <mergeCell ref="A25:H25"/>
    <mergeCell ref="A26:H26"/>
    <mergeCell ref="A37:G37"/>
    <mergeCell ref="A39:G39"/>
    <mergeCell ref="A481:H481"/>
    <mergeCell ref="A482:F482"/>
    <mergeCell ref="G482:G483"/>
    <mergeCell ref="H482:H483"/>
    <mergeCell ref="A488:G488"/>
    <mergeCell ref="A472:H472"/>
    <mergeCell ref="A473:H473"/>
    <mergeCell ref="A474:H474"/>
    <mergeCell ref="A475:H475"/>
    <mergeCell ref="A476:H476"/>
    <mergeCell ref="A477:H477"/>
    <mergeCell ref="A478:H478"/>
    <mergeCell ref="A479:H479"/>
    <mergeCell ref="A480:H480"/>
    <mergeCell ref="K222:K223"/>
    <mergeCell ref="K244:K245"/>
    <mergeCell ref="K262:K263"/>
    <mergeCell ref="K302:K303"/>
    <mergeCell ref="K322:K323"/>
    <mergeCell ref="K340:K341"/>
    <mergeCell ref="K32:K33"/>
    <mergeCell ref="K11:K12"/>
    <mergeCell ref="K50:K51"/>
    <mergeCell ref="K68:K69"/>
    <mergeCell ref="K85:K86"/>
    <mergeCell ref="K124:K125"/>
    <mergeCell ref="K163:K164"/>
    <mergeCell ref="K199:K200"/>
    <mergeCell ref="K181:K182"/>
    <mergeCell ref="A511:H511"/>
    <mergeCell ref="A512:H512"/>
    <mergeCell ref="A513:H513"/>
    <mergeCell ref="A514:H514"/>
    <mergeCell ref="A515:H515"/>
    <mergeCell ref="A516:H516"/>
    <mergeCell ref="A517:H517"/>
    <mergeCell ref="A518:H518"/>
    <mergeCell ref="A519:H519"/>
    <mergeCell ref="A520:H520"/>
    <mergeCell ref="A521:F521"/>
    <mergeCell ref="G521:G522"/>
    <mergeCell ref="H521:H522"/>
    <mergeCell ref="A528:G528"/>
    <mergeCell ref="A531:H531"/>
    <mergeCell ref="A532:H532"/>
    <mergeCell ref="A533:H533"/>
    <mergeCell ref="A534:H534"/>
    <mergeCell ref="A535:H535"/>
    <mergeCell ref="A536:H536"/>
    <mergeCell ref="A537:H537"/>
    <mergeCell ref="A538:H538"/>
    <mergeCell ref="A539:H539"/>
    <mergeCell ref="A540:H540"/>
    <mergeCell ref="A541:F541"/>
    <mergeCell ref="G541:G542"/>
    <mergeCell ref="H541:H542"/>
    <mergeCell ref="A548:G548"/>
    <mergeCell ref="A551:H551"/>
    <mergeCell ref="A552:H552"/>
    <mergeCell ref="A553:H553"/>
    <mergeCell ref="A554:H554"/>
    <mergeCell ref="A555:H555"/>
    <mergeCell ref="A556:H556"/>
    <mergeCell ref="A557:H557"/>
    <mergeCell ref="A558:H558"/>
    <mergeCell ref="A559:H559"/>
    <mergeCell ref="A560:H560"/>
    <mergeCell ref="A561:F561"/>
    <mergeCell ref="G561:G562"/>
    <mergeCell ref="H561:H562"/>
    <mergeCell ref="A566:G566"/>
    <mergeCell ref="A569:H569"/>
    <mergeCell ref="A570:H570"/>
    <mergeCell ref="A571:H571"/>
    <mergeCell ref="A572:H572"/>
    <mergeCell ref="A573:H573"/>
    <mergeCell ref="A574:H574"/>
    <mergeCell ref="A575:H575"/>
    <mergeCell ref="A576:H576"/>
    <mergeCell ref="A577:H577"/>
    <mergeCell ref="A578:H578"/>
    <mergeCell ref="A579:F579"/>
    <mergeCell ref="G579:G580"/>
    <mergeCell ref="H579:H580"/>
    <mergeCell ref="A585:G585"/>
    <mergeCell ref="A588:H588"/>
    <mergeCell ref="A589:H589"/>
    <mergeCell ref="A590:H590"/>
    <mergeCell ref="A591:H591"/>
    <mergeCell ref="A592:H592"/>
    <mergeCell ref="A593:H593"/>
    <mergeCell ref="A594:H594"/>
    <mergeCell ref="A595:H595"/>
    <mergeCell ref="A596:H596"/>
    <mergeCell ref="A597:H597"/>
    <mergeCell ref="A598:F598"/>
    <mergeCell ref="G598:G599"/>
    <mergeCell ref="H598:H599"/>
    <mergeCell ref="A606:G606"/>
    <mergeCell ref="A608:H608"/>
    <mergeCell ref="A609:H609"/>
    <mergeCell ref="A610:H610"/>
    <mergeCell ref="A611:H611"/>
    <mergeCell ref="A612:H612"/>
    <mergeCell ref="A613:H613"/>
    <mergeCell ref="A614:H614"/>
    <mergeCell ref="A615:H615"/>
    <mergeCell ref="A616:H616"/>
    <mergeCell ref="A617:H617"/>
    <mergeCell ref="A618:F618"/>
    <mergeCell ref="G618:G619"/>
    <mergeCell ref="H618:H619"/>
    <mergeCell ref="A627:G627"/>
    <mergeCell ref="A630:H630"/>
    <mergeCell ref="A631:H631"/>
    <mergeCell ref="A632:H632"/>
    <mergeCell ref="A633:H633"/>
    <mergeCell ref="A634:H634"/>
    <mergeCell ref="A635:H635"/>
    <mergeCell ref="A636:H636"/>
    <mergeCell ref="A637:H637"/>
    <mergeCell ref="A638:H638"/>
    <mergeCell ref="A639:H639"/>
    <mergeCell ref="A640:F640"/>
    <mergeCell ref="G640:G641"/>
    <mergeCell ref="H640:H641"/>
    <mergeCell ref="A643:G643"/>
    <mergeCell ref="A646:H646"/>
    <mergeCell ref="A647:H647"/>
    <mergeCell ref="A648:H648"/>
    <mergeCell ref="A649:H649"/>
    <mergeCell ref="A650:H650"/>
    <mergeCell ref="A651:H651"/>
    <mergeCell ref="A652:H652"/>
    <mergeCell ref="A653:H653"/>
    <mergeCell ref="A654:H654"/>
    <mergeCell ref="A655:H655"/>
    <mergeCell ref="A656:F656"/>
    <mergeCell ref="G656:G657"/>
    <mergeCell ref="H656:H657"/>
    <mergeCell ref="A676:H676"/>
    <mergeCell ref="A677:H677"/>
    <mergeCell ref="A678:F678"/>
    <mergeCell ref="G678:G679"/>
    <mergeCell ref="H678:H679"/>
    <mergeCell ref="A682:G682"/>
    <mergeCell ref="A665:G665"/>
    <mergeCell ref="A668:H668"/>
    <mergeCell ref="A669:H669"/>
    <mergeCell ref="A670:H670"/>
    <mergeCell ref="A671:H671"/>
    <mergeCell ref="A672:H672"/>
    <mergeCell ref="A673:H673"/>
    <mergeCell ref="A674:H674"/>
    <mergeCell ref="A675:H675"/>
  </mergeCells>
  <pageMargins left="0.59055118110236227" right="0.23622047244094491" top="0.74803149606299213" bottom="0.74803149606299213" header="0.31496062992125984" footer="0.31496062992125984"/>
  <pageSetup orientation="portrait" horizontalDpi="4294967293" verticalDpi="18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0"/>
  <sheetViews>
    <sheetView tabSelected="1" zoomScale="87" zoomScaleNormal="87" workbookViewId="0">
      <selection activeCell="L43" sqref="L43"/>
    </sheetView>
  </sheetViews>
  <sheetFormatPr baseColWidth="10" defaultColWidth="11.42578125" defaultRowHeight="12.75" x14ac:dyDescent="0.2"/>
  <cols>
    <col min="1" max="1" width="7.28515625" customWidth="1"/>
    <col min="2" max="2" width="24.85546875" customWidth="1"/>
    <col min="3" max="3" width="15.140625" customWidth="1"/>
    <col min="4" max="4" width="15.85546875" customWidth="1"/>
    <col min="5" max="5" width="15.28515625" style="282" customWidth="1"/>
    <col min="6" max="6" width="14.140625" customWidth="1"/>
    <col min="7" max="7" width="15.42578125" customWidth="1"/>
    <col min="8" max="8" width="14.42578125" bestFit="1" customWidth="1"/>
    <col min="9" max="9" width="12" customWidth="1"/>
    <col min="10" max="10" width="19.42578125" customWidth="1"/>
  </cols>
  <sheetData>
    <row r="1" spans="1:10" ht="20.25" x14ac:dyDescent="0.2">
      <c r="A1" s="910" t="s">
        <v>412</v>
      </c>
      <c r="B1" s="910"/>
      <c r="C1" s="910"/>
      <c r="D1" s="910"/>
      <c r="E1" s="910"/>
      <c r="F1" s="910"/>
      <c r="G1" s="910"/>
    </row>
    <row r="2" spans="1:10" ht="18" x14ac:dyDescent="0.2">
      <c r="A2" s="911" t="s">
        <v>411</v>
      </c>
      <c r="B2" s="911"/>
      <c r="C2" s="911"/>
      <c r="D2" s="911"/>
      <c r="E2" s="911"/>
      <c r="F2" s="911"/>
      <c r="G2" s="911"/>
    </row>
    <row r="3" spans="1:10" ht="15.75" x14ac:dyDescent="0.2">
      <c r="A3" s="912" t="s">
        <v>333</v>
      </c>
      <c r="B3" s="912"/>
      <c r="C3" s="912"/>
      <c r="D3" s="912"/>
      <c r="E3" s="912"/>
      <c r="F3" s="912"/>
      <c r="G3" s="912"/>
    </row>
    <row r="4" spans="1:10" ht="16.5" customHeight="1" thickBot="1" x14ac:dyDescent="0.25">
      <c r="A4" s="913" t="s">
        <v>605</v>
      </c>
      <c r="B4" s="913"/>
      <c r="C4" s="913"/>
      <c r="D4" s="913"/>
      <c r="E4" s="913"/>
      <c r="F4" s="913"/>
      <c r="G4" s="913"/>
    </row>
    <row r="5" spans="1:10" ht="28.5" customHeight="1" thickBot="1" x14ac:dyDescent="0.25">
      <c r="A5" s="916" t="s">
        <v>331</v>
      </c>
      <c r="B5" s="918" t="s">
        <v>110</v>
      </c>
      <c r="C5" s="920" t="s">
        <v>597</v>
      </c>
      <c r="D5" s="921"/>
      <c r="E5" s="922"/>
      <c r="F5" s="923" t="s">
        <v>598</v>
      </c>
      <c r="G5" s="924"/>
    </row>
    <row r="6" spans="1:10" ht="19.5" customHeight="1" thickBot="1" x14ac:dyDescent="0.25">
      <c r="A6" s="917"/>
      <c r="B6" s="919"/>
      <c r="C6" s="367">
        <v>2017</v>
      </c>
      <c r="D6" s="457">
        <v>2018</v>
      </c>
      <c r="E6" s="367">
        <v>2019</v>
      </c>
      <c r="F6" s="458" t="s">
        <v>607</v>
      </c>
      <c r="G6" s="459">
        <v>2020</v>
      </c>
    </row>
    <row r="7" spans="1:10" s="124" customFormat="1" ht="15.95" customHeight="1" x14ac:dyDescent="0.2">
      <c r="A7" s="350" t="s">
        <v>17</v>
      </c>
      <c r="B7" s="351" t="s">
        <v>18</v>
      </c>
      <c r="C7" s="352">
        <v>37047.919999999998</v>
      </c>
      <c r="D7" s="353">
        <v>33878.15</v>
      </c>
      <c r="E7" s="354">
        <f>957.1+1441.23+959.29+1071.21+1007.91+665.69+1155.13+1192.12+1357.77+1486.27+1642.13+3664.31</f>
        <v>16600.160000000003</v>
      </c>
      <c r="F7" s="352">
        <f>E7*1%</f>
        <v>166.00160000000002</v>
      </c>
      <c r="G7" s="355">
        <f t="shared" ref="G7:G23" si="0">SUM(E7+F7)</f>
        <v>16766.161600000003</v>
      </c>
      <c r="H7" s="330">
        <v>17430.169999999998</v>
      </c>
      <c r="I7" s="331"/>
      <c r="J7" s="332"/>
    </row>
    <row r="8" spans="1:10" s="124" customFormat="1" ht="15.95" customHeight="1" x14ac:dyDescent="0.2">
      <c r="A8" s="350" t="s">
        <v>19</v>
      </c>
      <c r="B8" s="351" t="s">
        <v>20</v>
      </c>
      <c r="C8" s="352">
        <v>183881.74</v>
      </c>
      <c r="D8" s="353">
        <f>265334.24-9128.86</f>
        <v>256205.38</v>
      </c>
      <c r="E8" s="356">
        <f>(17263.78+21613.91+22954.78+17420.14+29349.59+29365.22+112211.56+14307.12+20512.96+5976.92+23263.7+17689.24)-11171.9</f>
        <v>320757.01999999996</v>
      </c>
      <c r="F8" s="352">
        <f t="shared" ref="F8:F44" si="1">E8*1%</f>
        <v>3207.5701999999997</v>
      </c>
      <c r="G8" s="355">
        <f>SUM(E8+F8)+5000</f>
        <v>328964.59019999998</v>
      </c>
      <c r="H8" s="330">
        <v>336794.87</v>
      </c>
      <c r="I8" s="331"/>
      <c r="J8" s="332"/>
    </row>
    <row r="9" spans="1:10" s="124" customFormat="1" ht="15.95" customHeight="1" x14ac:dyDescent="0.2">
      <c r="A9" s="350">
        <v>11803</v>
      </c>
      <c r="B9" s="351" t="s">
        <v>413</v>
      </c>
      <c r="C9" s="352">
        <v>4686.96</v>
      </c>
      <c r="D9" s="353">
        <v>5155.66</v>
      </c>
      <c r="E9" s="356">
        <v>6151.9</v>
      </c>
      <c r="F9" s="352">
        <f t="shared" si="1"/>
        <v>61.518999999999998</v>
      </c>
      <c r="G9" s="352">
        <f t="shared" si="0"/>
        <v>6213.4189999999999</v>
      </c>
      <c r="H9" s="330">
        <v>6459.5</v>
      </c>
      <c r="I9" s="333">
        <v>11</v>
      </c>
      <c r="J9" s="334">
        <f>G7+G8+G9+G10+G11+G12</f>
        <v>366452.31069999997</v>
      </c>
    </row>
    <row r="10" spans="1:10" s="124" customFormat="1" ht="15.95" customHeight="1" x14ac:dyDescent="0.2">
      <c r="A10" s="350">
        <v>11804</v>
      </c>
      <c r="B10" s="351" t="s">
        <v>22</v>
      </c>
      <c r="C10" s="352">
        <v>3612</v>
      </c>
      <c r="D10" s="353">
        <v>3973.2</v>
      </c>
      <c r="E10" s="356">
        <v>5020</v>
      </c>
      <c r="F10" s="352">
        <f t="shared" si="1"/>
        <v>50.2</v>
      </c>
      <c r="G10" s="352">
        <f t="shared" si="0"/>
        <v>5070.2</v>
      </c>
      <c r="H10" s="330">
        <v>5271</v>
      </c>
      <c r="I10" s="335">
        <v>12</v>
      </c>
      <c r="J10" s="334">
        <f>G13+G14+G15+G16+G17+G19+G20+G21+G22+G23+G26+G27</f>
        <v>843471.31109999993</v>
      </c>
    </row>
    <row r="11" spans="1:10" s="124" customFormat="1" ht="15.95" customHeight="1" x14ac:dyDescent="0.2">
      <c r="A11" s="350">
        <v>11817</v>
      </c>
      <c r="B11" s="351" t="s">
        <v>133</v>
      </c>
      <c r="C11" s="352">
        <v>11076.33</v>
      </c>
      <c r="D11" s="353">
        <v>13164.56</v>
      </c>
      <c r="E11" s="356">
        <f>1757+203+1998+2325+363+2016.5+847+533.7+124+586</f>
        <v>10753.2</v>
      </c>
      <c r="F11" s="352">
        <f t="shared" si="1"/>
        <v>107.53200000000001</v>
      </c>
      <c r="G11" s="352">
        <f>SUM(E11+F11)-5000</f>
        <v>5860.732</v>
      </c>
      <c r="H11" s="330">
        <v>11290.86</v>
      </c>
      <c r="I11" s="335">
        <v>14</v>
      </c>
      <c r="J11" s="336">
        <f>H29</f>
        <v>7374.83</v>
      </c>
    </row>
    <row r="12" spans="1:10" s="124" customFormat="1" ht="15.95" customHeight="1" x14ac:dyDescent="0.2">
      <c r="A12" s="350">
        <v>11818</v>
      </c>
      <c r="B12" s="351" t="s">
        <v>414</v>
      </c>
      <c r="C12" s="352">
        <v>2637.17</v>
      </c>
      <c r="D12" s="353">
        <v>2719.99</v>
      </c>
      <c r="E12" s="356">
        <f>171.5+164.64+514.5+298.41+209.23+393.16+709.9+13.72+490.49+466.48+3.43+106.33</f>
        <v>3541.79</v>
      </c>
      <c r="F12" s="352">
        <f t="shared" si="1"/>
        <v>35.417900000000003</v>
      </c>
      <c r="G12" s="352">
        <f t="shared" si="0"/>
        <v>3577.2078999999999</v>
      </c>
      <c r="H12" s="330">
        <v>3718.88</v>
      </c>
      <c r="I12" s="335">
        <v>15</v>
      </c>
      <c r="J12" s="334">
        <f>G30+G31+G32+G33+G37</f>
        <v>45538.627499999995</v>
      </c>
    </row>
    <row r="13" spans="1:10" s="124" customFormat="1" ht="20.25" customHeight="1" x14ac:dyDescent="0.2">
      <c r="A13" s="350">
        <v>12105</v>
      </c>
      <c r="B13" s="351" t="s">
        <v>415</v>
      </c>
      <c r="C13" s="352">
        <v>13006.8</v>
      </c>
      <c r="D13" s="353">
        <v>14834.18</v>
      </c>
      <c r="E13" s="356">
        <f>1413.5+1254+1109.5+919.11+1153.5+932.75+1172.25+912+1016.25+782.75+2074.51+1418.48</f>
        <v>14158.6</v>
      </c>
      <c r="F13" s="352">
        <f t="shared" si="1"/>
        <v>141.58600000000001</v>
      </c>
      <c r="G13" s="352">
        <f t="shared" si="0"/>
        <v>14300.186</v>
      </c>
      <c r="H13" s="330">
        <v>14866.53</v>
      </c>
      <c r="I13" s="335">
        <v>41</v>
      </c>
      <c r="J13" s="337">
        <f>G44</f>
        <v>116494.05649999999</v>
      </c>
    </row>
    <row r="14" spans="1:10" s="124" customFormat="1" ht="19.5" customHeight="1" x14ac:dyDescent="0.2">
      <c r="A14" s="350">
        <v>12106</v>
      </c>
      <c r="B14" s="351" t="s">
        <v>263</v>
      </c>
      <c r="C14" s="352">
        <v>417.71</v>
      </c>
      <c r="D14" s="353">
        <v>445.58</v>
      </c>
      <c r="E14" s="356">
        <f>51+37+13.71+18.5+38.25+18+70.5+38+26.25+34+60+36</f>
        <v>441.21000000000004</v>
      </c>
      <c r="F14" s="352">
        <f t="shared" si="1"/>
        <v>4.4121000000000006</v>
      </c>
      <c r="G14" s="352">
        <f t="shared" si="0"/>
        <v>445.62210000000005</v>
      </c>
      <c r="H14" s="330">
        <v>463.27</v>
      </c>
      <c r="I14" s="338"/>
      <c r="J14" s="332"/>
    </row>
    <row r="15" spans="1:10" s="124" customFormat="1" ht="15.95" customHeight="1" x14ac:dyDescent="0.2">
      <c r="A15" s="350">
        <v>12108</v>
      </c>
      <c r="B15" s="351" t="s">
        <v>25</v>
      </c>
      <c r="C15" s="352">
        <v>161924.82</v>
      </c>
      <c r="D15" s="353">
        <v>164669.43</v>
      </c>
      <c r="E15" s="356">
        <f>10876.54+8841.29+10401.16+9466.67+9521.37+10118.95+14664.83+9115.23+18464.74+5237.39+18115.52+15017.08</f>
        <v>139840.77000000002</v>
      </c>
      <c r="F15" s="352">
        <f t="shared" si="1"/>
        <v>1398.4077000000002</v>
      </c>
      <c r="G15" s="352">
        <f t="shared" si="0"/>
        <v>141239.17770000003</v>
      </c>
      <c r="H15" s="330">
        <v>146832.81</v>
      </c>
      <c r="I15" s="338"/>
      <c r="J15" s="332"/>
    </row>
    <row r="16" spans="1:10" s="124" customFormat="1" ht="15.95" customHeight="1" x14ac:dyDescent="0.2">
      <c r="A16" s="350" t="s">
        <v>23</v>
      </c>
      <c r="B16" s="351" t="s">
        <v>24</v>
      </c>
      <c r="C16" s="352">
        <v>130139.64</v>
      </c>
      <c r="D16" s="353">
        <v>129641.87</v>
      </c>
      <c r="E16" s="356">
        <f>13137.56+12281.64+11750.54+11060.18+14149.54+12172.85+14826.12+9884.35+15840.11+5906.67+14521.89+9630.87</f>
        <v>145162.32</v>
      </c>
      <c r="F16" s="352">
        <f t="shared" si="1"/>
        <v>1451.6232</v>
      </c>
      <c r="G16" s="352">
        <f t="shared" si="0"/>
        <v>146613.94320000001</v>
      </c>
      <c r="H16" s="330">
        <v>152420.44</v>
      </c>
      <c r="I16" s="331"/>
      <c r="J16" s="332"/>
    </row>
    <row r="17" spans="1:10" s="124" customFormat="1" ht="15.95" customHeight="1" x14ac:dyDescent="0.2">
      <c r="A17" s="350" t="s">
        <v>59</v>
      </c>
      <c r="B17" s="351" t="s">
        <v>60</v>
      </c>
      <c r="C17" s="352">
        <v>1462.39</v>
      </c>
      <c r="D17" s="353">
        <v>1577.68</v>
      </c>
      <c r="E17" s="356">
        <f>169.69+55.88+96.94+99.88+242.08+202.64+237.34+133.7+129.86+123+117.48+76.88</f>
        <v>1685.3700000000003</v>
      </c>
      <c r="F17" s="352">
        <f t="shared" si="1"/>
        <v>16.853700000000003</v>
      </c>
      <c r="G17" s="352">
        <f t="shared" si="0"/>
        <v>1702.2237000000005</v>
      </c>
      <c r="H17" s="330">
        <v>1769.64</v>
      </c>
      <c r="I17" s="331"/>
      <c r="J17" s="332"/>
    </row>
    <row r="18" spans="1:10" s="124" customFormat="1" ht="15.95" customHeight="1" x14ac:dyDescent="0.2">
      <c r="A18" s="350" t="s">
        <v>134</v>
      </c>
      <c r="B18" s="351" t="s">
        <v>135</v>
      </c>
      <c r="C18" s="352"/>
      <c r="D18" s="357"/>
      <c r="E18" s="356"/>
      <c r="F18" s="352">
        <f t="shared" si="1"/>
        <v>0</v>
      </c>
      <c r="G18" s="352">
        <f t="shared" si="0"/>
        <v>0</v>
      </c>
      <c r="H18" s="330"/>
      <c r="I18" s="331"/>
      <c r="J18" s="332"/>
    </row>
    <row r="19" spans="1:10" s="124" customFormat="1" ht="15.95" customHeight="1" x14ac:dyDescent="0.2">
      <c r="A19" s="350" t="s">
        <v>61</v>
      </c>
      <c r="B19" s="351" t="s">
        <v>62</v>
      </c>
      <c r="C19" s="352">
        <v>34326.75</v>
      </c>
      <c r="D19" s="353">
        <v>47750.3</v>
      </c>
      <c r="E19" s="356">
        <f>3365.55+3918.76+4673.09+2738.83+3722.57+3965.17+8475.19+2866.49+8558.94+2134.95+4029.91+3540.87</f>
        <v>51990.32</v>
      </c>
      <c r="F19" s="352">
        <f t="shared" si="1"/>
        <v>519.90319999999997</v>
      </c>
      <c r="G19" s="352">
        <f t="shared" si="0"/>
        <v>52510.2232</v>
      </c>
      <c r="H19" s="330">
        <v>54589.84</v>
      </c>
      <c r="I19" s="331"/>
      <c r="J19" s="332"/>
    </row>
    <row r="20" spans="1:10" s="124" customFormat="1" ht="15.95" customHeight="1" x14ac:dyDescent="0.2">
      <c r="A20" s="350" t="s">
        <v>136</v>
      </c>
      <c r="B20" s="351" t="s">
        <v>137</v>
      </c>
      <c r="C20" s="352">
        <v>6735.94</v>
      </c>
      <c r="D20" s="353">
        <v>8656.6299999999992</v>
      </c>
      <c r="E20" s="356">
        <f>545.2+704.43+429.05+417.75+595.19+376.01+1614.49+333.76+1111.34+165.85+8656.63+2251.17</f>
        <v>17200.870000000003</v>
      </c>
      <c r="F20" s="352">
        <f t="shared" si="1"/>
        <v>172.00870000000003</v>
      </c>
      <c r="G20" s="352">
        <f t="shared" si="0"/>
        <v>17372.878700000001</v>
      </c>
      <c r="H20" s="330">
        <v>18060.91</v>
      </c>
      <c r="I20" s="331"/>
      <c r="J20" s="332"/>
    </row>
    <row r="21" spans="1:10" s="124" customFormat="1" ht="15.95" customHeight="1" x14ac:dyDescent="0.2">
      <c r="A21" s="350" t="s">
        <v>63</v>
      </c>
      <c r="B21" s="351" t="s">
        <v>64</v>
      </c>
      <c r="C21" s="352">
        <v>35994.660000000003</v>
      </c>
      <c r="D21" s="353">
        <v>33902.089999999997</v>
      </c>
      <c r="E21" s="356">
        <f>3592.76+2828.75+3252.32+2387.49+2029.1+3909.23+4241.97+3287.76+5075.76+998.08+4642.57+33902.09</f>
        <v>70147.88</v>
      </c>
      <c r="F21" s="352">
        <f t="shared" si="1"/>
        <v>701.47880000000009</v>
      </c>
      <c r="G21" s="352">
        <f t="shared" si="0"/>
        <v>70849.358800000002</v>
      </c>
      <c r="H21" s="330">
        <v>73655.27</v>
      </c>
      <c r="I21" s="331"/>
      <c r="J21" s="332"/>
    </row>
    <row r="22" spans="1:10" s="124" customFormat="1" ht="15.95" customHeight="1" x14ac:dyDescent="0.2">
      <c r="A22" s="350" t="s">
        <v>65</v>
      </c>
      <c r="B22" s="351" t="s">
        <v>66</v>
      </c>
      <c r="C22" s="352">
        <v>56157.99</v>
      </c>
      <c r="D22" s="353">
        <v>74016.98</v>
      </c>
      <c r="E22" s="356">
        <f>14106+600+1200+7440+7866+4540.84+6240+7878.24+1200+14720+74016.98</f>
        <v>139808.06</v>
      </c>
      <c r="F22" s="352">
        <f t="shared" si="1"/>
        <v>1398.0806</v>
      </c>
      <c r="G22" s="352">
        <f t="shared" si="0"/>
        <v>141206.14059999998</v>
      </c>
      <c r="H22" s="330">
        <v>146798.46</v>
      </c>
      <c r="I22" s="331"/>
      <c r="J22" s="332"/>
    </row>
    <row r="23" spans="1:10" s="124" customFormat="1" ht="15.95" customHeight="1" x14ac:dyDescent="0.2">
      <c r="A23" s="350" t="s">
        <v>67</v>
      </c>
      <c r="B23" s="351" t="s">
        <v>68</v>
      </c>
      <c r="C23" s="352">
        <v>141.85</v>
      </c>
      <c r="D23" s="353">
        <v>127.38</v>
      </c>
      <c r="E23" s="356">
        <f>22.72+36.92+21.88+5.68+10.52+2+8.52+11.36+19.04+19.88+127.38</f>
        <v>285.89999999999998</v>
      </c>
      <c r="F23" s="352">
        <f t="shared" si="1"/>
        <v>2.859</v>
      </c>
      <c r="G23" s="352">
        <f t="shared" si="0"/>
        <v>288.75899999999996</v>
      </c>
      <c r="H23" s="330">
        <v>300.2</v>
      </c>
      <c r="I23" s="331"/>
      <c r="J23" s="332"/>
    </row>
    <row r="24" spans="1:10" s="124" customFormat="1" ht="15.95" customHeight="1" x14ac:dyDescent="0.2">
      <c r="A24" s="350">
        <v>12199</v>
      </c>
      <c r="B24" s="351" t="s">
        <v>416</v>
      </c>
      <c r="C24" s="352"/>
      <c r="D24" s="357">
        <v>0</v>
      </c>
      <c r="E24" s="356"/>
      <c r="F24" s="352">
        <f t="shared" si="1"/>
        <v>0</v>
      </c>
      <c r="G24" s="352"/>
      <c r="H24" s="330"/>
      <c r="I24" s="331"/>
      <c r="J24" s="332"/>
    </row>
    <row r="25" spans="1:10" s="124" customFormat="1" ht="15.95" customHeight="1" x14ac:dyDescent="0.2">
      <c r="A25" s="350">
        <v>12123</v>
      </c>
      <c r="B25" s="351" t="s">
        <v>332</v>
      </c>
      <c r="C25" s="352"/>
      <c r="D25" s="357"/>
      <c r="E25" s="356"/>
      <c r="F25" s="352">
        <f t="shared" si="1"/>
        <v>0</v>
      </c>
      <c r="G25" s="352">
        <f t="shared" ref="G25:G42" si="2">SUM(E25+F25)</f>
        <v>0</v>
      </c>
      <c r="H25" s="330"/>
      <c r="I25" s="331"/>
      <c r="J25" s="332"/>
    </row>
    <row r="26" spans="1:10" s="124" customFormat="1" ht="15.95" customHeight="1" x14ac:dyDescent="0.2">
      <c r="A26" s="350" t="s">
        <v>117</v>
      </c>
      <c r="B26" s="351" t="s">
        <v>138</v>
      </c>
      <c r="C26" s="352">
        <v>83048.58</v>
      </c>
      <c r="D26" s="353">
        <v>203270.59</v>
      </c>
      <c r="E26" s="356">
        <f>8310.2+16087.83+42662.27+3657.45+2261.43+5312.55+13087.6+8203.92+4829.85+18449.51+6516.18+125000</f>
        <v>254378.78999999998</v>
      </c>
      <c r="F26" s="352">
        <f t="shared" si="1"/>
        <v>2543.7878999999998</v>
      </c>
      <c r="G26" s="352">
        <f t="shared" si="2"/>
        <v>256922.57789999997</v>
      </c>
      <c r="H26" s="330">
        <v>267097.73</v>
      </c>
      <c r="I26" s="331"/>
      <c r="J26" s="332"/>
    </row>
    <row r="27" spans="1:10" s="124" customFormat="1" ht="15.95" customHeight="1" x14ac:dyDescent="0.2">
      <c r="A27" s="350" t="s">
        <v>26</v>
      </c>
      <c r="B27" s="351" t="s">
        <v>27</v>
      </c>
      <c r="C27" s="352">
        <v>21.08</v>
      </c>
      <c r="D27" s="353">
        <v>33.14</v>
      </c>
      <c r="E27" s="356">
        <f>0.48+0.78+0.42+0.12+0.18+0.18+0.24+16.36+0.42+0.42+0.42</f>
        <v>20.020000000000003</v>
      </c>
      <c r="F27" s="352">
        <f t="shared" si="1"/>
        <v>0.20020000000000004</v>
      </c>
      <c r="G27" s="352">
        <f t="shared" si="2"/>
        <v>20.220200000000002</v>
      </c>
      <c r="H27" s="330">
        <v>21.02</v>
      </c>
      <c r="I27" s="331"/>
      <c r="J27" s="332"/>
    </row>
    <row r="28" spans="1:10" s="124" customFormat="1" ht="15.95" customHeight="1" x14ac:dyDescent="0.2">
      <c r="A28" s="350" t="s">
        <v>140</v>
      </c>
      <c r="B28" s="351" t="s">
        <v>141</v>
      </c>
      <c r="C28" s="352"/>
      <c r="D28" s="357"/>
      <c r="E28" s="356"/>
      <c r="F28" s="352">
        <f t="shared" si="1"/>
        <v>0</v>
      </c>
      <c r="G28" s="352">
        <f t="shared" si="2"/>
        <v>0</v>
      </c>
      <c r="H28" s="330"/>
      <c r="I28" s="331"/>
      <c r="J28" s="332"/>
    </row>
    <row r="29" spans="1:10" s="124" customFormat="1" ht="15.95" customHeight="1" x14ac:dyDescent="0.2">
      <c r="A29" s="350" t="s">
        <v>28</v>
      </c>
      <c r="B29" s="351" t="s">
        <v>29</v>
      </c>
      <c r="C29" s="352">
        <v>978.4</v>
      </c>
      <c r="D29" s="353">
        <v>3369.67</v>
      </c>
      <c r="E29" s="356">
        <f>232.88+325.44+288.84+242.22+308.33+318.01+460.33+348.44+454.66+188.77+486.06+3369.67</f>
        <v>7023.65</v>
      </c>
      <c r="F29" s="352">
        <f t="shared" si="1"/>
        <v>70.236499999999992</v>
      </c>
      <c r="G29" s="352">
        <f t="shared" si="2"/>
        <v>7093.8864999999996</v>
      </c>
      <c r="H29" s="330">
        <v>7374.83</v>
      </c>
      <c r="I29" s="331"/>
      <c r="J29" s="332"/>
    </row>
    <row r="30" spans="1:10" s="124" customFormat="1" ht="15.95" customHeight="1" x14ac:dyDescent="0.2">
      <c r="A30" s="350" t="s">
        <v>30</v>
      </c>
      <c r="B30" s="351" t="s">
        <v>31</v>
      </c>
      <c r="C30" s="352">
        <v>10554.35</v>
      </c>
      <c r="D30" s="353">
        <v>10539.95</v>
      </c>
      <c r="E30" s="356">
        <f>1031.32+867.22+892.84+1052.46+1384.55+1130.55+1550.94+139.58+284.38+646.36+156.34+10539.95</f>
        <v>19676.490000000002</v>
      </c>
      <c r="F30" s="352">
        <f t="shared" si="1"/>
        <v>196.76490000000001</v>
      </c>
      <c r="G30" s="352">
        <f t="shared" si="2"/>
        <v>19873.2549</v>
      </c>
      <c r="H30" s="330">
        <v>20660.310000000001</v>
      </c>
      <c r="I30" s="331"/>
      <c r="J30" s="332"/>
    </row>
    <row r="31" spans="1:10" s="124" customFormat="1" ht="18" customHeight="1" x14ac:dyDescent="0.2">
      <c r="A31" s="350" t="s">
        <v>33</v>
      </c>
      <c r="B31" s="351" t="s">
        <v>32</v>
      </c>
      <c r="C31" s="352">
        <v>8286.35</v>
      </c>
      <c r="D31" s="353">
        <v>10149.68</v>
      </c>
      <c r="E31" s="356">
        <f>784.22+761.16+772.09+899.27+1245.14+870+1087.34+78.8+190.21+501.33+125.4+10149.68</f>
        <v>17464.64</v>
      </c>
      <c r="F31" s="352">
        <f t="shared" si="1"/>
        <v>174.6464</v>
      </c>
      <c r="G31" s="352">
        <f t="shared" si="2"/>
        <v>17639.286400000001</v>
      </c>
      <c r="H31" s="330">
        <v>18337.87</v>
      </c>
      <c r="I31" s="331"/>
      <c r="J31" s="332"/>
    </row>
    <row r="32" spans="1:10" s="124" customFormat="1" ht="15.95" customHeight="1" x14ac:dyDescent="0.2">
      <c r="A32" s="350">
        <v>15310</v>
      </c>
      <c r="B32" s="351" t="s">
        <v>417</v>
      </c>
      <c r="C32" s="352">
        <v>571.45000000000005</v>
      </c>
      <c r="D32" s="353">
        <v>22287.15</v>
      </c>
      <c r="E32" s="356">
        <f>114.29+262.21+114.29+346.08+500</f>
        <v>1336.87</v>
      </c>
      <c r="F32" s="352">
        <f t="shared" si="1"/>
        <v>13.368699999999999</v>
      </c>
      <c r="G32" s="352">
        <f t="shared" si="2"/>
        <v>1350.2386999999999</v>
      </c>
      <c r="H32" s="330">
        <v>1403.71</v>
      </c>
      <c r="I32" s="331"/>
      <c r="J32" s="332"/>
    </row>
    <row r="33" spans="1:10" s="124" customFormat="1" ht="15.95" customHeight="1" x14ac:dyDescent="0.2">
      <c r="A33" s="350">
        <v>15312</v>
      </c>
      <c r="B33" s="351" t="s">
        <v>334</v>
      </c>
      <c r="C33" s="352">
        <v>225.55</v>
      </c>
      <c r="D33" s="353">
        <v>215.55</v>
      </c>
      <c r="E33" s="356">
        <f>22.86+31.43+47.64+5.71+34.47+17.13+17.13+44.81+27.23+55.8+22.84+215.55</f>
        <v>542.59999999999991</v>
      </c>
      <c r="F33" s="352">
        <f t="shared" si="1"/>
        <v>5.4259999999999993</v>
      </c>
      <c r="G33" s="352">
        <f t="shared" si="2"/>
        <v>548.02599999999995</v>
      </c>
      <c r="H33" s="330">
        <v>569.73</v>
      </c>
      <c r="I33" s="331"/>
      <c r="J33" s="332"/>
    </row>
    <row r="34" spans="1:10" s="124" customFormat="1" ht="15.95" customHeight="1" x14ac:dyDescent="0.2">
      <c r="A34" s="350" t="s">
        <v>105</v>
      </c>
      <c r="B34" s="351" t="s">
        <v>106</v>
      </c>
      <c r="C34" s="352"/>
      <c r="D34" s="357"/>
      <c r="E34" s="356"/>
      <c r="F34" s="352">
        <f t="shared" si="1"/>
        <v>0</v>
      </c>
      <c r="G34" s="352">
        <f t="shared" si="2"/>
        <v>0</v>
      </c>
      <c r="H34" s="330"/>
      <c r="I34" s="331"/>
      <c r="J34" s="332"/>
    </row>
    <row r="35" spans="1:10" s="124" customFormat="1" ht="15.95" customHeight="1" x14ac:dyDescent="0.2">
      <c r="A35" s="350">
        <v>15399</v>
      </c>
      <c r="B35" s="351" t="s">
        <v>316</v>
      </c>
      <c r="C35" s="352"/>
      <c r="D35" s="357"/>
      <c r="E35" s="356"/>
      <c r="F35" s="352">
        <f t="shared" si="1"/>
        <v>0</v>
      </c>
      <c r="G35" s="352">
        <f t="shared" si="2"/>
        <v>0</v>
      </c>
      <c r="H35" s="330"/>
      <c r="I35" s="331"/>
      <c r="J35" s="332"/>
    </row>
    <row r="36" spans="1:10" s="124" customFormat="1" ht="21" customHeight="1" x14ac:dyDescent="0.2">
      <c r="A36" s="350" t="s">
        <v>69</v>
      </c>
      <c r="B36" s="351" t="s">
        <v>70</v>
      </c>
      <c r="C36" s="352"/>
      <c r="D36" s="357"/>
      <c r="E36" s="356"/>
      <c r="F36" s="352">
        <f t="shared" si="1"/>
        <v>0</v>
      </c>
      <c r="G36" s="352">
        <f t="shared" si="2"/>
        <v>0</v>
      </c>
      <c r="H36" s="330"/>
      <c r="I36" s="331"/>
      <c r="J36" s="332"/>
    </row>
    <row r="37" spans="1:10" s="124" customFormat="1" ht="15.95" customHeight="1" x14ac:dyDescent="0.2">
      <c r="A37" s="350" t="s">
        <v>71</v>
      </c>
      <c r="B37" s="351" t="s">
        <v>72</v>
      </c>
      <c r="C37" s="352">
        <f>9131.45+3077.33</f>
        <v>12208.78</v>
      </c>
      <c r="D37" s="353">
        <v>5887.95</v>
      </c>
      <c r="E37" s="356">
        <f>53.91+80.96+99.41+590.87+670.3+110.77+167.32+277.84+106.96+53.08+486.06+3369.67</f>
        <v>6067.15</v>
      </c>
      <c r="F37" s="352">
        <f t="shared" si="1"/>
        <v>60.671499999999995</v>
      </c>
      <c r="G37" s="352">
        <f t="shared" si="2"/>
        <v>6127.8215</v>
      </c>
      <c r="H37" s="330">
        <v>6370.51</v>
      </c>
      <c r="I37" s="331"/>
      <c r="J37" s="332"/>
    </row>
    <row r="38" spans="1:10" s="124" customFormat="1" ht="18" customHeight="1" x14ac:dyDescent="0.2">
      <c r="A38" s="350" t="s">
        <v>170</v>
      </c>
      <c r="B38" s="351" t="s">
        <v>142</v>
      </c>
      <c r="C38" s="352"/>
      <c r="D38" s="357"/>
      <c r="E38" s="356"/>
      <c r="F38" s="352">
        <f t="shared" si="1"/>
        <v>0</v>
      </c>
      <c r="G38" s="352">
        <f t="shared" si="2"/>
        <v>0</v>
      </c>
      <c r="H38" s="241"/>
      <c r="I38" s="192"/>
    </row>
    <row r="39" spans="1:10" s="124" customFormat="1" ht="20.25" customHeight="1" x14ac:dyDescent="0.2">
      <c r="A39" s="350" t="s">
        <v>259</v>
      </c>
      <c r="B39" s="351" t="s">
        <v>260</v>
      </c>
      <c r="C39" s="352"/>
      <c r="D39" s="357"/>
      <c r="E39" s="356"/>
      <c r="F39" s="352">
        <f t="shared" si="1"/>
        <v>0</v>
      </c>
      <c r="G39" s="352">
        <f t="shared" si="2"/>
        <v>0</v>
      </c>
      <c r="H39" s="241"/>
      <c r="I39" s="192"/>
    </row>
    <row r="40" spans="1:10" s="124" customFormat="1" ht="15.95" customHeight="1" x14ac:dyDescent="0.2">
      <c r="A40" s="350" t="s">
        <v>255</v>
      </c>
      <c r="B40" s="351" t="s">
        <v>256</v>
      </c>
      <c r="C40" s="352"/>
      <c r="D40" s="357"/>
      <c r="E40" s="356"/>
      <c r="F40" s="352">
        <f t="shared" si="1"/>
        <v>0</v>
      </c>
      <c r="G40" s="352">
        <f t="shared" si="2"/>
        <v>0</v>
      </c>
      <c r="H40" s="241"/>
      <c r="I40" s="192"/>
    </row>
    <row r="41" spans="1:10" s="124" customFormat="1" ht="15.95" customHeight="1" x14ac:dyDescent="0.2">
      <c r="A41" s="350" t="s">
        <v>90</v>
      </c>
      <c r="B41" s="351" t="s">
        <v>261</v>
      </c>
      <c r="C41" s="352"/>
      <c r="D41" s="357"/>
      <c r="E41" s="356"/>
      <c r="F41" s="352">
        <f t="shared" si="1"/>
        <v>0</v>
      </c>
      <c r="G41" s="352">
        <f t="shared" si="2"/>
        <v>0</v>
      </c>
      <c r="H41" s="241"/>
      <c r="I41" s="192"/>
    </row>
    <row r="42" spans="1:10" s="124" customFormat="1" ht="17.25" customHeight="1" x14ac:dyDescent="0.2">
      <c r="A42" s="350" t="s">
        <v>257</v>
      </c>
      <c r="B42" s="351" t="s">
        <v>514</v>
      </c>
      <c r="C42" s="352"/>
      <c r="D42" s="357"/>
      <c r="E42" s="356"/>
      <c r="F42" s="352">
        <f t="shared" si="1"/>
        <v>0</v>
      </c>
      <c r="G42" s="352">
        <f t="shared" si="2"/>
        <v>0</v>
      </c>
      <c r="H42" s="241"/>
      <c r="I42" s="192"/>
    </row>
    <row r="43" spans="1:10" s="124" customFormat="1" ht="17.25" customHeight="1" x14ac:dyDescent="0.2">
      <c r="A43" s="350"/>
      <c r="B43" s="351" t="s">
        <v>515</v>
      </c>
      <c r="C43" s="352"/>
      <c r="D43" s="358"/>
      <c r="E43" s="356"/>
      <c r="F43" s="352">
        <f t="shared" si="1"/>
        <v>0</v>
      </c>
      <c r="G43" s="352"/>
      <c r="H43" s="241"/>
      <c r="I43" s="192"/>
    </row>
    <row r="44" spans="1:10" s="124" customFormat="1" ht="15.95" customHeight="1" thickBot="1" x14ac:dyDescent="0.25">
      <c r="A44" s="350">
        <v>41201</v>
      </c>
      <c r="B44" s="359" t="s">
        <v>600</v>
      </c>
      <c r="C44" s="352"/>
      <c r="D44" s="262">
        <v>22629.5</v>
      </c>
      <c r="E44" s="360">
        <f>13372.67+6101.6+6938.17+10348.62+13100.13+11809.47+12422.41+5141.32+12423.55+4459.29+9611.71+9611.71</f>
        <v>115340.65</v>
      </c>
      <c r="F44" s="352">
        <f t="shared" si="1"/>
        <v>1153.4065000000001</v>
      </c>
      <c r="G44" s="352">
        <f>SUM(E44+F44)</f>
        <v>116494.05649999999</v>
      </c>
      <c r="H44" s="330">
        <v>121107.68</v>
      </c>
      <c r="I44" s="192"/>
    </row>
    <row r="45" spans="1:10" ht="21.75" customHeight="1" thickBot="1" x14ac:dyDescent="0.3">
      <c r="A45" s="914" t="s">
        <v>254</v>
      </c>
      <c r="B45" s="915"/>
      <c r="C45" s="460">
        <f>SUM(C7:C44)</f>
        <v>799145.20999999985</v>
      </c>
      <c r="D45" s="461">
        <f>SUM(D7:D44)</f>
        <v>1069102.2400000002</v>
      </c>
      <c r="E45" s="461">
        <f>SUM(E7:E44)</f>
        <v>1365396.2299999997</v>
      </c>
      <c r="F45" s="461">
        <f>SUM(F7:F44)</f>
        <v>13653.962299999999</v>
      </c>
      <c r="G45" s="462">
        <f>SUM(G7:G44)</f>
        <v>1379050.1923000005</v>
      </c>
      <c r="H45" s="247"/>
      <c r="I45" s="191"/>
    </row>
    <row r="46" spans="1:10" x14ac:dyDescent="0.2">
      <c r="A46" s="48"/>
      <c r="B46" s="48"/>
      <c r="C46" s="48"/>
      <c r="D46" s="908"/>
      <c r="E46" s="908"/>
      <c r="F46" s="909"/>
      <c r="G46" s="48"/>
    </row>
    <row r="47" spans="1:10" x14ac:dyDescent="0.2">
      <c r="A47" s="48"/>
      <c r="B47" s="48"/>
      <c r="C47" s="48"/>
      <c r="D47" s="48"/>
      <c r="E47" s="48"/>
      <c r="F47" s="200"/>
      <c r="G47" s="48"/>
    </row>
    <row r="48" spans="1:10" x14ac:dyDescent="0.2">
      <c r="D48" s="87"/>
    </row>
    <row r="49" spans="4:7" x14ac:dyDescent="0.2">
      <c r="D49" t="s">
        <v>599</v>
      </c>
    </row>
    <row r="50" spans="4:7" x14ac:dyDescent="0.2">
      <c r="G50" s="87"/>
    </row>
  </sheetData>
  <sheetProtection sheet="1" objects="1" scenarios="1" selectLockedCells="1" selectUnlockedCells="1"/>
  <mergeCells count="10">
    <mergeCell ref="D46:F46"/>
    <mergeCell ref="A1:G1"/>
    <mergeCell ref="A2:G2"/>
    <mergeCell ref="A3:G3"/>
    <mergeCell ref="A4:G4"/>
    <mergeCell ref="A45:B45"/>
    <mergeCell ref="A5:A6"/>
    <mergeCell ref="B5:B6"/>
    <mergeCell ref="C5:E5"/>
    <mergeCell ref="F5:G5"/>
  </mergeCells>
  <printOptions horizontalCentered="1"/>
  <pageMargins left="0.23622047244094491" right="7.874015748031496E-2" top="0.23622047244094491" bottom="0.35433070866141736" header="0.31496062992125984" footer="0.31496062992125984"/>
  <pageSetup scale="95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8"/>
  <sheetViews>
    <sheetView zoomScale="89" zoomScaleNormal="89" workbookViewId="0">
      <selection activeCell="R222" sqref="R222"/>
    </sheetView>
  </sheetViews>
  <sheetFormatPr baseColWidth="10" defaultColWidth="11.42578125" defaultRowHeight="12.75" x14ac:dyDescent="0.2"/>
  <cols>
    <col min="1" max="1" width="12.5703125" style="48" customWidth="1"/>
    <col min="2" max="2" width="5.140625" style="48" customWidth="1"/>
    <col min="3" max="3" width="14.7109375" style="49" customWidth="1"/>
    <col min="4" max="4" width="14.42578125" style="49" customWidth="1"/>
    <col min="5" max="5" width="14.5703125" style="49" customWidth="1"/>
    <col min="6" max="6" width="11.140625" style="49" customWidth="1"/>
    <col min="7" max="7" width="14.140625" style="49" customWidth="1"/>
    <col min="8" max="8" width="16.85546875" style="49" customWidth="1"/>
    <col min="9" max="10" width="11.42578125" style="48"/>
    <col min="11" max="11" width="15" style="48" customWidth="1"/>
    <col min="12" max="12" width="14.140625" style="48" customWidth="1"/>
    <col min="13" max="16384" width="11.42578125" style="48"/>
  </cols>
  <sheetData>
    <row r="1" spans="1:16" ht="18" x14ac:dyDescent="0.25">
      <c r="A1" s="932" t="s">
        <v>411</v>
      </c>
      <c r="B1" s="932"/>
      <c r="C1" s="932"/>
      <c r="D1" s="932"/>
      <c r="E1" s="932"/>
      <c r="F1" s="932"/>
      <c r="G1" s="932"/>
      <c r="H1" s="932"/>
    </row>
    <row r="2" spans="1:16" ht="18" x14ac:dyDescent="0.25">
      <c r="A2" s="932" t="s">
        <v>424</v>
      </c>
      <c r="B2" s="932"/>
      <c r="C2" s="932"/>
      <c r="D2" s="932"/>
      <c r="E2" s="932"/>
      <c r="F2" s="932"/>
      <c r="G2" s="932"/>
      <c r="H2" s="932"/>
    </row>
    <row r="3" spans="1:16" ht="18" x14ac:dyDescent="0.25">
      <c r="A3" s="932" t="s">
        <v>601</v>
      </c>
      <c r="B3" s="932"/>
      <c r="C3" s="932"/>
      <c r="D3" s="932"/>
      <c r="E3" s="932"/>
      <c r="F3" s="932"/>
      <c r="G3" s="932"/>
      <c r="H3" s="932"/>
    </row>
    <row r="5" spans="1:16" ht="15.75" x14ac:dyDescent="0.25">
      <c r="A5" s="837" t="s">
        <v>183</v>
      </c>
      <c r="B5" s="837"/>
      <c r="C5" s="837"/>
      <c r="D5" s="837"/>
      <c r="E5" s="837"/>
      <c r="F5" s="837"/>
      <c r="G5" s="837"/>
      <c r="H5" s="837"/>
    </row>
    <row r="6" spans="1:16" x14ac:dyDescent="0.2">
      <c r="C6" s="933" t="s">
        <v>425</v>
      </c>
      <c r="D6" s="933"/>
      <c r="E6" s="933"/>
      <c r="J6" s="48" t="s">
        <v>353</v>
      </c>
      <c r="L6" s="48">
        <f>360*100/12.5</f>
        <v>2880</v>
      </c>
      <c r="P6" s="217"/>
    </row>
    <row r="7" spans="1:16" x14ac:dyDescent="0.2">
      <c r="A7" s="71" t="s">
        <v>184</v>
      </c>
      <c r="B7" s="67" t="s">
        <v>185</v>
      </c>
      <c r="C7" s="72">
        <f>L14</f>
        <v>311467.21999999997</v>
      </c>
      <c r="D7" s="49" t="s">
        <v>186</v>
      </c>
    </row>
    <row r="8" spans="1:16" x14ac:dyDescent="0.2">
      <c r="A8" s="72" t="s">
        <v>187</v>
      </c>
      <c r="C8" s="73">
        <v>0.125</v>
      </c>
      <c r="D8" s="49" t="s">
        <v>100</v>
      </c>
    </row>
    <row r="9" spans="1:16" x14ac:dyDescent="0.2">
      <c r="A9" s="72" t="s">
        <v>188</v>
      </c>
      <c r="C9" s="72">
        <v>0</v>
      </c>
      <c r="D9" s="49" t="s">
        <v>189</v>
      </c>
    </row>
    <row r="10" spans="1:16" x14ac:dyDescent="0.2">
      <c r="A10" s="72" t="s">
        <v>190</v>
      </c>
      <c r="B10" s="67" t="s">
        <v>185</v>
      </c>
      <c r="C10" s="72">
        <v>4289.8999999999996</v>
      </c>
      <c r="D10" s="49" t="s">
        <v>189</v>
      </c>
    </row>
    <row r="11" spans="1:16" ht="13.5" thickBot="1" x14ac:dyDescent="0.25">
      <c r="B11" s="49"/>
    </row>
    <row r="12" spans="1:16" x14ac:dyDescent="0.2">
      <c r="A12" s="68"/>
      <c r="B12" s="69"/>
      <c r="C12" s="838" t="s">
        <v>191</v>
      </c>
      <c r="D12" s="839"/>
      <c r="E12" s="838" t="s">
        <v>192</v>
      </c>
      <c r="F12" s="840"/>
      <c r="G12" s="839"/>
      <c r="H12" s="70"/>
      <c r="J12" s="48" t="s">
        <v>602</v>
      </c>
      <c r="L12" s="97">
        <v>311467.21999999997</v>
      </c>
    </row>
    <row r="13" spans="1:16" x14ac:dyDescent="0.2">
      <c r="A13" s="50"/>
      <c r="B13" s="51"/>
      <c r="C13" s="842" t="s">
        <v>193</v>
      </c>
      <c r="D13" s="843"/>
      <c r="E13" s="54" t="s">
        <v>194</v>
      </c>
      <c r="F13" s="54" t="s">
        <v>195</v>
      </c>
      <c r="G13" s="844" t="s">
        <v>352</v>
      </c>
      <c r="H13" s="55" t="s">
        <v>197</v>
      </c>
      <c r="J13" s="48" t="s">
        <v>490</v>
      </c>
      <c r="L13" s="97">
        <v>0</v>
      </c>
    </row>
    <row r="14" spans="1:16" ht="13.5" thickBot="1" x14ac:dyDescent="0.25">
      <c r="A14" s="171" t="s">
        <v>198</v>
      </c>
      <c r="B14" s="172" t="s">
        <v>199</v>
      </c>
      <c r="C14" s="173" t="s">
        <v>206</v>
      </c>
      <c r="D14" s="173" t="s">
        <v>200</v>
      </c>
      <c r="E14" s="174" t="s">
        <v>201</v>
      </c>
      <c r="F14" s="173" t="s">
        <v>202</v>
      </c>
      <c r="G14" s="925"/>
      <c r="H14" s="175" t="s">
        <v>204</v>
      </c>
      <c r="J14" s="48" t="s">
        <v>532</v>
      </c>
      <c r="L14" s="131">
        <f>SUM(L12-L13)</f>
        <v>311467.21999999997</v>
      </c>
      <c r="P14" s="48">
        <v>342727.83</v>
      </c>
    </row>
    <row r="15" spans="1:16" x14ac:dyDescent="0.2">
      <c r="A15" s="176" t="s">
        <v>604</v>
      </c>
      <c r="B15" s="51">
        <v>0</v>
      </c>
      <c r="C15" s="177">
        <v>0</v>
      </c>
      <c r="D15" s="177">
        <v>0</v>
      </c>
      <c r="E15" s="177">
        <v>0</v>
      </c>
      <c r="F15" s="177"/>
      <c r="G15" s="177"/>
      <c r="H15" s="178">
        <f>C7</f>
        <v>311467.21999999997</v>
      </c>
      <c r="L15" s="97"/>
    </row>
    <row r="16" spans="1:16" x14ac:dyDescent="0.2">
      <c r="A16" s="59">
        <v>43861</v>
      </c>
      <c r="B16" s="53">
        <v>31</v>
      </c>
      <c r="C16" s="60">
        <f>SUM(H15*31/2880)</f>
        <v>3352.5985486111103</v>
      </c>
      <c r="D16" s="60">
        <f>SUM(C10-C16)</f>
        <v>937.30145138888929</v>
      </c>
      <c r="E16" s="62">
        <f>SUM(C16:D16)</f>
        <v>4289.8999999999996</v>
      </c>
      <c r="F16" s="60"/>
      <c r="G16" s="60">
        <f t="shared" ref="G16:G27" si="0">SUM(E16:F16)</f>
        <v>4289.8999999999996</v>
      </c>
      <c r="H16" s="61">
        <f t="shared" ref="H16:H27" si="1">+H15-D16</f>
        <v>310529.91854861111</v>
      </c>
      <c r="L16" s="97"/>
    </row>
    <row r="17" spans="1:12" x14ac:dyDescent="0.2">
      <c r="A17" s="59">
        <v>43889</v>
      </c>
      <c r="B17" s="53">
        <v>29</v>
      </c>
      <c r="C17" s="60">
        <f t="shared" ref="C17:C27" si="2">SUM(H16*31/2880)</f>
        <v>3342.5095399329666</v>
      </c>
      <c r="D17" s="60">
        <f>SUM(C10-C17)</f>
        <v>947.39046006703302</v>
      </c>
      <c r="E17" s="62">
        <f>SUM(C17:D17)</f>
        <v>4289.8999999999996</v>
      </c>
      <c r="F17" s="60"/>
      <c r="G17" s="60">
        <f t="shared" si="0"/>
        <v>4289.8999999999996</v>
      </c>
      <c r="H17" s="61">
        <f t="shared" si="1"/>
        <v>309582.52808854409</v>
      </c>
      <c r="L17" s="97"/>
    </row>
    <row r="18" spans="1:12" x14ac:dyDescent="0.2">
      <c r="A18" s="59">
        <v>43921</v>
      </c>
      <c r="B18" s="53">
        <v>31</v>
      </c>
      <c r="C18" s="60">
        <f t="shared" si="2"/>
        <v>3332.3119342864125</v>
      </c>
      <c r="D18" s="60">
        <f>SUM(C10-C18)</f>
        <v>957.58806571358718</v>
      </c>
      <c r="E18" s="62">
        <f t="shared" ref="E18:E27" si="3">SUM(C18:D18)</f>
        <v>4289.8999999999996</v>
      </c>
      <c r="F18" s="60"/>
      <c r="G18" s="60">
        <f t="shared" si="0"/>
        <v>4289.8999999999996</v>
      </c>
      <c r="H18" s="61">
        <f t="shared" si="1"/>
        <v>308624.9400228305</v>
      </c>
      <c r="L18" s="97"/>
    </row>
    <row r="19" spans="1:12" x14ac:dyDescent="0.2">
      <c r="A19" s="59">
        <v>43951</v>
      </c>
      <c r="B19" s="53">
        <v>30</v>
      </c>
      <c r="C19" s="60">
        <f t="shared" si="2"/>
        <v>3322.0045627457453</v>
      </c>
      <c r="D19" s="60">
        <f>SUM(C10-C19)</f>
        <v>967.89543725425438</v>
      </c>
      <c r="E19" s="62">
        <f t="shared" si="3"/>
        <v>4289.8999999999996</v>
      </c>
      <c r="F19" s="60"/>
      <c r="G19" s="60">
        <f t="shared" si="0"/>
        <v>4289.8999999999996</v>
      </c>
      <c r="H19" s="61">
        <f t="shared" si="1"/>
        <v>307657.04458557622</v>
      </c>
      <c r="L19" s="97"/>
    </row>
    <row r="20" spans="1:12" x14ac:dyDescent="0.2">
      <c r="A20" s="59">
        <v>43982</v>
      </c>
      <c r="B20" s="53">
        <v>31</v>
      </c>
      <c r="C20" s="60">
        <f t="shared" si="2"/>
        <v>3311.5862438030772</v>
      </c>
      <c r="D20" s="60">
        <f>SUM(C10-C20)</f>
        <v>978.31375619692244</v>
      </c>
      <c r="E20" s="62">
        <f t="shared" si="3"/>
        <v>4289.8999999999996</v>
      </c>
      <c r="F20" s="60"/>
      <c r="G20" s="60">
        <f t="shared" si="0"/>
        <v>4289.8999999999996</v>
      </c>
      <c r="H20" s="61">
        <f t="shared" si="1"/>
        <v>306678.73082937929</v>
      </c>
      <c r="L20" s="97"/>
    </row>
    <row r="21" spans="1:12" x14ac:dyDescent="0.2">
      <c r="A21" s="59">
        <v>44012</v>
      </c>
      <c r="B21" s="53">
        <v>30</v>
      </c>
      <c r="C21" s="60">
        <f t="shared" si="2"/>
        <v>3301.0557832329023</v>
      </c>
      <c r="D21" s="60">
        <f>SUM(C10-C21)</f>
        <v>988.84421676709735</v>
      </c>
      <c r="E21" s="62">
        <f t="shared" si="3"/>
        <v>4289.8999999999996</v>
      </c>
      <c r="F21" s="60"/>
      <c r="G21" s="60">
        <f t="shared" si="0"/>
        <v>4289.8999999999996</v>
      </c>
      <c r="H21" s="61">
        <f t="shared" si="1"/>
        <v>305689.88661261217</v>
      </c>
      <c r="L21" s="97"/>
    </row>
    <row r="22" spans="1:12" x14ac:dyDescent="0.2">
      <c r="A22" s="59">
        <v>44043</v>
      </c>
      <c r="B22" s="53">
        <v>31</v>
      </c>
      <c r="C22" s="60">
        <f t="shared" si="2"/>
        <v>3290.4119739552002</v>
      </c>
      <c r="D22" s="60">
        <f>SUM(C10-C22)</f>
        <v>999.48802604479943</v>
      </c>
      <c r="E22" s="62">
        <f t="shared" si="3"/>
        <v>4289.8999999999996</v>
      </c>
      <c r="F22" s="60"/>
      <c r="G22" s="60">
        <f t="shared" si="0"/>
        <v>4289.8999999999996</v>
      </c>
      <c r="H22" s="61">
        <f t="shared" si="1"/>
        <v>304690.39858656737</v>
      </c>
      <c r="L22" s="97"/>
    </row>
    <row r="23" spans="1:12" x14ac:dyDescent="0.2">
      <c r="A23" s="59">
        <v>44074</v>
      </c>
      <c r="B23" s="53">
        <v>31</v>
      </c>
      <c r="C23" s="60">
        <f t="shared" si="2"/>
        <v>3279.6535958970794</v>
      </c>
      <c r="D23" s="60">
        <f>SUM(C10-C23)</f>
        <v>1010.2464041029202</v>
      </c>
      <c r="E23" s="62">
        <f t="shared" si="3"/>
        <v>4289.8999999999996</v>
      </c>
      <c r="F23" s="60"/>
      <c r="G23" s="60">
        <f t="shared" si="0"/>
        <v>4289.8999999999996</v>
      </c>
      <c r="H23" s="61">
        <f t="shared" si="1"/>
        <v>303680.15218246443</v>
      </c>
      <c r="L23" s="97"/>
    </row>
    <row r="24" spans="1:12" x14ac:dyDescent="0.2">
      <c r="A24" s="59">
        <v>44104</v>
      </c>
      <c r="B24" s="53">
        <v>30</v>
      </c>
      <c r="C24" s="60">
        <f t="shared" si="2"/>
        <v>3268.7794158529159</v>
      </c>
      <c r="D24" s="60">
        <f>SUM(C10-C24)</f>
        <v>1021.1205841470837</v>
      </c>
      <c r="E24" s="62">
        <f t="shared" si="3"/>
        <v>4289.8999999999996</v>
      </c>
      <c r="F24" s="60"/>
      <c r="G24" s="60">
        <f t="shared" si="0"/>
        <v>4289.8999999999996</v>
      </c>
      <c r="H24" s="61">
        <f t="shared" si="1"/>
        <v>302659.03159831732</v>
      </c>
      <c r="L24" s="97"/>
    </row>
    <row r="25" spans="1:12" x14ac:dyDescent="0.2">
      <c r="A25" s="59">
        <v>44135</v>
      </c>
      <c r="B25" s="53">
        <v>31</v>
      </c>
      <c r="C25" s="60">
        <f t="shared" si="2"/>
        <v>3257.7881873429992</v>
      </c>
      <c r="D25" s="60">
        <f>SUM(C10-C25)</f>
        <v>1032.1118126570004</v>
      </c>
      <c r="E25" s="62">
        <f t="shared" si="3"/>
        <v>4289.8999999999996</v>
      </c>
      <c r="F25" s="60"/>
      <c r="G25" s="60">
        <f t="shared" si="0"/>
        <v>4289.8999999999996</v>
      </c>
      <c r="H25" s="61">
        <f t="shared" si="1"/>
        <v>301626.91978566034</v>
      </c>
      <c r="L25" s="97"/>
    </row>
    <row r="26" spans="1:12" x14ac:dyDescent="0.2">
      <c r="A26" s="59">
        <v>44165</v>
      </c>
      <c r="B26" s="53">
        <v>30</v>
      </c>
      <c r="C26" s="60">
        <f t="shared" si="2"/>
        <v>3246.6786504706497</v>
      </c>
      <c r="D26" s="60">
        <f>SUM(C10-C26)</f>
        <v>1043.2213495293499</v>
      </c>
      <c r="E26" s="62">
        <f t="shared" si="3"/>
        <v>4289.8999999999996</v>
      </c>
      <c r="F26" s="60"/>
      <c r="G26" s="60">
        <f t="shared" si="0"/>
        <v>4289.8999999999996</v>
      </c>
      <c r="H26" s="61">
        <f t="shared" si="1"/>
        <v>300583.698436131</v>
      </c>
      <c r="L26" s="97"/>
    </row>
    <row r="27" spans="1:12" x14ac:dyDescent="0.2">
      <c r="A27" s="59">
        <v>44196</v>
      </c>
      <c r="B27" s="53">
        <v>31</v>
      </c>
      <c r="C27" s="60">
        <f t="shared" si="2"/>
        <v>3235.4495317777987</v>
      </c>
      <c r="D27" s="60">
        <f>SUM(C10-C27)</f>
        <v>1054.4504682222009</v>
      </c>
      <c r="E27" s="62">
        <f t="shared" si="3"/>
        <v>4289.8999999999996</v>
      </c>
      <c r="F27" s="60"/>
      <c r="G27" s="60">
        <f t="shared" si="0"/>
        <v>4289.8999999999996</v>
      </c>
      <c r="H27" s="61">
        <f t="shared" si="1"/>
        <v>299529.2479679088</v>
      </c>
      <c r="L27" s="97"/>
    </row>
    <row r="28" spans="1:12" x14ac:dyDescent="0.2">
      <c r="A28" s="59"/>
      <c r="B28" s="53"/>
      <c r="C28" s="60"/>
      <c r="D28" s="60"/>
      <c r="E28" s="62"/>
      <c r="F28" s="60"/>
      <c r="G28" s="60"/>
      <c r="H28" s="61"/>
      <c r="L28" s="97"/>
    </row>
    <row r="29" spans="1:12" ht="15.75" thickBot="1" x14ac:dyDescent="0.4">
      <c r="A29" s="63"/>
      <c r="B29" s="64">
        <f t="shared" ref="B29:G29" si="4">SUM(B15:B28)</f>
        <v>366</v>
      </c>
      <c r="C29" s="65">
        <f t="shared" si="4"/>
        <v>39540.827967908859</v>
      </c>
      <c r="D29" s="65">
        <f t="shared" si="4"/>
        <v>11937.972032091138</v>
      </c>
      <c r="E29" s="287">
        <f>SUM(E15:E27)</f>
        <v>51478.80000000001</v>
      </c>
      <c r="F29" s="65">
        <f t="shared" si="4"/>
        <v>0</v>
      </c>
      <c r="G29" s="65">
        <f t="shared" si="4"/>
        <v>51478.80000000001</v>
      </c>
      <c r="H29" s="66"/>
      <c r="L29" s="97"/>
    </row>
    <row r="30" spans="1:12" x14ac:dyDescent="0.2">
      <c r="L30" s="97"/>
    </row>
    <row r="31" spans="1:12" x14ac:dyDescent="0.2">
      <c r="L31" s="97"/>
    </row>
    <row r="32" spans="1:12" x14ac:dyDescent="0.2">
      <c r="L32" s="97"/>
    </row>
    <row r="33" spans="12:12" x14ac:dyDescent="0.2">
      <c r="L33" s="97"/>
    </row>
    <row r="34" spans="12:12" x14ac:dyDescent="0.2">
      <c r="L34" s="97"/>
    </row>
    <row r="35" spans="12:12" x14ac:dyDescent="0.2">
      <c r="L35" s="97"/>
    </row>
    <row r="36" spans="12:12" x14ac:dyDescent="0.2">
      <c r="L36" s="97"/>
    </row>
    <row r="37" spans="12:12" x14ac:dyDescent="0.2">
      <c r="L37" s="97"/>
    </row>
    <row r="38" spans="12:12" x14ac:dyDescent="0.2">
      <c r="L38" s="97"/>
    </row>
    <row r="39" spans="12:12" x14ac:dyDescent="0.2">
      <c r="L39" s="97"/>
    </row>
    <row r="40" spans="12:12" x14ac:dyDescent="0.2">
      <c r="L40" s="97"/>
    </row>
    <row r="41" spans="12:12" x14ac:dyDescent="0.2">
      <c r="L41" s="97"/>
    </row>
    <row r="42" spans="12:12" x14ac:dyDescent="0.2">
      <c r="L42" s="97"/>
    </row>
    <row r="43" spans="12:12" x14ac:dyDescent="0.2">
      <c r="L43" s="97"/>
    </row>
    <row r="44" spans="12:12" x14ac:dyDescent="0.2">
      <c r="L44" s="97"/>
    </row>
    <row r="45" spans="12:12" x14ac:dyDescent="0.2">
      <c r="L45" s="97"/>
    </row>
    <row r="46" spans="12:12" x14ac:dyDescent="0.2">
      <c r="L46" s="97"/>
    </row>
    <row r="47" spans="12:12" x14ac:dyDescent="0.2">
      <c r="L47" s="97"/>
    </row>
    <row r="48" spans="12:12" x14ac:dyDescent="0.2">
      <c r="L48" s="97"/>
    </row>
    <row r="49" spans="1:12" x14ac:dyDescent="0.2">
      <c r="L49" s="97"/>
    </row>
    <row r="50" spans="1:12" x14ac:dyDescent="0.2">
      <c r="L50" s="97"/>
    </row>
    <row r="51" spans="1:12" x14ac:dyDescent="0.2">
      <c r="L51" s="97"/>
    </row>
    <row r="52" spans="1:12" x14ac:dyDescent="0.2">
      <c r="L52" s="97"/>
    </row>
    <row r="53" spans="1:12" x14ac:dyDescent="0.2">
      <c r="D53" s="926"/>
      <c r="E53" s="926"/>
      <c r="F53" s="926"/>
    </row>
    <row r="57" spans="1:12" ht="18" x14ac:dyDescent="0.25">
      <c r="A57" s="927" t="s">
        <v>411</v>
      </c>
      <c r="B57" s="927"/>
      <c r="C57" s="927"/>
      <c r="D57" s="927"/>
      <c r="E57" s="927"/>
      <c r="F57" s="927"/>
      <c r="G57" s="927"/>
      <c r="H57" s="927"/>
    </row>
    <row r="58" spans="1:12" ht="18" x14ac:dyDescent="0.25">
      <c r="A58" s="927" t="s">
        <v>424</v>
      </c>
      <c r="B58" s="927"/>
      <c r="C58" s="927"/>
      <c r="D58" s="927"/>
      <c r="E58" s="927"/>
      <c r="F58" s="927"/>
      <c r="G58" s="927"/>
      <c r="H58" s="927"/>
    </row>
    <row r="59" spans="1:12" ht="18" x14ac:dyDescent="0.25">
      <c r="A59" s="927" t="s">
        <v>601</v>
      </c>
      <c r="B59" s="927"/>
      <c r="C59" s="927"/>
      <c r="D59" s="927"/>
      <c r="E59" s="927"/>
      <c r="F59" s="927"/>
      <c r="G59" s="927"/>
      <c r="H59" s="927"/>
    </row>
    <row r="60" spans="1:12" x14ac:dyDescent="0.2">
      <c r="A60" s="524"/>
      <c r="B60" s="524"/>
      <c r="C60" s="525"/>
      <c r="D60" s="525"/>
      <c r="E60" s="525"/>
      <c r="F60" s="525"/>
      <c r="G60" s="525"/>
      <c r="H60" s="525"/>
    </row>
    <row r="61" spans="1:12" ht="15.75" x14ac:dyDescent="0.25">
      <c r="A61" s="928" t="s">
        <v>183</v>
      </c>
      <c r="B61" s="928"/>
      <c r="C61" s="928"/>
      <c r="D61" s="928"/>
      <c r="E61" s="928"/>
      <c r="F61" s="928"/>
      <c r="G61" s="928"/>
      <c r="H61" s="928"/>
    </row>
    <row r="62" spans="1:12" ht="15.75" x14ac:dyDescent="0.25">
      <c r="A62" s="526" t="s">
        <v>394</v>
      </c>
      <c r="B62" s="526"/>
      <c r="C62" s="928" t="s">
        <v>426</v>
      </c>
      <c r="D62" s="928"/>
      <c r="E62" s="928"/>
      <c r="F62" s="928"/>
      <c r="G62" s="526"/>
      <c r="H62" s="526"/>
    </row>
    <row r="63" spans="1:12" x14ac:dyDescent="0.2">
      <c r="A63" s="441"/>
      <c r="B63" s="441"/>
      <c r="C63" s="527"/>
      <c r="D63" s="527"/>
      <c r="E63" s="527"/>
      <c r="F63" s="527"/>
      <c r="G63" s="527"/>
      <c r="H63" s="527"/>
      <c r="J63" s="48" t="s">
        <v>353</v>
      </c>
      <c r="L63" s="48">
        <f>360*100/9.95</f>
        <v>3618.0904522613068</v>
      </c>
    </row>
    <row r="64" spans="1:12" x14ac:dyDescent="0.2">
      <c r="A64" s="528" t="s">
        <v>184</v>
      </c>
      <c r="B64" s="529" t="s">
        <v>185</v>
      </c>
      <c r="C64" s="530">
        <f>L71</f>
        <v>194139.51</v>
      </c>
      <c r="D64" s="527" t="s">
        <v>186</v>
      </c>
      <c r="E64" s="527"/>
      <c r="F64" s="527"/>
      <c r="G64" s="527"/>
      <c r="H64" s="527"/>
    </row>
    <row r="65" spans="1:16" x14ac:dyDescent="0.2">
      <c r="A65" s="530" t="s">
        <v>187</v>
      </c>
      <c r="B65" s="441"/>
      <c r="C65" s="531">
        <v>9.9500000000000005E-2</v>
      </c>
      <c r="D65" s="527" t="s">
        <v>100</v>
      </c>
      <c r="E65" s="527"/>
      <c r="F65" s="527"/>
      <c r="G65" s="527"/>
      <c r="H65" s="527"/>
    </row>
    <row r="66" spans="1:16" x14ac:dyDescent="0.2">
      <c r="A66" s="530" t="s">
        <v>188</v>
      </c>
      <c r="B66" s="441"/>
      <c r="C66" s="530">
        <v>0</v>
      </c>
      <c r="D66" s="527" t="s">
        <v>189</v>
      </c>
      <c r="E66" s="527"/>
      <c r="F66" s="527"/>
      <c r="G66" s="527"/>
      <c r="H66" s="527"/>
    </row>
    <row r="67" spans="1:16" x14ac:dyDescent="0.2">
      <c r="A67" s="72" t="s">
        <v>190</v>
      </c>
      <c r="B67" s="67" t="s">
        <v>185</v>
      </c>
      <c r="C67" s="72">
        <v>3482.53</v>
      </c>
      <c r="D67" s="49" t="s">
        <v>189</v>
      </c>
    </row>
    <row r="68" spans="1:16" ht="13.5" thickBot="1" x14ac:dyDescent="0.25">
      <c r="B68" s="49"/>
    </row>
    <row r="69" spans="1:16" x14ac:dyDescent="0.2">
      <c r="A69" s="68"/>
      <c r="B69" s="69"/>
      <c r="C69" s="838" t="s">
        <v>191</v>
      </c>
      <c r="D69" s="839"/>
      <c r="E69" s="838" t="s">
        <v>192</v>
      </c>
      <c r="F69" s="840"/>
      <c r="G69" s="839"/>
      <c r="H69" s="70"/>
      <c r="J69" s="48" t="s">
        <v>643</v>
      </c>
      <c r="L69" s="97">
        <v>194139.51</v>
      </c>
    </row>
    <row r="70" spans="1:16" x14ac:dyDescent="0.2">
      <c r="A70" s="50"/>
      <c r="B70" s="51"/>
      <c r="C70" s="842" t="s">
        <v>193</v>
      </c>
      <c r="D70" s="843"/>
      <c r="E70" s="54" t="s">
        <v>194</v>
      </c>
      <c r="F70" s="54" t="s">
        <v>195</v>
      </c>
      <c r="G70" s="844" t="s">
        <v>352</v>
      </c>
      <c r="H70" s="55" t="s">
        <v>197</v>
      </c>
      <c r="J70" s="48" t="s">
        <v>488</v>
      </c>
      <c r="L70" s="97">
        <v>0</v>
      </c>
    </row>
    <row r="71" spans="1:16" ht="13.5" thickBot="1" x14ac:dyDescent="0.25">
      <c r="A71" s="171" t="s">
        <v>198</v>
      </c>
      <c r="B71" s="172" t="s">
        <v>199</v>
      </c>
      <c r="C71" s="173" t="s">
        <v>206</v>
      </c>
      <c r="D71" s="173" t="s">
        <v>200</v>
      </c>
      <c r="E71" s="174" t="s">
        <v>201</v>
      </c>
      <c r="F71" s="173" t="s">
        <v>202</v>
      </c>
      <c r="G71" s="925"/>
      <c r="H71" s="175" t="s">
        <v>204</v>
      </c>
      <c r="J71" s="48" t="s">
        <v>532</v>
      </c>
      <c r="L71" s="131">
        <f>SUM(L69-L70)</f>
        <v>194139.51</v>
      </c>
      <c r="P71" s="48">
        <v>234749.16</v>
      </c>
    </row>
    <row r="72" spans="1:16" x14ac:dyDescent="0.2">
      <c r="A72" s="176">
        <v>43831</v>
      </c>
      <c r="B72" s="51">
        <v>0</v>
      </c>
      <c r="C72" s="177">
        <v>0</v>
      </c>
      <c r="D72" s="177">
        <v>0</v>
      </c>
      <c r="E72" s="177">
        <v>0</v>
      </c>
      <c r="F72" s="177"/>
      <c r="G72" s="177"/>
      <c r="H72" s="178">
        <f>C64</f>
        <v>194139.51</v>
      </c>
      <c r="L72" s="97"/>
    </row>
    <row r="73" spans="1:16" x14ac:dyDescent="0.2">
      <c r="A73" s="59">
        <v>43861</v>
      </c>
      <c r="B73" s="53">
        <v>31</v>
      </c>
      <c r="C73" s="60">
        <f>SUM(H72*31/3618.09)</f>
        <v>1663.3983151331229</v>
      </c>
      <c r="D73" s="60">
        <f>SUM(C67-C73)</f>
        <v>1819.1316848668773</v>
      </c>
      <c r="E73" s="62">
        <f>SUM(C73:D73)</f>
        <v>3482.53</v>
      </c>
      <c r="F73" s="60"/>
      <c r="G73" s="60">
        <f t="shared" ref="G73:G84" si="5">SUM(E73:F73)</f>
        <v>3482.53</v>
      </c>
      <c r="H73" s="61">
        <f t="shared" ref="H73:H84" si="6">+H72-D73</f>
        <v>192320.37831513313</v>
      </c>
      <c r="L73" s="97"/>
    </row>
    <row r="74" spans="1:16" x14ac:dyDescent="0.2">
      <c r="A74" s="59">
        <v>43890</v>
      </c>
      <c r="B74" s="53">
        <v>28</v>
      </c>
      <c r="C74" s="60">
        <f t="shared" ref="C74:C84" si="7">SUM(H73*31/3618.09)</f>
        <v>1647.8118918460091</v>
      </c>
      <c r="D74" s="60">
        <f>SUM(C67-C74)</f>
        <v>1834.7181081539911</v>
      </c>
      <c r="E74" s="62">
        <f>SUM(C74:D74)</f>
        <v>3482.53</v>
      </c>
      <c r="F74" s="60"/>
      <c r="G74" s="60">
        <f t="shared" si="5"/>
        <v>3482.53</v>
      </c>
      <c r="H74" s="61">
        <f t="shared" si="6"/>
        <v>190485.66020697914</v>
      </c>
      <c r="L74" s="97"/>
    </row>
    <row r="75" spans="1:16" x14ac:dyDescent="0.2">
      <c r="A75" s="59">
        <v>43921</v>
      </c>
      <c r="B75" s="53">
        <v>31</v>
      </c>
      <c r="C75" s="60">
        <f t="shared" si="7"/>
        <v>1632.0919232015658</v>
      </c>
      <c r="D75" s="60">
        <f>SUM(C67-C75)</f>
        <v>1850.4380767984344</v>
      </c>
      <c r="E75" s="62">
        <f t="shared" ref="E75:E84" si="8">SUM(C75:D75)</f>
        <v>3482.53</v>
      </c>
      <c r="F75" s="60"/>
      <c r="G75" s="60">
        <f t="shared" si="5"/>
        <v>3482.53</v>
      </c>
      <c r="H75" s="61">
        <f t="shared" si="6"/>
        <v>188635.22213018071</v>
      </c>
      <c r="L75" s="97"/>
    </row>
    <row r="76" spans="1:16" x14ac:dyDescent="0.2">
      <c r="A76" s="59">
        <v>43951</v>
      </c>
      <c r="B76" s="53">
        <v>30</v>
      </c>
      <c r="C76" s="60">
        <f t="shared" si="7"/>
        <v>1616.2372649756094</v>
      </c>
      <c r="D76" s="60">
        <f>SUM(C67-C76)</f>
        <v>1866.2927350243908</v>
      </c>
      <c r="E76" s="62">
        <f t="shared" si="8"/>
        <v>3482.53</v>
      </c>
      <c r="F76" s="60"/>
      <c r="G76" s="60">
        <f t="shared" si="5"/>
        <v>3482.53</v>
      </c>
      <c r="H76" s="61">
        <f t="shared" si="6"/>
        <v>186768.92939515633</v>
      </c>
      <c r="L76" s="97"/>
    </row>
    <row r="77" spans="1:16" x14ac:dyDescent="0.2">
      <c r="A77" s="59">
        <v>43982</v>
      </c>
      <c r="B77" s="53">
        <v>31</v>
      </c>
      <c r="C77" s="60">
        <f t="shared" si="7"/>
        <v>1600.246763140178</v>
      </c>
      <c r="D77" s="60">
        <f>SUM(C67-C77)</f>
        <v>1882.2832368598222</v>
      </c>
      <c r="E77" s="62">
        <f t="shared" si="8"/>
        <v>3482.53</v>
      </c>
      <c r="F77" s="60"/>
      <c r="G77" s="60">
        <f t="shared" si="5"/>
        <v>3482.53</v>
      </c>
      <c r="H77" s="61">
        <f t="shared" si="6"/>
        <v>184886.6461582965</v>
      </c>
      <c r="L77" s="97"/>
    </row>
    <row r="78" spans="1:16" x14ac:dyDescent="0.2">
      <c r="A78" s="59">
        <v>44012</v>
      </c>
      <c r="B78" s="53">
        <v>30</v>
      </c>
      <c r="C78" s="60">
        <f t="shared" si="7"/>
        <v>1584.1192537795332</v>
      </c>
      <c r="D78" s="60">
        <f>SUM(C67-C78)</f>
        <v>1898.410746220467</v>
      </c>
      <c r="E78" s="62">
        <f t="shared" si="8"/>
        <v>3482.53</v>
      </c>
      <c r="F78" s="60"/>
      <c r="G78" s="60">
        <f t="shared" si="5"/>
        <v>3482.53</v>
      </c>
      <c r="H78" s="61">
        <f t="shared" si="6"/>
        <v>182988.23541207603</v>
      </c>
      <c r="L78" s="97"/>
    </row>
    <row r="79" spans="1:16" x14ac:dyDescent="0.2">
      <c r="A79" s="59">
        <v>44043</v>
      </c>
      <c r="B79" s="53">
        <v>31</v>
      </c>
      <c r="C79" s="60">
        <f t="shared" si="7"/>
        <v>1567.8535630054412</v>
      </c>
      <c r="D79" s="60">
        <f>SUM(C67-C79)</f>
        <v>1914.676436994559</v>
      </c>
      <c r="E79" s="62">
        <f t="shared" si="8"/>
        <v>3482.53</v>
      </c>
      <c r="F79" s="60"/>
      <c r="G79" s="60">
        <f t="shared" si="5"/>
        <v>3482.53</v>
      </c>
      <c r="H79" s="61">
        <f t="shared" si="6"/>
        <v>181073.55897508148</v>
      </c>
      <c r="L79" s="97"/>
    </row>
    <row r="80" spans="1:16" x14ac:dyDescent="0.2">
      <c r="A80" s="59">
        <v>44074</v>
      </c>
      <c r="B80" s="53">
        <v>31</v>
      </c>
      <c r="C80" s="60">
        <f t="shared" si="7"/>
        <v>1551.4485068717265</v>
      </c>
      <c r="D80" s="60">
        <f>SUM(C67-C80)</f>
        <v>1931.0814931282737</v>
      </c>
      <c r="E80" s="62">
        <f t="shared" si="8"/>
        <v>3482.53</v>
      </c>
      <c r="F80" s="60"/>
      <c r="G80" s="60">
        <f t="shared" si="5"/>
        <v>3482.53</v>
      </c>
      <c r="H80" s="61">
        <f t="shared" si="6"/>
        <v>179142.47748195322</v>
      </c>
      <c r="L80" s="97"/>
    </row>
    <row r="81" spans="1:12" x14ac:dyDescent="0.2">
      <c r="A81" s="59">
        <v>44104</v>
      </c>
      <c r="B81" s="53">
        <v>30</v>
      </c>
      <c r="C81" s="60">
        <f t="shared" si="7"/>
        <v>1534.9028912880967</v>
      </c>
      <c r="D81" s="60">
        <f>SUM(C67-C81)</f>
        <v>1947.6271087119035</v>
      </c>
      <c r="E81" s="62">
        <f t="shared" si="8"/>
        <v>3482.53</v>
      </c>
      <c r="F81" s="60"/>
      <c r="G81" s="60">
        <f t="shared" si="5"/>
        <v>3482.53</v>
      </c>
      <c r="H81" s="61">
        <f t="shared" si="6"/>
        <v>177194.85037324132</v>
      </c>
      <c r="L81" s="97"/>
    </row>
    <row r="82" spans="1:12" x14ac:dyDescent="0.2">
      <c r="A82" s="59">
        <v>44135</v>
      </c>
      <c r="B82" s="53">
        <v>31</v>
      </c>
      <c r="C82" s="60">
        <f t="shared" si="7"/>
        <v>1518.2155119332247</v>
      </c>
      <c r="D82" s="60">
        <f>SUM(C67-C82)</f>
        <v>1964.3144880667755</v>
      </c>
      <c r="E82" s="62">
        <f t="shared" si="8"/>
        <v>3482.53</v>
      </c>
      <c r="F82" s="60"/>
      <c r="G82" s="60">
        <f t="shared" si="5"/>
        <v>3482.53</v>
      </c>
      <c r="H82" s="61">
        <f t="shared" si="6"/>
        <v>175230.53588517456</v>
      </c>
      <c r="L82" s="97"/>
    </row>
    <row r="83" spans="1:12" x14ac:dyDescent="0.2">
      <c r="A83" s="59">
        <v>44165</v>
      </c>
      <c r="B83" s="53">
        <v>30</v>
      </c>
      <c r="C83" s="60">
        <f t="shared" si="7"/>
        <v>1501.3851541670911</v>
      </c>
      <c r="D83" s="60">
        <f>SUM(C67-C83)</f>
        <v>1981.1448458329091</v>
      </c>
      <c r="E83" s="62">
        <f t="shared" si="8"/>
        <v>3482.53</v>
      </c>
      <c r="F83" s="60"/>
      <c r="G83" s="60">
        <f t="shared" si="5"/>
        <v>3482.53</v>
      </c>
      <c r="H83" s="61">
        <f t="shared" si="6"/>
        <v>173249.39103934166</v>
      </c>
      <c r="L83" s="97"/>
    </row>
    <row r="84" spans="1:12" x14ac:dyDescent="0.2">
      <c r="A84" s="59">
        <v>44196</v>
      </c>
      <c r="B84" s="53">
        <v>31</v>
      </c>
      <c r="C84" s="60">
        <f t="shared" si="7"/>
        <v>1484.4105929425723</v>
      </c>
      <c r="D84" s="60">
        <f>SUM(C67-C84)</f>
        <v>1998.1194070574279</v>
      </c>
      <c r="E84" s="62">
        <f t="shared" si="8"/>
        <v>3482.53</v>
      </c>
      <c r="F84" s="60"/>
      <c r="G84" s="60">
        <f t="shared" si="5"/>
        <v>3482.53</v>
      </c>
      <c r="H84" s="61">
        <f t="shared" si="6"/>
        <v>171251.27163228422</v>
      </c>
      <c r="L84" s="97"/>
    </row>
    <row r="85" spans="1:12" x14ac:dyDescent="0.2">
      <c r="A85" s="59"/>
      <c r="B85" s="53"/>
      <c r="C85" s="60"/>
      <c r="D85" s="60"/>
      <c r="E85" s="62"/>
      <c r="F85" s="60"/>
      <c r="G85" s="60"/>
      <c r="H85" s="61"/>
      <c r="L85" s="97"/>
    </row>
    <row r="86" spans="1:12" ht="15.75" thickBot="1" x14ac:dyDescent="0.4">
      <c r="A86" s="63"/>
      <c r="B86" s="64">
        <f t="shared" ref="B86:G86" si="9">SUM(B72:B85)</f>
        <v>365</v>
      </c>
      <c r="C86" s="65">
        <f t="shared" si="9"/>
        <v>18902.121632284172</v>
      </c>
      <c r="D86" s="65">
        <f t="shared" si="9"/>
        <v>22888.238367715832</v>
      </c>
      <c r="E86" s="65">
        <f t="shared" si="9"/>
        <v>41790.359999999993</v>
      </c>
      <c r="F86" s="65">
        <f t="shared" si="9"/>
        <v>0</v>
      </c>
      <c r="G86" s="65">
        <f t="shared" si="9"/>
        <v>41790.359999999993</v>
      </c>
      <c r="H86" s="66"/>
      <c r="L86" s="97"/>
    </row>
    <row r="87" spans="1:12" x14ac:dyDescent="0.2">
      <c r="L87" s="97"/>
    </row>
    <row r="88" spans="1:12" x14ac:dyDescent="0.2">
      <c r="D88" s="926"/>
      <c r="E88" s="926"/>
      <c r="F88" s="926"/>
    </row>
    <row r="112" spans="1:8" ht="18" x14ac:dyDescent="0.25">
      <c r="A112" s="927" t="s">
        <v>411</v>
      </c>
      <c r="B112" s="927"/>
      <c r="C112" s="927"/>
      <c r="D112" s="927"/>
      <c r="E112" s="927"/>
      <c r="F112" s="927"/>
      <c r="G112" s="927"/>
      <c r="H112" s="927"/>
    </row>
    <row r="113" spans="1:16" ht="18" x14ac:dyDescent="0.25">
      <c r="A113" s="927" t="s">
        <v>424</v>
      </c>
      <c r="B113" s="927"/>
      <c r="C113" s="927"/>
      <c r="D113" s="927"/>
      <c r="E113" s="927"/>
      <c r="F113" s="927"/>
      <c r="G113" s="927"/>
      <c r="H113" s="927"/>
    </row>
    <row r="114" spans="1:16" ht="18" x14ac:dyDescent="0.25">
      <c r="A114" s="927" t="s">
        <v>533</v>
      </c>
      <c r="B114" s="927"/>
      <c r="C114" s="927"/>
      <c r="D114" s="927"/>
      <c r="E114" s="927"/>
      <c r="F114" s="927"/>
      <c r="G114" s="927"/>
      <c r="H114" s="927"/>
    </row>
    <row r="115" spans="1:16" x14ac:dyDescent="0.2">
      <c r="A115" s="524"/>
      <c r="B115" s="524"/>
      <c r="C115" s="525"/>
      <c r="D115" s="525"/>
      <c r="E115" s="525"/>
      <c r="F115" s="525"/>
      <c r="G115" s="525"/>
      <c r="H115" s="525"/>
    </row>
    <row r="116" spans="1:16" ht="15.75" x14ac:dyDescent="0.25">
      <c r="A116" s="928" t="s">
        <v>183</v>
      </c>
      <c r="B116" s="928"/>
      <c r="C116" s="928"/>
      <c r="D116" s="928"/>
      <c r="E116" s="928"/>
      <c r="F116" s="928"/>
      <c r="G116" s="928"/>
      <c r="H116" s="928"/>
    </row>
    <row r="117" spans="1:16" ht="15.75" x14ac:dyDescent="0.25">
      <c r="A117" s="526" t="s">
        <v>394</v>
      </c>
      <c r="B117" s="526"/>
      <c r="C117" s="928" t="s">
        <v>427</v>
      </c>
      <c r="D117" s="928"/>
      <c r="E117" s="928"/>
      <c r="F117" s="928"/>
      <c r="G117" s="526"/>
      <c r="H117" s="526"/>
    </row>
    <row r="118" spans="1:16" x14ac:dyDescent="0.2">
      <c r="A118" s="441"/>
      <c r="B118" s="441"/>
      <c r="C118" s="527"/>
      <c r="D118" s="527"/>
      <c r="E118" s="527"/>
      <c r="F118" s="527"/>
      <c r="G118" s="527"/>
      <c r="H118" s="527"/>
      <c r="J118" s="48" t="s">
        <v>353</v>
      </c>
      <c r="L118" s="48">
        <f>360*100/9.95</f>
        <v>3618.0904522613068</v>
      </c>
    </row>
    <row r="119" spans="1:16" x14ac:dyDescent="0.2">
      <c r="A119" s="528" t="s">
        <v>184</v>
      </c>
      <c r="B119" s="529" t="s">
        <v>185</v>
      </c>
      <c r="C119" s="530">
        <f>L126</f>
        <v>378999.79</v>
      </c>
      <c r="D119" s="527" t="s">
        <v>186</v>
      </c>
      <c r="E119" s="527"/>
      <c r="F119" s="527"/>
      <c r="G119" s="527"/>
      <c r="H119" s="527"/>
    </row>
    <row r="120" spans="1:16" x14ac:dyDescent="0.2">
      <c r="A120" s="530" t="s">
        <v>187</v>
      </c>
      <c r="B120" s="441"/>
      <c r="C120" s="531">
        <v>9.9500000000000005E-2</v>
      </c>
      <c r="D120" s="527" t="s">
        <v>100</v>
      </c>
      <c r="E120" s="527"/>
      <c r="F120" s="527"/>
      <c r="G120" s="527"/>
      <c r="H120" s="527"/>
    </row>
    <row r="121" spans="1:16" x14ac:dyDescent="0.2">
      <c r="A121" s="530" t="s">
        <v>188</v>
      </c>
      <c r="B121" s="441"/>
      <c r="C121" s="530">
        <v>0</v>
      </c>
      <c r="D121" s="527" t="s">
        <v>189</v>
      </c>
      <c r="E121" s="527"/>
      <c r="F121" s="527"/>
      <c r="G121" s="527"/>
      <c r="H121" s="527"/>
    </row>
    <row r="122" spans="1:16" x14ac:dyDescent="0.2">
      <c r="A122" s="530" t="s">
        <v>190</v>
      </c>
      <c r="B122" s="529" t="s">
        <v>185</v>
      </c>
      <c r="C122" s="530">
        <v>6802</v>
      </c>
      <c r="D122" s="527" t="s">
        <v>189</v>
      </c>
      <c r="E122" s="527"/>
      <c r="F122" s="527"/>
      <c r="G122" s="527"/>
      <c r="H122" s="527"/>
    </row>
    <row r="123" spans="1:16" ht="13.5" thickBot="1" x14ac:dyDescent="0.25">
      <c r="A123" s="441"/>
      <c r="B123" s="527"/>
      <c r="C123" s="527"/>
      <c r="D123" s="527"/>
      <c r="E123" s="527"/>
      <c r="F123" s="527"/>
      <c r="G123" s="527"/>
      <c r="H123" s="527"/>
    </row>
    <row r="124" spans="1:16" x14ac:dyDescent="0.2">
      <c r="A124" s="532"/>
      <c r="B124" s="533"/>
      <c r="C124" s="929" t="s">
        <v>191</v>
      </c>
      <c r="D124" s="930"/>
      <c r="E124" s="929" t="s">
        <v>192</v>
      </c>
      <c r="F124" s="931"/>
      <c r="G124" s="930"/>
      <c r="H124" s="534"/>
      <c r="J124" s="48" t="s">
        <v>643</v>
      </c>
      <c r="L124" s="97">
        <v>378999.79</v>
      </c>
    </row>
    <row r="125" spans="1:16" x14ac:dyDescent="0.2">
      <c r="A125" s="50"/>
      <c r="B125" s="51"/>
      <c r="C125" s="842" t="s">
        <v>193</v>
      </c>
      <c r="D125" s="843"/>
      <c r="E125" s="54" t="s">
        <v>194</v>
      </c>
      <c r="F125" s="54" t="s">
        <v>195</v>
      </c>
      <c r="G125" s="844" t="s">
        <v>352</v>
      </c>
      <c r="H125" s="55" t="s">
        <v>197</v>
      </c>
      <c r="J125" s="48" t="s">
        <v>488</v>
      </c>
      <c r="L125" s="97">
        <v>0</v>
      </c>
    </row>
    <row r="126" spans="1:16" ht="13.5" thickBot="1" x14ac:dyDescent="0.25">
      <c r="A126" s="171" t="s">
        <v>198</v>
      </c>
      <c r="B126" s="172" t="s">
        <v>199</v>
      </c>
      <c r="C126" s="173" t="s">
        <v>206</v>
      </c>
      <c r="D126" s="173" t="s">
        <v>200</v>
      </c>
      <c r="E126" s="174" t="s">
        <v>201</v>
      </c>
      <c r="F126" s="173" t="s">
        <v>202</v>
      </c>
      <c r="G126" s="925"/>
      <c r="H126" s="175" t="s">
        <v>204</v>
      </c>
      <c r="J126" s="48" t="s">
        <v>532</v>
      </c>
      <c r="L126" s="131">
        <f>SUM(L124-L125)</f>
        <v>378999.79</v>
      </c>
      <c r="P126" s="48">
        <v>458351.67</v>
      </c>
    </row>
    <row r="127" spans="1:16" x14ac:dyDescent="0.2">
      <c r="A127" s="176">
        <v>43831</v>
      </c>
      <c r="B127" s="51">
        <v>0</v>
      </c>
      <c r="C127" s="177">
        <v>0</v>
      </c>
      <c r="D127" s="177">
        <v>0</v>
      </c>
      <c r="E127" s="177">
        <v>0</v>
      </c>
      <c r="F127" s="177"/>
      <c r="G127" s="177"/>
      <c r="H127" s="178">
        <f>C119</f>
        <v>378999.79</v>
      </c>
      <c r="L127" s="97"/>
    </row>
    <row r="128" spans="1:16" x14ac:dyDescent="0.2">
      <c r="A128" s="59">
        <v>43861</v>
      </c>
      <c r="B128" s="53">
        <v>31</v>
      </c>
      <c r="C128" s="60">
        <f>SUM(H127*31/3618.09)</f>
        <v>3247.2916621753466</v>
      </c>
      <c r="D128" s="60">
        <f>SUM(C122-C128)</f>
        <v>3554.7083378246534</v>
      </c>
      <c r="E128" s="62">
        <f>SUM(C128:D128)</f>
        <v>6802</v>
      </c>
      <c r="F128" s="60"/>
      <c r="G128" s="60">
        <f t="shared" ref="G128:G139" si="10">SUM(E128:F128)</f>
        <v>6802</v>
      </c>
      <c r="H128" s="61">
        <f t="shared" ref="H128:H139" si="11">+H127-D128</f>
        <v>375445.0816621753</v>
      </c>
      <c r="L128" s="97"/>
    </row>
    <row r="129" spans="1:12" x14ac:dyDescent="0.2">
      <c r="A129" s="59">
        <v>43890</v>
      </c>
      <c r="B129" s="53">
        <v>28</v>
      </c>
      <c r="C129" s="60">
        <f t="shared" ref="C129:C139" si="12">SUM(H128*31/3618.09)</f>
        <v>3216.8347198459501</v>
      </c>
      <c r="D129" s="60">
        <f>SUM(C122-C129)</f>
        <v>3585.1652801540499</v>
      </c>
      <c r="E129" s="62">
        <f>SUM(C129:D129)</f>
        <v>6802</v>
      </c>
      <c r="F129" s="60"/>
      <c r="G129" s="60">
        <f t="shared" si="10"/>
        <v>6802</v>
      </c>
      <c r="H129" s="61">
        <f t="shared" si="11"/>
        <v>371859.91638202127</v>
      </c>
      <c r="L129" s="97"/>
    </row>
    <row r="130" spans="1:12" x14ac:dyDescent="0.2">
      <c r="A130" s="59">
        <v>43921</v>
      </c>
      <c r="B130" s="53">
        <v>31</v>
      </c>
      <c r="C130" s="60">
        <f t="shared" si="12"/>
        <v>3186.116820710004</v>
      </c>
      <c r="D130" s="60">
        <f>SUM(C122-C130)</f>
        <v>3615.883179289996</v>
      </c>
      <c r="E130" s="62">
        <f t="shared" ref="E130:E139" si="13">SUM(C130:D130)</f>
        <v>6802</v>
      </c>
      <c r="F130" s="60"/>
      <c r="G130" s="60">
        <f t="shared" si="10"/>
        <v>6802</v>
      </c>
      <c r="H130" s="61">
        <f t="shared" si="11"/>
        <v>368244.03320273128</v>
      </c>
      <c r="L130" s="97"/>
    </row>
    <row r="131" spans="1:12" x14ac:dyDescent="0.2">
      <c r="A131" s="59">
        <v>43951</v>
      </c>
      <c r="B131" s="53">
        <v>30</v>
      </c>
      <c r="C131" s="60">
        <f t="shared" si="12"/>
        <v>3155.1357288748122</v>
      </c>
      <c r="D131" s="60">
        <f>SUM(C122-C131)</f>
        <v>3646.8642711251878</v>
      </c>
      <c r="E131" s="62">
        <f t="shared" si="13"/>
        <v>6802</v>
      </c>
      <c r="F131" s="60"/>
      <c r="G131" s="60">
        <f t="shared" si="10"/>
        <v>6802</v>
      </c>
      <c r="H131" s="61">
        <f t="shared" si="11"/>
        <v>364597.16893160611</v>
      </c>
      <c r="L131" s="97"/>
    </row>
    <row r="132" spans="1:12" x14ac:dyDescent="0.2">
      <c r="A132" s="59">
        <v>43982</v>
      </c>
      <c r="B132" s="53">
        <v>31</v>
      </c>
      <c r="C132" s="60">
        <f t="shared" si="12"/>
        <v>3123.8891892904239</v>
      </c>
      <c r="D132" s="60">
        <f>SUM(C122-C132)</f>
        <v>3678.1108107095761</v>
      </c>
      <c r="E132" s="62">
        <f t="shared" si="13"/>
        <v>6802</v>
      </c>
      <c r="F132" s="60"/>
      <c r="G132" s="60">
        <f t="shared" si="10"/>
        <v>6802</v>
      </c>
      <c r="H132" s="61">
        <f t="shared" si="11"/>
        <v>360919.05812089652</v>
      </c>
      <c r="L132" s="97"/>
    </row>
    <row r="133" spans="1:12" x14ac:dyDescent="0.2">
      <c r="A133" s="59">
        <v>44012</v>
      </c>
      <c r="B133" s="53">
        <v>30</v>
      </c>
      <c r="C133" s="60">
        <f t="shared" si="12"/>
        <v>3092.3749275854916</v>
      </c>
      <c r="D133" s="60">
        <f>SUM(C122-C133)</f>
        <v>3709.6250724145084</v>
      </c>
      <c r="E133" s="62">
        <f t="shared" si="13"/>
        <v>6802</v>
      </c>
      <c r="F133" s="60"/>
      <c r="G133" s="60">
        <f t="shared" si="10"/>
        <v>6802</v>
      </c>
      <c r="H133" s="61">
        <f t="shared" si="11"/>
        <v>357209.43304848199</v>
      </c>
      <c r="L133" s="97"/>
    </row>
    <row r="134" spans="1:12" x14ac:dyDescent="0.2">
      <c r="A134" s="59">
        <v>44043</v>
      </c>
      <c r="B134" s="53">
        <v>31</v>
      </c>
      <c r="C134" s="60">
        <f t="shared" si="12"/>
        <v>3060.5906499017278</v>
      </c>
      <c r="D134" s="60">
        <f>SUM(C122-C134)</f>
        <v>3741.4093500982722</v>
      </c>
      <c r="E134" s="62">
        <f t="shared" si="13"/>
        <v>6802</v>
      </c>
      <c r="F134" s="60"/>
      <c r="G134" s="60">
        <f t="shared" si="10"/>
        <v>6802</v>
      </c>
      <c r="H134" s="61">
        <f t="shared" si="11"/>
        <v>353468.02369838371</v>
      </c>
      <c r="L134" s="97"/>
    </row>
    <row r="135" spans="1:12" x14ac:dyDescent="0.2">
      <c r="A135" s="59">
        <v>44074</v>
      </c>
      <c r="B135" s="53">
        <v>31</v>
      </c>
      <c r="C135" s="60">
        <f t="shared" si="12"/>
        <v>3028.5340427269343</v>
      </c>
      <c r="D135" s="60">
        <f>SUM(C122-C135)</f>
        <v>3773.4659572730657</v>
      </c>
      <c r="E135" s="62">
        <f t="shared" si="13"/>
        <v>6802</v>
      </c>
      <c r="F135" s="60"/>
      <c r="G135" s="60">
        <f t="shared" si="10"/>
        <v>6802</v>
      </c>
      <c r="H135" s="61">
        <f t="shared" si="11"/>
        <v>349694.55774111062</v>
      </c>
      <c r="L135" s="97"/>
    </row>
    <row r="136" spans="1:12" x14ac:dyDescent="0.2">
      <c r="A136" s="59">
        <v>44104</v>
      </c>
      <c r="B136" s="53">
        <v>30</v>
      </c>
      <c r="C136" s="60">
        <f t="shared" si="12"/>
        <v>2996.2027727266122</v>
      </c>
      <c r="D136" s="60">
        <f>SUM(C122-C136)</f>
        <v>3805.7972272733878</v>
      </c>
      <c r="E136" s="62">
        <f t="shared" si="13"/>
        <v>6802</v>
      </c>
      <c r="F136" s="60"/>
      <c r="G136" s="60">
        <f t="shared" si="10"/>
        <v>6802</v>
      </c>
      <c r="H136" s="61">
        <f t="shared" si="11"/>
        <v>345888.76051383722</v>
      </c>
      <c r="L136" s="97"/>
    </row>
    <row r="137" spans="1:12" x14ac:dyDescent="0.2">
      <c r="A137" s="59">
        <v>44135</v>
      </c>
      <c r="B137" s="53">
        <v>31</v>
      </c>
      <c r="C137" s="60">
        <f t="shared" si="12"/>
        <v>2963.5944865741189</v>
      </c>
      <c r="D137" s="60">
        <f>SUM(C122-C137)</f>
        <v>3838.4055134258811</v>
      </c>
      <c r="E137" s="62">
        <f t="shared" si="13"/>
        <v>6802</v>
      </c>
      <c r="F137" s="60"/>
      <c r="G137" s="60">
        <f t="shared" si="10"/>
        <v>6802</v>
      </c>
      <c r="H137" s="61">
        <f t="shared" si="11"/>
        <v>342050.35500041133</v>
      </c>
      <c r="L137" s="97"/>
    </row>
    <row r="138" spans="1:12" x14ac:dyDescent="0.2">
      <c r="A138" s="59">
        <v>44165</v>
      </c>
      <c r="B138" s="53">
        <v>30</v>
      </c>
      <c r="C138" s="60">
        <f t="shared" si="12"/>
        <v>2930.7068107793752</v>
      </c>
      <c r="D138" s="60">
        <f>SUM(C122-C138)</f>
        <v>3871.2931892206248</v>
      </c>
      <c r="E138" s="62">
        <f t="shared" si="13"/>
        <v>6802</v>
      </c>
      <c r="F138" s="60"/>
      <c r="G138" s="60">
        <f t="shared" si="10"/>
        <v>6802</v>
      </c>
      <c r="H138" s="61">
        <f t="shared" si="11"/>
        <v>338179.06181119074</v>
      </c>
      <c r="L138" s="97"/>
    </row>
    <row r="139" spans="1:12" x14ac:dyDescent="0.2">
      <c r="A139" s="59">
        <v>44196</v>
      </c>
      <c r="B139" s="53">
        <v>31</v>
      </c>
      <c r="C139" s="60">
        <f t="shared" si="12"/>
        <v>2897.5373515161073</v>
      </c>
      <c r="D139" s="60">
        <f>SUM(C122-C139)</f>
        <v>3904.4626484838927</v>
      </c>
      <c r="E139" s="62">
        <f t="shared" si="13"/>
        <v>6802</v>
      </c>
      <c r="F139" s="60"/>
      <c r="G139" s="60">
        <f t="shared" si="10"/>
        <v>6802</v>
      </c>
      <c r="H139" s="61">
        <f t="shared" si="11"/>
        <v>334274.59916270687</v>
      </c>
      <c r="L139" s="97"/>
    </row>
    <row r="140" spans="1:12" x14ac:dyDescent="0.2">
      <c r="A140" s="59"/>
      <c r="B140" s="53"/>
      <c r="C140" s="60"/>
      <c r="D140" s="60"/>
      <c r="E140" s="62"/>
      <c r="F140" s="60"/>
      <c r="G140" s="60"/>
      <c r="H140" s="61"/>
      <c r="L140" s="97"/>
    </row>
    <row r="141" spans="1:12" ht="15.75" thickBot="1" x14ac:dyDescent="0.4">
      <c r="A141" s="63"/>
      <c r="B141" s="64">
        <f t="shared" ref="B141:G141" si="14">SUM(B127:B140)</f>
        <v>365</v>
      </c>
      <c r="C141" s="65">
        <f t="shared" si="14"/>
        <v>36898.809162706901</v>
      </c>
      <c r="D141" s="65">
        <f t="shared" si="14"/>
        <v>44725.190837293099</v>
      </c>
      <c r="E141" s="65">
        <f t="shared" si="14"/>
        <v>81624</v>
      </c>
      <c r="F141" s="65">
        <f t="shared" si="14"/>
        <v>0</v>
      </c>
      <c r="G141" s="65">
        <f t="shared" si="14"/>
        <v>81624</v>
      </c>
      <c r="H141" s="66"/>
      <c r="L141" s="97"/>
    </row>
    <row r="142" spans="1:12" x14ac:dyDescent="0.2">
      <c r="L142" s="97"/>
    </row>
    <row r="143" spans="1:12" x14ac:dyDescent="0.2">
      <c r="D143" s="926"/>
      <c r="E143" s="926"/>
      <c r="F143" s="926"/>
    </row>
    <row r="164" spans="1:12" x14ac:dyDescent="0.2">
      <c r="A164" s="215"/>
      <c r="B164" s="215"/>
      <c r="C164" s="216"/>
      <c r="D164" s="216"/>
      <c r="E164" s="216"/>
      <c r="F164" s="216"/>
      <c r="G164" s="216"/>
      <c r="H164" s="216"/>
    </row>
    <row r="165" spans="1:12" x14ac:dyDescent="0.2">
      <c r="A165" s="215"/>
      <c r="B165" s="215"/>
      <c r="C165" s="216"/>
      <c r="D165" s="216"/>
      <c r="E165" s="216"/>
      <c r="F165" s="216"/>
      <c r="G165" s="216"/>
      <c r="H165" s="216"/>
    </row>
    <row r="166" spans="1:12" ht="18" x14ac:dyDescent="0.25">
      <c r="A166" s="927" t="s">
        <v>411</v>
      </c>
      <c r="B166" s="927"/>
      <c r="C166" s="927"/>
      <c r="D166" s="927"/>
      <c r="E166" s="927"/>
      <c r="F166" s="927"/>
      <c r="G166" s="927"/>
      <c r="H166" s="927"/>
    </row>
    <row r="167" spans="1:12" ht="18" x14ac:dyDescent="0.25">
      <c r="A167" s="927" t="s">
        <v>424</v>
      </c>
      <c r="B167" s="927"/>
      <c r="C167" s="927"/>
      <c r="D167" s="927"/>
      <c r="E167" s="927"/>
      <c r="F167" s="927"/>
      <c r="G167" s="927"/>
      <c r="H167" s="927"/>
    </row>
    <row r="168" spans="1:12" ht="18" x14ac:dyDescent="0.25">
      <c r="A168" s="927" t="s">
        <v>533</v>
      </c>
      <c r="B168" s="927"/>
      <c r="C168" s="927"/>
      <c r="D168" s="927"/>
      <c r="E168" s="927"/>
      <c r="F168" s="927"/>
      <c r="G168" s="927"/>
      <c r="H168" s="927"/>
    </row>
    <row r="169" spans="1:12" x14ac:dyDescent="0.2">
      <c r="A169" s="524"/>
      <c r="B169" s="524"/>
      <c r="C169" s="525"/>
      <c r="D169" s="525"/>
      <c r="E169" s="525"/>
      <c r="F169" s="525"/>
      <c r="G169" s="525"/>
      <c r="H169" s="525"/>
    </row>
    <row r="170" spans="1:12" ht="15.75" x14ac:dyDescent="0.25">
      <c r="A170" s="928" t="s">
        <v>183</v>
      </c>
      <c r="B170" s="928"/>
      <c r="C170" s="928"/>
      <c r="D170" s="928"/>
      <c r="E170" s="928"/>
      <c r="F170" s="928"/>
      <c r="G170" s="928"/>
      <c r="H170" s="928"/>
    </row>
    <row r="171" spans="1:12" ht="15.75" x14ac:dyDescent="0.25">
      <c r="A171" s="526" t="s">
        <v>394</v>
      </c>
      <c r="B171" s="526"/>
      <c r="C171" s="928" t="s">
        <v>428</v>
      </c>
      <c r="D171" s="928"/>
      <c r="E171" s="526"/>
      <c r="F171" s="526"/>
      <c r="G171" s="526"/>
      <c r="H171" s="526"/>
    </row>
    <row r="172" spans="1:12" x14ac:dyDescent="0.2">
      <c r="A172" s="441"/>
      <c r="B172" s="441"/>
      <c r="C172" s="527"/>
      <c r="D172" s="527"/>
      <c r="E172" s="527"/>
      <c r="F172" s="527"/>
      <c r="G172" s="527"/>
      <c r="H172" s="527"/>
      <c r="J172" s="48" t="s">
        <v>353</v>
      </c>
      <c r="L172" s="48">
        <f>360*100/10.5</f>
        <v>3428.5714285714284</v>
      </c>
    </row>
    <row r="173" spans="1:12" x14ac:dyDescent="0.2">
      <c r="A173" s="528" t="s">
        <v>184</v>
      </c>
      <c r="B173" s="529" t="s">
        <v>185</v>
      </c>
      <c r="C173" s="530">
        <f>L180</f>
        <v>242415.6</v>
      </c>
      <c r="D173" s="527" t="s">
        <v>186</v>
      </c>
      <c r="E173" s="527"/>
      <c r="F173" s="527"/>
      <c r="G173" s="527"/>
      <c r="H173" s="527"/>
    </row>
    <row r="174" spans="1:12" x14ac:dyDescent="0.2">
      <c r="A174" s="72" t="s">
        <v>517</v>
      </c>
      <c r="C174" s="73">
        <v>0.105</v>
      </c>
      <c r="D174" s="49" t="s">
        <v>100</v>
      </c>
    </row>
    <row r="175" spans="1:12" x14ac:dyDescent="0.2">
      <c r="A175" s="72" t="s">
        <v>188</v>
      </c>
      <c r="C175" s="72">
        <v>0</v>
      </c>
      <c r="D175" s="49" t="s">
        <v>189</v>
      </c>
    </row>
    <row r="176" spans="1:12" x14ac:dyDescent="0.2">
      <c r="A176" s="72" t="s">
        <v>190</v>
      </c>
      <c r="B176" s="67" t="s">
        <v>185</v>
      </c>
      <c r="C176" s="72">
        <v>5437</v>
      </c>
      <c r="D176" s="49" t="s">
        <v>189</v>
      </c>
    </row>
    <row r="177" spans="1:16" ht="13.5" thickBot="1" x14ac:dyDescent="0.25">
      <c r="B177" s="49"/>
    </row>
    <row r="178" spans="1:16" x14ac:dyDescent="0.2">
      <c r="A178" s="68"/>
      <c r="B178" s="69"/>
      <c r="C178" s="838" t="s">
        <v>191</v>
      </c>
      <c r="D178" s="839"/>
      <c r="E178" s="838" t="s">
        <v>192</v>
      </c>
      <c r="F178" s="840"/>
      <c r="G178" s="839"/>
      <c r="H178" s="70"/>
      <c r="J178" s="48" t="s">
        <v>540</v>
      </c>
      <c r="L178" s="97">
        <v>242415.6</v>
      </c>
    </row>
    <row r="179" spans="1:16" x14ac:dyDescent="0.2">
      <c r="A179" s="50"/>
      <c r="B179" s="51"/>
      <c r="C179" s="842" t="s">
        <v>193</v>
      </c>
      <c r="D179" s="843"/>
      <c r="E179" s="54" t="s">
        <v>194</v>
      </c>
      <c r="F179" s="54" t="s">
        <v>195</v>
      </c>
      <c r="G179" s="844" t="s">
        <v>352</v>
      </c>
      <c r="H179" s="55" t="s">
        <v>197</v>
      </c>
      <c r="J179" s="48" t="s">
        <v>536</v>
      </c>
      <c r="L179" s="97">
        <v>0</v>
      </c>
    </row>
    <row r="180" spans="1:16" ht="13.5" thickBot="1" x14ac:dyDescent="0.25">
      <c r="A180" s="171" t="s">
        <v>198</v>
      </c>
      <c r="B180" s="172" t="s">
        <v>199</v>
      </c>
      <c r="C180" s="173" t="s">
        <v>206</v>
      </c>
      <c r="D180" s="173" t="s">
        <v>200</v>
      </c>
      <c r="E180" s="174" t="s">
        <v>201</v>
      </c>
      <c r="F180" s="173" t="s">
        <v>202</v>
      </c>
      <c r="G180" s="925"/>
      <c r="H180" s="175" t="s">
        <v>204</v>
      </c>
      <c r="J180" s="48" t="s">
        <v>532</v>
      </c>
      <c r="L180" s="131">
        <f>SUM(L178-L179)</f>
        <v>242415.6</v>
      </c>
      <c r="P180" s="48">
        <v>313663.49</v>
      </c>
    </row>
    <row r="181" spans="1:16" x14ac:dyDescent="0.2">
      <c r="A181" s="176">
        <v>43831</v>
      </c>
      <c r="B181" s="51">
        <v>0</v>
      </c>
      <c r="C181" s="177">
        <v>0</v>
      </c>
      <c r="D181" s="177">
        <v>0</v>
      </c>
      <c r="E181" s="177">
        <v>0</v>
      </c>
      <c r="F181" s="177"/>
      <c r="G181" s="177"/>
      <c r="H181" s="178">
        <f>C173</f>
        <v>242415.6</v>
      </c>
      <c r="L181" s="97"/>
    </row>
    <row r="182" spans="1:16" x14ac:dyDescent="0.2">
      <c r="A182" s="59">
        <v>43861</v>
      </c>
      <c r="B182" s="53">
        <v>31</v>
      </c>
      <c r="C182" s="60">
        <f>SUM(H181*31/3428.57)</f>
        <v>2191.841963267485</v>
      </c>
      <c r="D182" s="60">
        <f>SUM(C176-C182)</f>
        <v>3245.158036732515</v>
      </c>
      <c r="E182" s="62">
        <f>SUM(C182:D182)</f>
        <v>5437</v>
      </c>
      <c r="F182" s="60"/>
      <c r="G182" s="60">
        <f t="shared" ref="G182:G193" si="15">SUM(E182:F182)</f>
        <v>5437</v>
      </c>
      <c r="H182" s="61">
        <f t="shared" ref="H182:H193" si="16">+H181-D182</f>
        <v>239170.44196326748</v>
      </c>
      <c r="L182" s="97"/>
    </row>
    <row r="183" spans="1:16" x14ac:dyDescent="0.2">
      <c r="A183" s="59">
        <v>43890</v>
      </c>
      <c r="B183" s="53">
        <v>28</v>
      </c>
      <c r="C183" s="60">
        <f t="shared" ref="C183:C193" si="17">SUM(H182*31/3428.57)</f>
        <v>2162.5003137930075</v>
      </c>
      <c r="D183" s="60">
        <f>SUM(C176-C183)</f>
        <v>3274.4996862069925</v>
      </c>
      <c r="E183" s="62">
        <f>SUM(C183:D183)</f>
        <v>5437</v>
      </c>
      <c r="F183" s="60"/>
      <c r="G183" s="60">
        <f t="shared" si="15"/>
        <v>5437</v>
      </c>
      <c r="H183" s="61">
        <f t="shared" si="16"/>
        <v>235895.9422770605</v>
      </c>
      <c r="L183" s="97"/>
    </row>
    <row r="184" spans="1:16" x14ac:dyDescent="0.2">
      <c r="A184" s="59">
        <v>43921</v>
      </c>
      <c r="B184" s="53">
        <v>31</v>
      </c>
      <c r="C184" s="60">
        <f t="shared" si="17"/>
        <v>2132.8933667939914</v>
      </c>
      <c r="D184" s="60">
        <f>SUM(C176-C184)</f>
        <v>3304.1066332060086</v>
      </c>
      <c r="E184" s="62">
        <f t="shared" ref="E184:E193" si="18">SUM(C184:D184)</f>
        <v>5437</v>
      </c>
      <c r="F184" s="60"/>
      <c r="G184" s="60">
        <f t="shared" si="15"/>
        <v>5437</v>
      </c>
      <c r="H184" s="61">
        <f t="shared" si="16"/>
        <v>232591.83564385449</v>
      </c>
      <c r="L184" s="97"/>
    </row>
    <row r="185" spans="1:16" x14ac:dyDescent="0.2">
      <c r="A185" s="59">
        <v>43951</v>
      </c>
      <c r="B185" s="53">
        <v>30</v>
      </c>
      <c r="C185" s="60">
        <f t="shared" si="17"/>
        <v>2103.018723537652</v>
      </c>
      <c r="D185" s="60">
        <f>SUM(C176-C185)</f>
        <v>3333.981276462348</v>
      </c>
      <c r="E185" s="62">
        <f t="shared" si="18"/>
        <v>5437</v>
      </c>
      <c r="F185" s="60"/>
      <c r="G185" s="60">
        <f t="shared" si="15"/>
        <v>5437</v>
      </c>
      <c r="H185" s="61">
        <f t="shared" si="16"/>
        <v>229257.85436739214</v>
      </c>
      <c r="L185" s="97"/>
    </row>
    <row r="186" spans="1:16" x14ac:dyDescent="0.2">
      <c r="A186" s="59">
        <v>43982</v>
      </c>
      <c r="B186" s="53">
        <v>31</v>
      </c>
      <c r="C186" s="60">
        <f t="shared" si="17"/>
        <v>2072.8739636026553</v>
      </c>
      <c r="D186" s="60">
        <f>SUM(C176-C186)</f>
        <v>3364.1260363973447</v>
      </c>
      <c r="E186" s="62">
        <f t="shared" si="18"/>
        <v>5437</v>
      </c>
      <c r="F186" s="60"/>
      <c r="G186" s="60">
        <f t="shared" si="15"/>
        <v>5437</v>
      </c>
      <c r="H186" s="61">
        <f t="shared" si="16"/>
        <v>225893.72833099478</v>
      </c>
      <c r="L186" s="97"/>
    </row>
    <row r="187" spans="1:16" x14ac:dyDescent="0.2">
      <c r="A187" s="59">
        <v>44012</v>
      </c>
      <c r="B187" s="53">
        <v>30</v>
      </c>
      <c r="C187" s="60">
        <f t="shared" si="17"/>
        <v>2042.4566446830129</v>
      </c>
      <c r="D187" s="60">
        <f>SUM(C176-C187)</f>
        <v>3394.5433553169869</v>
      </c>
      <c r="E187" s="62">
        <f t="shared" si="18"/>
        <v>5437</v>
      </c>
      <c r="F187" s="60"/>
      <c r="G187" s="60">
        <f t="shared" si="15"/>
        <v>5437</v>
      </c>
      <c r="H187" s="61">
        <f t="shared" si="16"/>
        <v>222499.18497567778</v>
      </c>
      <c r="L187" s="97"/>
    </row>
    <row r="188" spans="1:16" x14ac:dyDescent="0.2">
      <c r="A188" s="59">
        <v>44043</v>
      </c>
      <c r="B188" s="53">
        <v>31</v>
      </c>
      <c r="C188" s="60">
        <f t="shared" si="17"/>
        <v>2011.7643023902124</v>
      </c>
      <c r="D188" s="60">
        <f>SUM(C176-C188)</f>
        <v>3425.2356976097876</v>
      </c>
      <c r="E188" s="62">
        <f t="shared" si="18"/>
        <v>5437</v>
      </c>
      <c r="F188" s="60"/>
      <c r="G188" s="60">
        <f t="shared" si="15"/>
        <v>5437</v>
      </c>
      <c r="H188" s="61">
        <f t="shared" si="16"/>
        <v>219073.949278068</v>
      </c>
      <c r="L188" s="97"/>
    </row>
    <row r="189" spans="1:16" x14ac:dyDescent="0.2">
      <c r="A189" s="59">
        <v>44074</v>
      </c>
      <c r="B189" s="53">
        <v>31</v>
      </c>
      <c r="C189" s="60">
        <f t="shared" si="17"/>
        <v>1980.7944500535523</v>
      </c>
      <c r="D189" s="60">
        <f>SUM(C176-C189)</f>
        <v>3456.2055499464477</v>
      </c>
      <c r="E189" s="62">
        <f t="shared" si="18"/>
        <v>5437</v>
      </c>
      <c r="F189" s="60"/>
      <c r="G189" s="60">
        <f t="shared" si="15"/>
        <v>5437</v>
      </c>
      <c r="H189" s="61">
        <f t="shared" si="16"/>
        <v>215617.74372812157</v>
      </c>
      <c r="L189" s="97"/>
    </row>
    <row r="190" spans="1:16" x14ac:dyDescent="0.2">
      <c r="A190" s="59">
        <v>44104</v>
      </c>
      <c r="B190" s="53">
        <v>30</v>
      </c>
      <c r="C190" s="60">
        <f t="shared" si="17"/>
        <v>1949.5445785186735</v>
      </c>
      <c r="D190" s="60">
        <f>SUM(C176-C190)</f>
        <v>3487.4554214813265</v>
      </c>
      <c r="E190" s="62">
        <f t="shared" si="18"/>
        <v>5437</v>
      </c>
      <c r="F190" s="60"/>
      <c r="G190" s="60">
        <f t="shared" si="15"/>
        <v>5437</v>
      </c>
      <c r="H190" s="61">
        <f t="shared" si="16"/>
        <v>212130.28830664023</v>
      </c>
      <c r="L190" s="97"/>
    </row>
    <row r="191" spans="1:16" x14ac:dyDescent="0.2">
      <c r="A191" s="59">
        <v>44135</v>
      </c>
      <c r="B191" s="53">
        <v>31</v>
      </c>
      <c r="C191" s="60">
        <f t="shared" si="17"/>
        <v>1918.0121559442703</v>
      </c>
      <c r="D191" s="60">
        <f>SUM(C176-C191)</f>
        <v>3518.9878440557295</v>
      </c>
      <c r="E191" s="62">
        <f t="shared" si="18"/>
        <v>5437</v>
      </c>
      <c r="F191" s="60"/>
      <c r="G191" s="60">
        <f t="shared" si="15"/>
        <v>5437</v>
      </c>
      <c r="H191" s="61">
        <f t="shared" si="16"/>
        <v>208611.30046258451</v>
      </c>
      <c r="L191" s="97"/>
    </row>
    <row r="192" spans="1:16" x14ac:dyDescent="0.2">
      <c r="A192" s="59">
        <v>44165</v>
      </c>
      <c r="B192" s="53">
        <v>30</v>
      </c>
      <c r="C192" s="60">
        <f t="shared" si="17"/>
        <v>1886.1946275969628</v>
      </c>
      <c r="D192" s="60">
        <f>SUM(C176-C192)</f>
        <v>3550.8053724030369</v>
      </c>
      <c r="E192" s="62">
        <f t="shared" si="18"/>
        <v>5437</v>
      </c>
      <c r="F192" s="60"/>
      <c r="G192" s="60">
        <f t="shared" si="15"/>
        <v>5437</v>
      </c>
      <c r="H192" s="61">
        <f t="shared" si="16"/>
        <v>205060.49509018147</v>
      </c>
      <c r="L192" s="97"/>
    </row>
    <row r="193" spans="1:12" x14ac:dyDescent="0.2">
      <c r="A193" s="59">
        <v>44196</v>
      </c>
      <c r="B193" s="53">
        <v>31</v>
      </c>
      <c r="C193" s="60">
        <f t="shared" si="17"/>
        <v>1854.0894156443142</v>
      </c>
      <c r="D193" s="60">
        <f>SUM(C176-C193)</f>
        <v>3582.9105843556858</v>
      </c>
      <c r="E193" s="62">
        <f t="shared" si="18"/>
        <v>5437</v>
      </c>
      <c r="F193" s="60"/>
      <c r="G193" s="60">
        <f t="shared" si="15"/>
        <v>5437</v>
      </c>
      <c r="H193" s="61">
        <f t="shared" si="16"/>
        <v>201477.5845058258</v>
      </c>
      <c r="L193" s="97"/>
    </row>
    <row r="194" spans="1:12" x14ac:dyDescent="0.2">
      <c r="A194" s="59"/>
      <c r="B194" s="53"/>
      <c r="C194" s="60"/>
      <c r="D194" s="60"/>
      <c r="E194" s="62"/>
      <c r="F194" s="60"/>
      <c r="G194" s="60"/>
      <c r="H194" s="61"/>
      <c r="L194" s="97"/>
    </row>
    <row r="195" spans="1:12" ht="15.75" thickBot="1" x14ac:dyDescent="0.4">
      <c r="A195" s="63"/>
      <c r="B195" s="64">
        <f t="shared" ref="B195:G195" si="19">SUM(B181:B194)</f>
        <v>365</v>
      </c>
      <c r="C195" s="65">
        <f t="shared" si="19"/>
        <v>24305.984505825792</v>
      </c>
      <c r="D195" s="65">
        <f t="shared" si="19"/>
        <v>40938.015494174208</v>
      </c>
      <c r="E195" s="65">
        <f t="shared" si="19"/>
        <v>65244</v>
      </c>
      <c r="F195" s="65">
        <f t="shared" si="19"/>
        <v>0</v>
      </c>
      <c r="G195" s="65">
        <f t="shared" si="19"/>
        <v>65244</v>
      </c>
      <c r="H195" s="66"/>
      <c r="L195" s="97"/>
    </row>
    <row r="196" spans="1:12" x14ac:dyDescent="0.2">
      <c r="L196" s="97"/>
    </row>
    <row r="197" spans="1:12" x14ac:dyDescent="0.2">
      <c r="A197" s="48" t="s">
        <v>542</v>
      </c>
      <c r="C197" s="193">
        <f>+C195+C141+C86+C29</f>
        <v>119647.74326872572</v>
      </c>
      <c r="D197" s="193">
        <f>+D195+D141+D86+D29</f>
        <v>120489.41673127429</v>
      </c>
      <c r="E197" s="193">
        <f>+E195+E141+E86+E29</f>
        <v>240137.16</v>
      </c>
    </row>
    <row r="202" spans="1:12" x14ac:dyDescent="0.2">
      <c r="A202" s="49"/>
    </row>
    <row r="223" spans="1:8" ht="18" x14ac:dyDescent="0.25">
      <c r="A223" s="927" t="s">
        <v>411</v>
      </c>
      <c r="B223" s="927"/>
      <c r="C223" s="927"/>
      <c r="D223" s="927"/>
      <c r="E223" s="927"/>
      <c r="F223" s="927"/>
      <c r="G223" s="927"/>
      <c r="H223" s="927"/>
    </row>
    <row r="224" spans="1:8" ht="18" x14ac:dyDescent="0.25">
      <c r="A224" s="927" t="s">
        <v>424</v>
      </c>
      <c r="B224" s="927"/>
      <c r="C224" s="927"/>
      <c r="D224" s="927"/>
      <c r="E224" s="927"/>
      <c r="F224" s="927"/>
      <c r="G224" s="927"/>
      <c r="H224" s="927"/>
    </row>
    <row r="225" spans="1:16" ht="18" x14ac:dyDescent="0.25">
      <c r="A225" s="927" t="s">
        <v>601</v>
      </c>
      <c r="B225" s="927"/>
      <c r="C225" s="927"/>
      <c r="D225" s="927"/>
      <c r="E225" s="927"/>
      <c r="F225" s="927"/>
      <c r="G225" s="927"/>
      <c r="H225" s="927"/>
    </row>
    <row r="226" spans="1:16" x14ac:dyDescent="0.2">
      <c r="A226" s="524"/>
      <c r="B226" s="524"/>
      <c r="C226" s="525"/>
      <c r="D226" s="525"/>
      <c r="E226" s="525"/>
      <c r="F226" s="525"/>
      <c r="G226" s="525"/>
      <c r="H226" s="525"/>
    </row>
    <row r="227" spans="1:16" ht="15.75" x14ac:dyDescent="0.25">
      <c r="A227" s="928" t="s">
        <v>183</v>
      </c>
      <c r="B227" s="928"/>
      <c r="C227" s="928"/>
      <c r="D227" s="928"/>
      <c r="E227" s="928"/>
      <c r="F227" s="928"/>
      <c r="G227" s="928"/>
      <c r="H227" s="928"/>
    </row>
    <row r="228" spans="1:16" ht="15.75" x14ac:dyDescent="0.25">
      <c r="A228" s="526" t="s">
        <v>394</v>
      </c>
      <c r="B228" s="526"/>
      <c r="C228" s="928" t="s">
        <v>489</v>
      </c>
      <c r="D228" s="928"/>
      <c r="E228" s="526"/>
      <c r="F228" s="526"/>
      <c r="G228" s="526"/>
      <c r="H228" s="526"/>
    </row>
    <row r="229" spans="1:16" x14ac:dyDescent="0.2">
      <c r="A229" s="441"/>
      <c r="B229" s="441"/>
      <c r="C229" s="527"/>
      <c r="D229" s="527"/>
      <c r="E229" s="527"/>
      <c r="F229" s="527"/>
      <c r="G229" s="527"/>
      <c r="H229" s="527"/>
      <c r="J229" s="48" t="s">
        <v>353</v>
      </c>
      <c r="L229" s="48">
        <f>360*100/6.25</f>
        <v>5760</v>
      </c>
    </row>
    <row r="230" spans="1:16" x14ac:dyDescent="0.2">
      <c r="A230" s="528" t="s">
        <v>184</v>
      </c>
      <c r="B230" s="529" t="s">
        <v>185</v>
      </c>
      <c r="C230" s="530">
        <f>L237</f>
        <v>121157.25</v>
      </c>
      <c r="D230" s="527" t="s">
        <v>186</v>
      </c>
      <c r="E230" s="527"/>
      <c r="F230" s="527"/>
      <c r="G230" s="527"/>
      <c r="H230" s="527"/>
    </row>
    <row r="231" spans="1:16" x14ac:dyDescent="0.2">
      <c r="A231" s="530" t="s">
        <v>187</v>
      </c>
      <c r="B231" s="441"/>
      <c r="C231" s="531">
        <v>6.25E-2</v>
      </c>
      <c r="D231" s="527" t="s">
        <v>100</v>
      </c>
      <c r="E231" s="527"/>
      <c r="F231" s="527"/>
      <c r="G231" s="527"/>
      <c r="H231" s="527"/>
    </row>
    <row r="232" spans="1:16" x14ac:dyDescent="0.2">
      <c r="A232" s="530" t="s">
        <v>188</v>
      </c>
      <c r="B232" s="441"/>
      <c r="C232" s="530">
        <v>0</v>
      </c>
      <c r="D232" s="527" t="s">
        <v>189</v>
      </c>
      <c r="E232" s="527"/>
      <c r="F232" s="527"/>
      <c r="G232" s="527"/>
      <c r="H232" s="527"/>
    </row>
    <row r="233" spans="1:16" x14ac:dyDescent="0.2">
      <c r="A233" s="530" t="s">
        <v>190</v>
      </c>
      <c r="B233" s="529" t="s">
        <v>185</v>
      </c>
      <c r="C233" s="530">
        <v>8579.7800000000007</v>
      </c>
      <c r="D233" s="527" t="s">
        <v>189</v>
      </c>
      <c r="E233" s="527"/>
      <c r="F233" s="527"/>
      <c r="G233" s="527"/>
      <c r="H233" s="527"/>
    </row>
    <row r="234" spans="1:16" ht="13.5" thickBot="1" x14ac:dyDescent="0.25">
      <c r="B234" s="49"/>
    </row>
    <row r="235" spans="1:16" x14ac:dyDescent="0.2">
      <c r="A235" s="68"/>
      <c r="B235" s="69"/>
      <c r="C235" s="838" t="s">
        <v>191</v>
      </c>
      <c r="D235" s="839"/>
      <c r="E235" s="838" t="s">
        <v>192</v>
      </c>
      <c r="F235" s="840"/>
      <c r="G235" s="839"/>
      <c r="H235" s="70"/>
      <c r="J235" s="48" t="s">
        <v>653</v>
      </c>
      <c r="L235" s="97">
        <v>121157.25</v>
      </c>
    </row>
    <row r="236" spans="1:16" x14ac:dyDescent="0.2">
      <c r="A236" s="50"/>
      <c r="B236" s="51"/>
      <c r="C236" s="842" t="s">
        <v>193</v>
      </c>
      <c r="D236" s="843"/>
      <c r="E236" s="54" t="s">
        <v>194</v>
      </c>
      <c r="F236" s="54" t="s">
        <v>195</v>
      </c>
      <c r="G236" s="844" t="s">
        <v>352</v>
      </c>
      <c r="H236" s="55" t="s">
        <v>197</v>
      </c>
      <c r="J236" s="48" t="s">
        <v>644</v>
      </c>
      <c r="L236" s="97"/>
    </row>
    <row r="237" spans="1:16" ht="13.5" thickBot="1" x14ac:dyDescent="0.25">
      <c r="A237" s="171" t="s">
        <v>198</v>
      </c>
      <c r="B237" s="172" t="s">
        <v>199</v>
      </c>
      <c r="C237" s="173" t="s">
        <v>206</v>
      </c>
      <c r="D237" s="173" t="s">
        <v>200</v>
      </c>
      <c r="E237" s="174" t="s">
        <v>201</v>
      </c>
      <c r="F237" s="173" t="s">
        <v>202</v>
      </c>
      <c r="G237" s="925"/>
      <c r="H237" s="175" t="s">
        <v>204</v>
      </c>
      <c r="J237" s="48" t="s">
        <v>603</v>
      </c>
      <c r="L237" s="131">
        <f>SUM(L235-L236)</f>
        <v>121157.25</v>
      </c>
      <c r="P237" s="48">
        <v>300024.32000000001</v>
      </c>
    </row>
    <row r="238" spans="1:16" x14ac:dyDescent="0.2">
      <c r="A238" s="176">
        <v>43831</v>
      </c>
      <c r="B238" s="51">
        <v>0</v>
      </c>
      <c r="C238" s="177">
        <v>0</v>
      </c>
      <c r="D238" s="177">
        <v>0</v>
      </c>
      <c r="E238" s="177">
        <v>0</v>
      </c>
      <c r="F238" s="177"/>
      <c r="G238" s="177"/>
      <c r="H238" s="178">
        <f>C230</f>
        <v>121157.25</v>
      </c>
      <c r="L238" s="97"/>
    </row>
    <row r="239" spans="1:16" x14ac:dyDescent="0.2">
      <c r="A239" s="59">
        <v>43861</v>
      </c>
      <c r="B239" s="53">
        <v>31</v>
      </c>
      <c r="C239" s="60">
        <f>SUM(H238*31/5760)</f>
        <v>652.06158854166665</v>
      </c>
      <c r="D239" s="60">
        <f>SUM(C233-C239)</f>
        <v>7927.7184114583342</v>
      </c>
      <c r="E239" s="62">
        <f>SUM(C239:D239)</f>
        <v>8579.7800000000007</v>
      </c>
      <c r="F239" s="60"/>
      <c r="G239" s="60">
        <f t="shared" ref="G239:G250" si="20">SUM(E239:F239)</f>
        <v>8579.7800000000007</v>
      </c>
      <c r="H239" s="61">
        <f t="shared" ref="H239:H250" si="21">+H238-D239</f>
        <v>113229.53158854166</v>
      </c>
      <c r="L239" s="97"/>
    </row>
    <row r="240" spans="1:16" x14ac:dyDescent="0.2">
      <c r="A240" s="59">
        <v>43889</v>
      </c>
      <c r="B240" s="53">
        <v>28</v>
      </c>
      <c r="C240" s="60">
        <f t="shared" ref="C240:C250" si="22">SUM(H239*31/5760)</f>
        <v>609.39504847999854</v>
      </c>
      <c r="D240" s="60">
        <f>SUM(C233-C240)</f>
        <v>7970.3849515200018</v>
      </c>
      <c r="E240" s="62">
        <f>SUM(C240:D240)</f>
        <v>8579.7800000000007</v>
      </c>
      <c r="F240" s="60"/>
      <c r="G240" s="60">
        <f t="shared" si="20"/>
        <v>8579.7800000000007</v>
      </c>
      <c r="H240" s="61">
        <f t="shared" si="21"/>
        <v>105259.14663702167</v>
      </c>
      <c r="L240" s="97"/>
    </row>
    <row r="241" spans="1:12" x14ac:dyDescent="0.2">
      <c r="A241" s="59">
        <v>43921</v>
      </c>
      <c r="B241" s="53">
        <v>31</v>
      </c>
      <c r="C241" s="60">
        <f t="shared" si="22"/>
        <v>566.49887947008187</v>
      </c>
      <c r="D241" s="60">
        <f>SUM(C233-C241)</f>
        <v>8013.2811205299186</v>
      </c>
      <c r="E241" s="62">
        <f t="shared" ref="E241:E250" si="23">SUM(C241:D241)</f>
        <v>8579.7800000000007</v>
      </c>
      <c r="F241" s="60"/>
      <c r="G241" s="60">
        <f t="shared" si="20"/>
        <v>8579.7800000000007</v>
      </c>
      <c r="H241" s="61">
        <f t="shared" si="21"/>
        <v>97245.865516491744</v>
      </c>
      <c r="L241" s="97"/>
    </row>
    <row r="242" spans="1:12" x14ac:dyDescent="0.2">
      <c r="A242" s="59">
        <v>43951</v>
      </c>
      <c r="B242" s="53">
        <v>30</v>
      </c>
      <c r="C242" s="60">
        <f t="shared" si="22"/>
        <v>523.37184566167434</v>
      </c>
      <c r="D242" s="60">
        <f>SUM(C233-C242)</f>
        <v>8056.4081543383263</v>
      </c>
      <c r="E242" s="62">
        <f t="shared" si="23"/>
        <v>8579.7800000000007</v>
      </c>
      <c r="F242" s="60"/>
      <c r="G242" s="60">
        <f t="shared" si="20"/>
        <v>8579.7800000000007</v>
      </c>
      <c r="H242" s="61">
        <f t="shared" si="21"/>
        <v>89189.457362153422</v>
      </c>
      <c r="L242" s="97"/>
    </row>
    <row r="243" spans="1:12" x14ac:dyDescent="0.2">
      <c r="A243" s="59">
        <v>43982</v>
      </c>
      <c r="B243" s="53">
        <v>31</v>
      </c>
      <c r="C243" s="60">
        <f t="shared" si="22"/>
        <v>480.01270455325624</v>
      </c>
      <c r="D243" s="60">
        <f>SUM(C233-C243)</f>
        <v>8099.7672954467444</v>
      </c>
      <c r="E243" s="62">
        <f t="shared" si="23"/>
        <v>8579.7800000000007</v>
      </c>
      <c r="F243" s="60"/>
      <c r="G243" s="60">
        <f t="shared" si="20"/>
        <v>8579.7800000000007</v>
      </c>
      <c r="H243" s="61">
        <f t="shared" si="21"/>
        <v>81089.69006670668</v>
      </c>
      <c r="L243" s="97"/>
    </row>
    <row r="244" spans="1:12" x14ac:dyDescent="0.2">
      <c r="A244" s="59">
        <v>44012</v>
      </c>
      <c r="B244" s="53">
        <v>30</v>
      </c>
      <c r="C244" s="60">
        <f t="shared" si="22"/>
        <v>436.42020695623381</v>
      </c>
      <c r="D244" s="60">
        <f>SUM(C233-C244)</f>
        <v>8143.3597930437672</v>
      </c>
      <c r="E244" s="62">
        <f t="shared" si="23"/>
        <v>8579.7800000000007</v>
      </c>
      <c r="F244" s="60"/>
      <c r="G244" s="60">
        <f t="shared" si="20"/>
        <v>8579.7800000000007</v>
      </c>
      <c r="H244" s="61">
        <f t="shared" si="21"/>
        <v>72946.330273662912</v>
      </c>
      <c r="L244" s="97"/>
    </row>
    <row r="245" spans="1:12" x14ac:dyDescent="0.2">
      <c r="A245" s="59">
        <v>44043</v>
      </c>
      <c r="B245" s="53">
        <v>31</v>
      </c>
      <c r="C245" s="60">
        <f t="shared" si="22"/>
        <v>392.59309695894973</v>
      </c>
      <c r="D245" s="60">
        <f>SUM(C233-C245)</f>
        <v>8187.1869030410508</v>
      </c>
      <c r="E245" s="62">
        <f t="shared" si="23"/>
        <v>8579.7800000000007</v>
      </c>
      <c r="F245" s="60"/>
      <c r="G245" s="60">
        <f t="shared" si="20"/>
        <v>8579.7800000000007</v>
      </c>
      <c r="H245" s="61">
        <f t="shared" si="21"/>
        <v>64759.14337062186</v>
      </c>
      <c r="L245" s="97"/>
    </row>
    <row r="246" spans="1:12" x14ac:dyDescent="0.2">
      <c r="A246" s="59">
        <v>44074</v>
      </c>
      <c r="B246" s="53">
        <v>31</v>
      </c>
      <c r="C246" s="60">
        <f t="shared" si="22"/>
        <v>348.5301118904996</v>
      </c>
      <c r="D246" s="60">
        <f>SUM(C233-C246)</f>
        <v>8231.2498881095016</v>
      </c>
      <c r="E246" s="62">
        <f t="shared" si="23"/>
        <v>8579.7800000000007</v>
      </c>
      <c r="F246" s="60"/>
      <c r="G246" s="60">
        <f t="shared" si="20"/>
        <v>8579.7800000000007</v>
      </c>
      <c r="H246" s="61">
        <f t="shared" si="21"/>
        <v>56527.893482512358</v>
      </c>
      <c r="L246" s="97"/>
    </row>
    <row r="247" spans="1:12" x14ac:dyDescent="0.2">
      <c r="A247" s="59">
        <v>44104</v>
      </c>
      <c r="B247" s="53">
        <v>30</v>
      </c>
      <c r="C247" s="60">
        <f t="shared" si="22"/>
        <v>304.22998228435472</v>
      </c>
      <c r="D247" s="60">
        <f>SUM(C233-C247)</f>
        <v>8275.5500177156464</v>
      </c>
      <c r="E247" s="62">
        <f t="shared" si="23"/>
        <v>8579.7800000000007</v>
      </c>
      <c r="F247" s="60"/>
      <c r="G247" s="60">
        <f t="shared" si="20"/>
        <v>8579.7800000000007</v>
      </c>
      <c r="H247" s="61">
        <f t="shared" si="21"/>
        <v>48252.343464796708</v>
      </c>
      <c r="L247" s="97"/>
    </row>
    <row r="248" spans="1:12" x14ac:dyDescent="0.2">
      <c r="A248" s="59">
        <v>44135</v>
      </c>
      <c r="B248" s="53">
        <v>31</v>
      </c>
      <c r="C248" s="60">
        <f t="shared" si="22"/>
        <v>259.69143184178785</v>
      </c>
      <c r="D248" s="60">
        <f>SUM(C233-C248)</f>
        <v>8320.0885681582131</v>
      </c>
      <c r="E248" s="62">
        <f t="shared" si="23"/>
        <v>8579.7800000000007</v>
      </c>
      <c r="F248" s="60"/>
      <c r="G248" s="60">
        <f t="shared" si="20"/>
        <v>8579.7800000000007</v>
      </c>
      <c r="H248" s="61">
        <f t="shared" si="21"/>
        <v>39932.254896638493</v>
      </c>
      <c r="L248" s="97"/>
    </row>
    <row r="249" spans="1:12" x14ac:dyDescent="0.2">
      <c r="A249" s="59">
        <v>44165</v>
      </c>
      <c r="B249" s="53">
        <v>30</v>
      </c>
      <c r="C249" s="60">
        <f t="shared" si="22"/>
        <v>214.91317739510302</v>
      </c>
      <c r="D249" s="60">
        <f>SUM(C233-C249)</f>
        <v>8364.8668226048976</v>
      </c>
      <c r="E249" s="62">
        <f t="shared" si="23"/>
        <v>8579.7800000000007</v>
      </c>
      <c r="F249" s="60"/>
      <c r="G249" s="60">
        <f t="shared" si="20"/>
        <v>8579.7800000000007</v>
      </c>
      <c r="H249" s="61">
        <f t="shared" si="21"/>
        <v>31567.388074033595</v>
      </c>
      <c r="L249" s="97"/>
    </row>
    <row r="250" spans="1:12" x14ac:dyDescent="0.2">
      <c r="A250" s="59">
        <v>44196</v>
      </c>
      <c r="B250" s="53">
        <v>31</v>
      </c>
      <c r="C250" s="60">
        <f t="shared" si="22"/>
        <v>169.89392887066694</v>
      </c>
      <c r="D250" s="60">
        <f>SUM(C233-C250)</f>
        <v>8409.8860711293346</v>
      </c>
      <c r="E250" s="62">
        <f t="shared" si="23"/>
        <v>8579.7800000000007</v>
      </c>
      <c r="F250" s="60"/>
      <c r="G250" s="60">
        <f t="shared" si="20"/>
        <v>8579.7800000000007</v>
      </c>
      <c r="H250" s="61">
        <f t="shared" si="21"/>
        <v>23157.502002904261</v>
      </c>
      <c r="I250" s="48">
        <v>121581.2</v>
      </c>
      <c r="L250" s="97"/>
    </row>
    <row r="251" spans="1:12" x14ac:dyDescent="0.2">
      <c r="A251" s="59"/>
      <c r="B251" s="53"/>
      <c r="C251" s="60"/>
      <c r="D251" s="60"/>
      <c r="E251" s="62"/>
      <c r="F251" s="60"/>
      <c r="G251" s="60"/>
      <c r="H251" s="61"/>
      <c r="L251" s="97"/>
    </row>
    <row r="252" spans="1:12" ht="15.75" thickBot="1" x14ac:dyDescent="0.4">
      <c r="A252" s="63"/>
      <c r="B252" s="64">
        <f t="shared" ref="B252:G252" si="24">SUM(B238:B251)</f>
        <v>365</v>
      </c>
      <c r="C252" s="65">
        <f t="shared" si="24"/>
        <v>4957.6120029042731</v>
      </c>
      <c r="D252" s="65">
        <f t="shared" si="24"/>
        <v>97999.747997095736</v>
      </c>
      <c r="E252" s="65">
        <f t="shared" si="24"/>
        <v>102957.36</v>
      </c>
      <c r="F252" s="65">
        <f t="shared" si="24"/>
        <v>0</v>
      </c>
      <c r="G252" s="65">
        <f t="shared" si="24"/>
        <v>102957.36</v>
      </c>
      <c r="H252" s="66"/>
      <c r="L252" s="97"/>
    </row>
    <row r="253" spans="1:12" ht="30.75" customHeight="1" x14ac:dyDescent="0.2">
      <c r="L253" s="97"/>
    </row>
    <row r="254" spans="1:12" ht="27.75" customHeight="1" x14ac:dyDescent="0.2">
      <c r="C254" s="250" t="s">
        <v>519</v>
      </c>
      <c r="D254" s="250" t="s">
        <v>520</v>
      </c>
      <c r="E254" s="250" t="s">
        <v>521</v>
      </c>
      <c r="F254" s="934" t="s">
        <v>518</v>
      </c>
      <c r="G254" s="935"/>
      <c r="H254" s="251">
        <f>+H238+H181+H127+H72+H15</f>
        <v>1248179.3699999999</v>
      </c>
    </row>
    <row r="255" spans="1:12" ht="27.75" customHeight="1" x14ac:dyDescent="0.2">
      <c r="C255" s="209">
        <f>C252+C197</f>
        <v>124605.35527163</v>
      </c>
      <c r="D255" s="72">
        <f t="shared" ref="D255:E255" si="25">D252+D197</f>
        <v>218489.16472837003</v>
      </c>
      <c r="E255" s="209">
        <f t="shared" si="25"/>
        <v>343094.52</v>
      </c>
      <c r="F255" s="51" t="s">
        <v>535</v>
      </c>
      <c r="G255" s="207"/>
      <c r="H255" s="208">
        <f>D255</f>
        <v>218489.16472837003</v>
      </c>
    </row>
    <row r="256" spans="1:12" ht="25.5" customHeight="1" x14ac:dyDescent="0.2">
      <c r="C256" s="283"/>
      <c r="D256" s="284"/>
      <c r="E256" s="283"/>
      <c r="F256" s="285" t="s">
        <v>534</v>
      </c>
      <c r="G256" s="285"/>
      <c r="H256" s="286">
        <f>H254-H255</f>
        <v>1029690.2052716298</v>
      </c>
    </row>
    <row r="258" spans="16:16" x14ac:dyDescent="0.2">
      <c r="P258" s="48">
        <f>SUM(P13:P251)</f>
        <v>1649516.47</v>
      </c>
    </row>
  </sheetData>
  <mergeCells count="49">
    <mergeCell ref="F254:G254"/>
    <mergeCell ref="C235:D235"/>
    <mergeCell ref="E235:G235"/>
    <mergeCell ref="C236:D236"/>
    <mergeCell ref="G236:G237"/>
    <mergeCell ref="A223:H223"/>
    <mergeCell ref="A224:H224"/>
    <mergeCell ref="A225:H225"/>
    <mergeCell ref="A227:H227"/>
    <mergeCell ref="C228:D228"/>
    <mergeCell ref="C13:D13"/>
    <mergeCell ref="G13:G14"/>
    <mergeCell ref="D53:F53"/>
    <mergeCell ref="A1:H1"/>
    <mergeCell ref="A2:H2"/>
    <mergeCell ref="A3:H3"/>
    <mergeCell ref="A5:H5"/>
    <mergeCell ref="C12:D12"/>
    <mergeCell ref="E12:G12"/>
    <mergeCell ref="C6:E6"/>
    <mergeCell ref="A57:H57"/>
    <mergeCell ref="A58:H58"/>
    <mergeCell ref="A59:H59"/>
    <mergeCell ref="A61:H61"/>
    <mergeCell ref="C69:D69"/>
    <mergeCell ref="E69:G69"/>
    <mergeCell ref="C62:F62"/>
    <mergeCell ref="C70:D70"/>
    <mergeCell ref="G70:G71"/>
    <mergeCell ref="D88:F88"/>
    <mergeCell ref="A112:H112"/>
    <mergeCell ref="A113:H113"/>
    <mergeCell ref="A114:H114"/>
    <mergeCell ref="A116:H116"/>
    <mergeCell ref="C124:D124"/>
    <mergeCell ref="E124:G124"/>
    <mergeCell ref="C125:D125"/>
    <mergeCell ref="G125:G126"/>
    <mergeCell ref="C117:F117"/>
    <mergeCell ref="C178:D178"/>
    <mergeCell ref="E178:G178"/>
    <mergeCell ref="C179:D179"/>
    <mergeCell ref="G179:G180"/>
    <mergeCell ref="D143:F143"/>
    <mergeCell ref="A166:H166"/>
    <mergeCell ref="A167:H167"/>
    <mergeCell ref="A168:H168"/>
    <mergeCell ref="A170:H170"/>
    <mergeCell ref="C171:D171"/>
  </mergeCells>
  <printOptions horizontalCentered="1"/>
  <pageMargins left="0.59055118110236227" right="0.11811023622047245" top="0.94488188976377963" bottom="0.74803149606299213" header="0.31496062992125984" footer="0.31496062992125984"/>
  <pageSetup scale="90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2"/>
  <sheetViews>
    <sheetView zoomScaleNormal="100" workbookViewId="0">
      <pane ySplit="1" topLeftCell="A2" activePane="bottomLeft" state="frozen"/>
      <selection activeCell="X1" sqref="X1"/>
      <selection pane="bottomLeft" activeCell="G21" sqref="G21"/>
    </sheetView>
  </sheetViews>
  <sheetFormatPr baseColWidth="10" defaultColWidth="11.42578125" defaultRowHeight="12.75" x14ac:dyDescent="0.2"/>
  <cols>
    <col min="1" max="1" width="3" customWidth="1"/>
    <col min="2" max="2" width="61.5703125" customWidth="1"/>
    <col min="3" max="3" width="0.140625" hidden="1" customWidth="1"/>
    <col min="4" max="4" width="13.140625" customWidth="1"/>
    <col min="5" max="5" width="13.28515625" style="288" customWidth="1"/>
    <col min="6" max="6" width="11.42578125" hidden="1" customWidth="1"/>
    <col min="7" max="7" width="16.5703125" customWidth="1"/>
    <col min="8" max="8" width="16.85546875" customWidth="1"/>
    <col min="9" max="9" width="11.7109375" customWidth="1"/>
    <col min="10" max="10" width="12" customWidth="1"/>
    <col min="11" max="11" width="6.7109375" customWidth="1"/>
    <col min="12" max="12" width="7.42578125" customWidth="1"/>
    <col min="13" max="13" width="13" customWidth="1"/>
    <col min="14" max="14" width="13.7109375" customWidth="1"/>
    <col min="15" max="15" width="6.85546875" customWidth="1"/>
    <col min="16" max="16" width="11.140625" customWidth="1"/>
    <col min="17" max="17" width="7.85546875" customWidth="1"/>
    <col min="18" max="18" width="8.28515625" customWidth="1"/>
    <col min="19" max="19" width="10.85546875" bestFit="1" customWidth="1"/>
    <col min="20" max="20" width="14.5703125" customWidth="1"/>
    <col min="21" max="21" width="12.140625" customWidth="1"/>
    <col min="22" max="22" width="12" customWidth="1"/>
    <col min="23" max="23" width="8.28515625" customWidth="1"/>
    <col min="24" max="24" width="11.140625" customWidth="1"/>
    <col min="25" max="25" width="10.28515625" customWidth="1"/>
    <col min="26" max="27" width="7.42578125" customWidth="1"/>
    <col min="28" max="28" width="12" customWidth="1"/>
    <col min="29" max="29" width="11.85546875" customWidth="1"/>
    <col min="30" max="30" width="10" bestFit="1" customWidth="1"/>
    <col min="31" max="31" width="7" customWidth="1"/>
    <col min="32" max="32" width="12.28515625" customWidth="1"/>
    <col min="33" max="33" width="13.5703125" customWidth="1"/>
    <col min="34" max="34" width="13.85546875" customWidth="1"/>
    <col min="35" max="35" width="10.28515625" customWidth="1"/>
    <col min="36" max="36" width="14.140625" customWidth="1"/>
    <col min="37" max="37" width="11.140625" customWidth="1"/>
    <col min="38" max="38" width="14.28515625" customWidth="1"/>
    <col min="39" max="39" width="15" customWidth="1"/>
    <col min="40" max="40" width="6.85546875" customWidth="1"/>
    <col min="41" max="41" width="8.42578125" customWidth="1"/>
    <col min="42" max="43" width="8.85546875" customWidth="1"/>
    <col min="44" max="44" width="8.42578125" customWidth="1"/>
    <col min="45" max="45" width="8.7109375" customWidth="1"/>
    <col min="46" max="46" width="13.28515625" style="257" customWidth="1"/>
    <col min="47" max="47" width="9" customWidth="1"/>
    <col min="48" max="48" width="15.85546875" customWidth="1"/>
    <col min="49" max="49" width="8.7109375" customWidth="1"/>
    <col min="50" max="50" width="9.85546875" customWidth="1"/>
    <col min="51" max="51" width="13.28515625" customWidth="1"/>
    <col min="52" max="52" width="10.85546875" customWidth="1"/>
    <col min="53" max="53" width="8.140625" customWidth="1"/>
    <col min="54" max="54" width="15" customWidth="1"/>
    <col min="55" max="55" width="18.140625" customWidth="1"/>
  </cols>
  <sheetData>
    <row r="1" spans="1:55" ht="34.5" customHeight="1" x14ac:dyDescent="0.2">
      <c r="A1" s="938" t="s">
        <v>478</v>
      </c>
      <c r="B1" s="938"/>
      <c r="C1" s="938"/>
      <c r="D1" s="938"/>
      <c r="E1" s="938"/>
      <c r="F1" s="292"/>
      <c r="G1" s="211" t="str">
        <f>'Egr.FODES 75%'!E10</f>
        <v>Sueldos</v>
      </c>
      <c r="H1" s="211" t="s">
        <v>407</v>
      </c>
      <c r="I1" s="211" t="s">
        <v>546</v>
      </c>
      <c r="J1" s="211" t="s">
        <v>547</v>
      </c>
      <c r="K1" s="212" t="str">
        <f>'Egr.FODES 75%'!E12</f>
        <v>Contribuciones patronales a Instit. Sector Publico</v>
      </c>
      <c r="L1" s="211" t="str">
        <f>'Egr.FODES 75%'!E13</f>
        <v>Contrib. Patronales a institucionesl del Sector Priv.</v>
      </c>
      <c r="M1" s="211" t="str">
        <f>'Egr.FODES 75%'!E14</f>
        <v>Salarios por Jornal</v>
      </c>
      <c r="N1" s="212" t="str">
        <f>'Egr.FODES 75%'!E15</f>
        <v>Honorarios</v>
      </c>
      <c r="O1" s="212" t="s">
        <v>382</v>
      </c>
      <c r="P1" s="347" t="str">
        <f>'Egr.FODES 75%'!E17</f>
        <v>Productos Agropecuarios y Forestales</v>
      </c>
      <c r="Q1" s="347" t="s">
        <v>388</v>
      </c>
      <c r="R1" s="348" t="s">
        <v>389</v>
      </c>
      <c r="S1" s="348" t="str">
        <f>'Egr.FODES 75%'!E22</f>
        <v>Combustibles y Lubricantes</v>
      </c>
      <c r="T1" s="347" t="str">
        <f>'Egr.FODES 75%'!E23</f>
        <v>Miner. No Metalicos y Prod. Der.</v>
      </c>
      <c r="U1" s="347" t="str">
        <f>'Egr.FODES 75%'!E25</f>
        <v>Materiales de Oficina</v>
      </c>
      <c r="V1" s="212" t="s">
        <v>475</v>
      </c>
      <c r="W1" s="211" t="s">
        <v>80</v>
      </c>
      <c r="X1" s="211" t="str">
        <f>'Egr.FODES 75%'!E28</f>
        <v>Herramientas, Repuestos y Accesorios</v>
      </c>
      <c r="Y1" s="211" t="s">
        <v>525</v>
      </c>
      <c r="Z1" s="211" t="s">
        <v>526</v>
      </c>
      <c r="AA1" s="211" t="s">
        <v>527</v>
      </c>
      <c r="AB1" s="211" t="str">
        <f>'Egr.FODES 75%'!E29</f>
        <v>Materiales Electricos</v>
      </c>
      <c r="AC1" s="211" t="str">
        <f>'Egr.FODES 75%'!E30</f>
        <v>Bienes de Uso y Consumo Diverso</v>
      </c>
      <c r="AD1" s="211" t="str">
        <f>'Egr.FODES 75%'!E33</f>
        <v>Mantenimiento  y Repar. de Bienes  Muebles</v>
      </c>
      <c r="AE1" s="211" t="s">
        <v>491</v>
      </c>
      <c r="AF1" s="211" t="str">
        <f>'Egr.FODES 75%'!E36</f>
        <v>Transportes Fletes y almacenamientos</v>
      </c>
      <c r="AG1" s="211" t="str">
        <f>'Egr.FODES 75%'!E41</f>
        <v>Atenciones Oficiales</v>
      </c>
      <c r="AH1" s="211" t="str">
        <f>'Egr.FODES 75%'!E43</f>
        <v>Servicios Generales y Arrendamientos Diversos</v>
      </c>
      <c r="AI1" s="211" t="str">
        <f>'Egr.FODES 75%'!E51</f>
        <v>A Personas Naturales</v>
      </c>
      <c r="AJ1" s="211" t="str">
        <f>'Egr.FODES 75%'!E52</f>
        <v>Becas</v>
      </c>
      <c r="AK1" s="211" t="str">
        <f>'Egr.FODES 75%'!E54</f>
        <v>Maquinaria y Equipos (61102)</v>
      </c>
      <c r="AL1" s="211" t="s">
        <v>380</v>
      </c>
      <c r="AM1" s="211" t="s">
        <v>476</v>
      </c>
      <c r="AN1" s="212" t="s">
        <v>381</v>
      </c>
      <c r="AO1" s="212" t="s">
        <v>383</v>
      </c>
      <c r="AP1" s="212" t="s">
        <v>384</v>
      </c>
      <c r="AQ1" s="212" t="s">
        <v>385</v>
      </c>
      <c r="AR1" s="212" t="s">
        <v>386</v>
      </c>
      <c r="AS1" s="212" t="s">
        <v>390</v>
      </c>
      <c r="AT1" s="212" t="s">
        <v>571</v>
      </c>
      <c r="AU1" s="212" t="s">
        <v>224</v>
      </c>
      <c r="AV1" s="212" t="s">
        <v>481</v>
      </c>
      <c r="AW1" s="212" t="s">
        <v>482</v>
      </c>
      <c r="AX1" s="212" t="s">
        <v>379</v>
      </c>
      <c r="AY1" s="212" t="s">
        <v>492</v>
      </c>
      <c r="AZ1" s="212" t="s">
        <v>548</v>
      </c>
      <c r="BA1" s="212" t="s">
        <v>483</v>
      </c>
      <c r="BB1" s="937"/>
      <c r="BC1" s="936"/>
    </row>
    <row r="2" spans="1:55" ht="20.25" customHeight="1" x14ac:dyDescent="0.25">
      <c r="A2" s="939" t="s">
        <v>576</v>
      </c>
      <c r="B2" s="939"/>
      <c r="C2" s="939"/>
      <c r="D2" s="939"/>
      <c r="E2" s="939"/>
      <c r="F2" s="293"/>
      <c r="G2" s="211"/>
      <c r="H2" s="211"/>
      <c r="I2" s="211"/>
      <c r="J2" s="211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937"/>
      <c r="BC2" s="936"/>
    </row>
    <row r="3" spans="1:55" s="295" customFormat="1" ht="14.25" customHeight="1" x14ac:dyDescent="0.2">
      <c r="A3" s="463"/>
      <c r="B3" s="696" t="s">
        <v>625</v>
      </c>
      <c r="C3" s="660"/>
      <c r="D3" s="697">
        <f>Ingresos!D50-'Deuda Pub 75%'!H18</f>
        <v>1314449.8500000001</v>
      </c>
      <c r="E3" s="661"/>
      <c r="F3" s="298"/>
      <c r="G3" s="211"/>
      <c r="H3" s="211"/>
      <c r="I3" s="211"/>
      <c r="J3" s="211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96"/>
    </row>
    <row r="4" spans="1:55" s="301" customFormat="1" ht="14.25" customHeight="1" x14ac:dyDescent="0.25">
      <c r="A4" s="463"/>
      <c r="B4" s="696" t="s">
        <v>630</v>
      </c>
      <c r="C4" s="660"/>
      <c r="D4" s="697">
        <f>D3-D5</f>
        <v>977952.65000000014</v>
      </c>
      <c r="E4" s="660"/>
      <c r="F4" s="297"/>
      <c r="G4" s="211"/>
      <c r="H4" s="211"/>
      <c r="I4" s="211"/>
      <c r="J4" s="211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302"/>
    </row>
    <row r="5" spans="1:55" s="301" customFormat="1" ht="13.5" customHeight="1" x14ac:dyDescent="0.25">
      <c r="A5" s="464"/>
      <c r="B5" s="696" t="s">
        <v>629</v>
      </c>
      <c r="C5" s="660"/>
      <c r="D5" s="662">
        <f>SUM(D35:D49)</f>
        <v>336497.2</v>
      </c>
      <c r="E5" s="660"/>
      <c r="F5" s="293"/>
      <c r="G5" s="211"/>
      <c r="H5" s="211"/>
      <c r="I5" s="211"/>
      <c r="J5" s="211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302"/>
    </row>
    <row r="6" spans="1:55" ht="18" customHeight="1" x14ac:dyDescent="0.2">
      <c r="A6" s="474"/>
      <c r="B6" s="489"/>
      <c r="C6" s="490" t="s">
        <v>544</v>
      </c>
      <c r="D6" s="654">
        <v>2020</v>
      </c>
      <c r="E6" s="655"/>
      <c r="F6" s="289" t="s">
        <v>337</v>
      </c>
      <c r="G6" s="195"/>
      <c r="H6" s="195"/>
      <c r="I6" s="195"/>
      <c r="J6" s="195"/>
      <c r="K6" s="194"/>
      <c r="L6" s="194"/>
      <c r="M6" s="194"/>
      <c r="N6" s="194"/>
      <c r="O6" s="194"/>
      <c r="P6" s="194"/>
      <c r="Q6" s="194"/>
      <c r="R6" s="239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258"/>
      <c r="AU6" s="194"/>
      <c r="AV6" s="194"/>
      <c r="AW6" s="194"/>
      <c r="AX6" s="194"/>
      <c r="AY6" s="194"/>
      <c r="AZ6" s="194"/>
      <c r="BA6" s="194"/>
      <c r="BB6" s="194"/>
    </row>
    <row r="7" spans="1:55" s="288" customFormat="1" ht="18" customHeight="1" x14ac:dyDescent="0.2">
      <c r="A7" s="491"/>
      <c r="B7" s="473" t="s">
        <v>522</v>
      </c>
      <c r="C7" s="492"/>
      <c r="D7" s="493"/>
      <c r="E7" s="494">
        <f>SUM(D8:D20)</f>
        <v>412000</v>
      </c>
      <c r="F7" s="290"/>
      <c r="O7" s="149"/>
      <c r="R7" s="213"/>
    </row>
    <row r="8" spans="1:55" ht="18" customHeight="1" x14ac:dyDescent="0.2">
      <c r="A8" s="474">
        <v>1</v>
      </c>
      <c r="B8" s="465" t="s">
        <v>610</v>
      </c>
      <c r="C8" s="495"/>
      <c r="D8" s="496">
        <v>55000</v>
      </c>
      <c r="E8" s="496"/>
      <c r="F8" s="277">
        <v>55000</v>
      </c>
      <c r="G8" s="339"/>
      <c r="H8" s="339"/>
      <c r="I8" s="339"/>
      <c r="J8" s="339"/>
      <c r="K8" s="339"/>
      <c r="L8" s="339"/>
      <c r="M8" s="339"/>
      <c r="N8" s="340">
        <v>8000</v>
      </c>
      <c r="O8" s="339"/>
      <c r="P8" s="339"/>
      <c r="Q8" s="339"/>
      <c r="R8" s="340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40">
        <v>1500</v>
      </c>
      <c r="AG8" s="340"/>
      <c r="AH8" s="340">
        <v>1500</v>
      </c>
      <c r="AI8" s="340">
        <v>44000</v>
      </c>
      <c r="AJ8" s="340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40"/>
      <c r="AZ8" s="340"/>
      <c r="BA8" s="340"/>
      <c r="BB8" s="456">
        <f>SUM(G8:BA8)</f>
        <v>55000</v>
      </c>
      <c r="BC8" s="213">
        <f t="shared" ref="BC8:BC15" si="0">SUM(G8:AX8)</f>
        <v>55000</v>
      </c>
    </row>
    <row r="9" spans="1:55" ht="18" customHeight="1" x14ac:dyDescent="0.2">
      <c r="A9" s="474">
        <f>A8+1</f>
        <v>2</v>
      </c>
      <c r="B9" s="465" t="s">
        <v>574</v>
      </c>
      <c r="C9" s="467"/>
      <c r="D9" s="467">
        <f>28000-2000</f>
        <v>26000</v>
      </c>
      <c r="E9" s="467"/>
      <c r="F9" s="277">
        <v>25000</v>
      </c>
      <c r="G9" s="339"/>
      <c r="H9" s="339"/>
      <c r="I9" s="339"/>
      <c r="J9" s="339"/>
      <c r="K9" s="339"/>
      <c r="L9" s="339"/>
      <c r="M9" s="339"/>
      <c r="N9" s="340"/>
      <c r="O9" s="339"/>
      <c r="P9" s="339"/>
      <c r="Q9" s="339"/>
      <c r="R9" s="340"/>
      <c r="S9" s="339"/>
      <c r="T9" s="339"/>
      <c r="U9" s="340"/>
      <c r="V9" s="340">
        <v>5000</v>
      </c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>
        <v>21000</v>
      </c>
      <c r="AK9" s="340"/>
      <c r="AL9" s="340"/>
      <c r="AM9" s="340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40"/>
      <c r="AZ9" s="340"/>
      <c r="BA9" s="340"/>
      <c r="BB9" s="456">
        <f t="shared" ref="BB9:BB63" si="1">SUM(G9:BA9)</f>
        <v>26000</v>
      </c>
      <c r="BC9" s="213">
        <f t="shared" si="0"/>
        <v>26000</v>
      </c>
    </row>
    <row r="10" spans="1:55" ht="18" customHeight="1" x14ac:dyDescent="0.2">
      <c r="A10" s="474">
        <f t="shared" ref="A10:A12" si="2">A9+1</f>
        <v>3</v>
      </c>
      <c r="B10" s="466" t="s">
        <v>611</v>
      </c>
      <c r="C10" s="497"/>
      <c r="D10" s="498">
        <v>170000</v>
      </c>
      <c r="E10" s="498"/>
      <c r="F10" s="281">
        <v>170000</v>
      </c>
      <c r="G10" s="213"/>
      <c r="H10" s="213"/>
      <c r="I10" s="213"/>
      <c r="J10" s="213"/>
      <c r="R10" s="213"/>
      <c r="U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>
        <v>108980</v>
      </c>
      <c r="AM10" s="213">
        <v>61020</v>
      </c>
      <c r="AY10" s="213"/>
      <c r="AZ10" s="213"/>
      <c r="BA10" s="213"/>
      <c r="BB10" s="456">
        <f t="shared" si="1"/>
        <v>170000</v>
      </c>
      <c r="BC10" s="213">
        <f t="shared" si="0"/>
        <v>170000</v>
      </c>
    </row>
    <row r="11" spans="1:55" ht="18" customHeight="1" x14ac:dyDescent="0.2">
      <c r="A11" s="474">
        <f t="shared" si="2"/>
        <v>4</v>
      </c>
      <c r="B11" s="465" t="s">
        <v>577</v>
      </c>
      <c r="C11" s="465"/>
      <c r="D11" s="467">
        <v>45000</v>
      </c>
      <c r="E11" s="467"/>
      <c r="F11" s="277">
        <f t="shared" ref="F11" si="3">SUM(G11:BA11)</f>
        <v>45000</v>
      </c>
      <c r="R11" s="213"/>
      <c r="U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>
        <v>45000</v>
      </c>
      <c r="AH11" s="213"/>
      <c r="AI11" s="213"/>
      <c r="AJ11" s="213"/>
      <c r="AK11" s="213"/>
      <c r="AL11" s="213"/>
      <c r="AM11" s="213"/>
      <c r="AY11" s="213"/>
      <c r="AZ11" s="213"/>
      <c r="BA11" s="213"/>
      <c r="BB11" s="456">
        <f t="shared" si="1"/>
        <v>45000</v>
      </c>
      <c r="BC11" s="213"/>
    </row>
    <row r="12" spans="1:55" ht="18" customHeight="1" x14ac:dyDescent="0.2">
      <c r="A12" s="474">
        <f t="shared" si="2"/>
        <v>5</v>
      </c>
      <c r="B12" s="465" t="s">
        <v>539</v>
      </c>
      <c r="C12" s="465"/>
      <c r="D12" s="467">
        <v>7000</v>
      </c>
      <c r="E12" s="467"/>
      <c r="F12" s="277">
        <v>7000</v>
      </c>
      <c r="N12" s="213">
        <v>2400</v>
      </c>
      <c r="O12" s="213"/>
      <c r="P12" s="213"/>
      <c r="R12" s="213"/>
      <c r="U12" s="213"/>
      <c r="W12" s="213"/>
      <c r="X12" s="213"/>
      <c r="Y12" s="213"/>
      <c r="Z12" s="213"/>
      <c r="AA12" s="342"/>
      <c r="AB12" s="342">
        <v>600</v>
      </c>
      <c r="AC12" s="342">
        <v>600</v>
      </c>
      <c r="AD12" s="342">
        <v>400</v>
      </c>
      <c r="AE12" s="342"/>
      <c r="AF12" s="342">
        <v>500</v>
      </c>
      <c r="AG12" s="342">
        <v>2100</v>
      </c>
      <c r="AH12" s="342">
        <v>400</v>
      </c>
      <c r="AI12" s="342"/>
      <c r="AJ12" s="213"/>
      <c r="AK12" s="213"/>
      <c r="AL12" s="213"/>
      <c r="AM12" s="213"/>
      <c r="AY12" s="213"/>
      <c r="AZ12" s="213"/>
      <c r="BA12" s="213"/>
      <c r="BB12" s="456">
        <f t="shared" si="1"/>
        <v>7000</v>
      </c>
      <c r="BC12" s="213">
        <f t="shared" si="0"/>
        <v>7000</v>
      </c>
    </row>
    <row r="13" spans="1:55" s="295" customFormat="1" ht="18" customHeight="1" x14ac:dyDescent="0.2">
      <c r="A13" s="474">
        <v>6</v>
      </c>
      <c r="B13" s="465" t="s">
        <v>622</v>
      </c>
      <c r="C13" s="465"/>
      <c r="D13" s="467">
        <v>2000</v>
      </c>
      <c r="E13" s="467"/>
      <c r="F13" s="277"/>
      <c r="N13" s="213"/>
      <c r="O13" s="213"/>
      <c r="P13" s="213"/>
      <c r="R13" s="213"/>
      <c r="U13" s="213"/>
      <c r="W13" s="213"/>
      <c r="X13" s="213"/>
      <c r="Y13" s="213"/>
      <c r="Z13" s="213"/>
      <c r="AA13" s="213"/>
      <c r="AB13" s="213"/>
      <c r="AC13" s="342">
        <v>500</v>
      </c>
      <c r="AD13" s="342"/>
      <c r="AE13" s="342"/>
      <c r="AF13" s="342"/>
      <c r="AG13" s="342">
        <v>1000</v>
      </c>
      <c r="AH13" s="342">
        <v>500</v>
      </c>
      <c r="AI13" s="213"/>
      <c r="AJ13" s="213"/>
      <c r="AK13" s="213"/>
      <c r="AL13" s="213"/>
      <c r="AM13" s="213"/>
      <c r="AY13" s="213"/>
      <c r="AZ13" s="213"/>
      <c r="BA13" s="213"/>
      <c r="BB13" s="456">
        <f t="shared" si="1"/>
        <v>2000</v>
      </c>
      <c r="BC13" s="213"/>
    </row>
    <row r="14" spans="1:55" ht="18" customHeight="1" x14ac:dyDescent="0.2">
      <c r="A14" s="474">
        <v>7</v>
      </c>
      <c r="B14" s="465" t="s">
        <v>633</v>
      </c>
      <c r="C14" s="465"/>
      <c r="D14" s="467">
        <v>12000</v>
      </c>
      <c r="E14" s="467"/>
      <c r="F14" s="277">
        <v>12000</v>
      </c>
      <c r="N14" s="213">
        <v>3600</v>
      </c>
      <c r="O14" s="213"/>
      <c r="P14" s="213"/>
      <c r="R14" s="213"/>
      <c r="U14" s="213">
        <v>200</v>
      </c>
      <c r="W14" s="213"/>
      <c r="X14" s="213"/>
      <c r="Y14" s="213"/>
      <c r="Z14" s="213"/>
      <c r="AA14" s="342"/>
      <c r="AB14" s="342"/>
      <c r="AC14" s="342">
        <v>2000</v>
      </c>
      <c r="AD14" s="342"/>
      <c r="AE14" s="342"/>
      <c r="AF14" s="342">
        <v>1500</v>
      </c>
      <c r="AG14" s="342">
        <v>3700</v>
      </c>
      <c r="AH14" s="342">
        <v>1000</v>
      </c>
      <c r="AI14" s="342"/>
      <c r="AJ14" s="342"/>
      <c r="AK14" s="213"/>
      <c r="AL14" s="213"/>
      <c r="AM14" s="213"/>
      <c r="AY14" s="213"/>
      <c r="AZ14" s="213"/>
      <c r="BA14" s="213"/>
      <c r="BB14" s="456">
        <f t="shared" si="1"/>
        <v>12000</v>
      </c>
      <c r="BC14" s="213">
        <f t="shared" si="0"/>
        <v>12000</v>
      </c>
    </row>
    <row r="15" spans="1:55" ht="18" customHeight="1" x14ac:dyDescent="0.2">
      <c r="A15" s="474">
        <v>8</v>
      </c>
      <c r="B15" s="465" t="s">
        <v>523</v>
      </c>
      <c r="C15" s="467"/>
      <c r="D15" s="467">
        <v>20000</v>
      </c>
      <c r="E15" s="467"/>
      <c r="F15" s="277">
        <v>20000</v>
      </c>
      <c r="R15" s="213"/>
      <c r="U15" s="213"/>
      <c r="W15" s="213"/>
      <c r="X15" s="213"/>
      <c r="Y15" s="213"/>
      <c r="Z15" s="213"/>
      <c r="AA15" s="342"/>
      <c r="AB15" s="342"/>
      <c r="AC15" s="342"/>
      <c r="AD15" s="342"/>
      <c r="AE15" s="342"/>
      <c r="AF15" s="342"/>
      <c r="AG15" s="342"/>
      <c r="AH15" s="342"/>
      <c r="AI15" s="342">
        <v>20000</v>
      </c>
      <c r="AJ15" s="342"/>
      <c r="AK15" s="213"/>
      <c r="AL15" s="213"/>
      <c r="AM15" s="213"/>
      <c r="AY15" s="213"/>
      <c r="AZ15" s="213"/>
      <c r="BA15" s="213"/>
      <c r="BB15" s="456">
        <f t="shared" si="1"/>
        <v>20000</v>
      </c>
      <c r="BC15" s="213">
        <f t="shared" si="0"/>
        <v>20000</v>
      </c>
    </row>
    <row r="16" spans="1:55" ht="18" customHeight="1" x14ac:dyDescent="0.2">
      <c r="A16" s="474">
        <v>9</v>
      </c>
      <c r="B16" s="465" t="s">
        <v>569</v>
      </c>
      <c r="C16" s="467"/>
      <c r="D16" s="467">
        <v>25000</v>
      </c>
      <c r="E16" s="467"/>
      <c r="F16" s="277">
        <v>25000</v>
      </c>
      <c r="R16" s="213"/>
      <c r="U16" s="213"/>
      <c r="AA16" s="343"/>
      <c r="AB16" s="343"/>
      <c r="AC16" s="343"/>
      <c r="AD16" s="343"/>
      <c r="AE16" s="343"/>
      <c r="AF16" s="343"/>
      <c r="AG16" s="343"/>
      <c r="AH16" s="343"/>
      <c r="AI16" s="344">
        <v>25000</v>
      </c>
      <c r="AJ16" s="343"/>
      <c r="AY16" s="213"/>
      <c r="BB16" s="456">
        <f t="shared" si="1"/>
        <v>25000</v>
      </c>
      <c r="BC16" s="87"/>
    </row>
    <row r="17" spans="1:55" ht="18" customHeight="1" x14ac:dyDescent="0.2">
      <c r="A17" s="474">
        <v>10</v>
      </c>
      <c r="B17" s="465" t="s">
        <v>613</v>
      </c>
      <c r="C17" s="465"/>
      <c r="D17" s="467">
        <v>25000</v>
      </c>
      <c r="E17" s="467"/>
      <c r="F17" s="277">
        <v>25000</v>
      </c>
      <c r="R17" s="213"/>
      <c r="U17" s="213"/>
      <c r="AA17" s="343"/>
      <c r="AB17" s="343"/>
      <c r="AC17" s="343"/>
      <c r="AD17" s="343"/>
      <c r="AE17" s="343"/>
      <c r="AF17" s="343"/>
      <c r="AG17" s="342">
        <v>25000</v>
      </c>
      <c r="AH17" s="343"/>
      <c r="AI17" s="343"/>
      <c r="AJ17" s="343"/>
      <c r="BB17" s="456">
        <f t="shared" si="1"/>
        <v>25000</v>
      </c>
      <c r="BC17" s="87"/>
    </row>
    <row r="18" spans="1:55" ht="18" customHeight="1" x14ac:dyDescent="0.2">
      <c r="A18" s="474">
        <v>11</v>
      </c>
      <c r="B18" s="465" t="s">
        <v>543</v>
      </c>
      <c r="C18" s="465"/>
      <c r="D18" s="467">
        <v>7000</v>
      </c>
      <c r="E18" s="467"/>
      <c r="F18" s="277">
        <v>7000</v>
      </c>
      <c r="H18" s="213"/>
      <c r="N18" s="240">
        <v>500</v>
      </c>
      <c r="R18" s="213"/>
      <c r="U18" s="213"/>
      <c r="AA18" s="343"/>
      <c r="AB18" s="343"/>
      <c r="AC18" s="346">
        <v>400</v>
      </c>
      <c r="AD18" s="343"/>
      <c r="AE18" s="343"/>
      <c r="AF18" s="342">
        <v>800</v>
      </c>
      <c r="AG18" s="342">
        <v>3500</v>
      </c>
      <c r="AH18" s="346">
        <v>1000</v>
      </c>
      <c r="AI18" s="346">
        <v>800</v>
      </c>
      <c r="AJ18" s="343"/>
      <c r="BB18" s="456">
        <f t="shared" si="1"/>
        <v>7000</v>
      </c>
      <c r="BC18" s="87"/>
    </row>
    <row r="19" spans="1:55" s="275" customFormat="1" ht="18" customHeight="1" x14ac:dyDescent="0.2">
      <c r="A19" s="474">
        <v>12</v>
      </c>
      <c r="B19" s="465" t="s">
        <v>578</v>
      </c>
      <c r="C19" s="467"/>
      <c r="D19" s="467">
        <v>3000</v>
      </c>
      <c r="E19" s="467"/>
      <c r="F19" s="277">
        <v>3000</v>
      </c>
      <c r="Q19" s="343"/>
      <c r="R19" s="342">
        <v>800</v>
      </c>
      <c r="S19" s="342">
        <v>200</v>
      </c>
      <c r="T19" s="342"/>
      <c r="U19" s="342">
        <v>500</v>
      </c>
      <c r="V19" s="342"/>
      <c r="W19" s="342"/>
      <c r="X19" s="342">
        <v>200</v>
      </c>
      <c r="Y19" s="342"/>
      <c r="Z19" s="342"/>
      <c r="AA19" s="342"/>
      <c r="AB19" s="342"/>
      <c r="AC19" s="342"/>
      <c r="AD19" s="342">
        <v>500</v>
      </c>
      <c r="AE19" s="342"/>
      <c r="AF19" s="342"/>
      <c r="AG19" s="342">
        <v>300</v>
      </c>
      <c r="AR19" s="240">
        <v>500</v>
      </c>
      <c r="BB19" s="456">
        <f t="shared" si="1"/>
        <v>3000</v>
      </c>
      <c r="BC19" s="87"/>
    </row>
    <row r="20" spans="1:55" s="275" customFormat="1" ht="18" customHeight="1" x14ac:dyDescent="0.3">
      <c r="A20" s="474">
        <v>13</v>
      </c>
      <c r="B20" s="465" t="s">
        <v>579</v>
      </c>
      <c r="C20" s="467"/>
      <c r="D20" s="480">
        <v>15000</v>
      </c>
      <c r="E20" s="467"/>
      <c r="F20" s="277">
        <v>15000</v>
      </c>
      <c r="P20" s="213">
        <v>15000</v>
      </c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BB20" s="456">
        <f t="shared" si="1"/>
        <v>15000</v>
      </c>
      <c r="BC20" s="87"/>
    </row>
    <row r="21" spans="1:55" ht="18" customHeight="1" x14ac:dyDescent="0.2">
      <c r="A21" s="491"/>
      <c r="B21" s="473" t="s">
        <v>612</v>
      </c>
      <c r="C21" s="499"/>
      <c r="D21" s="500"/>
      <c r="E21" s="501">
        <f>SUM(D22:D51)</f>
        <v>608449.48</v>
      </c>
      <c r="F21" s="278"/>
      <c r="M21" s="345"/>
      <c r="N21" s="345"/>
      <c r="O21" s="345"/>
      <c r="P21" s="345"/>
      <c r="Q21" s="345"/>
      <c r="R21" s="240"/>
      <c r="S21" s="345"/>
      <c r="T21" s="345"/>
      <c r="U21" s="240"/>
      <c r="BB21" s="456">
        <f t="shared" si="1"/>
        <v>0</v>
      </c>
      <c r="BC21" s="87"/>
    </row>
    <row r="22" spans="1:55" ht="15.75" customHeight="1" x14ac:dyDescent="0.2">
      <c r="A22" s="502">
        <v>1</v>
      </c>
      <c r="B22" s="465" t="s">
        <v>580</v>
      </c>
      <c r="C22" s="467"/>
      <c r="D22" s="467">
        <v>34000</v>
      </c>
      <c r="E22" s="468"/>
      <c r="F22" s="261">
        <v>35000</v>
      </c>
      <c r="L22" s="343"/>
      <c r="M22" s="346">
        <v>9000</v>
      </c>
      <c r="N22" s="349"/>
      <c r="O22" s="349"/>
      <c r="P22" s="349"/>
      <c r="Q22" s="349"/>
      <c r="R22" s="346"/>
      <c r="S22" s="346"/>
      <c r="T22" s="346">
        <v>21103.98</v>
      </c>
      <c r="U22" s="346"/>
      <c r="V22" s="343"/>
      <c r="W22" s="343"/>
      <c r="X22" s="342">
        <v>300</v>
      </c>
      <c r="Y22" s="343"/>
      <c r="Z22" s="343"/>
      <c r="AA22" s="343"/>
      <c r="AB22" s="343"/>
      <c r="AC22" s="343"/>
      <c r="AD22" s="343"/>
      <c r="AE22" s="343"/>
      <c r="AF22" s="349"/>
      <c r="AG22" s="349"/>
      <c r="AH22" s="346">
        <v>1596.02</v>
      </c>
      <c r="AI22" s="343"/>
      <c r="AJ22" s="343"/>
      <c r="AK22" s="343"/>
      <c r="AL22" s="343"/>
      <c r="AM22" s="343"/>
      <c r="AN22" s="343"/>
      <c r="AO22" s="343"/>
      <c r="AP22" s="343"/>
      <c r="AQ22" s="343"/>
      <c r="AR22" s="343"/>
      <c r="AS22" s="343"/>
      <c r="AT22" s="343"/>
      <c r="AU22" s="343"/>
      <c r="AV22" s="342">
        <v>2000</v>
      </c>
      <c r="AW22" s="343"/>
      <c r="BB22" s="456">
        <f t="shared" si="1"/>
        <v>34000</v>
      </c>
      <c r="BC22" s="87"/>
    </row>
    <row r="23" spans="1:55" s="363" customFormat="1" ht="0.75" hidden="1" customHeight="1" x14ac:dyDescent="0.2">
      <c r="A23" s="474">
        <f>A22+1</f>
        <v>2</v>
      </c>
      <c r="B23" s="465" t="s">
        <v>614</v>
      </c>
      <c r="C23" s="467"/>
      <c r="D23" s="469"/>
      <c r="E23" s="470"/>
      <c r="F23" s="261"/>
      <c r="G23" s="240"/>
      <c r="M23" s="346"/>
      <c r="N23" s="349"/>
      <c r="O23" s="349"/>
      <c r="P23" s="349"/>
      <c r="Q23" s="349"/>
      <c r="R23" s="346"/>
      <c r="S23" s="349"/>
      <c r="T23" s="346"/>
      <c r="U23" s="346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9"/>
      <c r="AG23" s="349"/>
      <c r="AH23" s="346"/>
      <c r="AI23" s="343"/>
      <c r="AJ23" s="343"/>
      <c r="AK23" s="343"/>
      <c r="AL23" s="343"/>
      <c r="AM23" s="343"/>
      <c r="AN23" s="343"/>
      <c r="AO23" s="343"/>
      <c r="AP23" s="343"/>
      <c r="AQ23" s="343"/>
      <c r="AR23" s="343"/>
      <c r="AV23" s="240"/>
      <c r="AZ23" s="213"/>
      <c r="BB23" s="456">
        <f t="shared" si="1"/>
        <v>0</v>
      </c>
      <c r="BC23" s="87"/>
    </row>
    <row r="24" spans="1:55" s="363" customFormat="1" ht="18" hidden="1" customHeight="1" x14ac:dyDescent="0.2">
      <c r="A24" s="474">
        <f t="shared" ref="A24:A50" si="4">A23+1</f>
        <v>3</v>
      </c>
      <c r="B24" s="465" t="s">
        <v>619</v>
      </c>
      <c r="C24" s="467"/>
      <c r="D24" s="469"/>
      <c r="E24" s="470"/>
      <c r="F24" s="261"/>
      <c r="G24" s="240"/>
      <c r="M24" s="346"/>
      <c r="N24" s="349"/>
      <c r="O24" s="349"/>
      <c r="P24" s="349"/>
      <c r="Q24" s="349"/>
      <c r="R24" s="346"/>
      <c r="S24" s="349"/>
      <c r="T24" s="346"/>
      <c r="U24" s="346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9"/>
      <c r="AG24" s="349"/>
      <c r="AH24" s="346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V24" s="240"/>
      <c r="AZ24" s="213"/>
      <c r="BB24" s="456">
        <f t="shared" si="1"/>
        <v>0</v>
      </c>
      <c r="BC24" s="87"/>
    </row>
    <row r="25" spans="1:55" s="363" customFormat="1" ht="18" hidden="1" customHeight="1" x14ac:dyDescent="0.2">
      <c r="A25" s="474">
        <f t="shared" si="4"/>
        <v>4</v>
      </c>
      <c r="B25" s="465" t="s">
        <v>620</v>
      </c>
      <c r="C25" s="467"/>
      <c r="D25" s="469"/>
      <c r="E25" s="470"/>
      <c r="F25" s="261"/>
      <c r="G25" s="240"/>
      <c r="M25" s="346"/>
      <c r="N25" s="349"/>
      <c r="O25" s="349"/>
      <c r="P25" s="349"/>
      <c r="Q25" s="349"/>
      <c r="R25" s="346"/>
      <c r="S25" s="349"/>
      <c r="T25" s="346"/>
      <c r="U25" s="346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9"/>
      <c r="AG25" s="349"/>
      <c r="AH25" s="346"/>
      <c r="AI25" s="343"/>
      <c r="AJ25" s="343"/>
      <c r="AK25" s="343"/>
      <c r="AL25" s="343"/>
      <c r="AM25" s="343"/>
      <c r="AN25" s="343"/>
      <c r="AO25" s="343"/>
      <c r="AP25" s="343"/>
      <c r="AQ25" s="343"/>
      <c r="AR25" s="343"/>
      <c r="AV25" s="240"/>
      <c r="AZ25" s="213"/>
      <c r="BB25" s="456">
        <f t="shared" si="1"/>
        <v>0</v>
      </c>
      <c r="BC25" s="87"/>
    </row>
    <row r="26" spans="1:55" s="363" customFormat="1" ht="18" hidden="1" customHeight="1" x14ac:dyDescent="0.2">
      <c r="A26" s="474">
        <f t="shared" si="4"/>
        <v>5</v>
      </c>
      <c r="B26" s="465" t="s">
        <v>615</v>
      </c>
      <c r="C26" s="467"/>
      <c r="D26" s="471"/>
      <c r="E26" s="470"/>
      <c r="F26" s="261"/>
      <c r="G26" s="240"/>
      <c r="M26" s="346"/>
      <c r="N26" s="349"/>
      <c r="O26" s="349"/>
      <c r="P26" s="349"/>
      <c r="Q26" s="349"/>
      <c r="R26" s="346"/>
      <c r="S26" s="349"/>
      <c r="T26" s="346"/>
      <c r="U26" s="346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9"/>
      <c r="AG26" s="349"/>
      <c r="AH26" s="346"/>
      <c r="AI26" s="343"/>
      <c r="AJ26" s="343"/>
      <c r="AK26" s="343"/>
      <c r="AL26" s="343"/>
      <c r="AM26" s="343"/>
      <c r="AN26" s="343"/>
      <c r="AO26" s="343"/>
      <c r="AP26" s="343"/>
      <c r="AQ26" s="343"/>
      <c r="AR26" s="343"/>
      <c r="AV26" s="240"/>
      <c r="AZ26" s="213"/>
      <c r="BB26" s="456">
        <f t="shared" si="1"/>
        <v>0</v>
      </c>
      <c r="BC26" s="87"/>
    </row>
    <row r="27" spans="1:55" ht="18" customHeight="1" x14ac:dyDescent="0.2">
      <c r="A27" s="474">
        <v>2</v>
      </c>
      <c r="B27" s="465" t="s">
        <v>581</v>
      </c>
      <c r="C27" s="472"/>
      <c r="D27" s="467">
        <v>45000</v>
      </c>
      <c r="E27" s="468"/>
      <c r="F27" s="261">
        <v>45000</v>
      </c>
      <c r="M27" s="240">
        <v>18000</v>
      </c>
      <c r="N27" s="345"/>
      <c r="O27" s="345"/>
      <c r="P27" s="345"/>
      <c r="Q27" s="345"/>
      <c r="R27" s="240"/>
      <c r="S27" s="345"/>
      <c r="T27" s="241">
        <v>22000</v>
      </c>
      <c r="U27" s="240"/>
      <c r="AF27" s="345"/>
      <c r="AG27" s="345"/>
      <c r="AH27" s="240">
        <v>2000</v>
      </c>
      <c r="AV27" s="87">
        <v>3000</v>
      </c>
      <c r="BB27" s="456">
        <f>SUM(G27:BA27)</f>
        <v>45000</v>
      </c>
      <c r="BC27" s="87"/>
    </row>
    <row r="28" spans="1:55" ht="18" customHeight="1" x14ac:dyDescent="0.2">
      <c r="A28" s="474">
        <v>3</v>
      </c>
      <c r="B28" s="465" t="s">
        <v>585</v>
      </c>
      <c r="C28" s="465"/>
      <c r="D28" s="467">
        <v>25000</v>
      </c>
      <c r="E28" s="468"/>
      <c r="F28" s="261">
        <v>25000</v>
      </c>
      <c r="M28" s="240">
        <v>9000</v>
      </c>
      <c r="N28" s="345"/>
      <c r="O28" s="345"/>
      <c r="P28" s="345"/>
      <c r="Q28" s="345"/>
      <c r="R28" s="240"/>
      <c r="S28" s="345"/>
      <c r="T28" s="240">
        <v>12000</v>
      </c>
      <c r="U28" s="240"/>
      <c r="X28" s="240"/>
      <c r="Y28" s="240"/>
      <c r="Z28" s="240"/>
      <c r="AA28" s="240"/>
      <c r="AB28" s="240"/>
      <c r="AC28" s="240"/>
      <c r="AF28" s="345"/>
      <c r="AG28" s="345"/>
      <c r="AH28" s="240">
        <v>1250</v>
      </c>
      <c r="AV28" s="87">
        <v>2750</v>
      </c>
      <c r="BB28" s="456">
        <f>SUM(G28:BA28)</f>
        <v>25000</v>
      </c>
      <c r="BC28" s="87"/>
    </row>
    <row r="29" spans="1:55" ht="18" customHeight="1" x14ac:dyDescent="0.2">
      <c r="A29" s="474">
        <f t="shared" si="4"/>
        <v>4</v>
      </c>
      <c r="B29" s="465" t="s">
        <v>560</v>
      </c>
      <c r="C29" s="467"/>
      <c r="D29" s="469">
        <v>28000</v>
      </c>
      <c r="E29" s="470"/>
      <c r="F29" s="261">
        <v>28000</v>
      </c>
      <c r="M29" s="345"/>
      <c r="N29" s="345"/>
      <c r="O29" s="345"/>
      <c r="P29" s="345"/>
      <c r="Q29" s="345"/>
      <c r="R29" s="240"/>
      <c r="S29" s="345"/>
      <c r="T29" s="345"/>
      <c r="U29" s="240"/>
      <c r="X29" s="240"/>
      <c r="Y29" s="240"/>
      <c r="Z29" s="240"/>
      <c r="AA29" s="240"/>
      <c r="AB29" s="240">
        <v>28000</v>
      </c>
      <c r="AC29" s="240"/>
      <c r="AF29" s="345"/>
      <c r="AG29" s="345"/>
      <c r="AH29" s="345"/>
      <c r="BB29" s="456">
        <f t="shared" si="1"/>
        <v>28000</v>
      </c>
      <c r="BC29" s="87"/>
    </row>
    <row r="30" spans="1:55" s="257" customFormat="1" ht="18" customHeight="1" x14ac:dyDescent="0.2">
      <c r="A30" s="474">
        <f t="shared" si="4"/>
        <v>5</v>
      </c>
      <c r="B30" s="465" t="s">
        <v>586</v>
      </c>
      <c r="C30" s="467"/>
      <c r="D30" s="467">
        <v>25000</v>
      </c>
      <c r="E30" s="468"/>
      <c r="F30" s="261">
        <v>25000</v>
      </c>
      <c r="M30" s="345"/>
      <c r="N30" s="345"/>
      <c r="O30" s="345"/>
      <c r="P30" s="345"/>
      <c r="Q30" s="345"/>
      <c r="R30" s="240"/>
      <c r="S30" s="345"/>
      <c r="T30" s="345"/>
      <c r="U30" s="240"/>
      <c r="X30" s="240"/>
      <c r="Y30" s="240"/>
      <c r="Z30" s="240"/>
      <c r="AA30" s="240"/>
      <c r="AB30" s="240"/>
      <c r="AC30" s="240"/>
      <c r="AF30" s="345"/>
      <c r="AG30" s="345"/>
      <c r="AH30" s="240">
        <v>25000</v>
      </c>
      <c r="BB30" s="456">
        <f t="shared" si="1"/>
        <v>25000</v>
      </c>
      <c r="BC30" s="87"/>
    </row>
    <row r="31" spans="1:55" s="257" customFormat="1" ht="18" customHeight="1" x14ac:dyDescent="0.2">
      <c r="A31" s="474">
        <f t="shared" si="4"/>
        <v>6</v>
      </c>
      <c r="B31" s="465" t="s">
        <v>632</v>
      </c>
      <c r="C31" s="467"/>
      <c r="D31" s="469">
        <v>35000</v>
      </c>
      <c r="E31" s="470"/>
      <c r="F31" s="261">
        <v>35000</v>
      </c>
      <c r="L31" s="514"/>
      <c r="M31" s="515">
        <v>7000</v>
      </c>
      <c r="N31" s="516"/>
      <c r="O31" s="516"/>
      <c r="P31" s="516"/>
      <c r="Q31" s="516"/>
      <c r="R31" s="515"/>
      <c r="S31" s="516"/>
      <c r="T31" s="515">
        <v>28000</v>
      </c>
      <c r="U31" s="515"/>
      <c r="V31" s="514"/>
      <c r="W31" s="514"/>
      <c r="X31" s="515"/>
      <c r="Y31" s="515"/>
      <c r="Z31" s="515"/>
      <c r="AA31" s="515"/>
      <c r="AB31" s="515"/>
      <c r="AC31" s="515"/>
      <c r="AD31" s="514"/>
      <c r="AE31" s="514"/>
      <c r="AF31" s="516"/>
      <c r="AG31" s="516"/>
      <c r="AH31" s="516"/>
      <c r="AI31" s="514"/>
      <c r="AJ31" s="514"/>
      <c r="AK31" s="514"/>
      <c r="AL31" s="514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514"/>
      <c r="AY31" s="514"/>
      <c r="AZ31" s="514"/>
      <c r="BA31" s="514"/>
      <c r="BB31" s="517">
        <f t="shared" si="1"/>
        <v>35000</v>
      </c>
      <c r="BC31" s="87"/>
    </row>
    <row r="32" spans="1:55" s="257" customFormat="1" ht="18" customHeight="1" x14ac:dyDescent="0.2">
      <c r="A32" s="474">
        <f t="shared" si="4"/>
        <v>7</v>
      </c>
      <c r="B32" s="465" t="s">
        <v>623</v>
      </c>
      <c r="C32" s="467"/>
      <c r="D32" s="469">
        <v>25000</v>
      </c>
      <c r="E32" s="470"/>
      <c r="F32" s="261">
        <v>25000</v>
      </c>
      <c r="M32" s="240">
        <v>5000</v>
      </c>
      <c r="N32" s="240"/>
      <c r="O32" s="240"/>
      <c r="P32" s="240"/>
      <c r="Q32" s="240"/>
      <c r="R32" s="240"/>
      <c r="S32" s="240"/>
      <c r="T32" s="240">
        <v>20000</v>
      </c>
      <c r="U32" s="240"/>
      <c r="X32" s="240"/>
      <c r="Y32" s="240"/>
      <c r="Z32" s="240"/>
      <c r="AA32" s="240"/>
      <c r="AB32" s="240"/>
      <c r="AC32" s="240"/>
      <c r="AF32" s="345"/>
      <c r="AG32" s="345"/>
      <c r="AH32" s="345"/>
      <c r="BB32" s="456">
        <f t="shared" si="1"/>
        <v>25000</v>
      </c>
      <c r="BC32" s="87"/>
    </row>
    <row r="33" spans="1:55" s="257" customFormat="1" ht="18" customHeight="1" x14ac:dyDescent="0.2">
      <c r="A33" s="503">
        <f t="shared" si="4"/>
        <v>8</v>
      </c>
      <c r="B33" s="465" t="s">
        <v>582</v>
      </c>
      <c r="C33" s="467"/>
      <c r="D33" s="469">
        <v>20000</v>
      </c>
      <c r="E33" s="470"/>
      <c r="F33" s="261">
        <v>20000</v>
      </c>
      <c r="M33" s="240">
        <v>5000</v>
      </c>
      <c r="N33" s="345"/>
      <c r="O33" s="345"/>
      <c r="P33" s="345"/>
      <c r="Q33" s="345"/>
      <c r="R33" s="240"/>
      <c r="S33" s="345"/>
      <c r="T33" s="240">
        <v>12000</v>
      </c>
      <c r="U33" s="240"/>
      <c r="X33" s="240"/>
      <c r="Y33" s="240"/>
      <c r="Z33" s="240"/>
      <c r="AA33" s="240"/>
      <c r="AB33" s="240"/>
      <c r="AC33" s="240"/>
      <c r="AF33" s="345"/>
      <c r="AG33" s="345"/>
      <c r="AH33" s="240">
        <v>3000</v>
      </c>
      <c r="BB33" s="456">
        <f t="shared" si="1"/>
        <v>20000</v>
      </c>
      <c r="BC33" s="87"/>
    </row>
    <row r="34" spans="1:55" s="301" customFormat="1" ht="18" customHeight="1" x14ac:dyDescent="0.2">
      <c r="A34" s="657">
        <f t="shared" si="4"/>
        <v>9</v>
      </c>
      <c r="B34" s="698" t="s">
        <v>631</v>
      </c>
      <c r="C34" s="658"/>
      <c r="D34" s="659"/>
      <c r="E34" s="659"/>
      <c r="F34" s="261"/>
      <c r="H34" s="301" t="s">
        <v>655</v>
      </c>
      <c r="M34" s="345"/>
      <c r="N34" s="345"/>
      <c r="O34" s="345"/>
      <c r="P34" s="345"/>
      <c r="Q34" s="345"/>
      <c r="R34" s="240"/>
      <c r="S34" s="345"/>
      <c r="T34" s="345"/>
      <c r="U34" s="240"/>
      <c r="AB34" s="252"/>
      <c r="BB34" s="456">
        <f t="shared" si="1"/>
        <v>0</v>
      </c>
      <c r="BC34" s="87"/>
    </row>
    <row r="35" spans="1:55" s="275" customFormat="1" ht="25.5" customHeight="1" x14ac:dyDescent="0.2">
      <c r="A35" s="503">
        <f t="shared" si="4"/>
        <v>10</v>
      </c>
      <c r="B35" s="505" t="s">
        <v>584</v>
      </c>
      <c r="C35" s="506"/>
      <c r="D35" s="506">
        <v>40000</v>
      </c>
      <c r="E35" s="475"/>
      <c r="F35" s="261">
        <v>120000</v>
      </c>
      <c r="G35" s="143"/>
      <c r="L35" s="343"/>
      <c r="M35" s="346">
        <v>9000</v>
      </c>
      <c r="N35" s="343"/>
      <c r="O35" s="343"/>
      <c r="P35" s="343"/>
      <c r="Q35" s="343"/>
      <c r="R35" s="342"/>
      <c r="S35" s="343"/>
      <c r="T35" s="346">
        <v>23000</v>
      </c>
      <c r="U35" s="342"/>
      <c r="V35" s="343"/>
      <c r="W35" s="343"/>
      <c r="X35" s="343"/>
      <c r="Y35" s="343"/>
      <c r="Z35" s="343"/>
      <c r="AA35" s="343"/>
      <c r="AB35" s="344"/>
      <c r="AC35" s="343"/>
      <c r="AD35" s="343"/>
      <c r="AE35" s="343"/>
      <c r="AF35" s="256">
        <v>1000</v>
      </c>
      <c r="AG35" s="343"/>
      <c r="AH35" s="256">
        <v>2000</v>
      </c>
      <c r="AI35" s="343"/>
      <c r="AJ35" s="343"/>
      <c r="AK35" s="343"/>
      <c r="AL35" s="343"/>
      <c r="AM35" s="343"/>
      <c r="AN35" s="343"/>
      <c r="AO35" s="343"/>
      <c r="AP35" s="343"/>
      <c r="AQ35" s="343"/>
      <c r="AR35" s="343"/>
      <c r="AS35" s="343"/>
      <c r="AT35" s="343"/>
      <c r="AU35" s="343"/>
      <c r="AV35" s="256">
        <v>5000</v>
      </c>
      <c r="AW35" s="343"/>
      <c r="AX35" s="343"/>
      <c r="AY35" s="343"/>
      <c r="AZ35" s="343"/>
      <c r="BA35" s="343"/>
      <c r="BB35" s="346">
        <f t="shared" si="1"/>
        <v>40000</v>
      </c>
      <c r="BC35" s="87"/>
    </row>
    <row r="36" spans="1:55" s="288" customFormat="1" ht="18" customHeight="1" x14ac:dyDescent="0.2">
      <c r="A36" s="474">
        <f t="shared" si="4"/>
        <v>11</v>
      </c>
      <c r="B36" s="505" t="s">
        <v>583</v>
      </c>
      <c r="C36" s="506"/>
      <c r="D36" s="507">
        <v>40000</v>
      </c>
      <c r="E36" s="475"/>
      <c r="F36" s="261"/>
      <c r="L36" s="343"/>
      <c r="M36" s="346">
        <v>9000</v>
      </c>
      <c r="N36" s="343"/>
      <c r="O36" s="343"/>
      <c r="P36" s="343"/>
      <c r="Q36" s="343"/>
      <c r="R36" s="342"/>
      <c r="S36" s="343"/>
      <c r="T36" s="346">
        <v>24000</v>
      </c>
      <c r="U36" s="342"/>
      <c r="V36" s="343"/>
      <c r="W36" s="343"/>
      <c r="X36" s="343"/>
      <c r="Y36" s="343"/>
      <c r="Z36" s="343"/>
      <c r="AA36" s="343"/>
      <c r="AB36" s="344"/>
      <c r="AC36" s="343"/>
      <c r="AD36" s="343"/>
      <c r="AE36" s="343"/>
      <c r="AF36" s="256">
        <v>500</v>
      </c>
      <c r="AG36" s="343"/>
      <c r="AH36" s="256">
        <v>2500</v>
      </c>
      <c r="AI36" s="343"/>
      <c r="AJ36" s="343"/>
      <c r="AK36" s="343"/>
      <c r="AL36" s="343"/>
      <c r="AM36" s="343"/>
      <c r="AN36" s="343"/>
      <c r="AO36" s="343"/>
      <c r="AP36" s="343"/>
      <c r="AQ36" s="343"/>
      <c r="AR36" s="343"/>
      <c r="AS36" s="343"/>
      <c r="AT36" s="343"/>
      <c r="AU36" s="343"/>
      <c r="AV36" s="256">
        <v>4000</v>
      </c>
      <c r="AW36" s="343"/>
      <c r="AX36" s="343"/>
      <c r="AY36" s="343"/>
      <c r="AZ36" s="343"/>
      <c r="BA36" s="343"/>
      <c r="BB36" s="346">
        <f t="shared" si="1"/>
        <v>40000</v>
      </c>
      <c r="BC36" s="87"/>
    </row>
    <row r="37" spans="1:55" s="288" customFormat="1" ht="18" customHeight="1" x14ac:dyDescent="0.2">
      <c r="A37" s="474">
        <f t="shared" si="4"/>
        <v>12</v>
      </c>
      <c r="B37" s="505" t="s">
        <v>587</v>
      </c>
      <c r="C37" s="506"/>
      <c r="D37" s="507">
        <v>30000</v>
      </c>
      <c r="E37" s="475"/>
      <c r="F37" s="261"/>
      <c r="L37" s="343"/>
      <c r="M37" s="346">
        <v>6000</v>
      </c>
      <c r="N37" s="343"/>
      <c r="O37" s="343"/>
      <c r="P37" s="343"/>
      <c r="Q37" s="343"/>
      <c r="R37" s="342"/>
      <c r="S37" s="343"/>
      <c r="T37" s="346">
        <v>15000</v>
      </c>
      <c r="U37" s="342"/>
      <c r="V37" s="343"/>
      <c r="W37" s="343"/>
      <c r="X37" s="343"/>
      <c r="Y37" s="343"/>
      <c r="Z37" s="343"/>
      <c r="AA37" s="343"/>
      <c r="AB37" s="344"/>
      <c r="AC37" s="343"/>
      <c r="AD37" s="343"/>
      <c r="AE37" s="343"/>
      <c r="AF37" s="256">
        <v>1000</v>
      </c>
      <c r="AG37" s="343"/>
      <c r="AH37" s="256">
        <v>8000</v>
      </c>
      <c r="AI37" s="343"/>
      <c r="AJ37" s="343"/>
      <c r="AK37" s="343"/>
      <c r="AL37" s="343"/>
      <c r="AM37" s="343"/>
      <c r="AN37" s="343"/>
      <c r="AO37" s="343"/>
      <c r="AP37" s="343"/>
      <c r="AQ37" s="343"/>
      <c r="AR37" s="343"/>
      <c r="AS37" s="343"/>
      <c r="AT37" s="343"/>
      <c r="AU37" s="343"/>
      <c r="AV37" s="256"/>
      <c r="AW37" s="343"/>
      <c r="AX37" s="343"/>
      <c r="AY37" s="343"/>
      <c r="AZ37" s="343"/>
      <c r="BA37" s="343"/>
      <c r="BB37" s="346">
        <f t="shared" si="1"/>
        <v>30000</v>
      </c>
      <c r="BC37" s="87"/>
    </row>
    <row r="38" spans="1:55" s="257" customFormat="1" ht="18" customHeight="1" x14ac:dyDescent="0.2">
      <c r="A38" s="474">
        <f t="shared" si="4"/>
        <v>13</v>
      </c>
      <c r="B38" s="508" t="s">
        <v>624</v>
      </c>
      <c r="C38" s="506"/>
      <c r="D38" s="506">
        <v>30000</v>
      </c>
      <c r="E38" s="476"/>
      <c r="F38" s="261">
        <v>20000</v>
      </c>
      <c r="L38" s="343"/>
      <c r="M38" s="346">
        <v>4000</v>
      </c>
      <c r="N38" s="343"/>
      <c r="O38" s="343"/>
      <c r="P38" s="343"/>
      <c r="Q38" s="343"/>
      <c r="R38" s="342"/>
      <c r="S38" s="343"/>
      <c r="T38" s="346">
        <v>5000</v>
      </c>
      <c r="U38" s="342"/>
      <c r="V38" s="343"/>
      <c r="W38" s="343"/>
      <c r="X38" s="343"/>
      <c r="Y38" s="343"/>
      <c r="Z38" s="343"/>
      <c r="AA38" s="343"/>
      <c r="AB38" s="344"/>
      <c r="AC38" s="343"/>
      <c r="AD38" s="343"/>
      <c r="AE38" s="343"/>
      <c r="AF38" s="343"/>
      <c r="AG38" s="343"/>
      <c r="AH38" s="256">
        <v>20000</v>
      </c>
      <c r="AI38" s="343"/>
      <c r="AJ38" s="343"/>
      <c r="AK38" s="343"/>
      <c r="AL38" s="343"/>
      <c r="AM38" s="343"/>
      <c r="AN38" s="343"/>
      <c r="AO38" s="343"/>
      <c r="AP38" s="343"/>
      <c r="AQ38" s="343"/>
      <c r="AR38" s="343"/>
      <c r="AS38" s="343"/>
      <c r="AT38" s="343"/>
      <c r="AU38" s="343"/>
      <c r="AV38" s="256">
        <v>1000</v>
      </c>
      <c r="AW38" s="343"/>
      <c r="AX38" s="343"/>
      <c r="AY38" s="343"/>
      <c r="AZ38" s="343"/>
      <c r="BA38" s="343"/>
      <c r="BB38" s="346">
        <f t="shared" si="1"/>
        <v>30000</v>
      </c>
      <c r="BC38" s="87"/>
    </row>
    <row r="39" spans="1:55" s="272" customFormat="1" ht="18" customHeight="1" x14ac:dyDescent="0.2">
      <c r="A39" s="474">
        <f t="shared" si="4"/>
        <v>14</v>
      </c>
      <c r="B39" s="505" t="s">
        <v>588</v>
      </c>
      <c r="C39" s="506"/>
      <c r="D39" s="506">
        <v>45000</v>
      </c>
      <c r="E39" s="477"/>
      <c r="F39" s="261">
        <v>45000</v>
      </c>
      <c r="L39" s="343"/>
      <c r="M39" s="346">
        <v>15000</v>
      </c>
      <c r="N39" s="343"/>
      <c r="O39" s="343"/>
      <c r="P39" s="343"/>
      <c r="Q39" s="343"/>
      <c r="R39" s="342"/>
      <c r="S39" s="343"/>
      <c r="T39" s="346">
        <v>25000</v>
      </c>
      <c r="U39" s="342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256">
        <v>1000</v>
      </c>
      <c r="AG39" s="343"/>
      <c r="AH39" s="256">
        <v>2000</v>
      </c>
      <c r="AI39" s="343"/>
      <c r="AJ39" s="343"/>
      <c r="AK39" s="343"/>
      <c r="AL39" s="343"/>
      <c r="AM39" s="343"/>
      <c r="AN39" s="343"/>
      <c r="AO39" s="343"/>
      <c r="AP39" s="343"/>
      <c r="AQ39" s="343"/>
      <c r="AR39" s="343"/>
      <c r="AS39" s="343"/>
      <c r="AT39" s="343"/>
      <c r="AU39" s="343"/>
      <c r="AV39" s="256">
        <v>2000</v>
      </c>
      <c r="AW39" s="343"/>
      <c r="AX39" s="343"/>
      <c r="AY39" s="343"/>
      <c r="AZ39" s="343"/>
      <c r="BA39" s="343"/>
      <c r="BB39" s="346">
        <f t="shared" si="1"/>
        <v>45000</v>
      </c>
      <c r="BC39" s="87"/>
    </row>
    <row r="40" spans="1:55" s="276" customFormat="1" ht="18" customHeight="1" x14ac:dyDescent="0.2">
      <c r="A40" s="474">
        <f t="shared" si="4"/>
        <v>15</v>
      </c>
      <c r="B40" s="508" t="s">
        <v>616</v>
      </c>
      <c r="C40" s="506"/>
      <c r="D40" s="506">
        <v>30000</v>
      </c>
      <c r="E40" s="477"/>
      <c r="F40" s="261">
        <v>30000</v>
      </c>
      <c r="G40" s="143"/>
      <c r="L40" s="343"/>
      <c r="M40" s="346">
        <v>10000</v>
      </c>
      <c r="N40" s="343"/>
      <c r="O40" s="343"/>
      <c r="P40" s="343"/>
      <c r="Q40" s="343"/>
      <c r="R40" s="342"/>
      <c r="S40" s="256">
        <v>2000</v>
      </c>
      <c r="T40" s="346">
        <v>15000</v>
      </c>
      <c r="U40" s="342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256">
        <v>1000</v>
      </c>
      <c r="AG40" s="343"/>
      <c r="AH40" s="343"/>
      <c r="AI40" s="343"/>
      <c r="AJ40" s="343"/>
      <c r="AK40" s="343"/>
      <c r="AL40" s="343"/>
      <c r="AM40" s="343"/>
      <c r="AN40" s="343"/>
      <c r="AO40" s="343"/>
      <c r="AP40" s="343"/>
      <c r="AQ40" s="343"/>
      <c r="AR40" s="343"/>
      <c r="AS40" s="343"/>
      <c r="AT40" s="343"/>
      <c r="AU40" s="343"/>
      <c r="AV40" s="256">
        <v>2000</v>
      </c>
      <c r="AW40" s="343"/>
      <c r="AX40" s="343"/>
      <c r="AY40" s="343"/>
      <c r="AZ40" s="343"/>
      <c r="BA40" s="343"/>
      <c r="BB40" s="346">
        <f t="shared" si="1"/>
        <v>30000</v>
      </c>
      <c r="BC40" s="87">
        <f>40000-36500</f>
        <v>3500</v>
      </c>
    </row>
    <row r="41" spans="1:55" s="276" customFormat="1" ht="18" customHeight="1" x14ac:dyDescent="0.2">
      <c r="A41" s="474">
        <f t="shared" si="4"/>
        <v>16</v>
      </c>
      <c r="B41" s="508" t="s">
        <v>589</v>
      </c>
      <c r="C41" s="506"/>
      <c r="D41" s="506">
        <v>28000</v>
      </c>
      <c r="E41" s="477"/>
      <c r="F41" s="261">
        <v>28000</v>
      </c>
      <c r="L41" s="256"/>
      <c r="M41" s="346">
        <v>10000</v>
      </c>
      <c r="N41" s="256"/>
      <c r="O41" s="256"/>
      <c r="P41" s="256"/>
      <c r="Q41" s="256"/>
      <c r="R41" s="342"/>
      <c r="S41" s="256">
        <v>1000</v>
      </c>
      <c r="T41" s="346">
        <v>12000</v>
      </c>
      <c r="U41" s="342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256">
        <v>1500</v>
      </c>
      <c r="AG41" s="343"/>
      <c r="AH41" s="256">
        <v>3500</v>
      </c>
      <c r="AI41" s="343"/>
      <c r="AJ41" s="343"/>
      <c r="AK41" s="343"/>
      <c r="AL41" s="343"/>
      <c r="AM41" s="343"/>
      <c r="AN41" s="343"/>
      <c r="AO41" s="343"/>
      <c r="AP41" s="343"/>
      <c r="AQ41" s="343"/>
      <c r="AR41" s="343"/>
      <c r="AS41" s="343"/>
      <c r="AT41" s="343"/>
      <c r="AU41" s="343"/>
      <c r="AV41" s="256"/>
      <c r="AW41" s="343"/>
      <c r="AX41" s="343"/>
      <c r="AY41" s="343"/>
      <c r="AZ41" s="343"/>
      <c r="BA41" s="343"/>
      <c r="BB41" s="346">
        <f t="shared" si="1"/>
        <v>28000</v>
      </c>
      <c r="BC41" s="87"/>
    </row>
    <row r="42" spans="1:55" s="276" customFormat="1" ht="18" hidden="1" customHeight="1" x14ac:dyDescent="0.2">
      <c r="A42" s="474">
        <f t="shared" si="4"/>
        <v>17</v>
      </c>
      <c r="B42" s="505" t="s">
        <v>590</v>
      </c>
      <c r="C42" s="506"/>
      <c r="D42" s="506"/>
      <c r="E42" s="477"/>
      <c r="F42" s="261">
        <v>25000</v>
      </c>
      <c r="G42" s="143"/>
      <c r="H42" s="87"/>
      <c r="L42" s="87"/>
      <c r="M42" s="87"/>
      <c r="N42" s="87"/>
      <c r="O42" s="87"/>
      <c r="P42" s="87"/>
      <c r="Q42" s="87"/>
      <c r="R42" s="213"/>
      <c r="S42" s="87"/>
      <c r="T42" s="87"/>
      <c r="U42" s="213"/>
      <c r="AV42" s="87"/>
      <c r="BB42" s="456">
        <f t="shared" si="1"/>
        <v>0</v>
      </c>
      <c r="BC42" s="87"/>
    </row>
    <row r="43" spans="1:55" s="276" customFormat="1" ht="18" customHeight="1" x14ac:dyDescent="0.2">
      <c r="A43" s="474">
        <f t="shared" si="4"/>
        <v>18</v>
      </c>
      <c r="B43" s="505" t="s">
        <v>591</v>
      </c>
      <c r="C43" s="506"/>
      <c r="D43" s="506">
        <v>15000</v>
      </c>
      <c r="E43" s="477"/>
      <c r="F43" s="261">
        <v>15000</v>
      </c>
      <c r="H43" s="87"/>
      <c r="L43" s="256"/>
      <c r="M43" s="346">
        <v>6000</v>
      </c>
      <c r="N43" s="256"/>
      <c r="O43" s="256"/>
      <c r="P43" s="256"/>
      <c r="Q43" s="256"/>
      <c r="R43" s="342"/>
      <c r="S43" s="256"/>
      <c r="T43" s="346">
        <v>6000</v>
      </c>
      <c r="U43" s="342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3"/>
      <c r="AG43" s="343"/>
      <c r="AH43" s="343"/>
      <c r="AI43" s="343"/>
      <c r="AJ43" s="343"/>
      <c r="AK43" s="343"/>
      <c r="AL43" s="343"/>
      <c r="AM43" s="343"/>
      <c r="AN43" s="343"/>
      <c r="AO43" s="343"/>
      <c r="AP43" s="343"/>
      <c r="AQ43" s="343"/>
      <c r="AR43" s="343"/>
      <c r="AS43" s="343"/>
      <c r="AT43" s="343"/>
      <c r="AU43" s="343"/>
      <c r="AV43" s="256">
        <v>3000</v>
      </c>
      <c r="AW43" s="343"/>
      <c r="AX43" s="343"/>
      <c r="AY43" s="343"/>
      <c r="AZ43" s="343"/>
      <c r="BA43" s="343"/>
      <c r="BB43" s="346">
        <f t="shared" si="1"/>
        <v>15000</v>
      </c>
      <c r="BC43" s="87"/>
    </row>
    <row r="44" spans="1:55" s="276" customFormat="1" ht="18" hidden="1" customHeight="1" x14ac:dyDescent="0.2">
      <c r="A44" s="474">
        <f t="shared" si="4"/>
        <v>19</v>
      </c>
      <c r="B44" s="508" t="s">
        <v>617</v>
      </c>
      <c r="C44" s="506"/>
      <c r="D44" s="506"/>
      <c r="E44" s="477"/>
      <c r="F44" s="261">
        <v>25000</v>
      </c>
      <c r="H44" s="87"/>
      <c r="L44" s="87"/>
      <c r="M44" s="87"/>
      <c r="N44" s="87"/>
      <c r="O44" s="87"/>
      <c r="P44" s="87"/>
      <c r="Q44" s="87"/>
      <c r="R44" s="213"/>
      <c r="S44" s="87"/>
      <c r="T44" s="87"/>
      <c r="U44" s="213"/>
      <c r="AV44" s="87"/>
      <c r="BB44" s="456">
        <f t="shared" si="1"/>
        <v>0</v>
      </c>
      <c r="BC44" s="87"/>
    </row>
    <row r="45" spans="1:55" s="276" customFormat="1" ht="18" customHeight="1" x14ac:dyDescent="0.2">
      <c r="A45" s="474">
        <f t="shared" si="4"/>
        <v>20</v>
      </c>
      <c r="B45" s="508" t="s">
        <v>592</v>
      </c>
      <c r="C45" s="506"/>
      <c r="D45" s="506">
        <v>20000</v>
      </c>
      <c r="E45" s="477"/>
      <c r="F45" s="261">
        <v>20000</v>
      </c>
      <c r="H45" s="87"/>
      <c r="L45" s="256"/>
      <c r="M45" s="346">
        <v>8000</v>
      </c>
      <c r="N45" s="256"/>
      <c r="O45" s="256"/>
      <c r="P45" s="256"/>
      <c r="Q45" s="256"/>
      <c r="R45" s="342"/>
      <c r="S45" s="256"/>
      <c r="T45" s="346">
        <v>10000</v>
      </c>
      <c r="U45" s="342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3"/>
      <c r="AG45" s="343"/>
      <c r="AH45" s="256">
        <v>1000</v>
      </c>
      <c r="AI45" s="343"/>
      <c r="AJ45" s="343"/>
      <c r="AK45" s="343"/>
      <c r="AL45" s="343"/>
      <c r="AM45" s="343"/>
      <c r="AN45" s="343"/>
      <c r="AO45" s="343"/>
      <c r="AP45" s="343"/>
      <c r="AQ45" s="343"/>
      <c r="AR45" s="343"/>
      <c r="AS45" s="343"/>
      <c r="AT45" s="343"/>
      <c r="AU45" s="343"/>
      <c r="AV45" s="256">
        <v>1000</v>
      </c>
      <c r="AW45" s="343"/>
      <c r="AX45" s="343"/>
      <c r="AY45" s="343"/>
      <c r="AZ45" s="343"/>
      <c r="BA45" s="343"/>
      <c r="BB45" s="346">
        <f t="shared" si="1"/>
        <v>20000</v>
      </c>
      <c r="BC45" s="87"/>
    </row>
    <row r="46" spans="1:55" s="276" customFormat="1" ht="18" customHeight="1" x14ac:dyDescent="0.2">
      <c r="A46" s="474">
        <f t="shared" si="4"/>
        <v>21</v>
      </c>
      <c r="B46" s="508" t="s">
        <v>593</v>
      </c>
      <c r="C46" s="506"/>
      <c r="D46" s="506">
        <v>20000</v>
      </c>
      <c r="E46" s="477"/>
      <c r="F46" s="261">
        <v>20000</v>
      </c>
      <c r="H46" s="87"/>
      <c r="L46" s="256"/>
      <c r="M46" s="256">
        <v>6000</v>
      </c>
      <c r="N46" s="256"/>
      <c r="O46" s="256"/>
      <c r="P46" s="256"/>
      <c r="Q46" s="256"/>
      <c r="R46" s="342"/>
      <c r="S46" s="256">
        <v>500</v>
      </c>
      <c r="T46" s="256">
        <v>9000</v>
      </c>
      <c r="U46" s="342"/>
      <c r="V46" s="343"/>
      <c r="W46" s="343"/>
      <c r="X46" s="256">
        <v>500</v>
      </c>
      <c r="Y46" s="343"/>
      <c r="Z46" s="343"/>
      <c r="AA46" s="343"/>
      <c r="AB46" s="343"/>
      <c r="AC46" s="343"/>
      <c r="AD46" s="343"/>
      <c r="AE46" s="343"/>
      <c r="AF46" s="343"/>
      <c r="AG46" s="343"/>
      <c r="AH46" s="256">
        <v>1500</v>
      </c>
      <c r="AI46" s="343"/>
      <c r="AJ46" s="343"/>
      <c r="AK46" s="343"/>
      <c r="AL46" s="343"/>
      <c r="AM46" s="343"/>
      <c r="AN46" s="343"/>
      <c r="AO46" s="343"/>
      <c r="AP46" s="343"/>
      <c r="AQ46" s="343"/>
      <c r="AR46" s="343"/>
      <c r="AS46" s="343"/>
      <c r="AT46" s="343"/>
      <c r="AU46" s="343"/>
      <c r="AV46" s="256">
        <v>2500</v>
      </c>
      <c r="AW46" s="343"/>
      <c r="AX46" s="343"/>
      <c r="AY46" s="343"/>
      <c r="AZ46" s="343"/>
      <c r="BA46" s="343"/>
      <c r="BB46" s="346">
        <f t="shared" si="1"/>
        <v>20000</v>
      </c>
      <c r="BC46" s="87"/>
    </row>
    <row r="47" spans="1:55" s="276" customFormat="1" ht="18" customHeight="1" x14ac:dyDescent="0.2">
      <c r="A47" s="474">
        <f t="shared" si="4"/>
        <v>22</v>
      </c>
      <c r="B47" s="508" t="s">
        <v>654</v>
      </c>
      <c r="C47" s="506"/>
      <c r="D47" s="506">
        <v>25000</v>
      </c>
      <c r="E47" s="477"/>
      <c r="F47" s="261">
        <v>25000</v>
      </c>
      <c r="H47" s="87"/>
      <c r="L47" s="256"/>
      <c r="M47" s="256">
        <v>8000</v>
      </c>
      <c r="N47" s="256"/>
      <c r="O47" s="256"/>
      <c r="P47" s="256"/>
      <c r="Q47" s="256"/>
      <c r="R47" s="342"/>
      <c r="S47" s="256">
        <v>500</v>
      </c>
      <c r="T47" s="256">
        <v>11000</v>
      </c>
      <c r="U47" s="342"/>
      <c r="V47" s="343"/>
      <c r="W47" s="343"/>
      <c r="X47" s="256">
        <v>500</v>
      </c>
      <c r="Y47" s="343"/>
      <c r="Z47" s="343"/>
      <c r="AA47" s="343"/>
      <c r="AB47" s="343"/>
      <c r="AC47" s="343"/>
      <c r="AD47" s="343"/>
      <c r="AE47" s="343"/>
      <c r="AF47" s="256">
        <v>500</v>
      </c>
      <c r="AG47" s="343"/>
      <c r="AH47" s="256">
        <v>2500</v>
      </c>
      <c r="AI47" s="343"/>
      <c r="AJ47" s="343"/>
      <c r="AK47" s="343"/>
      <c r="AL47" s="343"/>
      <c r="AM47" s="343"/>
      <c r="AN47" s="343"/>
      <c r="AO47" s="343"/>
      <c r="AP47" s="343"/>
      <c r="AQ47" s="343"/>
      <c r="AR47" s="343"/>
      <c r="AS47" s="343"/>
      <c r="AT47" s="343"/>
      <c r="AU47" s="343"/>
      <c r="AV47" s="256">
        <v>2000</v>
      </c>
      <c r="AW47" s="343"/>
      <c r="AX47" s="343"/>
      <c r="AY47" s="343"/>
      <c r="AZ47" s="343"/>
      <c r="BA47" s="343"/>
      <c r="BB47" s="346">
        <f t="shared" si="1"/>
        <v>25000</v>
      </c>
      <c r="BC47" s="87"/>
    </row>
    <row r="48" spans="1:55" s="280" customFormat="1" ht="0.75" hidden="1" customHeight="1" x14ac:dyDescent="0.2">
      <c r="A48" s="474">
        <f t="shared" si="4"/>
        <v>23</v>
      </c>
      <c r="B48" s="508"/>
      <c r="C48" s="506"/>
      <c r="D48" s="506"/>
      <c r="E48" s="477"/>
      <c r="F48" s="261">
        <v>6000</v>
      </c>
      <c r="H48" s="87"/>
      <c r="L48" s="87"/>
      <c r="M48" s="87"/>
      <c r="N48" s="87"/>
      <c r="O48" s="87"/>
      <c r="P48" s="87"/>
      <c r="Q48" s="87"/>
      <c r="R48" s="213"/>
      <c r="S48" s="87"/>
      <c r="T48" s="87"/>
      <c r="U48" s="213"/>
      <c r="AV48" s="87"/>
      <c r="BB48" s="456">
        <f t="shared" si="1"/>
        <v>0</v>
      </c>
      <c r="BC48" s="87"/>
    </row>
    <row r="49" spans="1:55" s="301" customFormat="1" ht="18" customHeight="1" x14ac:dyDescent="0.2">
      <c r="A49" s="474">
        <f t="shared" si="4"/>
        <v>24</v>
      </c>
      <c r="B49" s="508" t="s">
        <v>628</v>
      </c>
      <c r="C49" s="506"/>
      <c r="D49" s="506">
        <v>13497.2</v>
      </c>
      <c r="E49" s="477"/>
      <c r="F49" s="261"/>
      <c r="H49" s="87"/>
      <c r="L49" s="87"/>
      <c r="M49" s="87"/>
      <c r="N49" s="87"/>
      <c r="O49" s="87"/>
      <c r="P49" s="87"/>
      <c r="Q49" s="87"/>
      <c r="R49" s="213"/>
      <c r="S49" s="87"/>
      <c r="T49" s="87"/>
      <c r="U49" s="213"/>
      <c r="AH49" s="256">
        <v>13497.2</v>
      </c>
      <c r="AV49" s="87"/>
      <c r="BB49" s="456">
        <f t="shared" si="1"/>
        <v>13497.2</v>
      </c>
      <c r="BC49" s="87"/>
    </row>
    <row r="50" spans="1:55" s="294" customFormat="1" ht="18" customHeight="1" x14ac:dyDescent="0.2">
      <c r="A50" s="474">
        <f t="shared" si="4"/>
        <v>25</v>
      </c>
      <c r="B50" s="508" t="s">
        <v>626</v>
      </c>
      <c r="C50" s="506"/>
      <c r="D50" s="506">
        <v>25000</v>
      </c>
      <c r="E50" s="478"/>
      <c r="F50" s="261">
        <v>20000</v>
      </c>
      <c r="H50" s="87"/>
      <c r="L50" s="343"/>
      <c r="M50" s="256">
        <v>8000</v>
      </c>
      <c r="N50" s="343"/>
      <c r="O50" s="343"/>
      <c r="P50" s="343"/>
      <c r="Q50" s="343"/>
      <c r="R50" s="342"/>
      <c r="S50" s="343"/>
      <c r="T50" s="256">
        <v>10000</v>
      </c>
      <c r="U50" s="342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256">
        <v>500</v>
      </c>
      <c r="AG50" s="343"/>
      <c r="AH50" s="256">
        <v>4500</v>
      </c>
      <c r="AI50" s="343"/>
      <c r="AJ50" s="343"/>
      <c r="AK50" s="343"/>
      <c r="AL50" s="343"/>
      <c r="AM50" s="343"/>
      <c r="AN50" s="343"/>
      <c r="AO50" s="343"/>
      <c r="AP50" s="343"/>
      <c r="AQ50" s="343"/>
      <c r="AR50" s="343"/>
      <c r="AS50" s="343"/>
      <c r="AT50" s="343"/>
      <c r="AU50" s="343"/>
      <c r="AV50" s="256">
        <v>2000</v>
      </c>
      <c r="AW50" s="343"/>
      <c r="AX50" s="343"/>
      <c r="AY50" s="343"/>
      <c r="AZ50" s="343"/>
      <c r="BA50" s="343"/>
      <c r="BB50" s="346">
        <f t="shared" si="1"/>
        <v>25000</v>
      </c>
      <c r="BC50" s="87"/>
    </row>
    <row r="51" spans="1:55" s="301" customFormat="1" ht="26.25" customHeight="1" x14ac:dyDescent="0.3">
      <c r="A51" s="474">
        <v>26</v>
      </c>
      <c r="B51" s="479" t="s">
        <v>642</v>
      </c>
      <c r="C51" s="467"/>
      <c r="D51" s="480">
        <v>9952.2800000000007</v>
      </c>
      <c r="E51" s="468"/>
      <c r="F51" s="261"/>
      <c r="H51" s="87"/>
      <c r="M51" s="87">
        <v>3000</v>
      </c>
      <c r="R51" s="213"/>
      <c r="T51" s="87">
        <v>6952.28</v>
      </c>
      <c r="U51" s="213"/>
      <c r="AV51" s="87"/>
      <c r="BB51" s="456">
        <f t="shared" si="1"/>
        <v>9952.2799999999988</v>
      </c>
      <c r="BC51" s="87"/>
    </row>
    <row r="52" spans="1:55" ht="18" customHeight="1" x14ac:dyDescent="0.2">
      <c r="A52" s="502"/>
      <c r="B52" s="481" t="s">
        <v>493</v>
      </c>
      <c r="C52" s="481"/>
      <c r="D52" s="465"/>
      <c r="E52" s="465"/>
      <c r="F52" s="279"/>
      <c r="AV52" s="87"/>
      <c r="BB52" s="456">
        <f t="shared" si="1"/>
        <v>0</v>
      </c>
      <c r="BC52" s="87"/>
    </row>
    <row r="53" spans="1:55" ht="18" customHeight="1" x14ac:dyDescent="0.2">
      <c r="A53" s="502"/>
      <c r="B53" s="481" t="s">
        <v>396</v>
      </c>
      <c r="C53" s="481"/>
      <c r="D53" s="465"/>
      <c r="E53" s="467">
        <v>5000</v>
      </c>
      <c r="F53" s="279"/>
      <c r="AK53" s="87">
        <v>5000</v>
      </c>
      <c r="AV53" s="87"/>
      <c r="BB53" s="456">
        <f t="shared" si="1"/>
        <v>5000</v>
      </c>
      <c r="BC53" s="87"/>
    </row>
    <row r="54" spans="1:55" s="295" customFormat="1" ht="18" customHeight="1" x14ac:dyDescent="0.2">
      <c r="A54" s="502"/>
      <c r="B54" s="481" t="s">
        <v>627</v>
      </c>
      <c r="C54" s="481"/>
      <c r="D54" s="465"/>
      <c r="E54" s="467">
        <v>20000</v>
      </c>
      <c r="F54" s="279"/>
      <c r="Y54" s="240">
        <v>20000</v>
      </c>
      <c r="AV54" s="87"/>
      <c r="BB54" s="456">
        <f t="shared" si="1"/>
        <v>20000</v>
      </c>
      <c r="BC54" s="87"/>
    </row>
    <row r="55" spans="1:55" ht="18" customHeight="1" x14ac:dyDescent="0.2">
      <c r="A55" s="502"/>
      <c r="B55" s="481" t="s">
        <v>494</v>
      </c>
      <c r="C55" s="481"/>
      <c r="D55" s="467"/>
      <c r="E55" s="467">
        <v>56000</v>
      </c>
      <c r="F55" s="279"/>
      <c r="AV55" s="87"/>
      <c r="BB55" s="456">
        <f t="shared" si="1"/>
        <v>0</v>
      </c>
      <c r="BC55" s="87">
        <f>SUM(G55:AX55)</f>
        <v>0</v>
      </c>
    </row>
    <row r="56" spans="1:55" ht="18" customHeight="1" x14ac:dyDescent="0.2">
      <c r="A56" s="502"/>
      <c r="B56" s="481" t="s">
        <v>495</v>
      </c>
      <c r="C56" s="481"/>
      <c r="D56" s="482"/>
      <c r="E56" s="482">
        <v>8000</v>
      </c>
      <c r="F56" s="261">
        <f t="shared" ref="F56:F63" si="5">SUM(G56:BA56)</f>
        <v>0</v>
      </c>
      <c r="AT56" s="87"/>
      <c r="AV56" s="87"/>
      <c r="BB56" s="456">
        <f t="shared" si="1"/>
        <v>0</v>
      </c>
      <c r="BC56" s="87">
        <v>20000</v>
      </c>
    </row>
    <row r="57" spans="1:55" ht="18" customHeight="1" x14ac:dyDescent="0.2">
      <c r="A57" s="502"/>
      <c r="B57" s="481" t="s">
        <v>496</v>
      </c>
      <c r="C57" s="481"/>
      <c r="D57" s="483"/>
      <c r="E57" s="483">
        <v>0</v>
      </c>
      <c r="F57" s="261">
        <f t="shared" si="5"/>
        <v>0</v>
      </c>
      <c r="BB57" s="456">
        <f t="shared" si="1"/>
        <v>0</v>
      </c>
      <c r="BC57" s="87">
        <v>5000</v>
      </c>
    </row>
    <row r="58" spans="1:55" ht="18" customHeight="1" x14ac:dyDescent="0.2">
      <c r="A58" s="502"/>
      <c r="B58" s="481" t="s">
        <v>497</v>
      </c>
      <c r="C58" s="481"/>
      <c r="D58" s="483"/>
      <c r="E58" s="483">
        <f>190000+6000</f>
        <v>196000</v>
      </c>
      <c r="F58" s="261">
        <f t="shared" si="5"/>
        <v>196000</v>
      </c>
      <c r="AZ58" s="240">
        <v>196000</v>
      </c>
      <c r="BB58" s="456">
        <f t="shared" si="1"/>
        <v>196000</v>
      </c>
      <c r="BC58" s="87">
        <v>20000</v>
      </c>
    </row>
    <row r="59" spans="1:55" ht="18" customHeight="1" x14ac:dyDescent="0.2">
      <c r="A59" s="502"/>
      <c r="B59" s="481" t="s">
        <v>498</v>
      </c>
      <c r="C59" s="481"/>
      <c r="D59" s="483"/>
      <c r="E59" s="484"/>
      <c r="F59" s="261">
        <f t="shared" si="5"/>
        <v>0</v>
      </c>
      <c r="BB59" s="456">
        <f t="shared" si="1"/>
        <v>0</v>
      </c>
      <c r="BC59" s="87">
        <v>9000</v>
      </c>
    </row>
    <row r="60" spans="1:55" ht="18" customHeight="1" x14ac:dyDescent="0.2">
      <c r="A60" s="502"/>
      <c r="B60" s="481" t="s">
        <v>499</v>
      </c>
      <c r="C60" s="481"/>
      <c r="D60" s="483"/>
      <c r="E60" s="484"/>
      <c r="F60" s="261">
        <f t="shared" si="5"/>
        <v>0</v>
      </c>
      <c r="BB60" s="456">
        <f t="shared" si="1"/>
        <v>0</v>
      </c>
      <c r="BC60" s="87">
        <v>8000</v>
      </c>
    </row>
    <row r="61" spans="1:55" ht="18" customHeight="1" x14ac:dyDescent="0.2">
      <c r="A61" s="502"/>
      <c r="B61" s="481" t="s">
        <v>500</v>
      </c>
      <c r="C61" s="481"/>
      <c r="D61" s="483"/>
      <c r="E61" s="484"/>
      <c r="F61" s="261">
        <f t="shared" si="5"/>
        <v>0</v>
      </c>
      <c r="BB61" s="456">
        <f t="shared" si="1"/>
        <v>0</v>
      </c>
      <c r="BC61" s="87">
        <v>10000</v>
      </c>
    </row>
    <row r="62" spans="1:55" ht="18" customHeight="1" x14ac:dyDescent="0.2">
      <c r="A62" s="502"/>
      <c r="B62" s="481" t="s">
        <v>501</v>
      </c>
      <c r="C62" s="481"/>
      <c r="D62" s="483"/>
      <c r="E62" s="483">
        <v>5000</v>
      </c>
      <c r="F62" s="261">
        <f t="shared" si="5"/>
        <v>0</v>
      </c>
      <c r="BB62" s="456">
        <f t="shared" si="1"/>
        <v>0</v>
      </c>
      <c r="BC62" s="87">
        <v>25000</v>
      </c>
    </row>
    <row r="63" spans="1:55" ht="18" customHeight="1" thickBot="1" x14ac:dyDescent="0.25">
      <c r="A63" s="502"/>
      <c r="B63" s="481" t="s">
        <v>502</v>
      </c>
      <c r="C63" s="481"/>
      <c r="D63" s="483"/>
      <c r="E63" s="467">
        <v>4000.37</v>
      </c>
      <c r="F63" s="261">
        <f t="shared" si="5"/>
        <v>0</v>
      </c>
      <c r="BB63" s="456">
        <f t="shared" si="1"/>
        <v>0</v>
      </c>
      <c r="BC63" s="87">
        <v>20000</v>
      </c>
    </row>
    <row r="64" spans="1:55" ht="18" customHeight="1" thickBot="1" x14ac:dyDescent="0.25">
      <c r="A64" s="502"/>
      <c r="B64" s="485" t="s">
        <v>573</v>
      </c>
      <c r="C64" s="485"/>
      <c r="D64" s="486"/>
      <c r="E64" s="487"/>
      <c r="F64" s="260">
        <f>SUM(G64:BA64)</f>
        <v>1241449.48</v>
      </c>
      <c r="G64" s="263">
        <f>SUM(G8:G63)</f>
        <v>0</v>
      </c>
      <c r="H64" s="509">
        <f t="shared" ref="H64:L64" si="6">SUM(H8:H63)</f>
        <v>0</v>
      </c>
      <c r="I64" s="509">
        <f t="shared" si="6"/>
        <v>0</v>
      </c>
      <c r="J64" s="509">
        <f t="shared" si="6"/>
        <v>0</v>
      </c>
      <c r="K64" s="509">
        <f t="shared" si="6"/>
        <v>0</v>
      </c>
      <c r="L64" s="509">
        <f t="shared" si="6"/>
        <v>0</v>
      </c>
      <c r="M64" s="509">
        <f>SUM(M8:M63)</f>
        <v>155000</v>
      </c>
      <c r="N64" s="509">
        <f>SUM(N8:N63)</f>
        <v>14500</v>
      </c>
      <c r="O64" s="509">
        <f t="shared" ref="O64:BA64" si="7">SUM(O8:O63)</f>
        <v>0</v>
      </c>
      <c r="P64" s="509">
        <f t="shared" si="7"/>
        <v>15000</v>
      </c>
      <c r="Q64" s="509">
        <f t="shared" si="7"/>
        <v>0</v>
      </c>
      <c r="R64" s="509">
        <f t="shared" si="7"/>
        <v>800</v>
      </c>
      <c r="S64" s="509">
        <f t="shared" si="7"/>
        <v>4200</v>
      </c>
      <c r="T64" s="509">
        <f t="shared" si="7"/>
        <v>287056.26</v>
      </c>
      <c r="U64" s="509">
        <f t="shared" si="7"/>
        <v>700</v>
      </c>
      <c r="V64" s="509">
        <f t="shared" si="7"/>
        <v>5000</v>
      </c>
      <c r="W64" s="509">
        <f t="shared" si="7"/>
        <v>0</v>
      </c>
      <c r="X64" s="509">
        <f t="shared" si="7"/>
        <v>1500</v>
      </c>
      <c r="Y64" s="509">
        <f t="shared" si="7"/>
        <v>20000</v>
      </c>
      <c r="Z64" s="509">
        <f t="shared" si="7"/>
        <v>0</v>
      </c>
      <c r="AA64" s="509">
        <f t="shared" si="7"/>
        <v>0</v>
      </c>
      <c r="AB64" s="509">
        <f t="shared" si="7"/>
        <v>28600</v>
      </c>
      <c r="AC64" s="509">
        <f t="shared" si="7"/>
        <v>3500</v>
      </c>
      <c r="AD64" s="509">
        <f t="shared" si="7"/>
        <v>900</v>
      </c>
      <c r="AE64" s="509">
        <f t="shared" si="7"/>
        <v>0</v>
      </c>
      <c r="AF64" s="509">
        <f t="shared" si="7"/>
        <v>11300</v>
      </c>
      <c r="AG64" s="509">
        <f t="shared" si="7"/>
        <v>80600</v>
      </c>
      <c r="AH64" s="509">
        <f>SUM(AH8:AH63)</f>
        <v>98243.22</v>
      </c>
      <c r="AI64" s="509">
        <f t="shared" si="7"/>
        <v>89800</v>
      </c>
      <c r="AJ64" s="509">
        <f t="shared" si="7"/>
        <v>21000</v>
      </c>
      <c r="AK64" s="509">
        <f t="shared" si="7"/>
        <v>5000</v>
      </c>
      <c r="AL64" s="509">
        <f t="shared" si="7"/>
        <v>108980</v>
      </c>
      <c r="AM64" s="509">
        <f t="shared" si="7"/>
        <v>61020</v>
      </c>
      <c r="AN64" s="509">
        <f t="shared" si="7"/>
        <v>0</v>
      </c>
      <c r="AO64" s="509">
        <f t="shared" si="7"/>
        <v>0</v>
      </c>
      <c r="AP64" s="509">
        <f t="shared" si="7"/>
        <v>0</v>
      </c>
      <c r="AQ64" s="509">
        <f t="shared" si="7"/>
        <v>0</v>
      </c>
      <c r="AR64" s="509">
        <f t="shared" si="7"/>
        <v>500</v>
      </c>
      <c r="AS64" s="509">
        <f t="shared" si="7"/>
        <v>0</v>
      </c>
      <c r="AT64" s="509">
        <f t="shared" si="7"/>
        <v>0</v>
      </c>
      <c r="AU64" s="509">
        <f t="shared" si="7"/>
        <v>0</v>
      </c>
      <c r="AV64" s="509">
        <f>SUM(AV8:AV63)</f>
        <v>32250</v>
      </c>
      <c r="AW64" s="509">
        <f t="shared" si="7"/>
        <v>0</v>
      </c>
      <c r="AX64" s="509">
        <f t="shared" si="7"/>
        <v>0</v>
      </c>
      <c r="AY64" s="509">
        <f t="shared" si="7"/>
        <v>0</v>
      </c>
      <c r="AZ64" s="509">
        <f t="shared" si="7"/>
        <v>196000</v>
      </c>
      <c r="BA64" s="509">
        <f t="shared" si="7"/>
        <v>0</v>
      </c>
      <c r="BB64" s="150">
        <f>SUM(BB8:BB63)</f>
        <v>1241449.48</v>
      </c>
      <c r="BC64" s="143">
        <f>SUM(G64:BA64)</f>
        <v>1241449.48</v>
      </c>
    </row>
    <row r="65" spans="1:55" ht="18" customHeight="1" x14ac:dyDescent="0.2">
      <c r="A65" s="504"/>
      <c r="B65" s="473" t="s">
        <v>618</v>
      </c>
      <c r="C65" s="488" t="e">
        <f>+#REF!+#REF!-43461.62</f>
        <v>#REF!</v>
      </c>
      <c r="D65" s="488">
        <f>SUM(D22:D48)</f>
        <v>560000</v>
      </c>
      <c r="E65" s="488">
        <f>SUM(E7:E64)</f>
        <v>1314449.8500000001</v>
      </c>
      <c r="F65" s="291"/>
      <c r="G65" s="253" t="e">
        <f>G64+#REF!</f>
        <v>#REF!</v>
      </c>
      <c r="H65" t="e">
        <f>H64+#REF!</f>
        <v>#REF!</v>
      </c>
      <c r="I65" s="259" t="e">
        <f>I64+#REF!</f>
        <v>#REF!</v>
      </c>
      <c r="J65" s="259" t="e">
        <f>J64+#REF!</f>
        <v>#REF!</v>
      </c>
      <c r="K65" t="e">
        <f>K64+#REF!</f>
        <v>#REF!</v>
      </c>
      <c r="L65" t="e">
        <f>L64+#REF!</f>
        <v>#REF!</v>
      </c>
      <c r="M65" t="e">
        <f>M64+#REF!</f>
        <v>#REF!</v>
      </c>
      <c r="N65" t="e">
        <f>N64+#REF!</f>
        <v>#REF!</v>
      </c>
      <c r="O65" t="e">
        <f>O64+#REF!</f>
        <v>#REF!</v>
      </c>
      <c r="P65" t="e">
        <f>P64+#REF!</f>
        <v>#REF!</v>
      </c>
      <c r="Q65" t="e">
        <f>Q64+#REF!</f>
        <v>#REF!</v>
      </c>
      <c r="R65" t="e">
        <f>R64+#REF!</f>
        <v>#REF!</v>
      </c>
      <c r="S65" t="e">
        <f>S64+#REF!</f>
        <v>#REF!</v>
      </c>
      <c r="T65" t="e">
        <f>T64+#REF!</f>
        <v>#REF!</v>
      </c>
      <c r="U65" t="e">
        <f>U64+#REF!</f>
        <v>#REF!</v>
      </c>
      <c r="V65" t="e">
        <f>V64+#REF!</f>
        <v>#REF!</v>
      </c>
      <c r="W65" t="e">
        <f>W64+#REF!</f>
        <v>#REF!</v>
      </c>
      <c r="X65" t="e">
        <f>X64+#REF!</f>
        <v>#REF!</v>
      </c>
      <c r="Y65" t="e">
        <f>Y64+#REF!</f>
        <v>#REF!</v>
      </c>
      <c r="Z65" t="e">
        <f>Z64+#REF!</f>
        <v>#REF!</v>
      </c>
      <c r="AA65" t="e">
        <f>AA64+#REF!</f>
        <v>#REF!</v>
      </c>
      <c r="AB65" t="e">
        <f>AB64+#REF!</f>
        <v>#REF!</v>
      </c>
      <c r="AC65" t="e">
        <f>AC64+#REF!</f>
        <v>#REF!</v>
      </c>
      <c r="AD65" t="e">
        <f>AD64+#REF!</f>
        <v>#REF!</v>
      </c>
      <c r="AE65" t="e">
        <f>AE64+#REF!</f>
        <v>#REF!</v>
      </c>
      <c r="AF65" t="e">
        <f>AF64+#REF!</f>
        <v>#REF!</v>
      </c>
      <c r="AG65" t="e">
        <f>AG64+#REF!</f>
        <v>#REF!</v>
      </c>
      <c r="AH65" t="e">
        <f>AH64+#REF!</f>
        <v>#REF!</v>
      </c>
      <c r="AI65" t="e">
        <f>AI64+#REF!</f>
        <v>#REF!</v>
      </c>
      <c r="AJ65" t="e">
        <f>AJ64+#REF!</f>
        <v>#REF!</v>
      </c>
      <c r="AK65" t="e">
        <f>AK64+#REF!</f>
        <v>#REF!</v>
      </c>
      <c r="AL65" t="e">
        <f>AL64+#REF!</f>
        <v>#REF!</v>
      </c>
      <c r="AM65" t="e">
        <f>AM64+#REF!</f>
        <v>#REF!</v>
      </c>
      <c r="AN65" t="e">
        <f>AN64+#REF!</f>
        <v>#REF!</v>
      </c>
      <c r="AO65" t="e">
        <f>AO64+#REF!</f>
        <v>#REF!</v>
      </c>
      <c r="AP65" t="e">
        <f>AP64+#REF!</f>
        <v>#REF!</v>
      </c>
      <c r="AQ65" t="e">
        <f>AQ64+#REF!</f>
        <v>#REF!</v>
      </c>
      <c r="AR65" t="e">
        <f>AR64+#REF!</f>
        <v>#REF!</v>
      </c>
      <c r="AS65" t="e">
        <f>AS64+#REF!</f>
        <v>#REF!</v>
      </c>
      <c r="AU65" t="e">
        <f>AU64+#REF!</f>
        <v>#REF!</v>
      </c>
      <c r="AV65" t="e">
        <f>AV64+#REF!</f>
        <v>#REF!</v>
      </c>
      <c r="AW65" t="e">
        <f>AW64+#REF!</f>
        <v>#REF!</v>
      </c>
      <c r="AX65" t="e">
        <f>AX64+#REF!</f>
        <v>#REF!</v>
      </c>
      <c r="AY65" t="e">
        <f>AY64+#REF!</f>
        <v>#REF!</v>
      </c>
      <c r="BA65" t="e">
        <f>BA64+#REF!</f>
        <v>#REF!</v>
      </c>
      <c r="BC65" s="143"/>
    </row>
    <row r="66" spans="1:55" ht="21.75" customHeight="1" x14ac:dyDescent="0.25">
      <c r="A66" s="21"/>
      <c r="D66" s="214"/>
      <c r="E66" s="535">
        <f>D3</f>
        <v>1314449.8500000001</v>
      </c>
      <c r="F66" s="94"/>
      <c r="G66" s="143">
        <f>SUM(G64:BA64)</f>
        <v>1241449.48</v>
      </c>
      <c r="BC66" s="143"/>
    </row>
    <row r="67" spans="1:55" ht="21.75" customHeight="1" x14ac:dyDescent="0.25">
      <c r="A67" s="21"/>
      <c r="D67" s="214"/>
      <c r="E67" s="299">
        <f>E66-E65</f>
        <v>0</v>
      </c>
      <c r="F67" s="240">
        <f>634562.39+500000</f>
        <v>1134562.3900000001</v>
      </c>
      <c r="G67">
        <v>46000</v>
      </c>
      <c r="M67">
        <v>1</v>
      </c>
      <c r="S67">
        <v>2</v>
      </c>
      <c r="T67">
        <v>3</v>
      </c>
      <c r="X67">
        <v>4</v>
      </c>
      <c r="Y67">
        <v>5</v>
      </c>
      <c r="Z67">
        <v>6</v>
      </c>
      <c r="AA67">
        <v>7</v>
      </c>
      <c r="AE67">
        <v>8</v>
      </c>
      <c r="AH67">
        <v>9</v>
      </c>
      <c r="AV67">
        <v>10</v>
      </c>
      <c r="BC67" s="143"/>
    </row>
    <row r="68" spans="1:55" ht="21.75" customHeight="1" x14ac:dyDescent="0.25">
      <c r="A68" s="21"/>
      <c r="D68" s="214"/>
      <c r="E68" s="214"/>
      <c r="F68" s="94"/>
      <c r="G68">
        <v>121110.13</v>
      </c>
      <c r="BC68" s="143"/>
    </row>
    <row r="69" spans="1:55" ht="21.75" customHeight="1" x14ac:dyDescent="0.25">
      <c r="A69" s="21"/>
      <c r="D69" s="214"/>
      <c r="E69" s="214"/>
      <c r="F69" s="240">
        <f>500000+34087.64</f>
        <v>534087.64</v>
      </c>
      <c r="G69" s="143">
        <f>SUM(G66:G68)</f>
        <v>1408559.6099999999</v>
      </c>
      <c r="BC69" s="143"/>
    </row>
    <row r="70" spans="1:55" ht="21.75" customHeight="1" x14ac:dyDescent="0.25">
      <c r="A70" s="21"/>
      <c r="D70" s="214"/>
      <c r="E70" s="214"/>
      <c r="F70" s="94"/>
      <c r="BC70" s="143"/>
    </row>
    <row r="71" spans="1:55" x14ac:dyDescent="0.2">
      <c r="A71" s="21"/>
      <c r="F71" s="94"/>
      <c r="BC71" s="143"/>
    </row>
    <row r="72" spans="1:55" x14ac:dyDescent="0.2">
      <c r="A72" s="21"/>
      <c r="F72" s="94"/>
      <c r="BC72" s="143"/>
    </row>
    <row r="73" spans="1:55" x14ac:dyDescent="0.2">
      <c r="A73" s="21"/>
      <c r="B73" s="21"/>
      <c r="C73" s="21"/>
      <c r="D73" s="21"/>
      <c r="E73" s="21"/>
      <c r="F73" s="94"/>
      <c r="BC73" s="143"/>
    </row>
    <row r="74" spans="1:55" x14ac:dyDescent="0.2">
      <c r="A74" s="21"/>
      <c r="B74" s="21"/>
      <c r="C74" s="21"/>
      <c r="D74" s="21"/>
      <c r="E74" s="21"/>
      <c r="F74" s="94"/>
      <c r="N74" s="21"/>
    </row>
    <row r="75" spans="1:55" x14ac:dyDescent="0.2">
      <c r="A75" s="21"/>
      <c r="B75" s="21"/>
      <c r="C75" s="21"/>
      <c r="D75" s="21"/>
      <c r="E75" s="21"/>
      <c r="F75" s="162"/>
    </row>
    <row r="76" spans="1:55" x14ac:dyDescent="0.2">
      <c r="F76" s="87"/>
    </row>
    <row r="77" spans="1:55" x14ac:dyDescent="0.2">
      <c r="F77" s="87"/>
    </row>
    <row r="78" spans="1:55" x14ac:dyDescent="0.2">
      <c r="F78" s="87"/>
    </row>
    <row r="79" spans="1:55" x14ac:dyDescent="0.2">
      <c r="F79" s="87"/>
    </row>
    <row r="80" spans="1:55" x14ac:dyDescent="0.2">
      <c r="F80" s="162"/>
    </row>
    <row r="81" spans="6:6" x14ac:dyDescent="0.2">
      <c r="F81" s="87"/>
    </row>
    <row r="82" spans="6:6" x14ac:dyDescent="0.2">
      <c r="F82" s="87"/>
    </row>
  </sheetData>
  <mergeCells count="4">
    <mergeCell ref="BC1:BC2"/>
    <mergeCell ref="BB1:BB2"/>
    <mergeCell ref="A1:E1"/>
    <mergeCell ref="A2:E2"/>
  </mergeCells>
  <printOptions horizontalCentered="1"/>
  <pageMargins left="0.59055118110236227" right="0.19685039370078741" top="0.62992125984251968" bottom="0.74803149606299213" header="0.31496062992125984" footer="0.31496062992125984"/>
  <pageSetup orientation="portrait" horizontalDpi="4294967293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zoomScale="178" zoomScaleNormal="178" workbookViewId="0">
      <selection activeCell="H17" sqref="H17"/>
    </sheetView>
  </sheetViews>
  <sheetFormatPr baseColWidth="10" defaultRowHeight="12.75" x14ac:dyDescent="0.2"/>
  <cols>
    <col min="1" max="1" width="45.5703125" customWidth="1"/>
    <col min="2" max="2" width="13.28515625" bestFit="1" customWidth="1"/>
    <col min="3" max="3" width="3.140625" customWidth="1"/>
    <col min="4" max="4" width="13.28515625" bestFit="1" customWidth="1"/>
    <col min="5" max="5" width="3.28515625" customWidth="1"/>
    <col min="6" max="6" width="14.28515625" customWidth="1"/>
  </cols>
  <sheetData>
    <row r="2" spans="1:6" x14ac:dyDescent="0.2">
      <c r="A2" s="21" t="s">
        <v>562</v>
      </c>
      <c r="B2" s="87">
        <f>51041.52-46761.62</f>
        <v>4279.8999999999942</v>
      </c>
      <c r="D2" s="87">
        <f>13045</f>
        <v>13045</v>
      </c>
    </row>
    <row r="3" spans="1:6" x14ac:dyDescent="0.2">
      <c r="A3" s="21" t="s">
        <v>561</v>
      </c>
      <c r="B3" s="87">
        <v>50756.4</v>
      </c>
      <c r="D3" s="87">
        <v>6000</v>
      </c>
    </row>
    <row r="4" spans="1:6" x14ac:dyDescent="0.2">
      <c r="A4" s="21" t="s">
        <v>563</v>
      </c>
      <c r="B4" s="87">
        <v>48123.08</v>
      </c>
      <c r="D4" s="87">
        <v>6000</v>
      </c>
    </row>
    <row r="5" spans="1:6" x14ac:dyDescent="0.2">
      <c r="A5" s="21" t="s">
        <v>564</v>
      </c>
      <c r="B5" s="87">
        <v>5129.95</v>
      </c>
      <c r="D5" s="87">
        <v>10000</v>
      </c>
    </row>
    <row r="6" spans="1:6" x14ac:dyDescent="0.2">
      <c r="A6" s="21" t="s">
        <v>565</v>
      </c>
      <c r="B6" s="87">
        <v>6000</v>
      </c>
      <c r="D6" s="87">
        <v>12054</v>
      </c>
    </row>
    <row r="7" spans="1:6" x14ac:dyDescent="0.2">
      <c r="A7" s="21" t="s">
        <v>570</v>
      </c>
      <c r="B7" s="87">
        <v>10000</v>
      </c>
      <c r="D7" s="256">
        <v>11250</v>
      </c>
    </row>
    <row r="8" spans="1:6" x14ac:dyDescent="0.2">
      <c r="A8" s="21" t="s">
        <v>542</v>
      </c>
      <c r="B8" s="254">
        <f>SUM(B2:B7)</f>
        <v>124289.33</v>
      </c>
      <c r="D8" s="87">
        <f>SUM(D2:D7)</f>
        <v>58349</v>
      </c>
      <c r="F8" s="253"/>
    </row>
    <row r="12" spans="1:6" x14ac:dyDescent="0.2">
      <c r="B12" s="87"/>
    </row>
    <row r="13" spans="1:6" x14ac:dyDescent="0.2">
      <c r="B13" s="143">
        <f>SUM(B2:B12)</f>
        <v>248578.66</v>
      </c>
      <c r="D13" s="143">
        <f>SUM(D2:D12)</f>
        <v>116698</v>
      </c>
      <c r="F13" s="253">
        <f>B13-D13</f>
        <v>131880.66</v>
      </c>
    </row>
    <row r="14" spans="1:6" x14ac:dyDescent="0.2">
      <c r="B14" s="87">
        <f>'Egr.FODES 75%'!I65</f>
        <v>0</v>
      </c>
      <c r="D14" s="87">
        <v>150000</v>
      </c>
    </row>
    <row r="15" spans="1:6" x14ac:dyDescent="0.2">
      <c r="B15" s="253">
        <f>B14-B13</f>
        <v>-248578.66</v>
      </c>
      <c r="D15" s="143">
        <f>SUM(D14)+58349</f>
        <v>208349</v>
      </c>
    </row>
    <row r="16" spans="1:6" x14ac:dyDescent="0.2">
      <c r="D16" s="87">
        <v>124289.33</v>
      </c>
    </row>
    <row r="17" spans="1:4" x14ac:dyDescent="0.2">
      <c r="A17" s="255" t="s">
        <v>566</v>
      </c>
      <c r="D17" s="253">
        <f>D15-D16+20000</f>
        <v>104059.67</v>
      </c>
    </row>
    <row r="18" spans="1:4" x14ac:dyDescent="0.2">
      <c r="A18" s="21" t="s">
        <v>568</v>
      </c>
    </row>
    <row r="19" spans="1:4" x14ac:dyDescent="0.2">
      <c r="A19" s="255" t="s">
        <v>567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1"/>
  <sheetViews>
    <sheetView workbookViewId="0">
      <selection activeCell="B6" sqref="B6"/>
    </sheetView>
  </sheetViews>
  <sheetFormatPr baseColWidth="10" defaultColWidth="11.42578125" defaultRowHeight="12.75" x14ac:dyDescent="0.2"/>
  <cols>
    <col min="1" max="1" width="4.140625" customWidth="1"/>
    <col min="2" max="2" width="63.140625" customWidth="1"/>
    <col min="3" max="3" width="16.42578125" customWidth="1"/>
    <col min="4" max="4" width="17.42578125" customWidth="1"/>
    <col min="5" max="5" width="15.140625" customWidth="1"/>
    <col min="6" max="6" width="11.85546875" bestFit="1" customWidth="1"/>
  </cols>
  <sheetData>
    <row r="3" spans="3:4" x14ac:dyDescent="0.2">
      <c r="C3" s="162"/>
    </row>
    <row r="4" spans="3:4" x14ac:dyDescent="0.2">
      <c r="C4" s="162"/>
    </row>
    <row r="5" spans="3:4" x14ac:dyDescent="0.2">
      <c r="C5" s="162"/>
    </row>
    <row r="6" spans="3:4" x14ac:dyDescent="0.2">
      <c r="C6" s="94"/>
    </row>
    <row r="7" spans="3:4" x14ac:dyDescent="0.2">
      <c r="C7" s="94"/>
      <c r="D7" s="94"/>
    </row>
    <row r="8" spans="3:4" x14ac:dyDescent="0.2">
      <c r="C8" s="94"/>
      <c r="D8" s="94"/>
    </row>
    <row r="10" spans="3:4" x14ac:dyDescent="0.2">
      <c r="C10" s="94"/>
    </row>
    <row r="14" spans="3:4" x14ac:dyDescent="0.2">
      <c r="C14" s="87"/>
    </row>
    <row r="15" spans="3:4" x14ac:dyDescent="0.2">
      <c r="C15" s="87"/>
    </row>
    <row r="16" spans="3:4" x14ac:dyDescent="0.2">
      <c r="C16" s="87"/>
    </row>
    <row r="17" spans="3:3" x14ac:dyDescent="0.2">
      <c r="C17" s="87"/>
    </row>
    <row r="18" spans="3:3" x14ac:dyDescent="0.2">
      <c r="C18" s="87"/>
    </row>
    <row r="19" spans="3:3" x14ac:dyDescent="0.2">
      <c r="C19" s="87"/>
    </row>
    <row r="20" spans="3:3" x14ac:dyDescent="0.2">
      <c r="C20" s="87"/>
    </row>
    <row r="21" spans="3:3" x14ac:dyDescent="0.2">
      <c r="C21" s="94"/>
    </row>
    <row r="35" spans="1:4" x14ac:dyDescent="0.2">
      <c r="B35" s="21"/>
      <c r="C35" s="94"/>
    </row>
    <row r="36" spans="1:4" x14ac:dyDescent="0.2">
      <c r="B36" s="21"/>
      <c r="C36" s="94"/>
    </row>
    <row r="37" spans="1:4" x14ac:dyDescent="0.2">
      <c r="B37" s="21"/>
      <c r="C37" s="87"/>
    </row>
    <row r="38" spans="1:4" x14ac:dyDescent="0.2">
      <c r="A38" s="21"/>
      <c r="C38" s="94"/>
      <c r="D38" s="94"/>
    </row>
    <row r="39" spans="1:4" x14ac:dyDescent="0.2">
      <c r="A39" s="21">
        <v>2</v>
      </c>
    </row>
    <row r="40" spans="1:4" x14ac:dyDescent="0.2">
      <c r="A40" s="21">
        <v>3</v>
      </c>
      <c r="D40" s="94"/>
    </row>
    <row r="41" spans="1:4" x14ac:dyDescent="0.2">
      <c r="A41" s="21">
        <v>4</v>
      </c>
      <c r="D41" s="94"/>
    </row>
    <row r="42" spans="1:4" x14ac:dyDescent="0.2">
      <c r="A42" s="21">
        <v>5</v>
      </c>
      <c r="D42" s="94"/>
    </row>
    <row r="43" spans="1:4" x14ac:dyDescent="0.2">
      <c r="A43" s="21">
        <v>6</v>
      </c>
      <c r="C43" s="94"/>
      <c r="D43" s="94"/>
    </row>
    <row r="44" spans="1:4" x14ac:dyDescent="0.2">
      <c r="A44" s="21">
        <v>7</v>
      </c>
    </row>
    <row r="45" spans="1:4" x14ac:dyDescent="0.2">
      <c r="A45" s="21">
        <v>8</v>
      </c>
      <c r="D45" s="94"/>
    </row>
    <row r="46" spans="1:4" x14ac:dyDescent="0.2">
      <c r="A46" s="21">
        <v>9</v>
      </c>
      <c r="D46" s="94"/>
    </row>
    <row r="47" spans="1:4" x14ac:dyDescent="0.2">
      <c r="A47" s="21">
        <v>10</v>
      </c>
      <c r="D47" s="94"/>
    </row>
    <row r="48" spans="1:4" x14ac:dyDescent="0.2">
      <c r="A48" s="21">
        <v>11</v>
      </c>
      <c r="C48" s="94"/>
      <c r="D48" s="94"/>
    </row>
    <row r="49" spans="1:4" x14ac:dyDescent="0.2">
      <c r="A49" s="21">
        <v>12</v>
      </c>
      <c r="B49" s="21"/>
      <c r="C49" s="94"/>
      <c r="D49" s="94"/>
    </row>
    <row r="50" spans="1:4" x14ac:dyDescent="0.2">
      <c r="A50" s="21">
        <v>13</v>
      </c>
      <c r="B50" s="21"/>
      <c r="C50" s="94"/>
      <c r="D50" s="94"/>
    </row>
    <row r="51" spans="1:4" x14ac:dyDescent="0.2">
      <c r="A51" s="21">
        <v>14</v>
      </c>
      <c r="B51" s="21"/>
      <c r="C51" s="94"/>
      <c r="D51" s="94"/>
    </row>
    <row r="52" spans="1:4" x14ac:dyDescent="0.2">
      <c r="A52" s="21">
        <v>15</v>
      </c>
      <c r="B52" s="21"/>
      <c r="C52" s="94"/>
      <c r="D52" s="94"/>
    </row>
    <row r="53" spans="1:4" x14ac:dyDescent="0.2">
      <c r="A53" s="21"/>
      <c r="B53" s="21"/>
      <c r="C53" s="94">
        <f>SUM(C38:C52)</f>
        <v>0</v>
      </c>
      <c r="D53" s="94"/>
    </row>
    <row r="54" spans="1:4" x14ac:dyDescent="0.2">
      <c r="A54" s="21"/>
      <c r="B54" s="21"/>
      <c r="C54" s="94"/>
      <c r="D54" s="94"/>
    </row>
    <row r="55" spans="1:4" ht="14.25" x14ac:dyDescent="0.2">
      <c r="A55" s="21"/>
      <c r="B55" s="144"/>
      <c r="C55" s="21"/>
      <c r="D55" s="87"/>
    </row>
    <row r="56" spans="1:4" ht="14.25" x14ac:dyDescent="0.2">
      <c r="A56" s="21"/>
      <c r="B56" s="144"/>
      <c r="C56" s="21"/>
      <c r="D56" s="94"/>
    </row>
    <row r="57" spans="1:4" ht="14.25" x14ac:dyDescent="0.2">
      <c r="A57" s="21"/>
      <c r="B57" s="144"/>
      <c r="C57" s="21"/>
      <c r="D57" s="94"/>
    </row>
    <row r="58" spans="1:4" ht="14.25" x14ac:dyDescent="0.2">
      <c r="A58" s="21"/>
      <c r="B58" s="144"/>
      <c r="C58" s="21"/>
      <c r="D58" s="94"/>
    </row>
    <row r="59" spans="1:4" ht="14.25" x14ac:dyDescent="0.2">
      <c r="A59" s="21"/>
      <c r="B59" s="144"/>
      <c r="C59" s="21"/>
      <c r="D59" s="94"/>
    </row>
    <row r="60" spans="1:4" ht="14.25" x14ac:dyDescent="0.2">
      <c r="A60" s="21"/>
      <c r="B60" s="144"/>
      <c r="C60" s="21"/>
      <c r="D60" s="94"/>
    </row>
    <row r="61" spans="1:4" ht="14.25" x14ac:dyDescent="0.2">
      <c r="A61" s="21"/>
      <c r="B61" s="144"/>
      <c r="C61" s="21"/>
      <c r="D61" s="94"/>
    </row>
    <row r="62" spans="1:4" ht="14.25" x14ac:dyDescent="0.2">
      <c r="A62" s="21"/>
      <c r="B62" s="144"/>
      <c r="C62" s="21"/>
      <c r="D62" s="94"/>
    </row>
    <row r="63" spans="1:4" ht="14.25" x14ac:dyDescent="0.2">
      <c r="A63" s="21"/>
      <c r="B63" s="144"/>
      <c r="C63" s="21"/>
      <c r="D63" s="94"/>
    </row>
    <row r="64" spans="1:4" ht="14.25" x14ac:dyDescent="0.2">
      <c r="A64" s="21"/>
      <c r="B64" s="144"/>
      <c r="C64" s="21"/>
      <c r="D64" s="94"/>
    </row>
    <row r="65" spans="1:4" ht="14.25" x14ac:dyDescent="0.2">
      <c r="A65" s="21"/>
      <c r="B65" s="144"/>
      <c r="C65" s="151"/>
      <c r="D65" s="152"/>
    </row>
    <row r="66" spans="1:4" ht="14.25" x14ac:dyDescent="0.2">
      <c r="A66" s="21"/>
      <c r="B66" s="144"/>
      <c r="C66" s="143"/>
      <c r="D66" s="94"/>
    </row>
    <row r="67" spans="1:4" x14ac:dyDescent="0.2">
      <c r="A67" s="21"/>
      <c r="B67" s="21"/>
      <c r="C67" s="152"/>
      <c r="D67" s="100"/>
    </row>
    <row r="68" spans="1:4" ht="18" x14ac:dyDescent="0.25">
      <c r="A68" s="21"/>
      <c r="B68" s="144"/>
      <c r="C68" s="145"/>
      <c r="D68" s="94"/>
    </row>
    <row r="83" spans="1:5" ht="13.5" thickBot="1" x14ac:dyDescent="0.25">
      <c r="B83" s="181" t="s">
        <v>460</v>
      </c>
      <c r="C83" t="s">
        <v>461</v>
      </c>
      <c r="D83" t="s">
        <v>462</v>
      </c>
      <c r="E83" t="s">
        <v>408</v>
      </c>
    </row>
    <row r="85" spans="1:5" x14ac:dyDescent="0.2">
      <c r="A85">
        <v>1</v>
      </c>
      <c r="B85" t="s">
        <v>436</v>
      </c>
      <c r="C85" s="87">
        <v>61</v>
      </c>
      <c r="D85" s="156">
        <v>12</v>
      </c>
      <c r="E85" s="87">
        <f>C85*D85</f>
        <v>732</v>
      </c>
    </row>
    <row r="86" spans="1:5" x14ac:dyDescent="0.2">
      <c r="A86">
        <v>2</v>
      </c>
      <c r="B86" t="s">
        <v>437</v>
      </c>
      <c r="C86" s="87">
        <v>135</v>
      </c>
      <c r="D86" s="156">
        <v>12</v>
      </c>
      <c r="E86" s="87">
        <f t="shared" ref="E86:E106" si="0">C86*D86</f>
        <v>1620</v>
      </c>
    </row>
    <row r="87" spans="1:5" x14ac:dyDescent="0.2">
      <c r="A87">
        <v>3</v>
      </c>
      <c r="B87" t="s">
        <v>438</v>
      </c>
      <c r="C87" s="87">
        <v>60</v>
      </c>
      <c r="D87" s="156">
        <v>12</v>
      </c>
      <c r="E87" s="87">
        <f t="shared" si="0"/>
        <v>720</v>
      </c>
    </row>
    <row r="88" spans="1:5" x14ac:dyDescent="0.2">
      <c r="A88">
        <v>4</v>
      </c>
      <c r="B88" t="s">
        <v>439</v>
      </c>
      <c r="C88" s="87">
        <v>48</v>
      </c>
      <c r="D88" s="156">
        <v>12</v>
      </c>
      <c r="E88" s="87">
        <f t="shared" si="0"/>
        <v>576</v>
      </c>
    </row>
    <row r="89" spans="1:5" x14ac:dyDescent="0.2">
      <c r="A89">
        <v>5</v>
      </c>
      <c r="B89" t="s">
        <v>440</v>
      </c>
      <c r="C89" s="87">
        <v>61</v>
      </c>
      <c r="D89" s="156">
        <v>12</v>
      </c>
      <c r="E89" s="87">
        <f t="shared" si="0"/>
        <v>732</v>
      </c>
    </row>
    <row r="90" spans="1:5" x14ac:dyDescent="0.2">
      <c r="A90">
        <v>6</v>
      </c>
      <c r="B90" t="s">
        <v>441</v>
      </c>
      <c r="C90" s="87">
        <v>58</v>
      </c>
      <c r="D90" s="156">
        <v>12</v>
      </c>
      <c r="E90" s="87">
        <f t="shared" si="0"/>
        <v>696</v>
      </c>
    </row>
    <row r="91" spans="1:5" x14ac:dyDescent="0.2">
      <c r="A91">
        <v>7</v>
      </c>
      <c r="B91" t="s">
        <v>442</v>
      </c>
      <c r="C91" s="87">
        <v>61</v>
      </c>
      <c r="D91" s="156">
        <v>12</v>
      </c>
      <c r="E91" s="87">
        <f t="shared" si="0"/>
        <v>732</v>
      </c>
    </row>
    <row r="92" spans="1:5" x14ac:dyDescent="0.2">
      <c r="A92">
        <v>8</v>
      </c>
      <c r="B92" t="s">
        <v>443</v>
      </c>
      <c r="C92" s="87">
        <v>61</v>
      </c>
      <c r="D92" s="156">
        <v>12</v>
      </c>
      <c r="E92" s="87">
        <f t="shared" si="0"/>
        <v>732</v>
      </c>
    </row>
    <row r="93" spans="1:5" x14ac:dyDescent="0.2">
      <c r="A93">
        <v>9</v>
      </c>
      <c r="B93" t="s">
        <v>444</v>
      </c>
      <c r="C93" s="87">
        <v>70</v>
      </c>
      <c r="D93" s="156">
        <v>12</v>
      </c>
      <c r="E93" s="87">
        <f t="shared" si="0"/>
        <v>840</v>
      </c>
    </row>
    <row r="94" spans="1:5" x14ac:dyDescent="0.2">
      <c r="A94">
        <v>10</v>
      </c>
      <c r="B94" t="s">
        <v>445</v>
      </c>
      <c r="C94" s="87">
        <v>65</v>
      </c>
      <c r="D94" s="156">
        <v>12</v>
      </c>
      <c r="E94" s="87">
        <f t="shared" si="0"/>
        <v>780</v>
      </c>
    </row>
    <row r="95" spans="1:5" x14ac:dyDescent="0.2">
      <c r="A95">
        <v>11</v>
      </c>
      <c r="B95" t="s">
        <v>446</v>
      </c>
      <c r="C95" s="87">
        <v>66</v>
      </c>
      <c r="D95" s="156">
        <v>12</v>
      </c>
      <c r="E95" s="87">
        <f t="shared" si="0"/>
        <v>792</v>
      </c>
    </row>
    <row r="96" spans="1:5" x14ac:dyDescent="0.2">
      <c r="A96">
        <v>12</v>
      </c>
      <c r="B96" t="s">
        <v>447</v>
      </c>
      <c r="C96" s="87">
        <v>75</v>
      </c>
      <c r="D96" s="156">
        <v>12</v>
      </c>
      <c r="E96" s="87">
        <f t="shared" si="0"/>
        <v>900</v>
      </c>
    </row>
    <row r="97" spans="1:6" x14ac:dyDescent="0.2">
      <c r="A97">
        <v>13</v>
      </c>
      <c r="B97" t="s">
        <v>448</v>
      </c>
      <c r="C97" s="87">
        <v>61</v>
      </c>
      <c r="D97" s="156">
        <v>12</v>
      </c>
      <c r="E97" s="87">
        <f t="shared" si="0"/>
        <v>732</v>
      </c>
    </row>
    <row r="98" spans="1:6" x14ac:dyDescent="0.2">
      <c r="A98">
        <v>14</v>
      </c>
      <c r="B98" t="s">
        <v>449</v>
      </c>
      <c r="C98" s="87">
        <v>35</v>
      </c>
      <c r="D98" s="156">
        <v>12</v>
      </c>
      <c r="E98" s="87">
        <f t="shared" si="0"/>
        <v>420</v>
      </c>
    </row>
    <row r="99" spans="1:6" x14ac:dyDescent="0.2">
      <c r="A99">
        <v>15</v>
      </c>
      <c r="B99" t="s">
        <v>450</v>
      </c>
      <c r="C99" s="87">
        <v>75</v>
      </c>
      <c r="D99" s="156">
        <v>12</v>
      </c>
      <c r="E99" s="87">
        <f t="shared" si="0"/>
        <v>900</v>
      </c>
    </row>
    <row r="100" spans="1:6" x14ac:dyDescent="0.2">
      <c r="A100">
        <v>16</v>
      </c>
      <c r="B100" t="s">
        <v>451</v>
      </c>
      <c r="C100" s="87">
        <v>80</v>
      </c>
      <c r="D100" s="156">
        <v>12</v>
      </c>
      <c r="E100" s="87">
        <f t="shared" si="0"/>
        <v>960</v>
      </c>
    </row>
    <row r="101" spans="1:6" x14ac:dyDescent="0.2">
      <c r="A101">
        <v>17</v>
      </c>
      <c r="B101" t="s">
        <v>452</v>
      </c>
      <c r="C101" s="87">
        <v>130</v>
      </c>
      <c r="D101" s="156">
        <v>12</v>
      </c>
      <c r="E101" s="87">
        <f t="shared" si="0"/>
        <v>1560</v>
      </c>
    </row>
    <row r="102" spans="1:6" x14ac:dyDescent="0.2">
      <c r="A102">
        <v>18</v>
      </c>
      <c r="B102" t="s">
        <v>453</v>
      </c>
      <c r="C102" s="87">
        <v>61</v>
      </c>
      <c r="D102" s="156">
        <v>12</v>
      </c>
      <c r="E102" s="87">
        <f t="shared" si="0"/>
        <v>732</v>
      </c>
    </row>
    <row r="103" spans="1:6" x14ac:dyDescent="0.2">
      <c r="A103">
        <v>19</v>
      </c>
      <c r="B103" t="s">
        <v>454</v>
      </c>
      <c r="C103" s="87">
        <v>50</v>
      </c>
      <c r="D103" s="156">
        <v>12</v>
      </c>
      <c r="E103" s="87">
        <f t="shared" si="0"/>
        <v>600</v>
      </c>
    </row>
    <row r="104" spans="1:6" x14ac:dyDescent="0.2">
      <c r="A104">
        <v>20</v>
      </c>
      <c r="B104" t="s">
        <v>455</v>
      </c>
      <c r="C104" s="87">
        <v>61</v>
      </c>
      <c r="D104" s="156">
        <v>12</v>
      </c>
      <c r="E104" s="87">
        <f t="shared" si="0"/>
        <v>732</v>
      </c>
    </row>
    <row r="105" spans="1:6" x14ac:dyDescent="0.2">
      <c r="A105">
        <v>21</v>
      </c>
      <c r="B105" t="s">
        <v>456</v>
      </c>
      <c r="C105" s="87">
        <v>61</v>
      </c>
      <c r="D105" s="156">
        <v>12</v>
      </c>
      <c r="E105" s="87">
        <f t="shared" si="0"/>
        <v>732</v>
      </c>
    </row>
    <row r="106" spans="1:6" x14ac:dyDescent="0.2">
      <c r="A106">
        <v>22</v>
      </c>
      <c r="B106" t="s">
        <v>457</v>
      </c>
      <c r="C106" s="157">
        <v>50</v>
      </c>
      <c r="D106" s="182">
        <v>12</v>
      </c>
      <c r="E106" s="157">
        <f t="shared" si="0"/>
        <v>600</v>
      </c>
    </row>
    <row r="107" spans="1:6" x14ac:dyDescent="0.2">
      <c r="A107">
        <v>23</v>
      </c>
      <c r="B107" t="s">
        <v>458</v>
      </c>
      <c r="C107" s="183">
        <f>SUM(C85:C106)</f>
        <v>1485</v>
      </c>
      <c r="D107" s="184"/>
      <c r="E107" s="185">
        <f>C107*12</f>
        <v>17820</v>
      </c>
      <c r="F107" s="143"/>
    </row>
    <row r="108" spans="1:6" x14ac:dyDescent="0.2">
      <c r="C108" s="87"/>
      <c r="E108" s="143"/>
    </row>
    <row r="109" spans="1:6" x14ac:dyDescent="0.2">
      <c r="B109" t="s">
        <v>459</v>
      </c>
      <c r="C109" s="87"/>
      <c r="E109">
        <f>25000-17</f>
        <v>24983</v>
      </c>
    </row>
    <row r="110" spans="1:6" x14ac:dyDescent="0.2">
      <c r="C110" s="87"/>
    </row>
    <row r="111" spans="1:6" x14ac:dyDescent="0.2">
      <c r="C111" s="87"/>
    </row>
  </sheetData>
  <pageMargins left="0.6" right="0.7" top="0.75" bottom="0.75" header="0.3" footer="0.3"/>
  <pageSetup orientation="portrait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G30"/>
  <sheetViews>
    <sheetView zoomScaleNormal="100" workbookViewId="0">
      <selection activeCell="D12" sqref="D12"/>
    </sheetView>
  </sheetViews>
  <sheetFormatPr baseColWidth="10" defaultColWidth="18.7109375" defaultRowHeight="12.75" x14ac:dyDescent="0.2"/>
  <cols>
    <col min="1" max="1" width="12.5703125" style="42" customWidth="1"/>
    <col min="2" max="2" width="40.140625" style="42" customWidth="1"/>
    <col min="3" max="3" width="23.5703125" style="42" customWidth="1"/>
    <col min="4" max="16384" width="18.7109375" style="42"/>
  </cols>
  <sheetData>
    <row r="1" spans="1:6" ht="22.5" customHeight="1" x14ac:dyDescent="0.2">
      <c r="A1" s="726" t="s">
        <v>412</v>
      </c>
      <c r="B1" s="726"/>
      <c r="C1" s="726"/>
      <c r="D1" s="41"/>
      <c r="E1" s="41"/>
      <c r="F1" s="41"/>
    </row>
    <row r="2" spans="1:6" ht="20.25" customHeight="1" x14ac:dyDescent="0.2">
      <c r="A2" s="727" t="s">
        <v>411</v>
      </c>
      <c r="B2" s="727"/>
      <c r="C2" s="727"/>
      <c r="D2" s="43"/>
      <c r="E2" s="43"/>
      <c r="F2" s="43"/>
    </row>
    <row r="3" spans="1:6" ht="24" customHeight="1" x14ac:dyDescent="0.25">
      <c r="A3" s="728" t="s">
        <v>595</v>
      </c>
      <c r="B3" s="728"/>
      <c r="C3" s="728"/>
      <c r="D3" s="44"/>
      <c r="E3" s="44"/>
      <c r="F3" s="44"/>
    </row>
    <row r="4" spans="1:6" ht="26.25" customHeight="1" thickBot="1" x14ac:dyDescent="0.25">
      <c r="A4" s="721" t="s">
        <v>506</v>
      </c>
      <c r="B4" s="722"/>
      <c r="C4" s="722"/>
      <c r="D4" s="44"/>
      <c r="E4" s="44"/>
      <c r="F4" s="44"/>
    </row>
    <row r="5" spans="1:6" s="40" customFormat="1" ht="37.5" customHeight="1" thickBot="1" x14ac:dyDescent="0.25">
      <c r="A5" s="537" t="s">
        <v>154</v>
      </c>
      <c r="B5" s="538" t="s">
        <v>110</v>
      </c>
      <c r="C5" s="539" t="s">
        <v>155</v>
      </c>
    </row>
    <row r="6" spans="1:6" s="45" customFormat="1" ht="24.95" customHeight="1" x14ac:dyDescent="0.2">
      <c r="A6" s="540">
        <v>11</v>
      </c>
      <c r="B6" s="541" t="s">
        <v>156</v>
      </c>
      <c r="C6" s="542">
        <f>SUM(Ingresos!J10)</f>
        <v>366452.31069999997</v>
      </c>
    </row>
    <row r="7" spans="1:6" s="45" customFormat="1" ht="24.95" customHeight="1" x14ac:dyDescent="0.2">
      <c r="A7" s="543">
        <v>12</v>
      </c>
      <c r="B7" s="544" t="s">
        <v>157</v>
      </c>
      <c r="C7" s="545">
        <f>SUM(Ingresos!J12)</f>
        <v>843471.31109999993</v>
      </c>
    </row>
    <row r="8" spans="1:6" s="45" customFormat="1" ht="24.95" customHeight="1" x14ac:dyDescent="0.2">
      <c r="A8" s="543">
        <v>14</v>
      </c>
      <c r="B8" s="544" t="s">
        <v>158</v>
      </c>
      <c r="C8" s="545">
        <f>SUM(Ingresos!J13)</f>
        <v>7093.8864999999996</v>
      </c>
    </row>
    <row r="9" spans="1:6" s="45" customFormat="1" ht="24.95" customHeight="1" x14ac:dyDescent="0.2">
      <c r="A9" s="543">
        <v>15</v>
      </c>
      <c r="B9" s="544" t="s">
        <v>159</v>
      </c>
      <c r="C9" s="545">
        <f>SUM(Ingresos!J14)</f>
        <v>45538.627499999995</v>
      </c>
    </row>
    <row r="10" spans="1:6" s="45" customFormat="1" ht="24.95" customHeight="1" x14ac:dyDescent="0.2">
      <c r="A10" s="543">
        <v>16</v>
      </c>
      <c r="B10" s="544" t="s">
        <v>161</v>
      </c>
      <c r="C10" s="545">
        <f>SUM(Ingresos!J15)</f>
        <v>369541.32</v>
      </c>
      <c r="D10" s="89"/>
    </row>
    <row r="11" spans="1:6" s="45" customFormat="1" ht="24.95" customHeight="1" x14ac:dyDescent="0.2">
      <c r="A11" s="543">
        <v>22</v>
      </c>
      <c r="B11" s="544" t="s">
        <v>160</v>
      </c>
      <c r="C11" s="545">
        <f>SUM(Ingresos!J16)</f>
        <v>1569988.8</v>
      </c>
    </row>
    <row r="12" spans="1:6" s="45" customFormat="1" ht="24.95" customHeight="1" x14ac:dyDescent="0.2">
      <c r="A12" s="543">
        <v>23</v>
      </c>
      <c r="B12" s="544" t="s">
        <v>638</v>
      </c>
      <c r="C12" s="545">
        <f>Ingresos!H48</f>
        <v>94425.91</v>
      </c>
    </row>
    <row r="13" spans="1:6" s="45" customFormat="1" ht="24.95" customHeight="1" x14ac:dyDescent="0.2">
      <c r="A13" s="543">
        <v>32</v>
      </c>
      <c r="B13" s="544" t="s">
        <v>162</v>
      </c>
      <c r="C13" s="545">
        <f>Ingresos!H47</f>
        <v>46654.479999999996</v>
      </c>
    </row>
    <row r="14" spans="1:6" s="45" customFormat="1" ht="24.95" customHeight="1" thickBot="1" x14ac:dyDescent="0.25">
      <c r="A14" s="546">
        <v>41</v>
      </c>
      <c r="B14" s="547" t="s">
        <v>637</v>
      </c>
      <c r="C14" s="548">
        <f>Ingresos!H49</f>
        <v>116494.05649999999</v>
      </c>
    </row>
    <row r="15" spans="1:6" s="45" customFormat="1" ht="24.95" customHeight="1" thickBot="1" x14ac:dyDescent="0.25">
      <c r="A15" s="723" t="s">
        <v>163</v>
      </c>
      <c r="B15" s="724"/>
      <c r="C15" s="549">
        <f>SUM(C6:C14)</f>
        <v>3459660.7023</v>
      </c>
    </row>
    <row r="16" spans="1:6" s="45" customFormat="1" ht="12.75" customHeight="1" x14ac:dyDescent="0.2">
      <c r="A16" s="550"/>
      <c r="B16" s="550"/>
      <c r="C16" s="551"/>
    </row>
    <row r="17" spans="1:7" s="45" customFormat="1" ht="26.25" customHeight="1" thickBot="1" x14ac:dyDescent="0.25">
      <c r="A17" s="725" t="s">
        <v>507</v>
      </c>
      <c r="B17" s="725"/>
      <c r="C17" s="725"/>
    </row>
    <row r="18" spans="1:7" s="45" customFormat="1" ht="37.5" customHeight="1" thickBot="1" x14ac:dyDescent="0.25">
      <c r="A18" s="552" t="s">
        <v>154</v>
      </c>
      <c r="B18" s="553" t="s">
        <v>110</v>
      </c>
      <c r="C18" s="539" t="s">
        <v>155</v>
      </c>
    </row>
    <row r="19" spans="1:7" s="45" customFormat="1" ht="24.95" customHeight="1" x14ac:dyDescent="0.2">
      <c r="A19" s="554">
        <v>51</v>
      </c>
      <c r="B19" s="555" t="s">
        <v>165</v>
      </c>
      <c r="C19" s="542">
        <f>'Egresos F.P. '!O3+'Egr. FODES 25%'!O11+'Egr.FODES 75%'!L10</f>
        <v>1386094.2922</v>
      </c>
    </row>
    <row r="20" spans="1:7" s="45" customFormat="1" ht="32.25" customHeight="1" x14ac:dyDescent="0.2">
      <c r="A20" s="556">
        <v>54</v>
      </c>
      <c r="B20" s="557" t="s">
        <v>166</v>
      </c>
      <c r="C20" s="545">
        <f>'Egresos F.P. '!O4+'Egr. FODES 25%'!O12+'Egr.FODES 75%'!L12</f>
        <v>1233026.52</v>
      </c>
      <c r="E20" s="187"/>
    </row>
    <row r="21" spans="1:7" s="45" customFormat="1" ht="24.95" customHeight="1" x14ac:dyDescent="0.2">
      <c r="A21" s="556">
        <v>55</v>
      </c>
      <c r="B21" s="557" t="s">
        <v>167</v>
      </c>
      <c r="C21" s="545">
        <f>'Egresos F.P. '!O5+'Egr. FODES 25%'!O13+'Egr.FODES 75%'!L13+'Deuda Pub 75%'!K10</f>
        <v>146465.33527163</v>
      </c>
    </row>
    <row r="22" spans="1:7" s="45" customFormat="1" ht="24.95" customHeight="1" x14ac:dyDescent="0.2">
      <c r="A22" s="556">
        <v>56</v>
      </c>
      <c r="B22" s="557" t="s">
        <v>161</v>
      </c>
      <c r="C22" s="545">
        <f>'Egresos F.P. '!O6+'Egr. FODES 25%'!O14+'Egr.FODES 75%'!L14</f>
        <v>158100</v>
      </c>
      <c r="E22" s="89"/>
    </row>
    <row r="23" spans="1:7" s="45" customFormat="1" ht="24.95" customHeight="1" x14ac:dyDescent="0.2">
      <c r="A23" s="556">
        <v>61</v>
      </c>
      <c r="B23" s="557" t="s">
        <v>375</v>
      </c>
      <c r="C23" s="545">
        <f>'Egresos F.P. '!O7+'Egr. FODES 25%'!O15+'Egr.FODES 75%'!L15</f>
        <v>317485.38</v>
      </c>
    </row>
    <row r="24" spans="1:7" ht="24.95" customHeight="1" x14ac:dyDescent="0.2">
      <c r="A24" s="556">
        <v>62</v>
      </c>
      <c r="B24" s="557" t="s">
        <v>160</v>
      </c>
      <c r="C24" s="545"/>
    </row>
    <row r="25" spans="1:7" ht="34.5" customHeight="1" x14ac:dyDescent="0.2">
      <c r="A25" s="556">
        <v>71</v>
      </c>
      <c r="B25" s="557" t="s">
        <v>168</v>
      </c>
      <c r="C25" s="545">
        <f>SUM('Deuda Pub 75%'!K11)</f>
        <v>218489.17472837004</v>
      </c>
      <c r="E25" s="190"/>
      <c r="G25" s="199"/>
    </row>
    <row r="26" spans="1:7" ht="36" customHeight="1" thickBot="1" x14ac:dyDescent="0.25">
      <c r="A26" s="558">
        <v>72</v>
      </c>
      <c r="B26" s="559" t="s">
        <v>169</v>
      </c>
      <c r="C26" s="548"/>
      <c r="E26" s="190"/>
      <c r="F26" s="702"/>
    </row>
    <row r="27" spans="1:7" ht="24.95" customHeight="1" thickBot="1" x14ac:dyDescent="0.25">
      <c r="A27" s="723" t="s">
        <v>164</v>
      </c>
      <c r="B27" s="724"/>
      <c r="C27" s="549">
        <f>SUM(C19:C26)</f>
        <v>3459660.7022000002</v>
      </c>
      <c r="D27" s="153"/>
      <c r="E27" s="190"/>
    </row>
    <row r="28" spans="1:7" ht="18" customHeight="1" x14ac:dyDescent="0.2">
      <c r="A28" s="196"/>
      <c r="B28" s="196"/>
      <c r="C28" s="196"/>
    </row>
    <row r="29" spans="1:7" ht="18" customHeight="1" x14ac:dyDescent="0.2"/>
    <row r="30" spans="1:7" x14ac:dyDescent="0.2">
      <c r="C30" s="699"/>
      <c r="D30" s="700">
        <f>C15-C27</f>
        <v>9.999983012676239E-5</v>
      </c>
      <c r="E30" s="701">
        <f>3459660.7-3320424.62</f>
        <v>139236.08000000007</v>
      </c>
    </row>
  </sheetData>
  <sheetProtection sheet="1" objects="1" scenarios="1" selectLockedCells="1" selectUnlockedCells="1"/>
  <mergeCells count="7">
    <mergeCell ref="A4:C4"/>
    <mergeCell ref="A15:B15"/>
    <mergeCell ref="A17:C17"/>
    <mergeCell ref="A27:B27"/>
    <mergeCell ref="A1:C1"/>
    <mergeCell ref="A2:C2"/>
    <mergeCell ref="A3:C3"/>
  </mergeCells>
  <printOptions horizontalCentered="1"/>
  <pageMargins left="0.59055118110236227" right="0.31496062992125984" top="0.23622047244094491" bottom="0.11811023622047245" header="0.31496062992125984" footer="0.31496062992125984"/>
  <pageSetup orientation="portrait" horizontalDpi="4294967293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G41"/>
  <sheetViews>
    <sheetView workbookViewId="0">
      <selection activeCell="N18" sqref="N18"/>
    </sheetView>
  </sheetViews>
  <sheetFormatPr baseColWidth="10" defaultColWidth="11.42578125" defaultRowHeight="12.75" x14ac:dyDescent="0.2"/>
  <cols>
    <col min="1" max="1" width="22.28515625" customWidth="1"/>
    <col min="2" max="2" width="1" customWidth="1"/>
    <col min="4" max="4" width="14.5703125" customWidth="1"/>
    <col min="5" max="5" width="10.5703125" customWidth="1"/>
    <col min="7" max="7" width="13.140625" customWidth="1"/>
  </cols>
  <sheetData>
    <row r="5" spans="3:7" x14ac:dyDescent="0.2">
      <c r="F5" s="156"/>
      <c r="G5" s="156"/>
    </row>
    <row r="7" spans="3:7" x14ac:dyDescent="0.2">
      <c r="C7" s="87"/>
      <c r="D7" s="155"/>
      <c r="E7" s="143"/>
      <c r="F7" s="155"/>
      <c r="G7" s="155"/>
    </row>
    <row r="8" spans="3:7" x14ac:dyDescent="0.2">
      <c r="C8" s="87"/>
    </row>
    <row r="9" spans="3:7" x14ac:dyDescent="0.2">
      <c r="C9" s="87"/>
      <c r="D9" s="155"/>
      <c r="E9" s="143"/>
      <c r="F9" s="155"/>
      <c r="G9" s="155"/>
    </row>
    <row r="10" spans="3:7" x14ac:dyDescent="0.2">
      <c r="C10" s="87"/>
      <c r="D10" s="155"/>
      <c r="E10" s="143"/>
      <c r="F10" s="155"/>
      <c r="G10" s="155"/>
    </row>
    <row r="11" spans="3:7" x14ac:dyDescent="0.2">
      <c r="C11" s="87"/>
      <c r="D11" s="155"/>
      <c r="E11" s="143"/>
      <c r="F11" s="155"/>
      <c r="G11" s="155"/>
    </row>
    <row r="12" spans="3:7" x14ac:dyDescent="0.2">
      <c r="C12" s="87"/>
      <c r="D12" s="155"/>
      <c r="E12" s="143"/>
      <c r="F12" s="155"/>
      <c r="G12" s="155"/>
    </row>
    <row r="13" spans="3:7" x14ac:dyDescent="0.2">
      <c r="C13" s="157"/>
      <c r="D13" s="158"/>
      <c r="E13" s="159"/>
      <c r="F13" s="158"/>
      <c r="G13" s="158"/>
    </row>
    <row r="14" spans="3:7" ht="13.5" thickBot="1" x14ac:dyDescent="0.25">
      <c r="C14" s="160"/>
      <c r="D14" s="160"/>
      <c r="E14" s="160"/>
      <c r="F14" s="160"/>
      <c r="G14" s="160"/>
    </row>
    <row r="15" spans="3:7" ht="13.5" thickTop="1" x14ac:dyDescent="0.2"/>
    <row r="22" spans="4:4" x14ac:dyDescent="0.2">
      <c r="D22" s="87"/>
    </row>
    <row r="24" spans="4:4" x14ac:dyDescent="0.2">
      <c r="D24" s="155"/>
    </row>
    <row r="26" spans="4:4" x14ac:dyDescent="0.2">
      <c r="D26" s="155"/>
    </row>
    <row r="28" spans="4:4" x14ac:dyDescent="0.2">
      <c r="D28" s="87"/>
    </row>
    <row r="35" spans="4:4" x14ac:dyDescent="0.2">
      <c r="D35" s="87"/>
    </row>
    <row r="37" spans="4:4" x14ac:dyDescent="0.2">
      <c r="D37" s="155"/>
    </row>
    <row r="39" spans="4:4" x14ac:dyDescent="0.2">
      <c r="D39" s="155"/>
    </row>
    <row r="41" spans="4:4" x14ac:dyDescent="0.2">
      <c r="D41" s="87"/>
    </row>
  </sheetData>
  <pageMargins left="1.22" right="0.7" top="1.27" bottom="0.75" header="0.3" footer="0.3"/>
  <pageSetup orientation="portrait" horizontalDpi="4294967293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P63"/>
  <sheetViews>
    <sheetView view="pageBreakPreview" topLeftCell="A4" zoomScale="78" zoomScaleSheetLayoutView="78" workbookViewId="0">
      <selection activeCell="O44" sqref="O44"/>
    </sheetView>
  </sheetViews>
  <sheetFormatPr baseColWidth="10" defaultColWidth="11.42578125" defaultRowHeight="12.75" x14ac:dyDescent="0.2"/>
  <cols>
    <col min="1" max="1" width="8.140625" style="31" customWidth="1"/>
    <col min="2" max="2" width="33.28515625" style="25" customWidth="1"/>
    <col min="3" max="3" width="16.140625" style="25" customWidth="1"/>
    <col min="4" max="4" width="18" style="25" customWidth="1"/>
    <col min="5" max="5" width="14.42578125" style="25" customWidth="1"/>
    <col min="6" max="6" width="17.42578125" style="25" customWidth="1"/>
    <col min="7" max="7" width="15.28515625" style="25" customWidth="1"/>
    <col min="8" max="8" width="19" style="29" customWidth="1"/>
    <col min="9" max="9" width="13.5703125" style="26" bestFit="1" customWidth="1"/>
    <col min="10" max="10" width="14.85546875" style="26" customWidth="1"/>
    <col min="11" max="11" width="6" style="26" customWidth="1"/>
    <col min="12" max="12" width="11.42578125" style="26"/>
    <col min="13" max="13" width="15.5703125" style="26" customWidth="1"/>
    <col min="14" max="16384" width="11.42578125" style="26"/>
  </cols>
  <sheetData>
    <row r="1" spans="1:16" ht="18" x14ac:dyDescent="0.2">
      <c r="A1" s="730" t="s">
        <v>472</v>
      </c>
      <c r="B1" s="730"/>
      <c r="C1" s="730"/>
      <c r="D1" s="730"/>
      <c r="E1" s="730"/>
      <c r="F1" s="730"/>
      <c r="G1" s="730"/>
      <c r="H1" s="730"/>
    </row>
    <row r="2" spans="1:16" ht="18" x14ac:dyDescent="0.2">
      <c r="A2" s="730" t="s">
        <v>473</v>
      </c>
      <c r="B2" s="730"/>
      <c r="C2" s="730"/>
      <c r="D2" s="730"/>
      <c r="E2" s="730"/>
      <c r="F2" s="730"/>
      <c r="G2" s="730"/>
      <c r="H2" s="730"/>
      <c r="J2" s="127"/>
      <c r="K2" s="128"/>
    </row>
    <row r="3" spans="1:16" ht="18" x14ac:dyDescent="0.2">
      <c r="A3" s="730" t="s">
        <v>596</v>
      </c>
      <c r="B3" s="730"/>
      <c r="C3" s="730"/>
      <c r="D3" s="730"/>
      <c r="E3" s="730"/>
      <c r="F3" s="730"/>
      <c r="G3" s="730"/>
      <c r="H3" s="730"/>
      <c r="K3" s="128"/>
    </row>
    <row r="4" spans="1:16" ht="18" x14ac:dyDescent="0.2">
      <c r="A4" s="730" t="s">
        <v>11</v>
      </c>
      <c r="B4" s="730"/>
      <c r="C4" s="730"/>
      <c r="D4" s="730"/>
      <c r="E4" s="730"/>
      <c r="F4" s="730"/>
      <c r="G4" s="730"/>
      <c r="H4" s="730"/>
      <c r="K4" s="128"/>
    </row>
    <row r="5" spans="1:16" ht="18" x14ac:dyDescent="0.2">
      <c r="A5" s="730" t="s">
        <v>16</v>
      </c>
      <c r="B5" s="730"/>
      <c r="C5" s="730"/>
      <c r="D5" s="730"/>
      <c r="E5" s="730"/>
      <c r="F5" s="730"/>
      <c r="G5" s="730"/>
      <c r="H5" s="730"/>
      <c r="K5" s="128"/>
    </row>
    <row r="6" spans="1:16" ht="15.75" customHeight="1" x14ac:dyDescent="0.2">
      <c r="A6" s="731" t="s">
        <v>118</v>
      </c>
      <c r="B6" s="732" t="s">
        <v>119</v>
      </c>
      <c r="C6" s="733" t="s">
        <v>121</v>
      </c>
      <c r="D6" s="733"/>
      <c r="E6" s="733"/>
      <c r="F6" s="731" t="s">
        <v>123</v>
      </c>
      <c r="G6" s="731" t="s">
        <v>124</v>
      </c>
      <c r="H6" s="734" t="s">
        <v>125</v>
      </c>
      <c r="K6" s="128"/>
    </row>
    <row r="7" spans="1:16" ht="33" customHeight="1" x14ac:dyDescent="0.2">
      <c r="A7" s="731"/>
      <c r="B7" s="732"/>
      <c r="C7" s="735" t="s">
        <v>120</v>
      </c>
      <c r="D7" s="735"/>
      <c r="E7" s="560" t="s">
        <v>122</v>
      </c>
      <c r="F7" s="731"/>
      <c r="G7" s="731"/>
      <c r="H7" s="734"/>
      <c r="K7" s="128"/>
    </row>
    <row r="8" spans="1:16" ht="99.75" customHeight="1" x14ac:dyDescent="0.2">
      <c r="A8" s="731"/>
      <c r="B8" s="732"/>
      <c r="C8" s="561" t="s">
        <v>126</v>
      </c>
      <c r="D8" s="561" t="s">
        <v>127</v>
      </c>
      <c r="E8" s="561" t="s">
        <v>73</v>
      </c>
      <c r="F8" s="731"/>
      <c r="G8" s="731"/>
      <c r="H8" s="734"/>
      <c r="J8" s="663"/>
      <c r="K8" s="664"/>
      <c r="L8" s="663"/>
      <c r="M8" s="663"/>
      <c r="N8" s="663"/>
      <c r="O8" s="663"/>
      <c r="P8" s="663"/>
    </row>
    <row r="9" spans="1:16" ht="15.75" customHeight="1" x14ac:dyDescent="0.2">
      <c r="A9" s="315" t="s">
        <v>17</v>
      </c>
      <c r="B9" s="316" t="s">
        <v>18</v>
      </c>
      <c r="C9" s="317"/>
      <c r="D9" s="317"/>
      <c r="E9" s="317"/>
      <c r="F9" s="317">
        <f>SUM(ANALISIS!G7)</f>
        <v>16766.161600000003</v>
      </c>
      <c r="G9" s="317"/>
      <c r="H9" s="317">
        <f t="shared" ref="H9:H47" si="0">SUM(C9:G9)</f>
        <v>16766.161600000003</v>
      </c>
      <c r="J9" s="663" t="s">
        <v>336</v>
      </c>
      <c r="K9" s="663" t="s">
        <v>335</v>
      </c>
      <c r="L9" s="663"/>
      <c r="M9" s="665">
        <v>42783.39</v>
      </c>
      <c r="N9" s="663"/>
      <c r="O9" s="663"/>
      <c r="P9" s="663"/>
    </row>
    <row r="10" spans="1:16" ht="15.75" customHeight="1" x14ac:dyDescent="0.2">
      <c r="A10" s="315" t="s">
        <v>19</v>
      </c>
      <c r="B10" s="316" t="s">
        <v>20</v>
      </c>
      <c r="C10" s="317"/>
      <c r="D10" s="317"/>
      <c r="E10" s="317"/>
      <c r="F10" s="317">
        <f>SUM(ANALISIS!G8)</f>
        <v>328964.59019999998</v>
      </c>
      <c r="G10" s="317"/>
      <c r="H10" s="317">
        <f t="shared" si="0"/>
        <v>328964.59019999998</v>
      </c>
      <c r="J10" s="666">
        <f>SUM(H9:H16)</f>
        <v>366452.31069999997</v>
      </c>
      <c r="K10" s="664">
        <v>11</v>
      </c>
      <c r="L10" s="663"/>
      <c r="M10" s="667">
        <v>108580.29</v>
      </c>
      <c r="N10" s="663"/>
      <c r="O10" s="663"/>
      <c r="P10" s="663"/>
    </row>
    <row r="11" spans="1:16" ht="15.75" customHeight="1" x14ac:dyDescent="0.2">
      <c r="A11" s="315">
        <v>11803</v>
      </c>
      <c r="B11" s="316" t="s">
        <v>413</v>
      </c>
      <c r="C11" s="317"/>
      <c r="D11" s="317"/>
      <c r="E11" s="317"/>
      <c r="F11" s="317">
        <f>ANALISIS!G9</f>
        <v>6213.4189999999999</v>
      </c>
      <c r="G11" s="317"/>
      <c r="H11" s="317">
        <f t="shared" si="0"/>
        <v>6213.4189999999999</v>
      </c>
      <c r="J11" s="666"/>
      <c r="K11" s="664"/>
      <c r="L11" s="663"/>
      <c r="M11" s="667">
        <v>4190.1000000000004</v>
      </c>
      <c r="N11" s="663"/>
      <c r="O11" s="663"/>
      <c r="P11" s="663"/>
    </row>
    <row r="12" spans="1:16" ht="15.75" customHeight="1" x14ac:dyDescent="0.2">
      <c r="A12" s="315" t="s">
        <v>21</v>
      </c>
      <c r="B12" s="316" t="s">
        <v>22</v>
      </c>
      <c r="C12" s="317"/>
      <c r="D12" s="317"/>
      <c r="E12" s="317"/>
      <c r="F12" s="317">
        <f>ANALISIS!G10</f>
        <v>5070.2</v>
      </c>
      <c r="G12" s="317"/>
      <c r="H12" s="317">
        <f t="shared" si="0"/>
        <v>5070.2</v>
      </c>
      <c r="J12" s="666">
        <f>SUM(H17:H31)</f>
        <v>843471.31109999993</v>
      </c>
      <c r="K12" s="664">
        <v>12</v>
      </c>
      <c r="L12" s="663"/>
      <c r="M12" s="667">
        <v>17520.349999999999</v>
      </c>
      <c r="N12" s="663"/>
      <c r="O12" s="663"/>
      <c r="P12" s="663"/>
    </row>
    <row r="13" spans="1:16" ht="15.75" customHeight="1" x14ac:dyDescent="0.2">
      <c r="A13" s="315" t="s">
        <v>128</v>
      </c>
      <c r="B13" s="316" t="s">
        <v>129</v>
      </c>
      <c r="C13" s="317"/>
      <c r="D13" s="317"/>
      <c r="E13" s="317"/>
      <c r="F13" s="317">
        <v>0</v>
      </c>
      <c r="G13" s="317"/>
      <c r="H13" s="317">
        <f t="shared" si="0"/>
        <v>0</v>
      </c>
      <c r="J13" s="666">
        <f>SUM(H32:H33)</f>
        <v>7093.8864999999996</v>
      </c>
      <c r="K13" s="664">
        <v>14</v>
      </c>
      <c r="L13" s="663"/>
      <c r="M13" s="667">
        <v>14388.68</v>
      </c>
      <c r="N13" s="663"/>
      <c r="O13" s="663"/>
      <c r="P13" s="663"/>
    </row>
    <row r="14" spans="1:16" ht="15.75" customHeight="1" x14ac:dyDescent="0.2">
      <c r="A14" s="318" t="s">
        <v>130</v>
      </c>
      <c r="B14" s="319" t="s">
        <v>132</v>
      </c>
      <c r="C14" s="317"/>
      <c r="D14" s="317"/>
      <c r="E14" s="317"/>
      <c r="F14" s="317">
        <v>0</v>
      </c>
      <c r="G14" s="317"/>
      <c r="H14" s="317">
        <f t="shared" si="0"/>
        <v>0</v>
      </c>
      <c r="J14" s="666">
        <f>SUM(H34:H41)</f>
        <v>45538.627499999995</v>
      </c>
      <c r="K14" s="664">
        <v>15</v>
      </c>
      <c r="L14" s="663"/>
      <c r="M14" s="667">
        <v>2642.61</v>
      </c>
      <c r="N14" s="663"/>
      <c r="O14" s="663"/>
      <c r="P14" s="663"/>
    </row>
    <row r="15" spans="1:16" ht="15.75" customHeight="1" x14ac:dyDescent="0.2">
      <c r="A15" s="315" t="s">
        <v>131</v>
      </c>
      <c r="B15" s="316" t="s">
        <v>133</v>
      </c>
      <c r="C15" s="317"/>
      <c r="D15" s="317"/>
      <c r="E15" s="317"/>
      <c r="F15" s="317">
        <f>ANALISIS!G11</f>
        <v>5860.732</v>
      </c>
      <c r="G15" s="317"/>
      <c r="H15" s="317">
        <f t="shared" si="0"/>
        <v>5860.732</v>
      </c>
      <c r="J15" s="666">
        <f>SUM(H42)</f>
        <v>369541.32</v>
      </c>
      <c r="K15" s="664">
        <v>16</v>
      </c>
      <c r="L15" s="663"/>
      <c r="M15" s="667">
        <v>12197.84</v>
      </c>
      <c r="N15" s="663"/>
      <c r="O15" s="663"/>
      <c r="P15" s="663"/>
    </row>
    <row r="16" spans="1:16" ht="15.75" customHeight="1" x14ac:dyDescent="0.2">
      <c r="A16" s="318">
        <v>11818</v>
      </c>
      <c r="B16" s="319" t="s">
        <v>58</v>
      </c>
      <c r="C16" s="317"/>
      <c r="D16" s="317"/>
      <c r="E16" s="317"/>
      <c r="F16" s="317">
        <f>ANALISIS!G12</f>
        <v>3577.2078999999999</v>
      </c>
      <c r="G16" s="317"/>
      <c r="H16" s="317">
        <f t="shared" si="0"/>
        <v>3577.2078999999999</v>
      </c>
      <c r="J16" s="666">
        <f>SUM(H43+D44)</f>
        <v>1569988.8</v>
      </c>
      <c r="K16" s="664">
        <v>22</v>
      </c>
      <c r="L16" s="663"/>
      <c r="M16" s="667">
        <v>4688.6000000000004</v>
      </c>
      <c r="N16" s="663"/>
      <c r="O16" s="663"/>
      <c r="P16" s="663"/>
    </row>
    <row r="17" spans="1:16" ht="15.75" customHeight="1" x14ac:dyDescent="0.2">
      <c r="A17" s="315">
        <v>12105</v>
      </c>
      <c r="B17" s="316" t="str">
        <f>ANALISIS!B13</f>
        <v>Por Serv. de Certif. o Visado de doc.</v>
      </c>
      <c r="C17" s="317"/>
      <c r="D17" s="317"/>
      <c r="E17" s="317"/>
      <c r="F17" s="317">
        <f>ANALISIS!G13</f>
        <v>14300.186</v>
      </c>
      <c r="G17" s="317"/>
      <c r="H17" s="317">
        <f t="shared" si="0"/>
        <v>14300.186</v>
      </c>
      <c r="J17" s="666">
        <f>SUM(H44:H45)</f>
        <v>392497.19999999995</v>
      </c>
      <c r="K17" s="664">
        <v>31</v>
      </c>
      <c r="L17" s="663"/>
      <c r="M17" s="667">
        <v>67200.44</v>
      </c>
      <c r="N17" s="663"/>
      <c r="O17" s="663"/>
      <c r="P17" s="663"/>
    </row>
    <row r="18" spans="1:16" ht="15.75" customHeight="1" x14ac:dyDescent="0.2">
      <c r="A18" s="320">
        <v>12106</v>
      </c>
      <c r="B18" s="321" t="str">
        <f>ANALISIS!B14</f>
        <v>Por Expedic. Documentos de Identif.</v>
      </c>
      <c r="C18" s="317"/>
      <c r="D18" s="317"/>
      <c r="E18" s="317"/>
      <c r="F18" s="317">
        <f>ANALISIS!G14</f>
        <v>445.62210000000005</v>
      </c>
      <c r="G18" s="317"/>
      <c r="H18" s="317">
        <f t="shared" si="0"/>
        <v>445.62210000000005</v>
      </c>
      <c r="J18" s="668">
        <f>SUM(J10:J17)</f>
        <v>3594583.4557999996</v>
      </c>
      <c r="K18" s="663" t="s">
        <v>337</v>
      </c>
      <c r="L18" s="663"/>
      <c r="M18" s="667">
        <v>1167.98</v>
      </c>
      <c r="N18" s="663"/>
      <c r="O18" s="663"/>
      <c r="P18" s="663"/>
    </row>
    <row r="19" spans="1:16" ht="15.75" customHeight="1" x14ac:dyDescent="0.2">
      <c r="A19" s="320">
        <v>12108</v>
      </c>
      <c r="B19" s="321" t="s">
        <v>25</v>
      </c>
      <c r="C19" s="317"/>
      <c r="D19" s="317"/>
      <c r="E19" s="317"/>
      <c r="F19" s="317">
        <f>ANALISIS!G15</f>
        <v>141239.17770000003</v>
      </c>
      <c r="G19" s="317"/>
      <c r="H19" s="317">
        <f t="shared" si="0"/>
        <v>141239.17770000003</v>
      </c>
      <c r="J19" s="663"/>
      <c r="K19" s="663"/>
      <c r="L19" s="663"/>
      <c r="M19" s="667"/>
      <c r="N19" s="663"/>
      <c r="O19" s="663"/>
      <c r="P19" s="663"/>
    </row>
    <row r="20" spans="1:16" ht="15.75" customHeight="1" x14ac:dyDescent="0.2">
      <c r="A20" s="315" t="s">
        <v>23</v>
      </c>
      <c r="B20" s="316" t="s">
        <v>24</v>
      </c>
      <c r="C20" s="317"/>
      <c r="D20" s="317"/>
      <c r="E20" s="317"/>
      <c r="F20" s="317">
        <f>ANALISIS!G16</f>
        <v>146613.94320000001</v>
      </c>
      <c r="G20" s="317"/>
      <c r="H20" s="317">
        <f t="shared" si="0"/>
        <v>146613.94320000001</v>
      </c>
      <c r="J20" s="663"/>
      <c r="K20" s="663"/>
      <c r="L20" s="663"/>
      <c r="M20" s="667">
        <v>24801.02</v>
      </c>
      <c r="N20" s="663"/>
      <c r="O20" s="663"/>
      <c r="P20" s="663"/>
    </row>
    <row r="21" spans="1:16" ht="15.75" customHeight="1" x14ac:dyDescent="0.2">
      <c r="A21" s="318" t="s">
        <v>59</v>
      </c>
      <c r="B21" s="319" t="s">
        <v>60</v>
      </c>
      <c r="C21" s="317"/>
      <c r="D21" s="317"/>
      <c r="E21" s="317"/>
      <c r="F21" s="317">
        <f>ANALISIS!G17</f>
        <v>1702.2237000000005</v>
      </c>
      <c r="G21" s="317"/>
      <c r="H21" s="317">
        <f t="shared" si="0"/>
        <v>1702.2237000000005</v>
      </c>
      <c r="J21" s="663"/>
      <c r="K21" s="663"/>
      <c r="L21" s="663"/>
      <c r="M21" s="667">
        <v>7387.93</v>
      </c>
      <c r="N21" s="663"/>
      <c r="O21" s="663"/>
      <c r="P21" s="663"/>
    </row>
    <row r="22" spans="1:16" ht="15.75" customHeight="1" x14ac:dyDescent="0.2">
      <c r="A22" s="322" t="s">
        <v>134</v>
      </c>
      <c r="B22" s="319" t="s">
        <v>135</v>
      </c>
      <c r="C22" s="317"/>
      <c r="D22" s="317"/>
      <c r="E22" s="317"/>
      <c r="F22" s="317">
        <f>SUM(ANALISIS!G18)</f>
        <v>0</v>
      </c>
      <c r="G22" s="317"/>
      <c r="H22" s="317">
        <f t="shared" si="0"/>
        <v>0</v>
      </c>
      <c r="J22" s="663"/>
      <c r="K22" s="663"/>
      <c r="L22" s="663"/>
      <c r="M22" s="667">
        <v>23622.63</v>
      </c>
      <c r="N22" s="663"/>
      <c r="O22" s="663"/>
      <c r="P22" s="663"/>
    </row>
    <row r="23" spans="1:16" ht="15.75" customHeight="1" x14ac:dyDescent="0.2">
      <c r="A23" s="318" t="s">
        <v>61</v>
      </c>
      <c r="B23" s="319" t="s">
        <v>62</v>
      </c>
      <c r="C23" s="317"/>
      <c r="D23" s="317"/>
      <c r="E23" s="317"/>
      <c r="F23" s="317">
        <f>ANALISIS!G19</f>
        <v>52510.2232</v>
      </c>
      <c r="G23" s="317"/>
      <c r="H23" s="317">
        <f t="shared" si="0"/>
        <v>52510.2232</v>
      </c>
      <c r="J23" s="663"/>
      <c r="K23" s="663"/>
      <c r="L23" s="663"/>
      <c r="M23" s="667">
        <v>59325.65</v>
      </c>
      <c r="N23" s="663"/>
      <c r="O23" s="663"/>
      <c r="P23" s="663"/>
    </row>
    <row r="24" spans="1:16" ht="15.75" customHeight="1" x14ac:dyDescent="0.2">
      <c r="A24" s="318" t="s">
        <v>136</v>
      </c>
      <c r="B24" s="319" t="s">
        <v>137</v>
      </c>
      <c r="C24" s="317"/>
      <c r="D24" s="317"/>
      <c r="E24" s="317"/>
      <c r="F24" s="317">
        <f>ANALISIS!G20</f>
        <v>17372.878700000001</v>
      </c>
      <c r="G24" s="317"/>
      <c r="H24" s="317">
        <f t="shared" si="0"/>
        <v>17372.878700000001</v>
      </c>
      <c r="J24" s="663"/>
      <c r="K24" s="663"/>
      <c r="L24" s="663"/>
      <c r="M24" s="667">
        <v>142.97999999999999</v>
      </c>
      <c r="N24" s="663"/>
      <c r="O24" s="663"/>
      <c r="P24" s="663"/>
    </row>
    <row r="25" spans="1:16" ht="15.75" customHeight="1" x14ac:dyDescent="0.2">
      <c r="A25" s="322" t="s">
        <v>63</v>
      </c>
      <c r="B25" s="319" t="s">
        <v>64</v>
      </c>
      <c r="C25" s="317"/>
      <c r="D25" s="317"/>
      <c r="E25" s="317"/>
      <c r="F25" s="317">
        <f>SUM(ANALISIS!G21)</f>
        <v>70849.358800000002</v>
      </c>
      <c r="G25" s="317"/>
      <c r="H25" s="317">
        <f t="shared" si="0"/>
        <v>70849.358800000002</v>
      </c>
      <c r="J25" s="663"/>
      <c r="K25" s="663"/>
      <c r="L25" s="663"/>
      <c r="M25" s="667">
        <v>3666.68</v>
      </c>
      <c r="N25" s="663"/>
      <c r="O25" s="663"/>
      <c r="P25" s="663"/>
    </row>
    <row r="26" spans="1:16" ht="15.75" customHeight="1" x14ac:dyDescent="0.2">
      <c r="A26" s="322" t="s">
        <v>65</v>
      </c>
      <c r="B26" s="319" t="s">
        <v>66</v>
      </c>
      <c r="C26" s="317"/>
      <c r="D26" s="317"/>
      <c r="E26" s="317"/>
      <c r="F26" s="317">
        <f>ANALISIS!G22</f>
        <v>141206.14059999998</v>
      </c>
      <c r="G26" s="317"/>
      <c r="H26" s="317">
        <f t="shared" si="0"/>
        <v>141206.14059999998</v>
      </c>
      <c r="J26" s="663"/>
      <c r="K26" s="663"/>
      <c r="L26" s="663"/>
      <c r="M26" s="667"/>
      <c r="N26" s="663"/>
      <c r="O26" s="663"/>
      <c r="P26" s="663"/>
    </row>
    <row r="27" spans="1:16" ht="15.75" customHeight="1" x14ac:dyDescent="0.2">
      <c r="A27" s="318" t="s">
        <v>67</v>
      </c>
      <c r="B27" s="319" t="s">
        <v>68</v>
      </c>
      <c r="C27" s="317"/>
      <c r="D27" s="317"/>
      <c r="E27" s="317"/>
      <c r="F27" s="317">
        <f>ANALISIS!G23</f>
        <v>288.75899999999996</v>
      </c>
      <c r="G27" s="317"/>
      <c r="H27" s="317">
        <f t="shared" si="0"/>
        <v>288.75899999999996</v>
      </c>
      <c r="J27" s="663"/>
      <c r="K27" s="663"/>
      <c r="L27" s="663"/>
      <c r="M27" s="667">
        <v>86401.02</v>
      </c>
      <c r="N27" s="663"/>
      <c r="O27" s="663"/>
      <c r="P27" s="663"/>
    </row>
    <row r="28" spans="1:16" ht="15.75" customHeight="1" x14ac:dyDescent="0.2">
      <c r="A28" s="318" t="s">
        <v>139</v>
      </c>
      <c r="B28" s="319" t="str">
        <f>ANALISIS!B24</f>
        <v>Tasas Diversas</v>
      </c>
      <c r="C28" s="317"/>
      <c r="D28" s="317"/>
      <c r="E28" s="317"/>
      <c r="F28" s="317">
        <f>ANALISIS!G24</f>
        <v>0</v>
      </c>
      <c r="G28" s="317"/>
      <c r="H28" s="317">
        <f t="shared" si="0"/>
        <v>0</v>
      </c>
      <c r="J28" s="663"/>
      <c r="K28" s="663"/>
      <c r="L28" s="663"/>
      <c r="M28" s="667">
        <v>7.21</v>
      </c>
      <c r="N28" s="663"/>
      <c r="O28" s="663"/>
      <c r="P28" s="663"/>
    </row>
    <row r="29" spans="1:16" ht="15.75" customHeight="1" x14ac:dyDescent="0.2">
      <c r="A29" s="318">
        <v>12123</v>
      </c>
      <c r="B29" s="319" t="s">
        <v>332</v>
      </c>
      <c r="C29" s="317"/>
      <c r="D29" s="317"/>
      <c r="E29" s="317"/>
      <c r="F29" s="317">
        <f>SUM(ANALISIS!G25)</f>
        <v>0</v>
      </c>
      <c r="G29" s="317"/>
      <c r="H29" s="317">
        <f t="shared" si="0"/>
        <v>0</v>
      </c>
      <c r="J29" s="663"/>
      <c r="K29" s="663"/>
      <c r="L29" s="663"/>
      <c r="M29" s="667"/>
      <c r="N29" s="663"/>
      <c r="O29" s="663"/>
      <c r="P29" s="663"/>
    </row>
    <row r="30" spans="1:16" ht="15.75" customHeight="1" x14ac:dyDescent="0.2">
      <c r="A30" s="318" t="s">
        <v>117</v>
      </c>
      <c r="B30" s="319" t="s">
        <v>138</v>
      </c>
      <c r="C30" s="317"/>
      <c r="D30" s="317"/>
      <c r="E30" s="317"/>
      <c r="F30" s="317">
        <f>SUM(ANALISIS!G26)</f>
        <v>256922.57789999997</v>
      </c>
      <c r="G30" s="317"/>
      <c r="H30" s="317">
        <f t="shared" si="0"/>
        <v>256922.57789999997</v>
      </c>
      <c r="J30" s="663"/>
      <c r="K30" s="663"/>
      <c r="L30" s="663"/>
      <c r="M30" s="667"/>
      <c r="N30" s="663"/>
      <c r="O30" s="663"/>
      <c r="P30" s="663"/>
    </row>
    <row r="31" spans="1:16" ht="15.75" customHeight="1" x14ac:dyDescent="0.2">
      <c r="A31" s="318" t="s">
        <v>26</v>
      </c>
      <c r="B31" s="319" t="s">
        <v>27</v>
      </c>
      <c r="C31" s="317"/>
      <c r="D31" s="317"/>
      <c r="E31" s="317"/>
      <c r="F31" s="317">
        <f>SUM(ANALISIS!G27)</f>
        <v>20.220200000000002</v>
      </c>
      <c r="G31" s="317"/>
      <c r="H31" s="317">
        <f t="shared" si="0"/>
        <v>20.220200000000002</v>
      </c>
      <c r="J31" s="663"/>
      <c r="K31" s="663"/>
      <c r="L31" s="663"/>
      <c r="M31" s="667">
        <v>473.37</v>
      </c>
      <c r="N31" s="663"/>
      <c r="O31" s="663"/>
      <c r="P31" s="663"/>
    </row>
    <row r="32" spans="1:16" ht="15.75" customHeight="1" x14ac:dyDescent="0.2">
      <c r="A32" s="318" t="s">
        <v>140</v>
      </c>
      <c r="B32" s="319" t="s">
        <v>141</v>
      </c>
      <c r="C32" s="317"/>
      <c r="D32" s="317"/>
      <c r="E32" s="317"/>
      <c r="F32" s="317">
        <f>SUM(ANALISIS!G28)</f>
        <v>0</v>
      </c>
      <c r="G32" s="317"/>
      <c r="H32" s="317">
        <f t="shared" si="0"/>
        <v>0</v>
      </c>
      <c r="J32" s="663"/>
      <c r="K32" s="663"/>
      <c r="L32" s="663"/>
      <c r="M32" s="667">
        <v>6109.76</v>
      </c>
      <c r="N32" s="663"/>
      <c r="O32" s="663"/>
      <c r="P32" s="663"/>
    </row>
    <row r="33" spans="1:16" ht="15.75" customHeight="1" x14ac:dyDescent="0.2">
      <c r="A33" s="318" t="s">
        <v>28</v>
      </c>
      <c r="B33" s="319" t="s">
        <v>29</v>
      </c>
      <c r="C33" s="317"/>
      <c r="D33" s="317"/>
      <c r="E33" s="317"/>
      <c r="F33" s="317">
        <f>SUM(ANALISIS!G29)</f>
        <v>7093.8864999999996</v>
      </c>
      <c r="G33" s="317"/>
      <c r="H33" s="317">
        <f t="shared" si="0"/>
        <v>7093.8864999999996</v>
      </c>
      <c r="J33" s="663"/>
      <c r="K33" s="663"/>
      <c r="L33" s="663"/>
      <c r="M33" s="667">
        <v>1769.87</v>
      </c>
      <c r="N33" s="663"/>
      <c r="O33" s="663"/>
      <c r="P33" s="663"/>
    </row>
    <row r="34" spans="1:16" ht="15.75" customHeight="1" x14ac:dyDescent="0.2">
      <c r="A34" s="318" t="s">
        <v>30</v>
      </c>
      <c r="B34" s="319" t="s">
        <v>31</v>
      </c>
      <c r="C34" s="317"/>
      <c r="D34" s="317"/>
      <c r="E34" s="317"/>
      <c r="F34" s="317">
        <f>SUM(ANALISIS!G30)</f>
        <v>19873.2549</v>
      </c>
      <c r="G34" s="317"/>
      <c r="H34" s="317">
        <f t="shared" si="0"/>
        <v>19873.2549</v>
      </c>
      <c r="J34" s="663"/>
      <c r="K34" s="663"/>
      <c r="L34" s="663"/>
      <c r="M34" s="667">
        <v>44.13</v>
      </c>
      <c r="N34" s="663"/>
      <c r="O34" s="663"/>
      <c r="P34" s="663"/>
    </row>
    <row r="35" spans="1:16" ht="15.75" customHeight="1" x14ac:dyDescent="0.2">
      <c r="A35" s="318" t="s">
        <v>33</v>
      </c>
      <c r="B35" s="319" t="s">
        <v>32</v>
      </c>
      <c r="C35" s="317"/>
      <c r="D35" s="317"/>
      <c r="E35" s="317"/>
      <c r="F35" s="317">
        <f>SUM(ANALISIS!G31)</f>
        <v>17639.286400000001</v>
      </c>
      <c r="G35" s="317"/>
      <c r="H35" s="317">
        <f t="shared" si="0"/>
        <v>17639.286400000001</v>
      </c>
      <c r="J35" s="663"/>
      <c r="K35" s="663"/>
      <c r="L35" s="663"/>
      <c r="M35" s="667">
        <v>9277.0300000000007</v>
      </c>
      <c r="N35" s="663"/>
      <c r="O35" s="663"/>
      <c r="P35" s="663"/>
    </row>
    <row r="36" spans="1:16" ht="15.75" customHeight="1" x14ac:dyDescent="0.2">
      <c r="A36" s="318">
        <v>15310</v>
      </c>
      <c r="B36" s="319" t="str">
        <f>ANALISIS!B32</f>
        <v>Multas por Declaración Extemporanea</v>
      </c>
      <c r="C36" s="317"/>
      <c r="D36" s="317"/>
      <c r="E36" s="317"/>
      <c r="F36" s="317">
        <f>ANALISIS!G32</f>
        <v>1350.2386999999999</v>
      </c>
      <c r="G36" s="317"/>
      <c r="H36" s="317">
        <f t="shared" si="0"/>
        <v>1350.2386999999999</v>
      </c>
      <c r="J36" s="663"/>
      <c r="K36" s="663"/>
      <c r="L36" s="663"/>
      <c r="M36" s="667"/>
      <c r="N36" s="663"/>
      <c r="O36" s="663"/>
      <c r="P36" s="663"/>
    </row>
    <row r="37" spans="1:16" ht="14.25" x14ac:dyDescent="0.2">
      <c r="A37" s="318">
        <v>15312</v>
      </c>
      <c r="B37" s="319" t="s">
        <v>334</v>
      </c>
      <c r="C37" s="317"/>
      <c r="D37" s="317"/>
      <c r="E37" s="317"/>
      <c r="F37" s="317">
        <f>SUM(ANALISIS!G33)</f>
        <v>548.02599999999995</v>
      </c>
      <c r="G37" s="317"/>
      <c r="H37" s="317">
        <f t="shared" si="0"/>
        <v>548.02599999999995</v>
      </c>
      <c r="J37" s="663"/>
      <c r="K37" s="663"/>
      <c r="L37" s="663"/>
      <c r="M37" s="667"/>
      <c r="N37" s="663"/>
      <c r="O37" s="663"/>
      <c r="P37" s="663"/>
    </row>
    <row r="38" spans="1:16" ht="14.25" x14ac:dyDescent="0.2">
      <c r="A38" s="318" t="s">
        <v>105</v>
      </c>
      <c r="B38" s="319" t="s">
        <v>106</v>
      </c>
      <c r="C38" s="323"/>
      <c r="D38" s="317"/>
      <c r="E38" s="317"/>
      <c r="F38" s="317">
        <f>SUM(ANALISIS!G34)</f>
        <v>0</v>
      </c>
      <c r="G38" s="317"/>
      <c r="H38" s="317">
        <f t="shared" si="0"/>
        <v>0</v>
      </c>
      <c r="J38" s="663"/>
      <c r="K38" s="663"/>
      <c r="L38" s="663"/>
      <c r="M38" s="667"/>
      <c r="N38" s="663"/>
      <c r="O38" s="663"/>
      <c r="P38" s="663"/>
    </row>
    <row r="39" spans="1:16" ht="14.25" x14ac:dyDescent="0.2">
      <c r="A39" s="324">
        <v>15399</v>
      </c>
      <c r="B39" s="325" t="s">
        <v>316</v>
      </c>
      <c r="C39" s="317"/>
      <c r="D39" s="317"/>
      <c r="E39" s="317"/>
      <c r="F39" s="317">
        <f>SUM(ANALISIS!G35)</f>
        <v>0</v>
      </c>
      <c r="G39" s="317"/>
      <c r="H39" s="317">
        <f t="shared" si="0"/>
        <v>0</v>
      </c>
      <c r="J39" s="663"/>
      <c r="K39" s="663"/>
      <c r="L39" s="663"/>
      <c r="M39" s="667">
        <v>104.85</v>
      </c>
      <c r="N39" s="663"/>
      <c r="O39" s="663"/>
      <c r="P39" s="663"/>
    </row>
    <row r="40" spans="1:16" ht="14.25" x14ac:dyDescent="0.2">
      <c r="A40" s="324" t="s">
        <v>69</v>
      </c>
      <c r="B40" s="325" t="s">
        <v>70</v>
      </c>
      <c r="C40" s="317"/>
      <c r="D40" s="317"/>
      <c r="E40" s="317"/>
      <c r="F40" s="317">
        <f>SUM(ANALISIS!G36)</f>
        <v>0</v>
      </c>
      <c r="G40" s="317"/>
      <c r="H40" s="317">
        <f t="shared" si="0"/>
        <v>0</v>
      </c>
      <c r="J40" s="663"/>
      <c r="K40" s="663"/>
      <c r="L40" s="663"/>
      <c r="M40" s="667"/>
      <c r="N40" s="663"/>
      <c r="O40" s="663"/>
      <c r="P40" s="663"/>
    </row>
    <row r="41" spans="1:16" ht="14.25" x14ac:dyDescent="0.2">
      <c r="A41" s="324" t="s">
        <v>71</v>
      </c>
      <c r="B41" s="325" t="s">
        <v>72</v>
      </c>
      <c r="C41" s="317"/>
      <c r="D41" s="317"/>
      <c r="E41" s="317"/>
      <c r="F41" s="317">
        <f>ANALISIS!G37</f>
        <v>6127.8215</v>
      </c>
      <c r="G41" s="317"/>
      <c r="H41" s="317">
        <f t="shared" si="0"/>
        <v>6127.8215</v>
      </c>
      <c r="J41" s="666">
        <f>344447.4/12</f>
        <v>28703.95</v>
      </c>
      <c r="K41" s="663"/>
      <c r="L41" s="663"/>
      <c r="M41" s="667"/>
      <c r="N41" s="663"/>
      <c r="O41" s="663"/>
      <c r="P41" s="663"/>
    </row>
    <row r="42" spans="1:16" ht="14.25" x14ac:dyDescent="0.2">
      <c r="A42" s="318" t="s">
        <v>34</v>
      </c>
      <c r="B42" s="319" t="s">
        <v>262</v>
      </c>
      <c r="C42" s="317">
        <f>30795.11*12</f>
        <v>369541.32</v>
      </c>
      <c r="D42" s="323"/>
      <c r="E42" s="323"/>
      <c r="F42" s="323"/>
      <c r="G42" s="323"/>
      <c r="H42" s="323">
        <f t="shared" si="0"/>
        <v>369541.32</v>
      </c>
      <c r="J42" s="663"/>
      <c r="K42" s="663"/>
      <c r="L42" s="663"/>
      <c r="M42" s="667"/>
      <c r="N42" s="663"/>
      <c r="O42" s="663"/>
      <c r="P42" s="663"/>
    </row>
    <row r="43" spans="1:16" ht="14.25" x14ac:dyDescent="0.2">
      <c r="A43" s="324" t="s">
        <v>35</v>
      </c>
      <c r="B43" s="325" t="s">
        <v>609</v>
      </c>
      <c r="C43" s="317"/>
      <c r="D43" s="317">
        <f>98124.3*12</f>
        <v>1177491.6000000001</v>
      </c>
      <c r="E43" s="317"/>
      <c r="F43" s="317"/>
      <c r="G43" s="317"/>
      <c r="H43" s="317">
        <f t="shared" si="0"/>
        <v>1177491.6000000001</v>
      </c>
      <c r="J43" s="663"/>
      <c r="K43" s="663"/>
      <c r="L43" s="663"/>
      <c r="M43" s="667"/>
      <c r="N43" s="663"/>
      <c r="O43" s="663"/>
      <c r="P43" s="663"/>
    </row>
    <row r="44" spans="1:16" ht="14.25" x14ac:dyDescent="0.2">
      <c r="A44" s="324">
        <v>22201</v>
      </c>
      <c r="B44" s="325" t="s">
        <v>608</v>
      </c>
      <c r="C44" s="317"/>
      <c r="D44" s="317">
        <f>32708.1*12</f>
        <v>392497.19999999995</v>
      </c>
      <c r="E44" s="317"/>
      <c r="F44" s="317"/>
      <c r="G44" s="317"/>
      <c r="H44" s="317">
        <f t="shared" si="0"/>
        <v>392497.19999999995</v>
      </c>
      <c r="J44" s="663"/>
      <c r="K44" s="663"/>
      <c r="L44" s="663"/>
      <c r="M44" s="667"/>
      <c r="N44" s="663"/>
      <c r="O44" s="663"/>
      <c r="P44" s="663"/>
    </row>
    <row r="45" spans="1:16" ht="14.25" x14ac:dyDescent="0.2">
      <c r="A45" s="324" t="s">
        <v>259</v>
      </c>
      <c r="B45" s="325" t="s">
        <v>260</v>
      </c>
      <c r="C45" s="317"/>
      <c r="D45" s="317"/>
      <c r="E45" s="317"/>
      <c r="F45" s="317"/>
      <c r="G45" s="317"/>
      <c r="H45" s="317">
        <f t="shared" si="0"/>
        <v>0</v>
      </c>
      <c r="J45" s="663"/>
      <c r="K45" s="663"/>
      <c r="L45" s="663"/>
      <c r="M45" s="667"/>
      <c r="N45" s="663"/>
      <c r="O45" s="663"/>
      <c r="P45" s="663"/>
    </row>
    <row r="46" spans="1:16" x14ac:dyDescent="0.2">
      <c r="A46" s="324" t="s">
        <v>255</v>
      </c>
      <c r="B46" s="325" t="s">
        <v>256</v>
      </c>
      <c r="C46" s="317"/>
      <c r="D46" s="317"/>
      <c r="E46" s="317"/>
      <c r="F46" s="317"/>
      <c r="G46" s="317"/>
      <c r="H46" s="317">
        <f t="shared" si="0"/>
        <v>0</v>
      </c>
      <c r="J46" s="663"/>
      <c r="K46" s="663"/>
      <c r="L46" s="663"/>
      <c r="M46" s="669">
        <f>SUM(M9:M45)</f>
        <v>498494.41000000003</v>
      </c>
      <c r="N46" s="663"/>
      <c r="O46" s="663"/>
      <c r="P46" s="663"/>
    </row>
    <row r="47" spans="1:16" x14ac:dyDescent="0.2">
      <c r="A47" s="324" t="s">
        <v>90</v>
      </c>
      <c r="B47" s="325" t="s">
        <v>261</v>
      </c>
      <c r="C47" s="317">
        <v>8752.1200000000008</v>
      </c>
      <c r="D47" s="317">
        <v>25884.37</v>
      </c>
      <c r="E47" s="317"/>
      <c r="F47" s="317">
        <v>12017.99</v>
      </c>
      <c r="G47" s="317">
        <v>0</v>
      </c>
      <c r="H47" s="317">
        <f t="shared" si="0"/>
        <v>46654.479999999996</v>
      </c>
      <c r="J47" s="666"/>
      <c r="K47" s="663"/>
      <c r="L47" s="663"/>
      <c r="M47" s="663"/>
      <c r="N47" s="663"/>
      <c r="O47" s="663"/>
      <c r="P47" s="663"/>
    </row>
    <row r="48" spans="1:16" ht="13.5" thickBot="1" x14ac:dyDescent="0.25">
      <c r="A48" s="318" t="s">
        <v>257</v>
      </c>
      <c r="B48" s="319" t="s">
        <v>91</v>
      </c>
      <c r="C48" s="317">
        <v>30795.11</v>
      </c>
      <c r="D48" s="317">
        <v>63630.8</v>
      </c>
      <c r="E48" s="317"/>
      <c r="F48" s="317"/>
      <c r="G48" s="317"/>
      <c r="H48" s="326">
        <f>SUM(C48:G48)</f>
        <v>94425.91</v>
      </c>
      <c r="I48" s="127"/>
      <c r="J48" s="663"/>
      <c r="K48" s="663"/>
      <c r="L48" s="663"/>
      <c r="M48" s="670">
        <f>J41-M46</f>
        <v>-469790.46</v>
      </c>
      <c r="N48" s="663"/>
      <c r="O48" s="663"/>
      <c r="P48" s="663"/>
    </row>
    <row r="49" spans="1:16" ht="13.5" thickBot="1" x14ac:dyDescent="0.25">
      <c r="A49" s="327">
        <v>41201</v>
      </c>
      <c r="B49" s="328" t="s">
        <v>606</v>
      </c>
      <c r="C49" s="329"/>
      <c r="D49" s="329"/>
      <c r="E49" s="329"/>
      <c r="F49" s="329">
        <f>ANALISIS!G44</f>
        <v>116494.05649999999</v>
      </c>
      <c r="G49" s="329"/>
      <c r="H49" s="326">
        <f>SUM(C49:G49)</f>
        <v>116494.05649999999</v>
      </c>
      <c r="I49" s="127"/>
      <c r="J49" s="663"/>
      <c r="K49" s="663"/>
      <c r="L49" s="663"/>
      <c r="M49" s="670"/>
      <c r="N49" s="663"/>
      <c r="O49" s="663"/>
      <c r="P49" s="663"/>
    </row>
    <row r="50" spans="1:16" s="88" customFormat="1" ht="24.95" customHeight="1" thickBot="1" x14ac:dyDescent="0.25">
      <c r="A50" s="562"/>
      <c r="B50" s="563" t="s">
        <v>163</v>
      </c>
      <c r="C50" s="564">
        <f>SUM(C42:C48)</f>
        <v>409088.55</v>
      </c>
      <c r="D50" s="564">
        <f>SUM(D9:D48)</f>
        <v>1659503.9700000002</v>
      </c>
      <c r="E50" s="564">
        <f>SUM(E9:E48)</f>
        <v>0</v>
      </c>
      <c r="F50" s="564">
        <f>SUM(F9:F49)-0.01</f>
        <v>1391068.1723000004</v>
      </c>
      <c r="G50" s="564">
        <f>SUM(G9:G48)</f>
        <v>0</v>
      </c>
      <c r="H50" s="565">
        <f>SUM(C50:G50)+0.01</f>
        <v>3459660.7023000005</v>
      </c>
      <c r="J50" s="671"/>
      <c r="K50" s="671"/>
      <c r="L50" s="671"/>
      <c r="M50" s="671"/>
      <c r="N50" s="671"/>
      <c r="O50" s="671"/>
      <c r="P50" s="671"/>
    </row>
    <row r="51" spans="1:16" ht="15" customHeight="1" x14ac:dyDescent="0.2">
      <c r="A51" s="28"/>
      <c r="B51" s="23"/>
      <c r="C51" s="186">
        <v>0.25</v>
      </c>
      <c r="D51" s="186">
        <v>0.75</v>
      </c>
      <c r="E51" s="31" t="s">
        <v>467</v>
      </c>
      <c r="F51" s="31" t="s">
        <v>468</v>
      </c>
      <c r="G51" s="31" t="s">
        <v>469</v>
      </c>
      <c r="J51" s="663"/>
      <c r="K51" s="663"/>
      <c r="L51" s="663"/>
      <c r="M51" s="663"/>
      <c r="N51" s="663"/>
      <c r="O51" s="663"/>
      <c r="P51" s="663"/>
    </row>
    <row r="52" spans="1:16" s="20" customFormat="1" ht="20.25" customHeight="1" x14ac:dyDescent="0.2">
      <c r="A52" s="30" t="s">
        <v>14</v>
      </c>
      <c r="B52" s="27"/>
      <c r="C52" s="27"/>
      <c r="D52" s="238">
        <f>D50-'Deuda Pub 75%'!H18</f>
        <v>1314449.8500000001</v>
      </c>
      <c r="E52" s="27"/>
      <c r="F52" s="27"/>
      <c r="G52" s="27"/>
      <c r="H52" s="703">
        <f>SUM(H9:H48)</f>
        <v>3343166.6458000005</v>
      </c>
      <c r="J52" s="672"/>
      <c r="K52" s="672"/>
      <c r="L52" s="672"/>
      <c r="M52" s="672"/>
      <c r="N52" s="672"/>
      <c r="O52" s="672"/>
      <c r="P52" s="672"/>
    </row>
    <row r="53" spans="1:16" x14ac:dyDescent="0.2">
      <c r="A53" s="729" t="s">
        <v>3</v>
      </c>
      <c r="B53" s="729"/>
      <c r="C53" s="729"/>
      <c r="D53" s="729"/>
      <c r="E53" s="729"/>
      <c r="F53" s="729"/>
      <c r="H53" s="90"/>
      <c r="J53" s="663"/>
      <c r="K53" s="663"/>
      <c r="L53" s="663"/>
      <c r="M53" s="663"/>
      <c r="N53" s="663"/>
      <c r="O53" s="663">
        <f>60000*12</f>
        <v>720000</v>
      </c>
      <c r="P53" s="663"/>
    </row>
    <row r="54" spans="1:16" x14ac:dyDescent="0.2">
      <c r="A54" s="729" t="s">
        <v>4</v>
      </c>
      <c r="B54" s="729"/>
      <c r="C54" s="729"/>
      <c r="D54" s="729"/>
      <c r="E54" s="729"/>
      <c r="F54" s="729"/>
      <c r="J54" s="663"/>
      <c r="K54" s="663"/>
      <c r="L54" s="663"/>
      <c r="M54" s="663"/>
      <c r="N54" s="663"/>
      <c r="O54" s="663"/>
      <c r="P54" s="663"/>
    </row>
    <row r="55" spans="1:16" x14ac:dyDescent="0.2">
      <c r="A55" s="729" t="s">
        <v>1</v>
      </c>
      <c r="B55" s="729"/>
      <c r="C55" s="729"/>
      <c r="D55" s="729"/>
      <c r="E55" s="729"/>
      <c r="F55" s="729"/>
      <c r="J55" s="663"/>
      <c r="K55" s="663"/>
      <c r="L55" s="663"/>
      <c r="M55" s="663"/>
      <c r="N55" s="663"/>
      <c r="O55" s="663"/>
      <c r="P55" s="663"/>
    </row>
    <row r="56" spans="1:16" x14ac:dyDescent="0.2">
      <c r="A56" s="729" t="s">
        <v>5</v>
      </c>
      <c r="B56" s="729"/>
      <c r="C56" s="729"/>
      <c r="D56" s="729"/>
      <c r="E56" s="729"/>
      <c r="F56" s="729"/>
    </row>
    <row r="57" spans="1:16" x14ac:dyDescent="0.2">
      <c r="A57" s="729" t="s">
        <v>6</v>
      </c>
      <c r="B57" s="729"/>
      <c r="C57" s="729"/>
      <c r="D57" s="729"/>
      <c r="E57" s="729"/>
      <c r="F57" s="729"/>
    </row>
    <row r="58" spans="1:16" x14ac:dyDescent="0.2">
      <c r="A58" s="729" t="s">
        <v>7</v>
      </c>
      <c r="B58" s="729"/>
      <c r="C58" s="729"/>
      <c r="D58" s="729"/>
      <c r="E58" s="729"/>
      <c r="F58" s="729"/>
    </row>
    <row r="61" spans="1:16" x14ac:dyDescent="0.2">
      <c r="F61" s="135">
        <f>ANALISIS!D46</f>
        <v>0</v>
      </c>
    </row>
    <row r="62" spans="1:16" x14ac:dyDescent="0.2">
      <c r="F62" s="201">
        <f>F47</f>
        <v>12017.99</v>
      </c>
    </row>
    <row r="63" spans="1:16" x14ac:dyDescent="0.2">
      <c r="F63" s="135">
        <f>SUM(F61:F62)</f>
        <v>12017.99</v>
      </c>
    </row>
  </sheetData>
  <sheetProtection sheet="1" objects="1" scenarios="1" selectLockedCells="1" selectUnlockedCells="1"/>
  <autoFilter ref="A1:H5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ref="A10:B47">
    <sortCondition ref="A9"/>
  </sortState>
  <mergeCells count="18">
    <mergeCell ref="A4:H4"/>
    <mergeCell ref="F6:F8"/>
    <mergeCell ref="G6:G8"/>
    <mergeCell ref="A1:H1"/>
    <mergeCell ref="A2:H2"/>
    <mergeCell ref="A3:H3"/>
    <mergeCell ref="A5:H5"/>
    <mergeCell ref="B6:B8"/>
    <mergeCell ref="C6:E6"/>
    <mergeCell ref="H6:H8"/>
    <mergeCell ref="A6:A8"/>
    <mergeCell ref="C7:D7"/>
    <mergeCell ref="A53:F53"/>
    <mergeCell ref="A58:F58"/>
    <mergeCell ref="A54:F54"/>
    <mergeCell ref="A55:F55"/>
    <mergeCell ref="A56:F56"/>
    <mergeCell ref="A57:F57"/>
  </mergeCells>
  <phoneticPr fontId="2" type="noConversion"/>
  <printOptions horizontalCentered="1"/>
  <pageMargins left="0.59055118110236227" right="0.78740157480314965" top="0.59055118110236227" bottom="0.59055118110236227" header="0" footer="0"/>
  <pageSetup scale="8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U102"/>
  <sheetViews>
    <sheetView topLeftCell="A55" zoomScale="120" zoomScaleNormal="120" zoomScaleSheetLayoutView="96" zoomScalePageLayoutView="90" workbookViewId="0">
      <selection activeCell="S84" sqref="S84"/>
    </sheetView>
  </sheetViews>
  <sheetFormatPr baseColWidth="10" defaultColWidth="11.42578125" defaultRowHeight="12.75" x14ac:dyDescent="0.2"/>
  <cols>
    <col min="1" max="2" width="2.7109375" style="31" customWidth="1"/>
    <col min="3" max="3" width="4.85546875" style="31" customWidth="1"/>
    <col min="4" max="4" width="5.140625" style="31" customWidth="1"/>
    <col min="5" max="5" width="35.42578125" style="25" customWidth="1"/>
    <col min="6" max="6" width="13.85546875" style="25" customWidth="1"/>
    <col min="7" max="7" width="12.140625" style="25" customWidth="1"/>
    <col min="8" max="8" width="13" style="25" customWidth="1"/>
    <col min="9" max="9" width="11.140625" style="25" customWidth="1"/>
    <col min="10" max="11" width="12.140625" style="25" customWidth="1"/>
    <col min="12" max="12" width="14.7109375" style="27" customWidth="1"/>
    <col min="13" max="13" width="2.85546875" style="25" customWidth="1"/>
    <col min="14" max="14" width="13.85546875" style="26" bestFit="1" customWidth="1"/>
    <col min="15" max="15" width="14.85546875" style="26" customWidth="1"/>
    <col min="16" max="16" width="11.7109375" style="26" bestFit="1" customWidth="1"/>
    <col min="17" max="17" width="13.140625" style="26" customWidth="1"/>
    <col min="18" max="16384" width="11.42578125" style="26"/>
  </cols>
  <sheetData>
    <row r="1" spans="1:18" ht="18" x14ac:dyDescent="0.2">
      <c r="A1" s="730" t="s">
        <v>472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48"/>
      <c r="N1" s="749"/>
      <c r="O1" s="749"/>
    </row>
    <row r="2" spans="1:18" ht="18" x14ac:dyDescent="0.2">
      <c r="A2" s="730" t="s">
        <v>411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48"/>
      <c r="N2" s="749"/>
      <c r="O2" s="749"/>
    </row>
    <row r="3" spans="1:18" ht="15.75" x14ac:dyDescent="0.2">
      <c r="A3" s="737" t="s">
        <v>227</v>
      </c>
      <c r="B3" s="737"/>
      <c r="C3" s="737"/>
      <c r="D3" s="737"/>
      <c r="E3" s="737"/>
      <c r="F3" s="737"/>
      <c r="G3" s="737"/>
      <c r="H3" s="737"/>
      <c r="I3" s="737"/>
      <c r="J3" s="737"/>
      <c r="K3" s="737"/>
      <c r="L3" s="737"/>
      <c r="N3" s="673">
        <v>51</v>
      </c>
      <c r="O3" s="674">
        <f>SUM(L10:L23)</f>
        <v>1045694.2922</v>
      </c>
      <c r="P3" s="74"/>
      <c r="Q3" s="74"/>
      <c r="R3" s="453"/>
    </row>
    <row r="4" spans="1:18" ht="15.75" x14ac:dyDescent="0.2">
      <c r="A4" s="737" t="s">
        <v>605</v>
      </c>
      <c r="B4" s="737"/>
      <c r="C4" s="737"/>
      <c r="D4" s="737"/>
      <c r="E4" s="737"/>
      <c r="F4" s="737"/>
      <c r="G4" s="737"/>
      <c r="H4" s="737"/>
      <c r="I4" s="737"/>
      <c r="J4" s="737"/>
      <c r="K4" s="737"/>
      <c r="L4" s="737"/>
      <c r="N4" s="673">
        <v>54</v>
      </c>
      <c r="O4" s="674">
        <f>SUM(L24:L66)</f>
        <v>276120</v>
      </c>
      <c r="P4" s="74"/>
      <c r="Q4" s="74"/>
    </row>
    <row r="5" spans="1:18" ht="15.75" x14ac:dyDescent="0.2">
      <c r="A5" s="739" t="s">
        <v>13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 s="739"/>
      <c r="N5" s="673">
        <v>55</v>
      </c>
      <c r="O5" s="674">
        <f>SUM(L67:L72)</f>
        <v>16300</v>
      </c>
      <c r="Q5" s="74"/>
    </row>
    <row r="6" spans="1:18" ht="15.75" x14ac:dyDescent="0.2">
      <c r="A6" s="737" t="s">
        <v>15</v>
      </c>
      <c r="B6" s="737"/>
      <c r="C6" s="737"/>
      <c r="D6" s="737"/>
      <c r="E6" s="737"/>
      <c r="F6" s="737"/>
      <c r="G6" s="737"/>
      <c r="H6" s="737"/>
      <c r="I6" s="737"/>
      <c r="J6" s="737"/>
      <c r="K6" s="737"/>
      <c r="L6" s="737"/>
      <c r="N6" s="673">
        <v>56</v>
      </c>
      <c r="O6" s="674">
        <f>SUM(L73:L75)</f>
        <v>35000</v>
      </c>
      <c r="Q6" s="74"/>
    </row>
    <row r="7" spans="1:18" ht="16.5" thickBot="1" x14ac:dyDescent="0.25">
      <c r="A7" s="740" t="s">
        <v>55</v>
      </c>
      <c r="B7" s="740"/>
      <c r="C7" s="740"/>
      <c r="D7" s="740"/>
      <c r="E7" s="740"/>
      <c r="F7" s="740"/>
      <c r="G7" s="740"/>
      <c r="H7" s="740"/>
      <c r="I7" s="740"/>
      <c r="J7" s="740"/>
      <c r="K7" s="740"/>
      <c r="L7" s="740"/>
      <c r="N7" s="673">
        <v>61</v>
      </c>
      <c r="O7" s="675">
        <f>SUM(L76:L80)</f>
        <v>17953.88</v>
      </c>
      <c r="P7" s="74"/>
      <c r="Q7" s="74"/>
    </row>
    <row r="8" spans="1:18" ht="13.5" customHeight="1" thickBot="1" x14ac:dyDescent="0.25">
      <c r="A8" s="741" t="s">
        <v>485</v>
      </c>
      <c r="B8" s="742"/>
      <c r="C8" s="742"/>
      <c r="D8" s="742"/>
      <c r="E8" s="743" t="s">
        <v>180</v>
      </c>
      <c r="F8" s="750" t="s">
        <v>339</v>
      </c>
      <c r="G8" s="750" t="s">
        <v>340</v>
      </c>
      <c r="H8" s="574"/>
      <c r="I8" s="750" t="s">
        <v>431</v>
      </c>
      <c r="J8" s="750" t="s">
        <v>621</v>
      </c>
      <c r="K8" s="574"/>
      <c r="L8" s="750" t="s">
        <v>82</v>
      </c>
      <c r="N8" s="673">
        <v>71</v>
      </c>
      <c r="O8" s="675">
        <f>SUM(O3:O7)</f>
        <v>1391068.1721999999</v>
      </c>
      <c r="Q8" s="74"/>
    </row>
    <row r="9" spans="1:18" ht="186" customHeight="1" thickBot="1" x14ac:dyDescent="0.25">
      <c r="A9" s="575" t="s">
        <v>171</v>
      </c>
      <c r="B9" s="576" t="s">
        <v>174</v>
      </c>
      <c r="C9" s="577" t="s">
        <v>182</v>
      </c>
      <c r="D9" s="578" t="s">
        <v>118</v>
      </c>
      <c r="E9" s="744"/>
      <c r="F9" s="751"/>
      <c r="G9" s="751"/>
      <c r="H9" s="579" t="s">
        <v>429</v>
      </c>
      <c r="I9" s="751"/>
      <c r="J9" s="751"/>
      <c r="K9" s="579" t="s">
        <v>430</v>
      </c>
      <c r="L9" s="751"/>
      <c r="N9" s="673" t="s">
        <v>575</v>
      </c>
      <c r="O9" s="676"/>
      <c r="Q9" s="74"/>
    </row>
    <row r="10" spans="1:18" s="130" customFormat="1" ht="15.75" customHeight="1" x14ac:dyDescent="0.2">
      <c r="A10" s="566">
        <v>1</v>
      </c>
      <c r="B10" s="580" t="s">
        <v>50</v>
      </c>
      <c r="C10" s="580" t="s">
        <v>56</v>
      </c>
      <c r="D10" s="454">
        <v>51101</v>
      </c>
      <c r="E10" s="581" t="s">
        <v>37</v>
      </c>
      <c r="F10" s="313">
        <v>44940</v>
      </c>
      <c r="G10" s="313">
        <v>139568.51999999999</v>
      </c>
      <c r="H10" s="313">
        <v>245391.48</v>
      </c>
      <c r="I10" s="313">
        <v>46588.56</v>
      </c>
      <c r="J10" s="313">
        <v>25810.080000000002</v>
      </c>
      <c r="K10" s="313">
        <v>273205.44</v>
      </c>
      <c r="L10" s="314">
        <f>SUM(F10:K10)</f>
        <v>775504.08000000007</v>
      </c>
      <c r="M10" s="129"/>
      <c r="N10" s="677"/>
      <c r="O10" s="678">
        <f>SUM(L10:L23)</f>
        <v>1045694.2922</v>
      </c>
    </row>
    <row r="11" spans="1:18" s="130" customFormat="1" ht="15.75" customHeight="1" x14ac:dyDescent="0.2">
      <c r="A11" s="566">
        <f>A10+1</f>
        <v>2</v>
      </c>
      <c r="B11" s="580" t="s">
        <v>50</v>
      </c>
      <c r="C11" s="580" t="s">
        <v>56</v>
      </c>
      <c r="D11" s="454">
        <v>51103</v>
      </c>
      <c r="E11" s="582" t="s">
        <v>38</v>
      </c>
      <c r="F11" s="313">
        <f>F10/12+3000</f>
        <v>6745</v>
      </c>
      <c r="G11" s="313">
        <f>G10/12</f>
        <v>11630.71</v>
      </c>
      <c r="H11" s="313">
        <f t="shared" ref="H11:K11" si="0">H10/12</f>
        <v>20449.29</v>
      </c>
      <c r="I11" s="313">
        <f t="shared" si="0"/>
        <v>3882.3799999999997</v>
      </c>
      <c r="J11" s="313">
        <f t="shared" si="0"/>
        <v>2150.84</v>
      </c>
      <c r="K11" s="313">
        <f t="shared" si="0"/>
        <v>22767.119999999999</v>
      </c>
      <c r="L11" s="313">
        <f>SUM(F11:K11)</f>
        <v>67625.34</v>
      </c>
      <c r="M11" s="129"/>
      <c r="N11" s="679"/>
      <c r="O11" s="677"/>
    </row>
    <row r="12" spans="1:18" s="130" customFormat="1" ht="15.75" customHeight="1" x14ac:dyDescent="0.2">
      <c r="A12" s="566">
        <f t="shared" ref="A12:A76" si="1">A11+1</f>
        <v>3</v>
      </c>
      <c r="B12" s="580" t="s">
        <v>50</v>
      </c>
      <c r="C12" s="580" t="s">
        <v>56</v>
      </c>
      <c r="D12" s="454">
        <v>51105</v>
      </c>
      <c r="E12" s="455" t="s">
        <v>75</v>
      </c>
      <c r="F12" s="313">
        <v>0</v>
      </c>
      <c r="G12" s="313"/>
      <c r="H12" s="313"/>
      <c r="I12" s="313"/>
      <c r="J12" s="313"/>
      <c r="K12" s="313"/>
      <c r="L12" s="314">
        <f t="shared" ref="L12:L74" si="2">SUM(F12:K12)</f>
        <v>0</v>
      </c>
      <c r="M12" s="129"/>
      <c r="N12" s="677"/>
      <c r="O12" s="679"/>
    </row>
    <row r="13" spans="1:18" s="130" customFormat="1" ht="15.75" customHeight="1" x14ac:dyDescent="0.2">
      <c r="A13" s="566">
        <f t="shared" si="1"/>
        <v>4</v>
      </c>
      <c r="B13" s="580" t="s">
        <v>50</v>
      </c>
      <c r="C13" s="580" t="s">
        <v>56</v>
      </c>
      <c r="D13" s="454">
        <v>51107</v>
      </c>
      <c r="E13" s="455" t="s">
        <v>344</v>
      </c>
      <c r="F13" s="313">
        <v>0</v>
      </c>
      <c r="G13" s="313"/>
      <c r="H13" s="313"/>
      <c r="I13" s="313"/>
      <c r="J13" s="313"/>
      <c r="K13" s="313"/>
      <c r="L13" s="314">
        <f t="shared" si="2"/>
        <v>0</v>
      </c>
      <c r="M13" s="129"/>
      <c r="N13" s="677"/>
      <c r="O13" s="677"/>
    </row>
    <row r="14" spans="1:18" s="130" customFormat="1" ht="15.75" customHeight="1" x14ac:dyDescent="0.2">
      <c r="A14" s="566">
        <f t="shared" si="1"/>
        <v>5</v>
      </c>
      <c r="B14" s="580" t="s">
        <v>50</v>
      </c>
      <c r="C14" s="580" t="s">
        <v>56</v>
      </c>
      <c r="D14" s="454">
        <v>51201</v>
      </c>
      <c r="E14" s="455" t="s">
        <v>37</v>
      </c>
      <c r="F14" s="313"/>
      <c r="G14" s="313"/>
      <c r="H14" s="313"/>
      <c r="I14" s="313"/>
      <c r="J14" s="313"/>
      <c r="K14" s="313"/>
      <c r="L14" s="314">
        <f t="shared" si="2"/>
        <v>0</v>
      </c>
      <c r="M14" s="129"/>
      <c r="N14" s="677"/>
      <c r="O14" s="677"/>
    </row>
    <row r="15" spans="1:18" s="130" customFormat="1" ht="15.75" customHeight="1" x14ac:dyDescent="0.2">
      <c r="A15" s="566">
        <f t="shared" si="1"/>
        <v>6</v>
      </c>
      <c r="B15" s="580" t="s">
        <v>50</v>
      </c>
      <c r="C15" s="567" t="s">
        <v>56</v>
      </c>
      <c r="D15" s="454">
        <v>51202</v>
      </c>
      <c r="E15" s="455" t="s">
        <v>208</v>
      </c>
      <c r="F15" s="313">
        <v>2000</v>
      </c>
      <c r="G15" s="313">
        <v>0</v>
      </c>
      <c r="H15" s="313">
        <v>0</v>
      </c>
      <c r="I15" s="313"/>
      <c r="J15" s="313"/>
      <c r="K15" s="313">
        <v>1000</v>
      </c>
      <c r="L15" s="314">
        <f t="shared" si="2"/>
        <v>3000</v>
      </c>
      <c r="M15" s="129"/>
      <c r="N15" s="677"/>
      <c r="O15" s="677"/>
    </row>
    <row r="16" spans="1:18" s="130" customFormat="1" ht="15.75" customHeight="1" x14ac:dyDescent="0.2">
      <c r="A16" s="566">
        <f t="shared" si="1"/>
        <v>7</v>
      </c>
      <c r="B16" s="580" t="s">
        <v>50</v>
      </c>
      <c r="C16" s="567" t="s">
        <v>56</v>
      </c>
      <c r="D16" s="454">
        <v>51301</v>
      </c>
      <c r="E16" s="455" t="s">
        <v>432</v>
      </c>
      <c r="F16" s="313">
        <v>0</v>
      </c>
      <c r="G16" s="313">
        <v>0</v>
      </c>
      <c r="H16" s="313">
        <v>1000</v>
      </c>
      <c r="I16" s="313"/>
      <c r="J16" s="313">
        <v>0</v>
      </c>
      <c r="K16" s="313">
        <v>3000</v>
      </c>
      <c r="L16" s="314">
        <f t="shared" si="2"/>
        <v>4000</v>
      </c>
      <c r="M16" s="129"/>
      <c r="N16" s="677"/>
      <c r="O16" s="677"/>
    </row>
    <row r="17" spans="1:15" s="130" customFormat="1" ht="15.75" customHeight="1" x14ac:dyDescent="0.2">
      <c r="A17" s="566">
        <f t="shared" si="1"/>
        <v>8</v>
      </c>
      <c r="B17" s="580" t="s">
        <v>50</v>
      </c>
      <c r="C17" s="567" t="s">
        <v>56</v>
      </c>
      <c r="D17" s="454">
        <v>51401</v>
      </c>
      <c r="E17" s="455" t="s">
        <v>537</v>
      </c>
      <c r="F17" s="313">
        <f>F10*7.5%+900</f>
        <v>4270.5</v>
      </c>
      <c r="G17" s="313">
        <f t="shared" ref="G17:L17" si="3">G10*7.5%</f>
        <v>10467.638999999999</v>
      </c>
      <c r="H17" s="313">
        <v>17715.86</v>
      </c>
      <c r="I17" s="313">
        <f t="shared" si="3"/>
        <v>3494.1419999999998</v>
      </c>
      <c r="J17" s="313">
        <f t="shared" si="3"/>
        <v>1935.7560000000001</v>
      </c>
      <c r="K17" s="313">
        <f t="shared" si="3"/>
        <v>20490.407999999999</v>
      </c>
      <c r="L17" s="313">
        <f t="shared" si="3"/>
        <v>58162.806000000004</v>
      </c>
      <c r="M17" s="129"/>
      <c r="N17" s="677"/>
      <c r="O17" s="677"/>
    </row>
    <row r="18" spans="1:15" s="130" customFormat="1" ht="15.75" customHeight="1" x14ac:dyDescent="0.2">
      <c r="A18" s="566">
        <f t="shared" si="1"/>
        <v>9</v>
      </c>
      <c r="B18" s="580" t="s">
        <v>50</v>
      </c>
      <c r="C18" s="567" t="s">
        <v>56</v>
      </c>
      <c r="D18" s="454">
        <v>51501</v>
      </c>
      <c r="E18" s="455" t="s">
        <v>538</v>
      </c>
      <c r="F18" s="313">
        <f>F10*7.75%+2790</f>
        <v>6272.85</v>
      </c>
      <c r="G18" s="313">
        <f t="shared" ref="G18:L18" si="4">G10*7.75%</f>
        <v>10816.560299999999</v>
      </c>
      <c r="H18" s="313">
        <v>18306.39</v>
      </c>
      <c r="I18" s="313">
        <f t="shared" si="4"/>
        <v>3610.6133999999997</v>
      </c>
      <c r="J18" s="313">
        <f t="shared" si="4"/>
        <v>2000.2812000000001</v>
      </c>
      <c r="K18" s="313">
        <f t="shared" si="4"/>
        <v>21173.421600000001</v>
      </c>
      <c r="L18" s="313">
        <f t="shared" si="4"/>
        <v>60101.566200000008</v>
      </c>
      <c r="M18" s="129"/>
      <c r="N18" s="680">
        <f>SUM(L10:L23)</f>
        <v>1045694.2922</v>
      </c>
      <c r="O18" s="677"/>
    </row>
    <row r="19" spans="1:15" s="130" customFormat="1" ht="15.75" customHeight="1" x14ac:dyDescent="0.2">
      <c r="A19" s="566">
        <f t="shared" si="1"/>
        <v>10</v>
      </c>
      <c r="B19" s="567" t="s">
        <v>50</v>
      </c>
      <c r="C19" s="567" t="s">
        <v>56</v>
      </c>
      <c r="D19" s="309">
        <v>51601</v>
      </c>
      <c r="E19" s="310" t="s">
        <v>264</v>
      </c>
      <c r="F19" s="311">
        <v>18000</v>
      </c>
      <c r="G19" s="311"/>
      <c r="H19" s="311"/>
      <c r="I19" s="311"/>
      <c r="J19" s="311"/>
      <c r="K19" s="313"/>
      <c r="L19" s="314">
        <f t="shared" si="2"/>
        <v>18000</v>
      </c>
      <c r="M19" s="129"/>
      <c r="N19" s="677"/>
      <c r="O19" s="677"/>
    </row>
    <row r="20" spans="1:15" s="130" customFormat="1" ht="15.75" customHeight="1" x14ac:dyDescent="0.2">
      <c r="A20" s="566">
        <f t="shared" si="1"/>
        <v>11</v>
      </c>
      <c r="B20" s="567" t="s">
        <v>50</v>
      </c>
      <c r="C20" s="567" t="s">
        <v>56</v>
      </c>
      <c r="D20" s="309">
        <v>51602</v>
      </c>
      <c r="E20" s="310" t="s">
        <v>433</v>
      </c>
      <c r="F20" s="311">
        <v>8000</v>
      </c>
      <c r="G20" s="311"/>
      <c r="H20" s="311"/>
      <c r="I20" s="311"/>
      <c r="J20" s="311"/>
      <c r="K20" s="313"/>
      <c r="L20" s="314">
        <f>SUM(F20:K20)</f>
        <v>8000</v>
      </c>
      <c r="M20" s="129"/>
      <c r="N20" s="163"/>
    </row>
    <row r="21" spans="1:15" s="130" customFormat="1" ht="15.75" customHeight="1" x14ac:dyDescent="0.2">
      <c r="A21" s="566">
        <f t="shared" si="1"/>
        <v>12</v>
      </c>
      <c r="B21" s="567" t="s">
        <v>50</v>
      </c>
      <c r="C21" s="567" t="s">
        <v>56</v>
      </c>
      <c r="D21" s="309">
        <v>51701</v>
      </c>
      <c r="E21" s="310" t="s">
        <v>343</v>
      </c>
      <c r="F21" s="311"/>
      <c r="G21" s="311">
        <f>3000-799.5</f>
        <v>2200.5</v>
      </c>
      <c r="H21" s="311">
        <v>8000</v>
      </c>
      <c r="I21" s="311"/>
      <c r="J21" s="311"/>
      <c r="K21" s="313">
        <v>8000</v>
      </c>
      <c r="L21" s="314">
        <f>SUM(F21:K21)</f>
        <v>18200.5</v>
      </c>
      <c r="M21" s="129"/>
    </row>
    <row r="22" spans="1:15" s="130" customFormat="1" ht="15.75" customHeight="1" x14ac:dyDescent="0.2">
      <c r="A22" s="566">
        <f t="shared" si="1"/>
        <v>13</v>
      </c>
      <c r="B22" s="567" t="s">
        <v>50</v>
      </c>
      <c r="C22" s="567" t="s">
        <v>56</v>
      </c>
      <c r="D22" s="309">
        <v>51901</v>
      </c>
      <c r="E22" s="310" t="s">
        <v>278</v>
      </c>
      <c r="F22" s="311">
        <v>30600</v>
      </c>
      <c r="G22" s="311"/>
      <c r="H22" s="311"/>
      <c r="I22" s="311"/>
      <c r="J22" s="311">
        <v>0</v>
      </c>
      <c r="K22" s="313"/>
      <c r="L22" s="314">
        <f t="shared" si="2"/>
        <v>30600</v>
      </c>
      <c r="M22" s="129"/>
      <c r="N22" s="163"/>
    </row>
    <row r="23" spans="1:15" s="130" customFormat="1" ht="15.75" customHeight="1" x14ac:dyDescent="0.2">
      <c r="A23" s="566">
        <f t="shared" si="1"/>
        <v>14</v>
      </c>
      <c r="B23" s="567" t="s">
        <v>50</v>
      </c>
      <c r="C23" s="567" t="s">
        <v>56</v>
      </c>
      <c r="D23" s="309">
        <v>51999</v>
      </c>
      <c r="E23" s="310" t="s">
        <v>225</v>
      </c>
      <c r="F23" s="311">
        <v>2500</v>
      </c>
      <c r="G23" s="311"/>
      <c r="H23" s="311"/>
      <c r="I23" s="311"/>
      <c r="J23" s="311"/>
      <c r="K23" s="313"/>
      <c r="L23" s="314">
        <f t="shared" si="2"/>
        <v>2500</v>
      </c>
      <c r="M23" s="129"/>
      <c r="N23" s="163"/>
    </row>
    <row r="24" spans="1:15" s="130" customFormat="1" ht="15.75" customHeight="1" x14ac:dyDescent="0.2">
      <c r="A24" s="566">
        <f t="shared" si="1"/>
        <v>15</v>
      </c>
      <c r="B24" s="567" t="s">
        <v>50</v>
      </c>
      <c r="C24" s="567" t="s">
        <v>56</v>
      </c>
      <c r="D24" s="309">
        <v>54101</v>
      </c>
      <c r="E24" s="310" t="s">
        <v>40</v>
      </c>
      <c r="F24" s="311">
        <v>6000</v>
      </c>
      <c r="G24" s="311"/>
      <c r="H24" s="311"/>
      <c r="I24" s="311"/>
      <c r="J24" s="311"/>
      <c r="K24" s="313"/>
      <c r="L24" s="314">
        <f t="shared" si="2"/>
        <v>6000</v>
      </c>
      <c r="M24" s="129"/>
      <c r="N24" s="677"/>
      <c r="O24" s="679"/>
    </row>
    <row r="25" spans="1:15" s="130" customFormat="1" ht="15.75" customHeight="1" x14ac:dyDescent="0.2">
      <c r="A25" s="566">
        <f t="shared" si="1"/>
        <v>16</v>
      </c>
      <c r="B25" s="567" t="s">
        <v>50</v>
      </c>
      <c r="C25" s="567" t="s">
        <v>56</v>
      </c>
      <c r="D25" s="309">
        <v>54103</v>
      </c>
      <c r="E25" s="310" t="s">
        <v>229</v>
      </c>
      <c r="F25" s="311">
        <v>800</v>
      </c>
      <c r="G25" s="311"/>
      <c r="H25" s="311"/>
      <c r="I25" s="311"/>
      <c r="J25" s="311"/>
      <c r="K25" s="313"/>
      <c r="L25" s="314">
        <f t="shared" si="2"/>
        <v>800</v>
      </c>
      <c r="M25" s="129"/>
      <c r="N25" s="679"/>
      <c r="O25" s="677"/>
    </row>
    <row r="26" spans="1:15" s="130" customFormat="1" ht="15.75" customHeight="1" x14ac:dyDescent="0.2">
      <c r="A26" s="566">
        <f t="shared" si="1"/>
        <v>17</v>
      </c>
      <c r="B26" s="567" t="s">
        <v>50</v>
      </c>
      <c r="C26" s="567" t="s">
        <v>56</v>
      </c>
      <c r="D26" s="309">
        <v>54104</v>
      </c>
      <c r="E26" s="310" t="s">
        <v>209</v>
      </c>
      <c r="F26" s="311">
        <v>5000</v>
      </c>
      <c r="G26" s="311"/>
      <c r="H26" s="311"/>
      <c r="I26" s="311"/>
      <c r="J26" s="311"/>
      <c r="K26" s="313"/>
      <c r="L26" s="314">
        <f t="shared" si="2"/>
        <v>5000</v>
      </c>
      <c r="M26" s="129"/>
      <c r="N26" s="695">
        <v>4000</v>
      </c>
      <c r="O26" s="677"/>
    </row>
    <row r="27" spans="1:15" s="130" customFormat="1" ht="15.75" customHeight="1" x14ac:dyDescent="0.2">
      <c r="A27" s="566">
        <f t="shared" si="1"/>
        <v>18</v>
      </c>
      <c r="B27" s="567" t="s">
        <v>50</v>
      </c>
      <c r="C27" s="567" t="s">
        <v>56</v>
      </c>
      <c r="D27" s="309">
        <v>54105</v>
      </c>
      <c r="E27" s="310" t="s">
        <v>41</v>
      </c>
      <c r="F27" s="311">
        <v>500</v>
      </c>
      <c r="G27" s="311"/>
      <c r="H27" s="311"/>
      <c r="I27" s="311"/>
      <c r="J27" s="311"/>
      <c r="K27" s="313"/>
      <c r="L27" s="314">
        <f t="shared" si="2"/>
        <v>500</v>
      </c>
      <c r="M27" s="129"/>
      <c r="N27" s="680"/>
      <c r="O27" s="677"/>
    </row>
    <row r="28" spans="1:15" s="130" customFormat="1" ht="15.75" customHeight="1" x14ac:dyDescent="0.2">
      <c r="A28" s="566">
        <f t="shared" si="1"/>
        <v>19</v>
      </c>
      <c r="B28" s="567" t="s">
        <v>50</v>
      </c>
      <c r="C28" s="567" t="s">
        <v>56</v>
      </c>
      <c r="D28" s="309">
        <v>54106</v>
      </c>
      <c r="E28" s="310" t="s">
        <v>210</v>
      </c>
      <c r="F28" s="311">
        <v>300</v>
      </c>
      <c r="G28" s="311"/>
      <c r="H28" s="311"/>
      <c r="I28" s="311"/>
      <c r="J28" s="311"/>
      <c r="K28" s="313"/>
      <c r="L28" s="314">
        <f t="shared" si="2"/>
        <v>300</v>
      </c>
      <c r="M28" s="129"/>
      <c r="N28" s="677"/>
      <c r="O28" s="677"/>
    </row>
    <row r="29" spans="1:15" s="130" customFormat="1" ht="15.75" customHeight="1" x14ac:dyDescent="0.2">
      <c r="A29" s="566">
        <f t="shared" si="1"/>
        <v>20</v>
      </c>
      <c r="B29" s="567" t="s">
        <v>50</v>
      </c>
      <c r="C29" s="567" t="s">
        <v>56</v>
      </c>
      <c r="D29" s="309">
        <v>54107</v>
      </c>
      <c r="E29" s="310" t="s">
        <v>211</v>
      </c>
      <c r="F29" s="311">
        <v>3500</v>
      </c>
      <c r="G29" s="311"/>
      <c r="H29" s="311"/>
      <c r="I29" s="311"/>
      <c r="J29" s="311"/>
      <c r="K29" s="313"/>
      <c r="L29" s="314">
        <f t="shared" si="2"/>
        <v>3500</v>
      </c>
      <c r="M29" s="129"/>
      <c r="N29" s="679">
        <v>3000</v>
      </c>
      <c r="O29" s="677"/>
    </row>
    <row r="30" spans="1:15" s="130" customFormat="1" ht="15.75" customHeight="1" x14ac:dyDescent="0.2">
      <c r="A30" s="566">
        <f t="shared" si="1"/>
        <v>21</v>
      </c>
      <c r="B30" s="567" t="s">
        <v>50</v>
      </c>
      <c r="C30" s="567" t="s">
        <v>56</v>
      </c>
      <c r="D30" s="309">
        <v>54109</v>
      </c>
      <c r="E30" s="310" t="s">
        <v>212</v>
      </c>
      <c r="F30" s="311">
        <v>0</v>
      </c>
      <c r="G30" s="311"/>
      <c r="H30" s="311"/>
      <c r="I30" s="311">
        <v>0</v>
      </c>
      <c r="J30" s="311"/>
      <c r="K30" s="313">
        <v>0</v>
      </c>
      <c r="L30" s="314">
        <f t="shared" si="2"/>
        <v>0</v>
      </c>
      <c r="M30" s="129"/>
      <c r="N30" s="677"/>
      <c r="O30" s="677"/>
    </row>
    <row r="31" spans="1:15" s="130" customFormat="1" ht="15.75" customHeight="1" x14ac:dyDescent="0.2">
      <c r="A31" s="566">
        <f t="shared" si="1"/>
        <v>22</v>
      </c>
      <c r="B31" s="567" t="s">
        <v>50</v>
      </c>
      <c r="C31" s="567" t="s">
        <v>56</v>
      </c>
      <c r="D31" s="309">
        <v>54110</v>
      </c>
      <c r="E31" s="310" t="s">
        <v>42</v>
      </c>
      <c r="F31" s="311">
        <v>800</v>
      </c>
      <c r="G31" s="311"/>
      <c r="H31" s="311"/>
      <c r="I31" s="311"/>
      <c r="J31" s="311"/>
      <c r="K31" s="313"/>
      <c r="L31" s="314">
        <f t="shared" si="2"/>
        <v>800</v>
      </c>
      <c r="M31" s="129"/>
      <c r="N31" s="677"/>
      <c r="O31" s="677"/>
    </row>
    <row r="32" spans="1:15" s="130" customFormat="1" ht="15.75" customHeight="1" x14ac:dyDescent="0.2">
      <c r="A32" s="566">
        <f t="shared" si="1"/>
        <v>23</v>
      </c>
      <c r="B32" s="567" t="s">
        <v>50</v>
      </c>
      <c r="C32" s="567" t="s">
        <v>56</v>
      </c>
      <c r="D32" s="309">
        <v>54111</v>
      </c>
      <c r="E32" s="310" t="s">
        <v>213</v>
      </c>
      <c r="F32" s="311">
        <v>3000</v>
      </c>
      <c r="G32" s="311"/>
      <c r="H32" s="311"/>
      <c r="I32" s="311"/>
      <c r="J32" s="311"/>
      <c r="K32" s="313"/>
      <c r="L32" s="314">
        <f t="shared" si="2"/>
        <v>3000</v>
      </c>
      <c r="M32" s="129"/>
      <c r="N32" s="677"/>
      <c r="O32" s="677"/>
    </row>
    <row r="33" spans="1:15" s="130" customFormat="1" ht="15.75" customHeight="1" x14ac:dyDescent="0.2">
      <c r="A33" s="566">
        <f t="shared" si="1"/>
        <v>24</v>
      </c>
      <c r="B33" s="567" t="s">
        <v>50</v>
      </c>
      <c r="C33" s="567" t="s">
        <v>56</v>
      </c>
      <c r="D33" s="309">
        <v>54112</v>
      </c>
      <c r="E33" s="310" t="s">
        <v>214</v>
      </c>
      <c r="F33" s="311">
        <v>3500</v>
      </c>
      <c r="G33" s="311"/>
      <c r="H33" s="311"/>
      <c r="I33" s="311"/>
      <c r="J33" s="311"/>
      <c r="K33" s="313"/>
      <c r="L33" s="314">
        <f t="shared" si="2"/>
        <v>3500</v>
      </c>
      <c r="M33" s="129"/>
      <c r="N33" s="677"/>
      <c r="O33" s="677"/>
    </row>
    <row r="34" spans="1:15" s="130" customFormat="1" ht="15.75" customHeight="1" x14ac:dyDescent="0.2">
      <c r="A34" s="566">
        <f t="shared" si="1"/>
        <v>25</v>
      </c>
      <c r="B34" s="567" t="s">
        <v>50</v>
      </c>
      <c r="C34" s="567" t="s">
        <v>56</v>
      </c>
      <c r="D34" s="309">
        <v>54114</v>
      </c>
      <c r="E34" s="310" t="s">
        <v>43</v>
      </c>
      <c r="F34" s="311">
        <v>10000</v>
      </c>
      <c r="G34" s="311"/>
      <c r="H34" s="311"/>
      <c r="I34" s="311"/>
      <c r="J34" s="311"/>
      <c r="K34" s="313"/>
      <c r="L34" s="314">
        <f t="shared" si="2"/>
        <v>10000</v>
      </c>
      <c r="M34" s="129"/>
      <c r="N34" s="677"/>
      <c r="O34" s="677"/>
    </row>
    <row r="35" spans="1:15" s="130" customFormat="1" ht="15.75" customHeight="1" x14ac:dyDescent="0.2">
      <c r="A35" s="566">
        <f t="shared" si="1"/>
        <v>26</v>
      </c>
      <c r="B35" s="567" t="s">
        <v>50</v>
      </c>
      <c r="C35" s="567" t="s">
        <v>56</v>
      </c>
      <c r="D35" s="309">
        <v>54115</v>
      </c>
      <c r="E35" s="310" t="s">
        <v>80</v>
      </c>
      <c r="F35" s="311">
        <v>4000</v>
      </c>
      <c r="G35" s="311"/>
      <c r="H35" s="311"/>
      <c r="I35" s="311"/>
      <c r="J35" s="311"/>
      <c r="K35" s="313"/>
      <c r="L35" s="314">
        <f t="shared" si="2"/>
        <v>4000</v>
      </c>
      <c r="M35" s="129"/>
      <c r="N35" s="677"/>
      <c r="O35" s="677"/>
    </row>
    <row r="36" spans="1:15" s="130" customFormat="1" ht="15.75" customHeight="1" x14ac:dyDescent="0.2">
      <c r="A36" s="566">
        <f t="shared" si="1"/>
        <v>27</v>
      </c>
      <c r="B36" s="567" t="s">
        <v>50</v>
      </c>
      <c r="C36" s="567" t="s">
        <v>56</v>
      </c>
      <c r="D36" s="309">
        <v>54116</v>
      </c>
      <c r="E36" s="310" t="s">
        <v>486</v>
      </c>
      <c r="F36" s="311">
        <v>500</v>
      </c>
      <c r="G36" s="311"/>
      <c r="H36" s="311"/>
      <c r="I36" s="311"/>
      <c r="J36" s="311"/>
      <c r="K36" s="313"/>
      <c r="L36" s="314">
        <f t="shared" si="2"/>
        <v>500</v>
      </c>
      <c r="M36" s="129"/>
      <c r="N36" s="677"/>
      <c r="O36" s="677"/>
    </row>
    <row r="37" spans="1:15" s="130" customFormat="1" ht="15.75" customHeight="1" x14ac:dyDescent="0.2">
      <c r="A37" s="566">
        <f t="shared" si="1"/>
        <v>28</v>
      </c>
      <c r="B37" s="567" t="s">
        <v>50</v>
      </c>
      <c r="C37" s="567" t="s">
        <v>56</v>
      </c>
      <c r="D37" s="309">
        <v>54117</v>
      </c>
      <c r="E37" s="310" t="s">
        <v>434</v>
      </c>
      <c r="F37" s="311">
        <v>0</v>
      </c>
      <c r="G37" s="311"/>
      <c r="H37" s="311"/>
      <c r="I37" s="311"/>
      <c r="J37" s="311"/>
      <c r="K37" s="313"/>
      <c r="L37" s="314">
        <f t="shared" si="2"/>
        <v>0</v>
      </c>
      <c r="M37" s="129"/>
      <c r="N37" s="677"/>
      <c r="O37" s="677"/>
    </row>
    <row r="38" spans="1:15" s="130" customFormat="1" ht="15.75" customHeight="1" x14ac:dyDescent="0.2">
      <c r="A38" s="566">
        <f t="shared" si="1"/>
        <v>29</v>
      </c>
      <c r="B38" s="567" t="s">
        <v>50</v>
      </c>
      <c r="C38" s="567" t="s">
        <v>56</v>
      </c>
      <c r="D38" s="309">
        <v>54118</v>
      </c>
      <c r="E38" s="310" t="s">
        <v>215</v>
      </c>
      <c r="F38" s="311">
        <v>9000</v>
      </c>
      <c r="G38" s="311"/>
      <c r="H38" s="311"/>
      <c r="I38" s="311"/>
      <c r="J38" s="311"/>
      <c r="K38" s="313"/>
      <c r="L38" s="314">
        <f t="shared" si="2"/>
        <v>9000</v>
      </c>
      <c r="M38" s="129"/>
      <c r="N38" s="677"/>
      <c r="O38" s="677"/>
    </row>
    <row r="39" spans="1:15" s="130" customFormat="1" ht="15.75" customHeight="1" x14ac:dyDescent="0.2">
      <c r="A39" s="566">
        <f t="shared" si="1"/>
        <v>30</v>
      </c>
      <c r="B39" s="567" t="s">
        <v>50</v>
      </c>
      <c r="C39" s="567" t="s">
        <v>56</v>
      </c>
      <c r="D39" s="309">
        <v>54119</v>
      </c>
      <c r="E39" s="310" t="s">
        <v>104</v>
      </c>
      <c r="F39" s="311">
        <v>2000</v>
      </c>
      <c r="G39" s="311"/>
      <c r="H39" s="311"/>
      <c r="I39" s="311"/>
      <c r="J39" s="311"/>
      <c r="K39" s="313"/>
      <c r="L39" s="314">
        <f t="shared" si="2"/>
        <v>2000</v>
      </c>
      <c r="M39" s="129"/>
      <c r="N39" s="677"/>
      <c r="O39" s="677"/>
    </row>
    <row r="40" spans="1:15" s="130" customFormat="1" ht="15.75" customHeight="1" x14ac:dyDescent="0.2">
      <c r="A40" s="566">
        <f t="shared" si="1"/>
        <v>31</v>
      </c>
      <c r="B40" s="567" t="s">
        <v>50</v>
      </c>
      <c r="C40" s="567" t="s">
        <v>56</v>
      </c>
      <c r="D40" s="309">
        <v>54199</v>
      </c>
      <c r="E40" s="310" t="s">
        <v>216</v>
      </c>
      <c r="F40" s="311">
        <v>19400</v>
      </c>
      <c r="G40" s="311"/>
      <c r="H40" s="311"/>
      <c r="I40" s="311"/>
      <c r="J40" s="311"/>
      <c r="K40" s="313"/>
      <c r="L40" s="314">
        <f t="shared" si="2"/>
        <v>19400</v>
      </c>
      <c r="M40" s="129"/>
      <c r="N40" s="695">
        <v>11000</v>
      </c>
      <c r="O40" s="677"/>
    </row>
    <row r="41" spans="1:15" s="130" customFormat="1" ht="15.75" customHeight="1" x14ac:dyDescent="0.2">
      <c r="A41" s="566">
        <f t="shared" si="1"/>
        <v>32</v>
      </c>
      <c r="B41" s="567" t="s">
        <v>50</v>
      </c>
      <c r="C41" s="567" t="s">
        <v>56</v>
      </c>
      <c r="D41" s="309">
        <v>54201</v>
      </c>
      <c r="E41" s="310" t="s">
        <v>342</v>
      </c>
      <c r="F41" s="311"/>
      <c r="G41" s="311"/>
      <c r="H41" s="311"/>
      <c r="I41" s="311"/>
      <c r="J41" s="311"/>
      <c r="K41" s="313"/>
      <c r="L41" s="314">
        <f t="shared" si="2"/>
        <v>0</v>
      </c>
      <c r="N41" s="677"/>
      <c r="O41" s="677"/>
    </row>
    <row r="42" spans="1:15" s="130" customFormat="1" ht="15.75" customHeight="1" x14ac:dyDescent="0.2">
      <c r="A42" s="566">
        <f t="shared" si="1"/>
        <v>33</v>
      </c>
      <c r="B42" s="567" t="s">
        <v>50</v>
      </c>
      <c r="C42" s="567" t="s">
        <v>56</v>
      </c>
      <c r="D42" s="309">
        <v>54202</v>
      </c>
      <c r="E42" s="310" t="s">
        <v>45</v>
      </c>
      <c r="F42" s="311"/>
      <c r="G42" s="311"/>
      <c r="H42" s="311"/>
      <c r="I42" s="311"/>
      <c r="J42" s="311"/>
      <c r="K42" s="313"/>
      <c r="L42" s="314">
        <f t="shared" si="2"/>
        <v>0</v>
      </c>
      <c r="N42" s="677"/>
      <c r="O42" s="677"/>
    </row>
    <row r="43" spans="1:15" s="130" customFormat="1" ht="15.75" customHeight="1" x14ac:dyDescent="0.2">
      <c r="A43" s="566">
        <f t="shared" si="1"/>
        <v>34</v>
      </c>
      <c r="B43" s="567" t="s">
        <v>50</v>
      </c>
      <c r="C43" s="567" t="s">
        <v>56</v>
      </c>
      <c r="D43" s="309">
        <v>54203</v>
      </c>
      <c r="E43" s="310" t="s">
        <v>46</v>
      </c>
      <c r="F43" s="311"/>
      <c r="G43" s="311"/>
      <c r="H43" s="311"/>
      <c r="I43" s="311"/>
      <c r="J43" s="311"/>
      <c r="K43" s="313"/>
      <c r="L43" s="314">
        <f t="shared" si="2"/>
        <v>0</v>
      </c>
      <c r="N43" s="677"/>
      <c r="O43" s="677"/>
    </row>
    <row r="44" spans="1:15" s="130" customFormat="1" ht="15.75" customHeight="1" x14ac:dyDescent="0.2">
      <c r="A44" s="566">
        <f t="shared" si="1"/>
        <v>35</v>
      </c>
      <c r="B44" s="567" t="s">
        <v>50</v>
      </c>
      <c r="C44" s="567" t="s">
        <v>56</v>
      </c>
      <c r="D44" s="309">
        <v>54205</v>
      </c>
      <c r="E44" s="310" t="s">
        <v>25</v>
      </c>
      <c r="F44" s="311">
        <v>60000</v>
      </c>
      <c r="G44" s="311"/>
      <c r="H44" s="311"/>
      <c r="I44" s="311"/>
      <c r="J44" s="311"/>
      <c r="K44" s="313"/>
      <c r="L44" s="314">
        <f t="shared" si="2"/>
        <v>60000</v>
      </c>
      <c r="M44" s="129"/>
      <c r="N44" s="695">
        <v>49000</v>
      </c>
    </row>
    <row r="45" spans="1:15" s="130" customFormat="1" ht="15.75" customHeight="1" x14ac:dyDescent="0.2">
      <c r="A45" s="566">
        <f t="shared" si="1"/>
        <v>36</v>
      </c>
      <c r="B45" s="567" t="s">
        <v>50</v>
      </c>
      <c r="C45" s="567" t="s">
        <v>56</v>
      </c>
      <c r="D45" s="309">
        <v>54301</v>
      </c>
      <c r="E45" s="310" t="s">
        <v>217</v>
      </c>
      <c r="F45" s="311">
        <v>2800</v>
      </c>
      <c r="G45" s="311"/>
      <c r="H45" s="311"/>
      <c r="I45" s="311"/>
      <c r="J45" s="311"/>
      <c r="K45" s="313"/>
      <c r="L45" s="314">
        <f t="shared" si="2"/>
        <v>2800</v>
      </c>
      <c r="M45" s="129"/>
      <c r="N45" s="677"/>
    </row>
    <row r="46" spans="1:15" s="130" customFormat="1" ht="15.75" customHeight="1" x14ac:dyDescent="0.2">
      <c r="A46" s="566">
        <f t="shared" si="1"/>
        <v>37</v>
      </c>
      <c r="B46" s="567" t="s">
        <v>50</v>
      </c>
      <c r="C46" s="567" t="s">
        <v>56</v>
      </c>
      <c r="D46" s="309">
        <v>54302</v>
      </c>
      <c r="E46" s="310" t="s">
        <v>218</v>
      </c>
      <c r="F46" s="311">
        <v>1000</v>
      </c>
      <c r="G46" s="311"/>
      <c r="H46" s="311"/>
      <c r="I46" s="311"/>
      <c r="J46" s="311"/>
      <c r="K46" s="313"/>
      <c r="L46" s="314">
        <f t="shared" si="2"/>
        <v>1000</v>
      </c>
      <c r="M46" s="129"/>
      <c r="N46" s="695">
        <v>10000</v>
      </c>
    </row>
    <row r="47" spans="1:15" s="130" customFormat="1" ht="15.75" customHeight="1" x14ac:dyDescent="0.2">
      <c r="A47" s="566">
        <f t="shared" si="1"/>
        <v>38</v>
      </c>
      <c r="B47" s="567" t="s">
        <v>50</v>
      </c>
      <c r="C47" s="567" t="s">
        <v>56</v>
      </c>
      <c r="D47" s="309">
        <v>54303</v>
      </c>
      <c r="E47" s="310" t="s">
        <v>219</v>
      </c>
      <c r="F47" s="311"/>
      <c r="G47" s="311"/>
      <c r="H47" s="311"/>
      <c r="I47" s="311"/>
      <c r="J47" s="311"/>
      <c r="K47" s="313"/>
      <c r="L47" s="314">
        <f t="shared" si="2"/>
        <v>0</v>
      </c>
      <c r="M47" s="129"/>
      <c r="N47" s="677"/>
    </row>
    <row r="48" spans="1:15" s="130" customFormat="1" ht="15.75" customHeight="1" x14ac:dyDescent="0.2">
      <c r="A48" s="566">
        <f t="shared" si="1"/>
        <v>39</v>
      </c>
      <c r="B48" s="567" t="s">
        <v>50</v>
      </c>
      <c r="C48" s="567" t="s">
        <v>56</v>
      </c>
      <c r="D48" s="309">
        <v>54304</v>
      </c>
      <c r="E48" s="310" t="s">
        <v>76</v>
      </c>
      <c r="F48" s="311">
        <v>15000</v>
      </c>
      <c r="G48" s="311"/>
      <c r="H48" s="311"/>
      <c r="I48" s="311"/>
      <c r="J48" s="311"/>
      <c r="K48" s="313"/>
      <c r="L48" s="314">
        <f t="shared" si="2"/>
        <v>15000</v>
      </c>
      <c r="M48" s="129"/>
    </row>
    <row r="49" spans="1:14" s="130" customFormat="1" ht="15.75" customHeight="1" x14ac:dyDescent="0.2">
      <c r="A49" s="566">
        <f t="shared" si="1"/>
        <v>40</v>
      </c>
      <c r="B49" s="567" t="s">
        <v>50</v>
      </c>
      <c r="C49" s="567" t="s">
        <v>56</v>
      </c>
      <c r="D49" s="309">
        <v>54305</v>
      </c>
      <c r="E49" s="310" t="s">
        <v>77</v>
      </c>
      <c r="F49" s="311">
        <v>3150</v>
      </c>
      <c r="G49" s="311"/>
      <c r="H49" s="311"/>
      <c r="I49" s="311"/>
      <c r="J49" s="311"/>
      <c r="K49" s="313"/>
      <c r="L49" s="314">
        <f t="shared" si="2"/>
        <v>3150</v>
      </c>
      <c r="M49" s="129"/>
    </row>
    <row r="50" spans="1:14" s="130" customFormat="1" ht="15.75" customHeight="1" x14ac:dyDescent="0.2">
      <c r="A50" s="566">
        <f t="shared" si="1"/>
        <v>41</v>
      </c>
      <c r="B50" s="567" t="s">
        <v>50</v>
      </c>
      <c r="C50" s="567" t="s">
        <v>56</v>
      </c>
      <c r="D50" s="309">
        <v>54307</v>
      </c>
      <c r="E50" s="310" t="s">
        <v>435</v>
      </c>
      <c r="F50" s="311">
        <v>800</v>
      </c>
      <c r="G50" s="311"/>
      <c r="H50" s="311"/>
      <c r="I50" s="311"/>
      <c r="J50" s="311"/>
      <c r="K50" s="313"/>
      <c r="L50" s="314">
        <f t="shared" si="2"/>
        <v>800</v>
      </c>
      <c r="M50" s="129"/>
    </row>
    <row r="51" spans="1:14" s="130" customFormat="1" ht="15.75" customHeight="1" x14ac:dyDescent="0.2">
      <c r="A51" s="566">
        <f t="shared" si="1"/>
        <v>42</v>
      </c>
      <c r="B51" s="567" t="s">
        <v>50</v>
      </c>
      <c r="C51" s="567" t="s">
        <v>56</v>
      </c>
      <c r="D51" s="309">
        <v>54308</v>
      </c>
      <c r="E51" s="310" t="s">
        <v>463</v>
      </c>
      <c r="F51" s="311">
        <v>0</v>
      </c>
      <c r="G51" s="311"/>
      <c r="H51" s="311"/>
      <c r="I51" s="311"/>
      <c r="J51" s="311"/>
      <c r="K51" s="313"/>
      <c r="L51" s="314">
        <f t="shared" si="2"/>
        <v>0</v>
      </c>
      <c r="M51" s="129"/>
    </row>
    <row r="52" spans="1:14" s="130" customFormat="1" ht="15.75" customHeight="1" x14ac:dyDescent="0.2">
      <c r="A52" s="566">
        <f t="shared" si="1"/>
        <v>43</v>
      </c>
      <c r="B52" s="567" t="s">
        <v>50</v>
      </c>
      <c r="C52" s="567" t="s">
        <v>56</v>
      </c>
      <c r="D52" s="309">
        <v>54310</v>
      </c>
      <c r="E52" s="310" t="s">
        <v>220</v>
      </c>
      <c r="F52" s="311">
        <v>2500</v>
      </c>
      <c r="G52" s="311"/>
      <c r="H52" s="311"/>
      <c r="I52" s="311"/>
      <c r="J52" s="311"/>
      <c r="K52" s="313"/>
      <c r="L52" s="314">
        <f t="shared" si="2"/>
        <v>2500</v>
      </c>
      <c r="M52" s="129"/>
    </row>
    <row r="53" spans="1:14" s="130" customFormat="1" ht="15.75" customHeight="1" x14ac:dyDescent="0.2">
      <c r="A53" s="566">
        <f t="shared" si="1"/>
        <v>44</v>
      </c>
      <c r="B53" s="567" t="s">
        <v>50</v>
      </c>
      <c r="C53" s="567" t="s">
        <v>56</v>
      </c>
      <c r="D53" s="309">
        <v>54313</v>
      </c>
      <c r="E53" s="310" t="s">
        <v>487</v>
      </c>
      <c r="F53" s="311">
        <v>2000</v>
      </c>
      <c r="G53" s="311"/>
      <c r="H53" s="311"/>
      <c r="I53" s="311"/>
      <c r="J53" s="311"/>
      <c r="K53" s="313"/>
      <c r="L53" s="314">
        <f t="shared" si="2"/>
        <v>2000</v>
      </c>
      <c r="M53" s="129"/>
    </row>
    <row r="54" spans="1:14" s="130" customFormat="1" ht="15.75" customHeight="1" x14ac:dyDescent="0.2">
      <c r="A54" s="566">
        <f t="shared" si="1"/>
        <v>45</v>
      </c>
      <c r="B54" s="567" t="s">
        <v>50</v>
      </c>
      <c r="C54" s="567" t="s">
        <v>56</v>
      </c>
      <c r="D54" s="309">
        <v>54314</v>
      </c>
      <c r="E54" s="310" t="s">
        <v>81</v>
      </c>
      <c r="F54" s="311">
        <v>38000</v>
      </c>
      <c r="G54" s="311"/>
      <c r="H54" s="311"/>
      <c r="I54" s="311"/>
      <c r="J54" s="311"/>
      <c r="K54" s="313"/>
      <c r="L54" s="314">
        <f t="shared" si="2"/>
        <v>38000</v>
      </c>
      <c r="M54" s="129"/>
      <c r="N54" s="163"/>
    </row>
    <row r="55" spans="1:14" s="130" customFormat="1" ht="15.75" customHeight="1" x14ac:dyDescent="0.2">
      <c r="A55" s="566">
        <f t="shared" si="1"/>
        <v>46</v>
      </c>
      <c r="B55" s="567" t="s">
        <v>50</v>
      </c>
      <c r="C55" s="567" t="s">
        <v>56</v>
      </c>
      <c r="D55" s="309">
        <v>54316</v>
      </c>
      <c r="E55" s="310" t="s">
        <v>464</v>
      </c>
      <c r="F55" s="311">
        <v>2500</v>
      </c>
      <c r="G55" s="311"/>
      <c r="H55" s="311"/>
      <c r="I55" s="311"/>
      <c r="J55" s="311"/>
      <c r="K55" s="313"/>
      <c r="L55" s="314">
        <f t="shared" si="2"/>
        <v>2500</v>
      </c>
      <c r="M55" s="129"/>
      <c r="N55" s="163"/>
    </row>
    <row r="56" spans="1:14" s="130" customFormat="1" ht="15.75" customHeight="1" x14ac:dyDescent="0.2">
      <c r="A56" s="566">
        <f t="shared" si="1"/>
        <v>47</v>
      </c>
      <c r="B56" s="567" t="s">
        <v>50</v>
      </c>
      <c r="C56" s="567" t="s">
        <v>56</v>
      </c>
      <c r="D56" s="309">
        <v>54399</v>
      </c>
      <c r="E56" s="310" t="s">
        <v>78</v>
      </c>
      <c r="F56" s="311">
        <v>7500</v>
      </c>
      <c r="G56" s="311"/>
      <c r="H56" s="311"/>
      <c r="I56" s="311"/>
      <c r="J56" s="311"/>
      <c r="K56" s="313"/>
      <c r="L56" s="314">
        <f t="shared" si="2"/>
        <v>7500</v>
      </c>
      <c r="M56" s="129"/>
    </row>
    <row r="57" spans="1:14" s="130" customFormat="1" ht="15.75" customHeight="1" x14ac:dyDescent="0.2">
      <c r="A57" s="566">
        <f t="shared" si="1"/>
        <v>48</v>
      </c>
      <c r="B57" s="567" t="s">
        <v>50</v>
      </c>
      <c r="C57" s="567" t="s">
        <v>56</v>
      </c>
      <c r="D57" s="309">
        <v>54401</v>
      </c>
      <c r="E57" s="310" t="s">
        <v>317</v>
      </c>
      <c r="F57" s="311">
        <v>300</v>
      </c>
      <c r="G57" s="311">
        <v>50</v>
      </c>
      <c r="H57" s="311">
        <v>50</v>
      </c>
      <c r="I57" s="311">
        <v>50</v>
      </c>
      <c r="J57" s="311">
        <v>50</v>
      </c>
      <c r="K57" s="313">
        <v>100</v>
      </c>
      <c r="L57" s="314">
        <f t="shared" si="2"/>
        <v>600</v>
      </c>
      <c r="M57" s="129"/>
    </row>
    <row r="58" spans="1:14" s="130" customFormat="1" ht="15.75" customHeight="1" x14ac:dyDescent="0.2">
      <c r="A58" s="566">
        <f t="shared" si="1"/>
        <v>49</v>
      </c>
      <c r="B58" s="567" t="s">
        <v>50</v>
      </c>
      <c r="C58" s="567" t="s">
        <v>56</v>
      </c>
      <c r="D58" s="309">
        <v>54403</v>
      </c>
      <c r="E58" s="310" t="s">
        <v>265</v>
      </c>
      <c r="F58" s="311">
        <v>500</v>
      </c>
      <c r="G58" s="311">
        <v>100</v>
      </c>
      <c r="H58" s="311">
        <v>100</v>
      </c>
      <c r="I58" s="311">
        <v>100</v>
      </c>
      <c r="J58" s="311">
        <v>50</v>
      </c>
      <c r="K58" s="313">
        <v>100</v>
      </c>
      <c r="L58" s="314">
        <f t="shared" si="2"/>
        <v>950</v>
      </c>
      <c r="M58" s="129"/>
    </row>
    <row r="59" spans="1:14" s="130" customFormat="1" ht="15.75" customHeight="1" x14ac:dyDescent="0.2">
      <c r="A59" s="566">
        <f t="shared" si="1"/>
        <v>50</v>
      </c>
      <c r="B59" s="567" t="s">
        <v>50</v>
      </c>
      <c r="C59" s="567" t="s">
        <v>56</v>
      </c>
      <c r="D59" s="309">
        <v>54404</v>
      </c>
      <c r="E59" s="310" t="s">
        <v>516</v>
      </c>
      <c r="F59" s="311">
        <v>2500</v>
      </c>
      <c r="G59" s="311"/>
      <c r="H59" s="311"/>
      <c r="I59" s="311"/>
      <c r="J59" s="311"/>
      <c r="K59" s="313"/>
      <c r="L59" s="314">
        <f t="shared" si="2"/>
        <v>2500</v>
      </c>
      <c r="M59" s="129"/>
    </row>
    <row r="60" spans="1:14" s="130" customFormat="1" ht="15.75" customHeight="1" x14ac:dyDescent="0.2">
      <c r="A60" s="566">
        <f t="shared" si="1"/>
        <v>51</v>
      </c>
      <c r="B60" s="567" t="s">
        <v>50</v>
      </c>
      <c r="C60" s="567" t="s">
        <v>56</v>
      </c>
      <c r="D60" s="309">
        <v>54503</v>
      </c>
      <c r="E60" s="310" t="s">
        <v>79</v>
      </c>
      <c r="F60" s="311">
        <v>1500</v>
      </c>
      <c r="G60" s="311"/>
      <c r="H60" s="311"/>
      <c r="I60" s="311"/>
      <c r="J60" s="311"/>
      <c r="K60" s="313"/>
      <c r="L60" s="314">
        <f t="shared" si="2"/>
        <v>1500</v>
      </c>
      <c r="M60" s="129"/>
    </row>
    <row r="61" spans="1:14" s="130" customFormat="1" ht="15.75" customHeight="1" x14ac:dyDescent="0.2">
      <c r="A61" s="566">
        <f t="shared" si="1"/>
        <v>52</v>
      </c>
      <c r="B61" s="567" t="s">
        <v>50</v>
      </c>
      <c r="C61" s="567" t="s">
        <v>56</v>
      </c>
      <c r="D61" s="309">
        <v>54504</v>
      </c>
      <c r="E61" s="310" t="s">
        <v>85</v>
      </c>
      <c r="F61" s="311">
        <v>1500</v>
      </c>
      <c r="G61" s="311"/>
      <c r="H61" s="311"/>
      <c r="I61" s="311"/>
      <c r="J61" s="311"/>
      <c r="K61" s="313"/>
      <c r="L61" s="314">
        <f t="shared" si="2"/>
        <v>1500</v>
      </c>
      <c r="M61" s="129"/>
    </row>
    <row r="62" spans="1:14" s="130" customFormat="1" ht="15.75" customHeight="1" x14ac:dyDescent="0.2">
      <c r="A62" s="566">
        <f t="shared" si="1"/>
        <v>53</v>
      </c>
      <c r="B62" s="567" t="s">
        <v>50</v>
      </c>
      <c r="C62" s="567" t="s">
        <v>56</v>
      </c>
      <c r="D62" s="309">
        <v>54505</v>
      </c>
      <c r="E62" s="310" t="s">
        <v>235</v>
      </c>
      <c r="F62" s="311">
        <v>3000</v>
      </c>
      <c r="G62" s="311"/>
      <c r="H62" s="311"/>
      <c r="I62" s="311"/>
      <c r="J62" s="311"/>
      <c r="K62" s="313"/>
      <c r="L62" s="314">
        <f t="shared" si="2"/>
        <v>3000</v>
      </c>
      <c r="M62" s="129"/>
    </row>
    <row r="63" spans="1:14" s="130" customFormat="1" ht="15.75" customHeight="1" x14ac:dyDescent="0.2">
      <c r="A63" s="566">
        <f t="shared" si="1"/>
        <v>54</v>
      </c>
      <c r="B63" s="567" t="s">
        <v>50</v>
      </c>
      <c r="C63" s="567" t="s">
        <v>56</v>
      </c>
      <c r="D63" s="309">
        <v>54508</v>
      </c>
      <c r="E63" s="310" t="s">
        <v>236</v>
      </c>
      <c r="F63" s="311"/>
      <c r="G63" s="311"/>
      <c r="H63" s="311"/>
      <c r="I63" s="311"/>
      <c r="J63" s="311"/>
      <c r="K63" s="313"/>
      <c r="L63" s="314">
        <f t="shared" si="2"/>
        <v>0</v>
      </c>
      <c r="M63" s="129"/>
    </row>
    <row r="64" spans="1:14" s="130" customFormat="1" ht="15.75" customHeight="1" x14ac:dyDescent="0.2">
      <c r="A64" s="566">
        <f t="shared" si="1"/>
        <v>55</v>
      </c>
      <c r="B64" s="567" t="s">
        <v>50</v>
      </c>
      <c r="C64" s="567" t="s">
        <v>56</v>
      </c>
      <c r="D64" s="309">
        <v>54601</v>
      </c>
      <c r="E64" s="310" t="s">
        <v>465</v>
      </c>
      <c r="F64" s="311">
        <v>1000</v>
      </c>
      <c r="G64" s="311"/>
      <c r="H64" s="311"/>
      <c r="I64" s="311">
        <v>500</v>
      </c>
      <c r="J64" s="311"/>
      <c r="K64" s="313"/>
      <c r="L64" s="314">
        <f t="shared" si="2"/>
        <v>1500</v>
      </c>
      <c r="M64" s="129"/>
    </row>
    <row r="65" spans="1:15" s="130" customFormat="1" ht="15.75" customHeight="1" x14ac:dyDescent="0.2">
      <c r="A65" s="566">
        <f t="shared" si="1"/>
        <v>56</v>
      </c>
      <c r="B65" s="567" t="s">
        <v>50</v>
      </c>
      <c r="C65" s="567" t="s">
        <v>56</v>
      </c>
      <c r="D65" s="309">
        <v>54602</v>
      </c>
      <c r="E65" s="310" t="s">
        <v>238</v>
      </c>
      <c r="F65" s="311">
        <v>0</v>
      </c>
      <c r="G65" s="311"/>
      <c r="H65" s="311"/>
      <c r="I65" s="311"/>
      <c r="J65" s="311"/>
      <c r="K65" s="313"/>
      <c r="L65" s="314">
        <f t="shared" si="2"/>
        <v>0</v>
      </c>
      <c r="M65" s="129"/>
      <c r="N65" s="677"/>
      <c r="O65" s="677"/>
    </row>
    <row r="66" spans="1:15" s="130" customFormat="1" ht="15.75" customHeight="1" x14ac:dyDescent="0.2">
      <c r="A66" s="566">
        <f t="shared" si="1"/>
        <v>57</v>
      </c>
      <c r="B66" s="567" t="s">
        <v>50</v>
      </c>
      <c r="C66" s="567" t="s">
        <v>56</v>
      </c>
      <c r="D66" s="309">
        <v>54603</v>
      </c>
      <c r="E66" s="310" t="s">
        <v>466</v>
      </c>
      <c r="F66" s="311">
        <v>61020</v>
      </c>
      <c r="G66" s="311"/>
      <c r="H66" s="311"/>
      <c r="I66" s="311"/>
      <c r="J66" s="311"/>
      <c r="K66" s="313"/>
      <c r="L66" s="314">
        <f t="shared" si="2"/>
        <v>61020</v>
      </c>
      <c r="M66" s="129"/>
      <c r="N66" s="677"/>
      <c r="O66" s="677"/>
    </row>
    <row r="67" spans="1:15" s="130" customFormat="1" ht="15.75" customHeight="1" x14ac:dyDescent="0.2">
      <c r="A67" s="566">
        <f t="shared" si="1"/>
        <v>58</v>
      </c>
      <c r="B67" s="567" t="s">
        <v>50</v>
      </c>
      <c r="C67" s="567" t="s">
        <v>56</v>
      </c>
      <c r="D67" s="309">
        <v>55401</v>
      </c>
      <c r="E67" s="310" t="s">
        <v>505</v>
      </c>
      <c r="F67" s="311">
        <v>0</v>
      </c>
      <c r="G67" s="311"/>
      <c r="H67" s="311"/>
      <c r="I67" s="311"/>
      <c r="J67" s="311"/>
      <c r="K67" s="313"/>
      <c r="L67" s="314">
        <f t="shared" si="2"/>
        <v>0</v>
      </c>
      <c r="M67" s="129"/>
      <c r="N67" s="679">
        <f>SUM(L67:L72)</f>
        <v>16300</v>
      </c>
      <c r="O67" s="679">
        <f>SUM(L67:L72)</f>
        <v>16300</v>
      </c>
    </row>
    <row r="68" spans="1:15" s="130" customFormat="1" ht="15.75" customHeight="1" x14ac:dyDescent="0.2">
      <c r="A68" s="566">
        <f t="shared" si="1"/>
        <v>59</v>
      </c>
      <c r="B68" s="567" t="s">
        <v>50</v>
      </c>
      <c r="C68" s="567" t="s">
        <v>56</v>
      </c>
      <c r="D68" s="309">
        <v>55508</v>
      </c>
      <c r="E68" s="310" t="s">
        <v>86</v>
      </c>
      <c r="F68" s="311">
        <v>2000</v>
      </c>
      <c r="G68" s="311"/>
      <c r="H68" s="311"/>
      <c r="I68" s="311"/>
      <c r="J68" s="311"/>
      <c r="K68" s="313"/>
      <c r="L68" s="314">
        <f t="shared" si="2"/>
        <v>2000</v>
      </c>
      <c r="M68" s="129"/>
      <c r="N68" s="677"/>
      <c r="O68" s="677"/>
    </row>
    <row r="69" spans="1:15" s="130" customFormat="1" ht="15.75" customHeight="1" x14ac:dyDescent="0.2">
      <c r="A69" s="566">
        <v>60</v>
      </c>
      <c r="B69" s="567" t="s">
        <v>50</v>
      </c>
      <c r="C69" s="567" t="s">
        <v>56</v>
      </c>
      <c r="D69" s="309">
        <v>55601</v>
      </c>
      <c r="E69" s="310" t="s">
        <v>545</v>
      </c>
      <c r="F69" s="311">
        <v>1500</v>
      </c>
      <c r="G69" s="311"/>
      <c r="H69" s="311"/>
      <c r="I69" s="311"/>
      <c r="J69" s="311"/>
      <c r="K69" s="313"/>
      <c r="L69" s="314">
        <f t="shared" si="2"/>
        <v>1500</v>
      </c>
      <c r="M69" s="129"/>
      <c r="N69" s="677"/>
      <c r="O69" s="677"/>
    </row>
    <row r="70" spans="1:15" s="130" customFormat="1" ht="15.75" customHeight="1" x14ac:dyDescent="0.2">
      <c r="A70" s="566">
        <v>61</v>
      </c>
      <c r="B70" s="567" t="s">
        <v>50</v>
      </c>
      <c r="C70" s="567" t="s">
        <v>56</v>
      </c>
      <c r="D70" s="309">
        <v>55602</v>
      </c>
      <c r="E70" s="310" t="s">
        <v>504</v>
      </c>
      <c r="F70" s="311">
        <v>7000</v>
      </c>
      <c r="G70" s="311"/>
      <c r="H70" s="311"/>
      <c r="I70" s="311"/>
      <c r="J70" s="311"/>
      <c r="K70" s="313"/>
      <c r="L70" s="314">
        <f t="shared" si="2"/>
        <v>7000</v>
      </c>
      <c r="M70" s="129"/>
      <c r="N70" s="677"/>
      <c r="O70" s="677"/>
    </row>
    <row r="71" spans="1:15" s="130" customFormat="1" ht="15.75" customHeight="1" x14ac:dyDescent="0.2">
      <c r="A71" s="566">
        <f t="shared" si="1"/>
        <v>62</v>
      </c>
      <c r="B71" s="567" t="s">
        <v>50</v>
      </c>
      <c r="C71" s="567" t="s">
        <v>56</v>
      </c>
      <c r="D71" s="309">
        <v>55603</v>
      </c>
      <c r="E71" s="310" t="s">
        <v>221</v>
      </c>
      <c r="F71" s="311">
        <v>800</v>
      </c>
      <c r="G71" s="311"/>
      <c r="H71" s="311"/>
      <c r="I71" s="311"/>
      <c r="J71" s="311"/>
      <c r="K71" s="313"/>
      <c r="L71" s="314">
        <f t="shared" si="2"/>
        <v>800</v>
      </c>
      <c r="M71" s="129"/>
      <c r="N71" s="677"/>
      <c r="O71" s="677"/>
    </row>
    <row r="72" spans="1:15" s="130" customFormat="1" ht="15.75" customHeight="1" x14ac:dyDescent="0.2">
      <c r="A72" s="566">
        <f t="shared" si="1"/>
        <v>63</v>
      </c>
      <c r="B72" s="567" t="s">
        <v>50</v>
      </c>
      <c r="C72" s="567" t="s">
        <v>56</v>
      </c>
      <c r="D72" s="309">
        <v>55703</v>
      </c>
      <c r="E72" s="310" t="s">
        <v>222</v>
      </c>
      <c r="F72" s="311">
        <v>5000</v>
      </c>
      <c r="G72" s="311"/>
      <c r="H72" s="311"/>
      <c r="I72" s="311"/>
      <c r="J72" s="311"/>
      <c r="K72" s="313"/>
      <c r="L72" s="314">
        <f t="shared" si="2"/>
        <v>5000</v>
      </c>
      <c r="M72" s="129"/>
      <c r="N72" s="677"/>
      <c r="O72" s="677"/>
    </row>
    <row r="73" spans="1:15" s="130" customFormat="1" ht="15.75" customHeight="1" x14ac:dyDescent="0.2">
      <c r="A73" s="566">
        <f t="shared" si="1"/>
        <v>64</v>
      </c>
      <c r="B73" s="567" t="s">
        <v>50</v>
      </c>
      <c r="C73" s="567" t="s">
        <v>56</v>
      </c>
      <c r="D73" s="309">
        <v>56201</v>
      </c>
      <c r="E73" s="310" t="s">
        <v>484</v>
      </c>
      <c r="F73" s="311">
        <v>0</v>
      </c>
      <c r="G73" s="311"/>
      <c r="H73" s="311"/>
      <c r="I73" s="311"/>
      <c r="J73" s="311"/>
      <c r="K73" s="313"/>
      <c r="L73" s="314">
        <f t="shared" si="2"/>
        <v>0</v>
      </c>
      <c r="M73" s="129"/>
      <c r="N73" s="679">
        <f>SUM(L73:L75)</f>
        <v>35000</v>
      </c>
      <c r="O73" s="677"/>
    </row>
    <row r="74" spans="1:15" s="130" customFormat="1" ht="15.75" customHeight="1" x14ac:dyDescent="0.2">
      <c r="A74" s="566">
        <f t="shared" si="1"/>
        <v>65</v>
      </c>
      <c r="B74" s="567" t="s">
        <v>50</v>
      </c>
      <c r="C74" s="567" t="s">
        <v>56</v>
      </c>
      <c r="D74" s="309">
        <v>56303</v>
      </c>
      <c r="E74" s="310" t="s">
        <v>318</v>
      </c>
      <c r="F74" s="311">
        <v>0</v>
      </c>
      <c r="G74" s="311"/>
      <c r="H74" s="311"/>
      <c r="I74" s="311"/>
      <c r="J74" s="311"/>
      <c r="K74" s="313"/>
      <c r="L74" s="314">
        <f t="shared" si="2"/>
        <v>0</v>
      </c>
      <c r="M74" s="129"/>
      <c r="N74" s="679"/>
      <c r="O74" s="677"/>
    </row>
    <row r="75" spans="1:15" s="130" customFormat="1" ht="15.75" customHeight="1" x14ac:dyDescent="0.2">
      <c r="A75" s="566">
        <f t="shared" si="1"/>
        <v>66</v>
      </c>
      <c r="B75" s="567" t="s">
        <v>50</v>
      </c>
      <c r="C75" s="567" t="s">
        <v>56</v>
      </c>
      <c r="D75" s="309">
        <v>56304</v>
      </c>
      <c r="E75" s="310" t="s">
        <v>266</v>
      </c>
      <c r="F75" s="311">
        <v>35000</v>
      </c>
      <c r="G75" s="311"/>
      <c r="H75" s="311"/>
      <c r="I75" s="311"/>
      <c r="J75" s="311"/>
      <c r="K75" s="313"/>
      <c r="L75" s="314">
        <f>SUM(F75:K75)</f>
        <v>35000</v>
      </c>
      <c r="M75" s="129"/>
      <c r="N75" s="677"/>
      <c r="O75" s="679">
        <f>SUM(L73:L75)</f>
        <v>35000</v>
      </c>
    </row>
    <row r="76" spans="1:15" s="130" customFormat="1" ht="15.75" customHeight="1" x14ac:dyDescent="0.2">
      <c r="A76" s="566">
        <f t="shared" si="1"/>
        <v>67</v>
      </c>
      <c r="B76" s="567" t="s">
        <v>50</v>
      </c>
      <c r="C76" s="567" t="s">
        <v>56</v>
      </c>
      <c r="D76" s="309">
        <v>61101</v>
      </c>
      <c r="E76" s="310" t="s">
        <v>224</v>
      </c>
      <c r="F76" s="311">
        <v>4350.1099999999997</v>
      </c>
      <c r="G76" s="311"/>
      <c r="H76" s="311"/>
      <c r="I76" s="311"/>
      <c r="J76" s="311"/>
      <c r="K76" s="313"/>
      <c r="L76" s="314">
        <f>SUM(F76:K76)</f>
        <v>4350.1099999999997</v>
      </c>
      <c r="M76" s="129"/>
      <c r="N76" s="677"/>
      <c r="O76" s="677"/>
    </row>
    <row r="77" spans="1:15" s="130" customFormat="1" ht="15.75" customHeight="1" x14ac:dyDescent="0.2">
      <c r="A77" s="566">
        <v>67</v>
      </c>
      <c r="B77" s="567" t="s">
        <v>50</v>
      </c>
      <c r="C77" s="567" t="s">
        <v>56</v>
      </c>
      <c r="D77" s="309">
        <v>61104</v>
      </c>
      <c r="E77" s="310" t="s">
        <v>350</v>
      </c>
      <c r="F77" s="311">
        <v>8000</v>
      </c>
      <c r="G77" s="311"/>
      <c r="H77" s="311"/>
      <c r="I77" s="311"/>
      <c r="J77" s="311"/>
      <c r="K77" s="313"/>
      <c r="L77" s="314">
        <f>SUM(F77:K77)</f>
        <v>8000</v>
      </c>
      <c r="M77" s="129"/>
      <c r="N77" s="677"/>
      <c r="O77" s="677"/>
    </row>
    <row r="78" spans="1:15" s="130" customFormat="1" ht="15.75" customHeight="1" x14ac:dyDescent="0.2">
      <c r="A78" s="566">
        <v>68</v>
      </c>
      <c r="B78" s="567" t="s">
        <v>50</v>
      </c>
      <c r="C78" s="567" t="s">
        <v>56</v>
      </c>
      <c r="D78" s="309">
        <v>61105</v>
      </c>
      <c r="E78" s="310" t="s">
        <v>503</v>
      </c>
      <c r="F78" s="311">
        <v>0</v>
      </c>
      <c r="G78" s="311"/>
      <c r="H78" s="311"/>
      <c r="I78" s="311"/>
      <c r="J78" s="311"/>
      <c r="K78" s="313"/>
      <c r="L78" s="314">
        <f t="shared" ref="L78:L81" si="5">SUM(F78:K78)</f>
        <v>0</v>
      </c>
      <c r="M78" s="129"/>
      <c r="N78" s="679">
        <f>SUM(L76:L80)</f>
        <v>17953.88</v>
      </c>
      <c r="O78" s="679">
        <f>SUM(L78:L79)</f>
        <v>1000</v>
      </c>
    </row>
    <row r="79" spans="1:15" s="130" customFormat="1" ht="15.75" customHeight="1" x14ac:dyDescent="0.2">
      <c r="A79" s="566">
        <f t="shared" ref="A79:A80" si="6">A78+1</f>
        <v>69</v>
      </c>
      <c r="B79" s="567" t="s">
        <v>50</v>
      </c>
      <c r="C79" s="567" t="s">
        <v>56</v>
      </c>
      <c r="D79" s="309">
        <v>61108</v>
      </c>
      <c r="E79" s="310" t="s">
        <v>215</v>
      </c>
      <c r="F79" s="311">
        <v>1000</v>
      </c>
      <c r="G79" s="311"/>
      <c r="H79" s="311"/>
      <c r="I79" s="311"/>
      <c r="J79" s="311"/>
      <c r="K79" s="313"/>
      <c r="L79" s="314">
        <f>F79</f>
        <v>1000</v>
      </c>
      <c r="M79" s="129"/>
      <c r="N79" s="677"/>
      <c r="O79" s="677"/>
    </row>
    <row r="80" spans="1:15" s="130" customFormat="1" ht="15.75" customHeight="1" x14ac:dyDescent="0.2">
      <c r="A80" s="566">
        <f t="shared" si="6"/>
        <v>70</v>
      </c>
      <c r="B80" s="567" t="s">
        <v>50</v>
      </c>
      <c r="C80" s="567" t="s">
        <v>56</v>
      </c>
      <c r="D80" s="309">
        <v>61199</v>
      </c>
      <c r="E80" s="310" t="s">
        <v>223</v>
      </c>
      <c r="F80" s="311">
        <f>2300+1303.77+1000</f>
        <v>4603.7700000000004</v>
      </c>
      <c r="G80" s="311"/>
      <c r="H80" s="311"/>
      <c r="I80" s="311"/>
      <c r="J80" s="311"/>
      <c r="K80" s="313"/>
      <c r="L80" s="314">
        <f>SUM(F80:K80)</f>
        <v>4603.7700000000004</v>
      </c>
      <c r="M80" s="129"/>
      <c r="N80" s="677"/>
      <c r="O80" s="677"/>
    </row>
    <row r="81" spans="1:21" s="130" customFormat="1" ht="15.75" customHeight="1" thickBot="1" x14ac:dyDescent="0.25">
      <c r="A81" s="568"/>
      <c r="B81" s="569"/>
      <c r="C81" s="570"/>
      <c r="D81" s="571"/>
      <c r="E81" s="572"/>
      <c r="F81" s="573"/>
      <c r="G81" s="573"/>
      <c r="H81" s="573"/>
      <c r="I81" s="573"/>
      <c r="J81" s="573"/>
      <c r="K81" s="573"/>
      <c r="L81" s="314">
        <f t="shared" si="5"/>
        <v>0</v>
      </c>
      <c r="M81" s="129"/>
      <c r="N81" s="679"/>
      <c r="O81" s="677"/>
    </row>
    <row r="82" spans="1:21" ht="30" customHeight="1" thickBot="1" x14ac:dyDescent="0.25">
      <c r="A82" s="745" t="s">
        <v>345</v>
      </c>
      <c r="B82" s="746"/>
      <c r="C82" s="746"/>
      <c r="D82" s="746"/>
      <c r="E82" s="747"/>
      <c r="F82" s="583">
        <f t="shared" ref="F82:L82" si="7">SUM(F10:F81)</f>
        <v>467452.23</v>
      </c>
      <c r="G82" s="583">
        <f t="shared" si="7"/>
        <v>174833.92929999999</v>
      </c>
      <c r="H82" s="583">
        <f t="shared" si="7"/>
        <v>311013.02</v>
      </c>
      <c r="I82" s="583">
        <f t="shared" si="7"/>
        <v>58225.695399999997</v>
      </c>
      <c r="J82" s="583">
        <f t="shared" si="7"/>
        <v>31996.957200000004</v>
      </c>
      <c r="K82" s="583">
        <f t="shared" si="7"/>
        <v>349836.38959999999</v>
      </c>
      <c r="L82" s="583">
        <f t="shared" si="7"/>
        <v>1391068.1722000001</v>
      </c>
      <c r="N82" s="673"/>
      <c r="O82" s="673"/>
    </row>
    <row r="83" spans="1:21" x14ac:dyDescent="0.2">
      <c r="A83" s="28"/>
      <c r="B83" s="28"/>
      <c r="C83" s="28"/>
      <c r="D83" s="28"/>
      <c r="L83" s="86"/>
      <c r="N83" s="673"/>
      <c r="O83" s="674"/>
    </row>
    <row r="84" spans="1:21" ht="13.5" thickBot="1" x14ac:dyDescent="0.25">
      <c r="A84" s="28"/>
      <c r="B84" s="28"/>
      <c r="C84" s="28"/>
      <c r="D84" s="28"/>
      <c r="L84" s="86"/>
      <c r="N84" s="673"/>
      <c r="O84" s="673"/>
    </row>
    <row r="85" spans="1:21" ht="18.75" thickBot="1" x14ac:dyDescent="0.25">
      <c r="A85" s="738" t="s">
        <v>82</v>
      </c>
      <c r="B85" s="738"/>
      <c r="C85" s="738"/>
      <c r="D85" s="738"/>
      <c r="E85" s="85"/>
      <c r="F85" s="85"/>
      <c r="G85" s="85"/>
      <c r="H85" s="85"/>
      <c r="I85" s="85"/>
      <c r="J85" s="85"/>
      <c r="K85" s="85"/>
      <c r="L85" s="248">
        <f>SUM(L82)</f>
        <v>1391068.1722000001</v>
      </c>
      <c r="N85" s="674"/>
      <c r="O85" s="704">
        <f>SUM(O10:O79)</f>
        <v>1097994.2922</v>
      </c>
    </row>
    <row r="86" spans="1:21" ht="19.5" customHeight="1" x14ac:dyDescent="0.2">
      <c r="A86" s="736" t="s">
        <v>14</v>
      </c>
      <c r="B86" s="736"/>
      <c r="C86" s="736"/>
      <c r="D86" s="736"/>
      <c r="L86" s="249"/>
      <c r="N86" s="674"/>
      <c r="O86" s="673"/>
      <c r="P86" s="673"/>
      <c r="Q86" s="673"/>
      <c r="R86" s="673"/>
      <c r="S86" s="673"/>
      <c r="T86" s="673"/>
      <c r="U86" s="673"/>
    </row>
    <row r="87" spans="1:21" x14ac:dyDescent="0.2">
      <c r="A87" s="729" t="s">
        <v>2</v>
      </c>
      <c r="B87" s="729"/>
      <c r="C87" s="729"/>
      <c r="D87" s="729"/>
      <c r="E87" s="729"/>
      <c r="F87" s="125"/>
      <c r="G87" s="125"/>
      <c r="H87" s="125"/>
      <c r="I87" s="125"/>
      <c r="J87" s="125"/>
      <c r="K87" s="125"/>
      <c r="L87" s="249">
        <f>SUM(Ingresos!F50)</f>
        <v>1391068.1723000004</v>
      </c>
      <c r="N87" s="673"/>
      <c r="O87" s="673"/>
      <c r="P87" s="673"/>
      <c r="Q87" s="673"/>
      <c r="R87" s="673"/>
      <c r="S87" s="673"/>
      <c r="T87" s="673"/>
      <c r="U87" s="673"/>
    </row>
    <row r="88" spans="1:21" x14ac:dyDescent="0.2">
      <c r="A88" s="729" t="s">
        <v>8</v>
      </c>
      <c r="B88" s="729"/>
      <c r="C88" s="729"/>
      <c r="D88" s="729"/>
      <c r="E88" s="729"/>
      <c r="F88" s="125"/>
      <c r="G88" s="125"/>
      <c r="H88" s="125"/>
      <c r="I88" s="125"/>
      <c r="J88" s="125"/>
      <c r="K88" s="125"/>
      <c r="L88" s="249"/>
      <c r="N88" s="678">
        <f>L85-N85</f>
        <v>1391068.1722000001</v>
      </c>
      <c r="O88" s="673"/>
      <c r="P88" s="673"/>
      <c r="Q88" s="673"/>
      <c r="R88" s="673"/>
      <c r="S88" s="673"/>
      <c r="T88" s="673"/>
      <c r="U88" s="673"/>
    </row>
    <row r="89" spans="1:21" x14ac:dyDescent="0.2">
      <c r="A89" s="729" t="s">
        <v>9</v>
      </c>
      <c r="B89" s="729"/>
      <c r="C89" s="729"/>
      <c r="D89" s="729"/>
      <c r="E89" s="729"/>
      <c r="F89" s="125"/>
      <c r="G89" s="125"/>
      <c r="H89" s="125"/>
      <c r="I89" s="125"/>
      <c r="J89" s="125"/>
      <c r="K89" s="125"/>
      <c r="L89" s="249">
        <f>L87-L82</f>
        <v>1.000002957880497E-4</v>
      </c>
      <c r="N89" s="673"/>
      <c r="O89" s="673"/>
      <c r="P89" s="673"/>
      <c r="Q89" s="673"/>
      <c r="R89" s="673"/>
      <c r="S89" s="673"/>
      <c r="T89" s="673"/>
      <c r="U89" s="673"/>
    </row>
    <row r="90" spans="1:21" x14ac:dyDescent="0.2">
      <c r="A90" s="729"/>
      <c r="B90" s="729"/>
      <c r="C90" s="729"/>
      <c r="D90" s="729"/>
      <c r="E90" s="729"/>
      <c r="F90" s="125"/>
      <c r="G90" s="125"/>
      <c r="H90" s="125"/>
      <c r="I90" s="125"/>
      <c r="J90" s="125"/>
      <c r="K90" s="125"/>
      <c r="L90" s="109"/>
      <c r="N90" s="673"/>
      <c r="O90" s="673"/>
      <c r="P90" s="673"/>
      <c r="Q90" s="673"/>
      <c r="R90" s="673"/>
      <c r="S90" s="673" t="s">
        <v>479</v>
      </c>
      <c r="T90" s="673" t="s">
        <v>480</v>
      </c>
      <c r="U90" s="673"/>
    </row>
    <row r="91" spans="1:21" x14ac:dyDescent="0.2">
      <c r="A91" s="28"/>
      <c r="B91" s="28"/>
      <c r="C91" s="28"/>
      <c r="D91" s="28"/>
      <c r="N91" s="673"/>
      <c r="O91" s="673"/>
      <c r="P91" s="673"/>
      <c r="Q91" s="673"/>
      <c r="R91" s="673"/>
      <c r="S91" s="673"/>
      <c r="T91" s="673"/>
      <c r="U91" s="673"/>
    </row>
    <row r="92" spans="1:21" x14ac:dyDescent="0.2">
      <c r="G92" s="25">
        <f>60000*12</f>
        <v>720000</v>
      </c>
      <c r="N92" s="673"/>
      <c r="O92" s="673"/>
      <c r="P92" s="673">
        <v>1</v>
      </c>
      <c r="Q92" s="673">
        <v>285</v>
      </c>
      <c r="R92" s="673">
        <f>P92*Q92*12</f>
        <v>3420</v>
      </c>
      <c r="S92" s="673"/>
      <c r="T92" s="673"/>
      <c r="U92" s="673"/>
    </row>
    <row r="93" spans="1:21" x14ac:dyDescent="0.2">
      <c r="N93" s="673"/>
      <c r="O93" s="673"/>
      <c r="P93" s="673">
        <v>3</v>
      </c>
      <c r="Q93" s="673">
        <v>260</v>
      </c>
      <c r="R93" s="673">
        <f>P93*Q93*12</f>
        <v>9360</v>
      </c>
      <c r="S93" s="673"/>
      <c r="T93" s="673"/>
      <c r="U93" s="673"/>
    </row>
    <row r="94" spans="1:21" x14ac:dyDescent="0.2">
      <c r="N94" s="673"/>
      <c r="O94" s="673"/>
      <c r="P94" s="673"/>
      <c r="Q94" s="673"/>
      <c r="R94" s="673">
        <f>SUM(R92:R93)</f>
        <v>12780</v>
      </c>
      <c r="S94" s="673">
        <f>R94*7.5%</f>
        <v>958.5</v>
      </c>
      <c r="T94" s="673">
        <f>R94*6.75%</f>
        <v>862.65000000000009</v>
      </c>
      <c r="U94" s="673">
        <f>SUM(R94:T94)</f>
        <v>14601.15</v>
      </c>
    </row>
    <row r="95" spans="1:21" x14ac:dyDescent="0.2">
      <c r="N95" s="673"/>
      <c r="O95" s="673"/>
      <c r="P95" s="673"/>
      <c r="Q95" s="673"/>
      <c r="R95" s="673"/>
      <c r="S95" s="673"/>
      <c r="T95" s="673"/>
      <c r="U95" s="673"/>
    </row>
    <row r="96" spans="1:21" x14ac:dyDescent="0.2">
      <c r="N96" s="673"/>
      <c r="O96" s="673"/>
      <c r="P96" s="673"/>
      <c r="Q96" s="673"/>
      <c r="R96" s="673"/>
      <c r="S96" s="673"/>
      <c r="T96" s="673"/>
      <c r="U96" s="673"/>
    </row>
    <row r="97" spans="14:21" x14ac:dyDescent="0.2">
      <c r="N97" s="673"/>
      <c r="O97" s="673"/>
      <c r="P97" s="673"/>
      <c r="Q97" s="673"/>
      <c r="R97" s="673"/>
      <c r="S97" s="673"/>
      <c r="T97" s="673"/>
      <c r="U97" s="673"/>
    </row>
    <row r="98" spans="14:21" x14ac:dyDescent="0.2">
      <c r="N98" s="673"/>
      <c r="O98" s="673"/>
      <c r="P98" s="673"/>
      <c r="Q98" s="673"/>
      <c r="R98" s="673"/>
      <c r="S98" s="673"/>
      <c r="T98" s="673"/>
      <c r="U98" s="673"/>
    </row>
    <row r="99" spans="14:21" x14ac:dyDescent="0.2">
      <c r="N99" s="673"/>
      <c r="O99" s="673"/>
      <c r="P99" s="673"/>
      <c r="Q99" s="673"/>
      <c r="R99" s="673"/>
      <c r="S99" s="673"/>
      <c r="T99" s="673"/>
      <c r="U99" s="673"/>
    </row>
    <row r="100" spans="14:21" x14ac:dyDescent="0.2">
      <c r="N100" s="673"/>
      <c r="O100" s="673"/>
      <c r="P100" s="673"/>
      <c r="Q100" s="673"/>
      <c r="R100" s="673">
        <f>102960/12</f>
        <v>8580</v>
      </c>
      <c r="S100" s="673"/>
      <c r="T100" s="673"/>
      <c r="U100" s="673"/>
    </row>
    <row r="101" spans="14:21" x14ac:dyDescent="0.2">
      <c r="N101" s="673"/>
      <c r="O101" s="673"/>
      <c r="P101" s="673"/>
      <c r="Q101" s="673"/>
      <c r="R101" s="673">
        <f>14601.15-8580-1000</f>
        <v>5021.1499999999996</v>
      </c>
      <c r="S101" s="673"/>
      <c r="T101" s="673"/>
      <c r="U101" s="673"/>
    </row>
    <row r="102" spans="14:21" x14ac:dyDescent="0.2">
      <c r="N102" s="673"/>
      <c r="O102" s="673"/>
      <c r="P102" s="673"/>
      <c r="Q102" s="673"/>
      <c r="R102" s="673"/>
      <c r="S102" s="673"/>
      <c r="T102" s="673"/>
      <c r="U102" s="673"/>
    </row>
  </sheetData>
  <sheetProtection sheet="1" objects="1" scenarios="1" selectLockedCells="1" selectUnlockedCells="1"/>
  <sortState ref="D10:E45">
    <sortCondition ref="D10"/>
  </sortState>
  <mergeCells count="23">
    <mergeCell ref="M2:O2"/>
    <mergeCell ref="M1:O1"/>
    <mergeCell ref="L8:L9"/>
    <mergeCell ref="A6:L6"/>
    <mergeCell ref="A1:L1"/>
    <mergeCell ref="A2:L2"/>
    <mergeCell ref="F8:F9"/>
    <mergeCell ref="G8:G9"/>
    <mergeCell ref="I8:I9"/>
    <mergeCell ref="J8:J9"/>
    <mergeCell ref="A90:E90"/>
    <mergeCell ref="A87:E87"/>
    <mergeCell ref="A86:D86"/>
    <mergeCell ref="A3:L3"/>
    <mergeCell ref="A4:L4"/>
    <mergeCell ref="A85:D85"/>
    <mergeCell ref="A88:E88"/>
    <mergeCell ref="A89:E89"/>
    <mergeCell ref="A5:L5"/>
    <mergeCell ref="A7:L7"/>
    <mergeCell ref="A8:D8"/>
    <mergeCell ref="E8:E9"/>
    <mergeCell ref="A82:E82"/>
  </mergeCells>
  <phoneticPr fontId="2" type="noConversion"/>
  <printOptions horizontalCentered="1"/>
  <pageMargins left="0.19685039370078741" right="3.937007874015748E-2" top="0.39370078740157483" bottom="0.27559055118110237" header="0" footer="0"/>
  <pageSetup scale="80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S74"/>
  <sheetViews>
    <sheetView view="pageBreakPreview" zoomScaleNormal="100" zoomScaleSheetLayoutView="100" workbookViewId="0">
      <selection activeCell="N10" sqref="N10"/>
    </sheetView>
  </sheetViews>
  <sheetFormatPr baseColWidth="10" defaultColWidth="11.42578125" defaultRowHeight="12.75" x14ac:dyDescent="0.2"/>
  <cols>
    <col min="1" max="1" width="3.7109375" style="24" customWidth="1"/>
    <col min="2" max="2" width="4.42578125" style="24" customWidth="1"/>
    <col min="3" max="3" width="6.28515625" style="24" customWidth="1"/>
    <col min="4" max="4" width="9.42578125" style="24" customWidth="1"/>
    <col min="5" max="5" width="40.28515625" style="19" customWidth="1"/>
    <col min="6" max="6" width="15.28515625" style="19" customWidth="1"/>
    <col min="7" max="7" width="12.85546875" style="19" customWidth="1"/>
    <col min="8" max="8" width="13" style="19" customWidth="1"/>
    <col min="9" max="10" width="13.28515625" style="19" customWidth="1"/>
    <col min="11" max="11" width="12.85546875" style="19" customWidth="1"/>
    <col min="12" max="12" width="16.85546875" style="4" customWidth="1"/>
    <col min="13" max="13" width="16.7109375" style="21" customWidth="1"/>
    <col min="14" max="15" width="15.140625" style="21" customWidth="1"/>
    <col min="16" max="16" width="15" style="21" bestFit="1" customWidth="1"/>
    <col min="17" max="17" width="11.42578125" style="21"/>
    <col min="18" max="18" width="15" style="21" bestFit="1" customWidth="1"/>
    <col min="19" max="16384" width="11.42578125" style="21"/>
  </cols>
  <sheetData>
    <row r="1" spans="1:19" ht="18" x14ac:dyDescent="0.25">
      <c r="A1" s="760" t="s">
        <v>412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5"/>
    </row>
    <row r="2" spans="1:19" ht="18" x14ac:dyDescent="0.25">
      <c r="A2" s="760" t="s">
        <v>411</v>
      </c>
      <c r="B2" s="760"/>
      <c r="C2" s="760"/>
      <c r="D2" s="760"/>
      <c r="E2" s="760"/>
      <c r="F2" s="760"/>
      <c r="G2" s="760"/>
      <c r="H2" s="760"/>
      <c r="I2" s="760"/>
      <c r="J2" s="760"/>
      <c r="K2" s="760"/>
      <c r="L2" s="760"/>
      <c r="M2" s="681"/>
      <c r="N2" s="682"/>
      <c r="O2" s="682"/>
      <c r="P2" s="682"/>
      <c r="Q2" s="682"/>
      <c r="R2" s="682"/>
      <c r="S2" s="682"/>
    </row>
    <row r="3" spans="1:19" ht="15.75" x14ac:dyDescent="0.2">
      <c r="A3" s="762" t="s">
        <v>227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682"/>
      <c r="N3" s="682"/>
      <c r="O3" s="682"/>
      <c r="P3" s="682"/>
      <c r="Q3" s="682"/>
      <c r="R3" s="682"/>
      <c r="S3" s="682"/>
    </row>
    <row r="4" spans="1:19" ht="15.75" x14ac:dyDescent="0.2">
      <c r="A4" s="762" t="s">
        <v>605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  <c r="L4" s="762"/>
      <c r="M4" s="682"/>
      <c r="N4" s="682"/>
      <c r="O4" s="682"/>
      <c r="P4" s="682">
        <f>850*13</f>
        <v>11050</v>
      </c>
      <c r="Q4" s="682"/>
      <c r="R4" s="682"/>
      <c r="S4" s="682"/>
    </row>
    <row r="5" spans="1:19" ht="15" x14ac:dyDescent="0.2">
      <c r="A5" s="761" t="s">
        <v>13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682"/>
      <c r="N5" s="682"/>
      <c r="O5" s="682"/>
      <c r="P5" s="682">
        <f>P4*12</f>
        <v>132600</v>
      </c>
      <c r="Q5" s="682"/>
      <c r="R5" s="682"/>
      <c r="S5" s="682"/>
    </row>
    <row r="6" spans="1:19" ht="8.25" customHeight="1" x14ac:dyDescent="0.25">
      <c r="A6" s="765"/>
      <c r="B6" s="765"/>
      <c r="C6" s="765"/>
      <c r="D6" s="765"/>
      <c r="E6" s="765"/>
      <c r="F6" s="765"/>
      <c r="G6" s="765"/>
      <c r="H6" s="765"/>
      <c r="I6" s="765"/>
      <c r="J6" s="765"/>
      <c r="K6" s="765"/>
      <c r="L6" s="765"/>
      <c r="M6" s="682"/>
      <c r="N6" s="682"/>
      <c r="O6" s="682"/>
      <c r="P6" s="682"/>
      <c r="Q6" s="682"/>
      <c r="R6" s="682"/>
      <c r="S6" s="682"/>
    </row>
    <row r="7" spans="1:19" ht="15" x14ac:dyDescent="0.25">
      <c r="A7" s="766" t="s">
        <v>15</v>
      </c>
      <c r="B7" s="766"/>
      <c r="C7" s="766"/>
      <c r="D7" s="766"/>
      <c r="E7" s="766"/>
      <c r="F7" s="766"/>
      <c r="G7" s="766"/>
      <c r="H7" s="766"/>
      <c r="I7" s="766"/>
      <c r="J7" s="766"/>
      <c r="K7" s="766"/>
      <c r="L7" s="766"/>
      <c r="M7" s="682"/>
      <c r="N7" s="682"/>
      <c r="O7" s="682"/>
      <c r="P7" s="682"/>
      <c r="Q7" s="682"/>
      <c r="R7" s="682"/>
      <c r="S7" s="682"/>
    </row>
    <row r="8" spans="1:19" ht="15.75" thickBot="1" x14ac:dyDescent="0.3">
      <c r="A8" s="755" t="s">
        <v>282</v>
      </c>
      <c r="B8" s="755"/>
      <c r="C8" s="755"/>
      <c r="D8" s="755"/>
      <c r="E8" s="755"/>
      <c r="F8" s="755"/>
      <c r="G8" s="755"/>
      <c r="H8" s="755"/>
      <c r="I8" s="755"/>
      <c r="J8" s="755"/>
      <c r="K8" s="755"/>
      <c r="L8" s="755"/>
      <c r="M8" s="682"/>
      <c r="N8" s="682"/>
      <c r="O8" s="682"/>
      <c r="P8" s="682"/>
      <c r="Q8" s="682"/>
      <c r="R8" s="682"/>
      <c r="S8" s="682"/>
    </row>
    <row r="9" spans="1:19" ht="13.5" customHeight="1" thickBot="1" x14ac:dyDescent="0.25">
      <c r="A9" s="756" t="s">
        <v>0</v>
      </c>
      <c r="B9" s="757"/>
      <c r="C9" s="757"/>
      <c r="D9" s="757"/>
      <c r="E9" s="758" t="s">
        <v>180</v>
      </c>
      <c r="F9" s="767" t="s">
        <v>339</v>
      </c>
      <c r="G9" s="767" t="s">
        <v>340</v>
      </c>
      <c r="H9" s="584"/>
      <c r="I9" s="767" t="s">
        <v>341</v>
      </c>
      <c r="J9" s="767" t="s">
        <v>348</v>
      </c>
      <c r="K9" s="584"/>
      <c r="L9" s="763" t="s">
        <v>346</v>
      </c>
      <c r="M9" s="682"/>
      <c r="N9" s="682"/>
      <c r="O9" s="682"/>
      <c r="P9" s="682"/>
      <c r="Q9" s="682"/>
      <c r="R9" s="682"/>
      <c r="S9" s="682"/>
    </row>
    <row r="10" spans="1:19" ht="173.25" customHeight="1" thickBot="1" x14ac:dyDescent="0.25">
      <c r="A10" s="585" t="s">
        <v>171</v>
      </c>
      <c r="B10" s="586" t="s">
        <v>179</v>
      </c>
      <c r="C10" s="587" t="s">
        <v>175</v>
      </c>
      <c r="D10" s="588" t="s">
        <v>176</v>
      </c>
      <c r="E10" s="759"/>
      <c r="F10" s="768"/>
      <c r="G10" s="768"/>
      <c r="H10" s="589" t="s">
        <v>470</v>
      </c>
      <c r="I10" s="768"/>
      <c r="J10" s="768"/>
      <c r="K10" s="589" t="s">
        <v>430</v>
      </c>
      <c r="L10" s="764"/>
      <c r="M10" s="682"/>
      <c r="N10" s="682"/>
      <c r="O10" s="682"/>
      <c r="P10" s="682"/>
      <c r="Q10" s="682"/>
      <c r="R10" s="682"/>
      <c r="S10" s="682"/>
    </row>
    <row r="11" spans="1:19" s="124" customFormat="1" ht="15.75" customHeight="1" x14ac:dyDescent="0.2">
      <c r="A11" s="590">
        <v>1</v>
      </c>
      <c r="B11" s="591" t="s">
        <v>51</v>
      </c>
      <c r="C11" s="592" t="s">
        <v>52</v>
      </c>
      <c r="D11" s="593" t="s">
        <v>36</v>
      </c>
      <c r="E11" s="594" t="s">
        <v>37</v>
      </c>
      <c r="F11" s="595">
        <v>36000</v>
      </c>
      <c r="G11" s="595"/>
      <c r="H11" s="595"/>
      <c r="I11" s="596"/>
      <c r="J11" s="595"/>
      <c r="K11" s="595"/>
      <c r="L11" s="306">
        <f>SUM(F11:K11)</f>
        <v>36000</v>
      </c>
      <c r="M11" s="667">
        <v>131024.28</v>
      </c>
      <c r="N11" s="667">
        <v>51</v>
      </c>
      <c r="O11" s="665">
        <f>SUM(L11:L20)</f>
        <v>170900</v>
      </c>
      <c r="P11" s="667"/>
      <c r="Q11" s="667"/>
      <c r="R11" s="665">
        <f>SUM(L11:L20)</f>
        <v>170900</v>
      </c>
      <c r="S11" s="667"/>
    </row>
    <row r="12" spans="1:19" s="124" customFormat="1" ht="15.75" customHeight="1" x14ac:dyDescent="0.2">
      <c r="A12" s="597">
        <v>1</v>
      </c>
      <c r="B12" s="598" t="s">
        <v>51</v>
      </c>
      <c r="C12" s="599" t="s">
        <v>52</v>
      </c>
      <c r="D12" s="600">
        <v>51103</v>
      </c>
      <c r="E12" s="601" t="s">
        <v>38</v>
      </c>
      <c r="F12" s="602"/>
      <c r="G12" s="602"/>
      <c r="H12" s="602"/>
      <c r="I12" s="603"/>
      <c r="J12" s="602"/>
      <c r="K12" s="602"/>
      <c r="L12" s="306">
        <f t="shared" ref="L12:L58" si="0">SUM(F12:K12)</f>
        <v>0</v>
      </c>
      <c r="M12" s="667">
        <v>21837.38</v>
      </c>
      <c r="N12" s="667">
        <v>54</v>
      </c>
      <c r="O12" s="665">
        <f>SUM(L21:L48)</f>
        <v>216757.03999999998</v>
      </c>
      <c r="P12" s="667"/>
      <c r="Q12" s="667"/>
      <c r="R12" s="667"/>
      <c r="S12" s="667"/>
    </row>
    <row r="13" spans="1:19" s="124" customFormat="1" ht="15.75" customHeight="1" x14ac:dyDescent="0.2">
      <c r="A13" s="597">
        <v>1</v>
      </c>
      <c r="B13" s="598" t="s">
        <v>51</v>
      </c>
      <c r="C13" s="592" t="s">
        <v>52</v>
      </c>
      <c r="D13" s="600">
        <v>51105</v>
      </c>
      <c r="E13" s="601" t="s">
        <v>75</v>
      </c>
      <c r="F13" s="602">
        <v>132600</v>
      </c>
      <c r="G13" s="602"/>
      <c r="H13" s="602"/>
      <c r="I13" s="603"/>
      <c r="J13" s="602"/>
      <c r="K13" s="602"/>
      <c r="L13" s="306">
        <f t="shared" si="0"/>
        <v>132600</v>
      </c>
      <c r="M13" s="667">
        <v>8580</v>
      </c>
      <c r="N13" s="667">
        <v>55</v>
      </c>
      <c r="O13" s="665">
        <f>SUM(L49:L53)</f>
        <v>3600.38</v>
      </c>
      <c r="P13" s="667"/>
      <c r="Q13" s="667"/>
      <c r="R13" s="667"/>
      <c r="S13" s="667"/>
    </row>
    <row r="14" spans="1:19" s="124" customFormat="1" ht="15.75" customHeight="1" x14ac:dyDescent="0.2">
      <c r="A14" s="597">
        <v>1</v>
      </c>
      <c r="B14" s="598" t="s">
        <v>51</v>
      </c>
      <c r="C14" s="592" t="s">
        <v>52</v>
      </c>
      <c r="D14" s="600">
        <v>51201</v>
      </c>
      <c r="E14" s="601" t="s">
        <v>37</v>
      </c>
      <c r="F14" s="602"/>
      <c r="G14" s="602"/>
      <c r="H14" s="602"/>
      <c r="I14" s="603"/>
      <c r="J14" s="602"/>
      <c r="K14" s="602"/>
      <c r="L14" s="306">
        <f t="shared" si="0"/>
        <v>0</v>
      </c>
      <c r="M14" s="667"/>
      <c r="N14" s="667">
        <v>56</v>
      </c>
      <c r="O14" s="665">
        <f>SUM(L54:L56)</f>
        <v>12300</v>
      </c>
      <c r="P14" s="667"/>
      <c r="Q14" s="667"/>
      <c r="R14" s="665">
        <f>SUM(L11:L20)</f>
        <v>170900</v>
      </c>
      <c r="S14" s="667"/>
    </row>
    <row r="15" spans="1:19" s="124" customFormat="1" ht="15.75" customHeight="1" x14ac:dyDescent="0.2">
      <c r="A15" s="604">
        <v>1</v>
      </c>
      <c r="B15" s="605" t="s">
        <v>51</v>
      </c>
      <c r="C15" s="606" t="s">
        <v>52</v>
      </c>
      <c r="D15" s="600">
        <v>51202</v>
      </c>
      <c r="E15" s="303" t="s">
        <v>208</v>
      </c>
      <c r="F15" s="304"/>
      <c r="G15" s="304"/>
      <c r="H15" s="304"/>
      <c r="I15" s="305"/>
      <c r="J15" s="304"/>
      <c r="K15" s="304"/>
      <c r="L15" s="306">
        <f t="shared" si="0"/>
        <v>0</v>
      </c>
      <c r="M15" s="667">
        <v>1782.04</v>
      </c>
      <c r="N15" s="667">
        <v>61</v>
      </c>
      <c r="O15" s="665">
        <f>SUM(L57:L58)</f>
        <v>5531.13</v>
      </c>
      <c r="P15" s="667"/>
      <c r="Q15" s="667"/>
      <c r="R15" s="667"/>
      <c r="S15" s="667"/>
    </row>
    <row r="16" spans="1:19" s="124" customFormat="1" ht="15.75" customHeight="1" thickBot="1" x14ac:dyDescent="0.25">
      <c r="A16" s="604">
        <v>1</v>
      </c>
      <c r="B16" s="605" t="s">
        <v>51</v>
      </c>
      <c r="C16" s="607" t="s">
        <v>52</v>
      </c>
      <c r="D16" s="600">
        <v>51401</v>
      </c>
      <c r="E16" s="303" t="s">
        <v>39</v>
      </c>
      <c r="F16" s="304"/>
      <c r="G16" s="304"/>
      <c r="H16" s="304"/>
      <c r="I16" s="305"/>
      <c r="J16" s="304"/>
      <c r="K16" s="304"/>
      <c r="L16" s="306">
        <f t="shared" si="0"/>
        <v>0</v>
      </c>
      <c r="M16" s="667"/>
      <c r="N16" s="667"/>
      <c r="O16" s="683">
        <f>SUM(O11:O15)</f>
        <v>409088.55</v>
      </c>
      <c r="P16" s="667"/>
      <c r="Q16" s="667"/>
      <c r="R16" s="667"/>
      <c r="S16" s="667"/>
    </row>
    <row r="17" spans="1:19" s="124" customFormat="1" ht="15.75" customHeight="1" thickTop="1" x14ac:dyDescent="0.2">
      <c r="A17" s="604">
        <v>1</v>
      </c>
      <c r="B17" s="605" t="s">
        <v>51</v>
      </c>
      <c r="C17" s="607" t="s">
        <v>52</v>
      </c>
      <c r="D17" s="600">
        <v>51501</v>
      </c>
      <c r="E17" s="303" t="s">
        <v>39</v>
      </c>
      <c r="F17" s="304"/>
      <c r="G17" s="304"/>
      <c r="H17" s="304"/>
      <c r="I17" s="305"/>
      <c r="J17" s="304"/>
      <c r="K17" s="304"/>
      <c r="L17" s="306">
        <f t="shared" si="0"/>
        <v>0</v>
      </c>
      <c r="M17" s="667"/>
      <c r="N17" s="667"/>
      <c r="O17" s="667"/>
      <c r="P17" s="667"/>
      <c r="Q17" s="667"/>
      <c r="R17" s="667"/>
      <c r="S17" s="667"/>
    </row>
    <row r="18" spans="1:19" s="124" customFormat="1" ht="15.75" customHeight="1" x14ac:dyDescent="0.2">
      <c r="A18" s="604">
        <v>1</v>
      </c>
      <c r="B18" s="605" t="s">
        <v>51</v>
      </c>
      <c r="C18" s="607" t="s">
        <v>52</v>
      </c>
      <c r="D18" s="600">
        <v>51601</v>
      </c>
      <c r="E18" s="303" t="s">
        <v>264</v>
      </c>
      <c r="F18" s="304"/>
      <c r="G18" s="304"/>
      <c r="H18" s="304"/>
      <c r="I18" s="305"/>
      <c r="J18" s="304"/>
      <c r="K18" s="304"/>
      <c r="L18" s="306">
        <f t="shared" si="0"/>
        <v>0</v>
      </c>
      <c r="M18" s="667"/>
      <c r="N18" s="667"/>
      <c r="O18" s="667"/>
      <c r="P18" s="667"/>
      <c r="Q18" s="667"/>
      <c r="R18" s="667"/>
      <c r="S18" s="667"/>
    </row>
    <row r="19" spans="1:19" s="124" customFormat="1" ht="15.75" customHeight="1" x14ac:dyDescent="0.2">
      <c r="A19" s="604">
        <v>1</v>
      </c>
      <c r="B19" s="605" t="s">
        <v>51</v>
      </c>
      <c r="C19" s="607" t="s">
        <v>52</v>
      </c>
      <c r="D19" s="600">
        <v>51901</v>
      </c>
      <c r="E19" s="303" t="s">
        <v>278</v>
      </c>
      <c r="F19" s="304">
        <v>500</v>
      </c>
      <c r="G19" s="304"/>
      <c r="H19" s="304"/>
      <c r="I19" s="305"/>
      <c r="J19" s="304"/>
      <c r="K19" s="304"/>
      <c r="L19" s="306">
        <f t="shared" si="0"/>
        <v>500</v>
      </c>
      <c r="M19" s="667">
        <v>4000</v>
      </c>
      <c r="N19" s="667"/>
      <c r="O19" s="667"/>
      <c r="P19" s="667"/>
      <c r="Q19" s="667"/>
      <c r="R19" s="667"/>
      <c r="S19" s="667"/>
    </row>
    <row r="20" spans="1:19" s="124" customFormat="1" ht="15.75" customHeight="1" x14ac:dyDescent="0.2">
      <c r="A20" s="604">
        <v>1</v>
      </c>
      <c r="B20" s="605" t="s">
        <v>51</v>
      </c>
      <c r="C20" s="607" t="s">
        <v>52</v>
      </c>
      <c r="D20" s="600">
        <v>51999</v>
      </c>
      <c r="E20" s="303" t="s">
        <v>225</v>
      </c>
      <c r="F20" s="304">
        <v>1800</v>
      </c>
      <c r="G20" s="304"/>
      <c r="H20" s="304"/>
      <c r="I20" s="305"/>
      <c r="J20" s="304"/>
      <c r="K20" s="304"/>
      <c r="L20" s="306">
        <f t="shared" si="0"/>
        <v>1800</v>
      </c>
      <c r="M20" s="667">
        <v>5000</v>
      </c>
      <c r="N20" s="667"/>
      <c r="O20" s="667"/>
      <c r="P20" s="667"/>
      <c r="Q20" s="667"/>
      <c r="R20" s="667"/>
      <c r="S20" s="667"/>
    </row>
    <row r="21" spans="1:19" s="124" customFormat="1" ht="15.75" customHeight="1" x14ac:dyDescent="0.2">
      <c r="A21" s="604">
        <v>1</v>
      </c>
      <c r="B21" s="605" t="s">
        <v>51</v>
      </c>
      <c r="C21" s="607" t="s">
        <v>52</v>
      </c>
      <c r="D21" s="600">
        <v>54101</v>
      </c>
      <c r="E21" s="303" t="s">
        <v>40</v>
      </c>
      <c r="F21" s="304">
        <v>1000</v>
      </c>
      <c r="G21" s="304"/>
      <c r="H21" s="304"/>
      <c r="I21" s="305"/>
      <c r="J21" s="304"/>
      <c r="K21" s="304"/>
      <c r="L21" s="306">
        <f t="shared" si="0"/>
        <v>1000</v>
      </c>
      <c r="M21" s="667">
        <v>1000</v>
      </c>
      <c r="N21" s="667"/>
      <c r="O21" s="667"/>
      <c r="P21" s="667"/>
      <c r="Q21" s="667">
        <f>11050+3000</f>
        <v>14050</v>
      </c>
      <c r="R21" s="667"/>
      <c r="S21" s="667"/>
    </row>
    <row r="22" spans="1:19" s="124" customFormat="1" ht="15.75" customHeight="1" x14ac:dyDescent="0.2">
      <c r="A22" s="604">
        <v>1</v>
      </c>
      <c r="B22" s="605" t="s">
        <v>51</v>
      </c>
      <c r="C22" s="607" t="s">
        <v>52</v>
      </c>
      <c r="D22" s="600">
        <v>54104</v>
      </c>
      <c r="E22" s="303" t="s">
        <v>209</v>
      </c>
      <c r="F22" s="304"/>
      <c r="G22" s="304"/>
      <c r="H22" s="304"/>
      <c r="I22" s="305"/>
      <c r="J22" s="304"/>
      <c r="K22" s="304">
        <v>0</v>
      </c>
      <c r="L22" s="306">
        <f t="shared" si="0"/>
        <v>0</v>
      </c>
      <c r="M22" s="667"/>
      <c r="N22" s="667"/>
      <c r="O22" s="667"/>
      <c r="P22" s="667"/>
      <c r="Q22" s="667"/>
      <c r="R22" s="667"/>
      <c r="S22" s="667"/>
    </row>
    <row r="23" spans="1:19" s="124" customFormat="1" ht="15.75" customHeight="1" x14ac:dyDescent="0.2">
      <c r="A23" s="604">
        <v>1</v>
      </c>
      <c r="B23" s="605" t="s">
        <v>51</v>
      </c>
      <c r="C23" s="607" t="s">
        <v>52</v>
      </c>
      <c r="D23" s="600">
        <v>54105</v>
      </c>
      <c r="E23" s="303" t="s">
        <v>41</v>
      </c>
      <c r="F23" s="304"/>
      <c r="G23" s="304"/>
      <c r="H23" s="304"/>
      <c r="I23" s="305"/>
      <c r="J23" s="304"/>
      <c r="K23" s="304"/>
      <c r="L23" s="306">
        <f t="shared" si="0"/>
        <v>0</v>
      </c>
      <c r="M23" s="667"/>
      <c r="N23" s="667"/>
      <c r="O23" s="667">
        <f>14000*12</f>
        <v>168000</v>
      </c>
      <c r="P23" s="667"/>
      <c r="Q23" s="667"/>
      <c r="R23" s="667"/>
      <c r="S23" s="667"/>
    </row>
    <row r="24" spans="1:19" s="124" customFormat="1" ht="15.75" customHeight="1" x14ac:dyDescent="0.2">
      <c r="A24" s="604">
        <v>1</v>
      </c>
      <c r="B24" s="605" t="s">
        <v>51</v>
      </c>
      <c r="C24" s="607" t="s">
        <v>52</v>
      </c>
      <c r="D24" s="600">
        <v>54109</v>
      </c>
      <c r="E24" s="303" t="s">
        <v>212</v>
      </c>
      <c r="F24" s="304">
        <v>7000</v>
      </c>
      <c r="G24" s="304"/>
      <c r="H24" s="304"/>
      <c r="I24" s="305"/>
      <c r="J24" s="304"/>
      <c r="K24" s="304"/>
      <c r="L24" s="306">
        <f t="shared" si="0"/>
        <v>7000</v>
      </c>
      <c r="M24" s="667">
        <v>4000</v>
      </c>
      <c r="N24" s="667"/>
      <c r="O24" s="667"/>
      <c r="P24" s="667"/>
      <c r="Q24" s="667"/>
      <c r="R24" s="667"/>
      <c r="S24" s="667"/>
    </row>
    <row r="25" spans="1:19" s="124" customFormat="1" ht="15.75" customHeight="1" x14ac:dyDescent="0.2">
      <c r="A25" s="604">
        <v>1</v>
      </c>
      <c r="B25" s="605" t="s">
        <v>51</v>
      </c>
      <c r="C25" s="607" t="s">
        <v>52</v>
      </c>
      <c r="D25" s="600">
        <v>54110</v>
      </c>
      <c r="E25" s="303" t="s">
        <v>42</v>
      </c>
      <c r="F25" s="304">
        <v>40000</v>
      </c>
      <c r="G25" s="304"/>
      <c r="H25" s="304"/>
      <c r="I25" s="305"/>
      <c r="J25" s="304"/>
      <c r="K25" s="304"/>
      <c r="L25" s="306">
        <f t="shared" si="0"/>
        <v>40000</v>
      </c>
      <c r="M25" s="667">
        <v>44000</v>
      </c>
      <c r="N25" s="667">
        <v>35000</v>
      </c>
      <c r="O25" s="667"/>
      <c r="P25" s="667"/>
      <c r="Q25" s="667"/>
      <c r="R25" s="667"/>
      <c r="S25" s="667"/>
    </row>
    <row r="26" spans="1:19" s="124" customFormat="1" ht="15.75" customHeight="1" x14ac:dyDescent="0.2">
      <c r="A26" s="604">
        <v>1</v>
      </c>
      <c r="B26" s="605" t="s">
        <v>51</v>
      </c>
      <c r="C26" s="607" t="s">
        <v>52</v>
      </c>
      <c r="D26" s="600">
        <v>54111</v>
      </c>
      <c r="E26" s="303" t="s">
        <v>48</v>
      </c>
      <c r="F26" s="304">
        <v>500</v>
      </c>
      <c r="G26" s="304"/>
      <c r="H26" s="304"/>
      <c r="I26" s="305"/>
      <c r="J26" s="304"/>
      <c r="K26" s="304"/>
      <c r="L26" s="306">
        <f t="shared" si="0"/>
        <v>500</v>
      </c>
      <c r="M26" s="667">
        <v>1500</v>
      </c>
      <c r="N26" s="667"/>
      <c r="O26" s="667"/>
      <c r="P26" s="667"/>
      <c r="Q26" s="667"/>
      <c r="R26" s="667"/>
      <c r="S26" s="667"/>
    </row>
    <row r="27" spans="1:19" s="124" customFormat="1" ht="15.75" customHeight="1" x14ac:dyDescent="0.2">
      <c r="A27" s="604">
        <v>1</v>
      </c>
      <c r="B27" s="605" t="s">
        <v>51</v>
      </c>
      <c r="C27" s="607" t="s">
        <v>52</v>
      </c>
      <c r="D27" s="600">
        <v>54112</v>
      </c>
      <c r="E27" s="303" t="s">
        <v>47</v>
      </c>
      <c r="F27" s="304">
        <v>500</v>
      </c>
      <c r="G27" s="304"/>
      <c r="H27" s="304"/>
      <c r="I27" s="305"/>
      <c r="J27" s="304"/>
      <c r="K27" s="304"/>
      <c r="L27" s="306">
        <f t="shared" si="0"/>
        <v>500</v>
      </c>
      <c r="M27" s="667">
        <v>1300</v>
      </c>
      <c r="N27" s="667"/>
      <c r="O27" s="667">
        <v>36000</v>
      </c>
      <c r="P27" s="667"/>
      <c r="Q27" s="667"/>
      <c r="R27" s="667"/>
      <c r="S27" s="667"/>
    </row>
    <row r="28" spans="1:19" s="124" customFormat="1" ht="15.75" customHeight="1" x14ac:dyDescent="0.2">
      <c r="A28" s="604">
        <v>1</v>
      </c>
      <c r="B28" s="605" t="s">
        <v>51</v>
      </c>
      <c r="C28" s="607" t="s">
        <v>52</v>
      </c>
      <c r="D28" s="600">
        <v>54114</v>
      </c>
      <c r="E28" s="303" t="s">
        <v>43</v>
      </c>
      <c r="F28" s="304">
        <v>500</v>
      </c>
      <c r="G28" s="304">
        <v>500</v>
      </c>
      <c r="H28" s="304">
        <v>500</v>
      </c>
      <c r="I28" s="305">
        <v>500</v>
      </c>
      <c r="J28" s="304">
        <v>500</v>
      </c>
      <c r="K28" s="304">
        <v>500</v>
      </c>
      <c r="L28" s="306">
        <f t="shared" si="0"/>
        <v>3000</v>
      </c>
      <c r="M28" s="667">
        <v>1200</v>
      </c>
      <c r="N28" s="667"/>
      <c r="O28" s="667">
        <v>132000</v>
      </c>
      <c r="P28" s="667"/>
      <c r="Q28" s="667"/>
      <c r="R28" s="667"/>
      <c r="S28" s="667"/>
    </row>
    <row r="29" spans="1:19" s="124" customFormat="1" ht="15.75" customHeight="1" x14ac:dyDescent="0.2">
      <c r="A29" s="604">
        <v>1</v>
      </c>
      <c r="B29" s="605" t="s">
        <v>51</v>
      </c>
      <c r="C29" s="607" t="s">
        <v>52</v>
      </c>
      <c r="D29" s="600">
        <v>54115</v>
      </c>
      <c r="E29" s="303" t="s">
        <v>80</v>
      </c>
      <c r="F29" s="304">
        <v>500</v>
      </c>
      <c r="G29" s="304">
        <v>400</v>
      </c>
      <c r="H29" s="304">
        <v>400</v>
      </c>
      <c r="I29" s="305">
        <v>400</v>
      </c>
      <c r="J29" s="304">
        <v>400</v>
      </c>
      <c r="K29" s="304"/>
      <c r="L29" s="306">
        <f t="shared" si="0"/>
        <v>2100</v>
      </c>
      <c r="M29" s="667">
        <v>1000</v>
      </c>
      <c r="N29" s="667"/>
      <c r="O29" s="667">
        <f>SUM(O27:O28)</f>
        <v>168000</v>
      </c>
      <c r="P29" s="667"/>
      <c r="Q29" s="667"/>
      <c r="R29" s="667"/>
      <c r="S29" s="667"/>
    </row>
    <row r="30" spans="1:19" s="124" customFormat="1" ht="15.75" customHeight="1" x14ac:dyDescent="0.2">
      <c r="A30" s="604">
        <v>1</v>
      </c>
      <c r="B30" s="605" t="s">
        <v>51</v>
      </c>
      <c r="C30" s="607" t="s">
        <v>52</v>
      </c>
      <c r="D30" s="600">
        <v>54118</v>
      </c>
      <c r="E30" s="303" t="s">
        <v>267</v>
      </c>
      <c r="F30" s="304">
        <v>18000</v>
      </c>
      <c r="G30" s="304"/>
      <c r="H30" s="304"/>
      <c r="I30" s="305"/>
      <c r="J30" s="304"/>
      <c r="K30" s="304"/>
      <c r="L30" s="306">
        <f t="shared" si="0"/>
        <v>18000</v>
      </c>
      <c r="M30" s="667">
        <v>19000</v>
      </c>
      <c r="N30" s="667"/>
      <c r="O30" s="667"/>
      <c r="P30" s="667"/>
      <c r="Q30" s="667"/>
      <c r="R30" s="667"/>
      <c r="S30" s="667"/>
    </row>
    <row r="31" spans="1:19" s="124" customFormat="1" ht="15.75" customHeight="1" x14ac:dyDescent="0.2">
      <c r="A31" s="604">
        <v>1</v>
      </c>
      <c r="B31" s="605" t="s">
        <v>51</v>
      </c>
      <c r="C31" s="607" t="s">
        <v>52</v>
      </c>
      <c r="D31" s="600">
        <v>54119</v>
      </c>
      <c r="E31" s="303" t="s">
        <v>104</v>
      </c>
      <c r="F31" s="304">
        <v>700</v>
      </c>
      <c r="G31" s="304"/>
      <c r="H31" s="304"/>
      <c r="I31" s="305"/>
      <c r="J31" s="304"/>
      <c r="K31" s="304">
        <v>1500</v>
      </c>
      <c r="L31" s="306">
        <f t="shared" si="0"/>
        <v>2200</v>
      </c>
      <c r="M31" s="667">
        <v>2000</v>
      </c>
      <c r="N31" s="667"/>
      <c r="O31" s="667"/>
      <c r="P31" s="667"/>
      <c r="Q31" s="667"/>
      <c r="R31" s="667"/>
      <c r="S31" s="667"/>
    </row>
    <row r="32" spans="1:19" s="124" customFormat="1" ht="15.75" customHeight="1" x14ac:dyDescent="0.2">
      <c r="A32" s="604">
        <v>1</v>
      </c>
      <c r="B32" s="605" t="s">
        <v>51</v>
      </c>
      <c r="C32" s="607" t="s">
        <v>52</v>
      </c>
      <c r="D32" s="600">
        <v>54121</v>
      </c>
      <c r="E32" s="303" t="s">
        <v>83</v>
      </c>
      <c r="F32" s="304">
        <v>1500</v>
      </c>
      <c r="G32" s="304"/>
      <c r="H32" s="304"/>
      <c r="I32" s="305"/>
      <c r="J32" s="304"/>
      <c r="K32" s="304"/>
      <c r="L32" s="306">
        <f t="shared" si="0"/>
        <v>1500</v>
      </c>
      <c r="M32" s="667">
        <v>1500</v>
      </c>
      <c r="N32" s="667"/>
      <c r="O32" s="667"/>
      <c r="P32" s="667"/>
      <c r="Q32" s="667"/>
      <c r="R32" s="667"/>
      <c r="S32" s="667"/>
    </row>
    <row r="33" spans="1:19" s="124" customFormat="1" ht="15.75" customHeight="1" x14ac:dyDescent="0.2">
      <c r="A33" s="604">
        <v>1</v>
      </c>
      <c r="B33" s="605" t="s">
        <v>51</v>
      </c>
      <c r="C33" s="607" t="s">
        <v>52</v>
      </c>
      <c r="D33" s="600">
        <v>54199</v>
      </c>
      <c r="E33" s="303" t="s">
        <v>272</v>
      </c>
      <c r="F33" s="304">
        <v>1000</v>
      </c>
      <c r="G33" s="304">
        <v>500</v>
      </c>
      <c r="H33" s="304">
        <v>500</v>
      </c>
      <c r="I33" s="305">
        <v>500</v>
      </c>
      <c r="J33" s="304">
        <v>500</v>
      </c>
      <c r="K33" s="304">
        <v>500</v>
      </c>
      <c r="L33" s="306">
        <f t="shared" si="0"/>
        <v>3500</v>
      </c>
      <c r="M33" s="667">
        <v>2000</v>
      </c>
      <c r="N33" s="667"/>
      <c r="O33" s="667"/>
      <c r="P33" s="667"/>
      <c r="Q33" s="667"/>
      <c r="R33" s="667"/>
      <c r="S33" s="667"/>
    </row>
    <row r="34" spans="1:19" s="124" customFormat="1" ht="15.75" customHeight="1" x14ac:dyDescent="0.2">
      <c r="A34" s="604">
        <v>1</v>
      </c>
      <c r="B34" s="605" t="s">
        <v>51</v>
      </c>
      <c r="C34" s="607" t="s">
        <v>52</v>
      </c>
      <c r="D34" s="600">
        <v>54201</v>
      </c>
      <c r="E34" s="303" t="s">
        <v>44</v>
      </c>
      <c r="F34" s="304">
        <v>14000</v>
      </c>
      <c r="G34" s="304"/>
      <c r="H34" s="304"/>
      <c r="I34" s="305"/>
      <c r="J34" s="304"/>
      <c r="K34" s="304"/>
      <c r="L34" s="306">
        <f t="shared" si="0"/>
        <v>14000</v>
      </c>
      <c r="M34" s="667">
        <v>21452</v>
      </c>
      <c r="N34" s="667"/>
      <c r="O34" s="667"/>
      <c r="P34" s="667"/>
      <c r="Q34" s="667"/>
      <c r="R34" s="667"/>
      <c r="S34" s="667"/>
    </row>
    <row r="35" spans="1:19" s="124" customFormat="1" ht="15.75" customHeight="1" x14ac:dyDescent="0.2">
      <c r="A35" s="604">
        <v>1</v>
      </c>
      <c r="B35" s="605" t="s">
        <v>51</v>
      </c>
      <c r="C35" s="607" t="s">
        <v>52</v>
      </c>
      <c r="D35" s="600">
        <v>54202</v>
      </c>
      <c r="E35" s="303" t="s">
        <v>45</v>
      </c>
      <c r="F35" s="304">
        <v>9000</v>
      </c>
      <c r="G35" s="304"/>
      <c r="H35" s="304"/>
      <c r="I35" s="305"/>
      <c r="J35" s="304"/>
      <c r="K35" s="304"/>
      <c r="L35" s="306">
        <f t="shared" si="0"/>
        <v>9000</v>
      </c>
      <c r="M35" s="667">
        <v>3000</v>
      </c>
      <c r="N35" s="667"/>
      <c r="O35" s="667"/>
      <c r="P35" s="665">
        <f>SUM(L21:L48)</f>
        <v>216757.03999999998</v>
      </c>
      <c r="Q35" s="667"/>
      <c r="R35" s="667"/>
      <c r="S35" s="667"/>
    </row>
    <row r="36" spans="1:19" s="124" customFormat="1" ht="15.75" customHeight="1" x14ac:dyDescent="0.2">
      <c r="A36" s="604">
        <v>1</v>
      </c>
      <c r="B36" s="605" t="s">
        <v>51</v>
      </c>
      <c r="C36" s="607" t="s">
        <v>52</v>
      </c>
      <c r="D36" s="600">
        <v>54203</v>
      </c>
      <c r="E36" s="303" t="s">
        <v>46</v>
      </c>
      <c r="F36" s="304">
        <v>83457.039999999994</v>
      </c>
      <c r="G36" s="304"/>
      <c r="H36" s="304"/>
      <c r="I36" s="305"/>
      <c r="J36" s="304"/>
      <c r="K36" s="304"/>
      <c r="L36" s="306">
        <f t="shared" si="0"/>
        <v>83457.039999999994</v>
      </c>
      <c r="M36" s="667">
        <v>23000</v>
      </c>
      <c r="N36" s="684">
        <v>60000</v>
      </c>
      <c r="O36" s="667"/>
      <c r="P36" s="667"/>
      <c r="Q36" s="667"/>
      <c r="R36" s="667"/>
      <c r="S36" s="667"/>
    </row>
    <row r="37" spans="1:19" s="124" customFormat="1" ht="15.75" customHeight="1" x14ac:dyDescent="0.2">
      <c r="A37" s="604">
        <v>1</v>
      </c>
      <c r="B37" s="605" t="s">
        <v>51</v>
      </c>
      <c r="C37" s="607" t="s">
        <v>52</v>
      </c>
      <c r="D37" s="600">
        <v>54205</v>
      </c>
      <c r="E37" s="303" t="s">
        <v>25</v>
      </c>
      <c r="F37" s="304"/>
      <c r="G37" s="304"/>
      <c r="H37" s="304"/>
      <c r="I37" s="305"/>
      <c r="J37" s="304"/>
      <c r="K37" s="304"/>
      <c r="L37" s="306">
        <f t="shared" si="0"/>
        <v>0</v>
      </c>
      <c r="M37" s="667"/>
      <c r="N37" s="667"/>
      <c r="O37" s="667"/>
      <c r="P37" s="667"/>
      <c r="Q37" s="667"/>
      <c r="R37" s="667"/>
      <c r="S37" s="667"/>
    </row>
    <row r="38" spans="1:19" s="124" customFormat="1" ht="15.75" customHeight="1" x14ac:dyDescent="0.2">
      <c r="A38" s="604">
        <v>1</v>
      </c>
      <c r="B38" s="605" t="s">
        <v>51</v>
      </c>
      <c r="C38" s="607" t="s">
        <v>52</v>
      </c>
      <c r="D38" s="600">
        <v>54301</v>
      </c>
      <c r="E38" s="303" t="s">
        <v>270</v>
      </c>
      <c r="F38" s="304">
        <v>3000</v>
      </c>
      <c r="G38" s="304"/>
      <c r="H38" s="304"/>
      <c r="I38" s="305"/>
      <c r="J38" s="304"/>
      <c r="K38" s="304"/>
      <c r="L38" s="306">
        <f t="shared" si="0"/>
        <v>3000</v>
      </c>
      <c r="M38" s="667">
        <v>2000</v>
      </c>
      <c r="N38" s="667"/>
      <c r="O38" s="667"/>
      <c r="P38" s="667"/>
      <c r="Q38" s="667"/>
      <c r="R38" s="667"/>
      <c r="S38" s="667"/>
    </row>
    <row r="39" spans="1:19" s="124" customFormat="1" ht="15.75" customHeight="1" x14ac:dyDescent="0.2">
      <c r="A39" s="604">
        <v>1</v>
      </c>
      <c r="B39" s="605" t="s">
        <v>51</v>
      </c>
      <c r="C39" s="607" t="s">
        <v>52</v>
      </c>
      <c r="D39" s="600">
        <v>54302</v>
      </c>
      <c r="E39" s="303" t="s">
        <v>269</v>
      </c>
      <c r="F39" s="304">
        <v>18000</v>
      </c>
      <c r="G39" s="304"/>
      <c r="H39" s="304"/>
      <c r="I39" s="305"/>
      <c r="J39" s="304"/>
      <c r="K39" s="304"/>
      <c r="L39" s="306">
        <f t="shared" si="0"/>
        <v>18000</v>
      </c>
      <c r="M39" s="667">
        <v>28000</v>
      </c>
      <c r="N39" s="667"/>
      <c r="O39" s="667"/>
      <c r="P39" s="667"/>
      <c r="Q39" s="667"/>
      <c r="R39" s="667"/>
      <c r="S39" s="667"/>
    </row>
    <row r="40" spans="1:19" s="124" customFormat="1" ht="15.75" customHeight="1" x14ac:dyDescent="0.2">
      <c r="A40" s="604">
        <v>1</v>
      </c>
      <c r="B40" s="605" t="s">
        <v>51</v>
      </c>
      <c r="C40" s="607" t="s">
        <v>52</v>
      </c>
      <c r="D40" s="600">
        <v>54303</v>
      </c>
      <c r="E40" s="303" t="s">
        <v>268</v>
      </c>
      <c r="F40" s="304">
        <v>2500</v>
      </c>
      <c r="G40" s="304"/>
      <c r="H40" s="304"/>
      <c r="I40" s="608"/>
      <c r="J40" s="304"/>
      <c r="K40" s="304"/>
      <c r="L40" s="306">
        <f t="shared" si="0"/>
        <v>2500</v>
      </c>
      <c r="M40" s="667">
        <v>1000</v>
      </c>
      <c r="N40" s="667"/>
      <c r="O40" s="667"/>
      <c r="P40" s="667"/>
      <c r="Q40" s="667"/>
      <c r="R40" s="667"/>
      <c r="S40" s="667"/>
    </row>
    <row r="41" spans="1:19" s="124" customFormat="1" ht="15.75" customHeight="1" x14ac:dyDescent="0.2">
      <c r="A41" s="604">
        <v>1</v>
      </c>
      <c r="B41" s="605" t="s">
        <v>51</v>
      </c>
      <c r="C41" s="607" t="s">
        <v>52</v>
      </c>
      <c r="D41" s="600">
        <v>54304</v>
      </c>
      <c r="E41" s="303" t="s">
        <v>89</v>
      </c>
      <c r="F41" s="304">
        <v>1000</v>
      </c>
      <c r="G41" s="304"/>
      <c r="H41" s="304"/>
      <c r="I41" s="305"/>
      <c r="J41" s="304"/>
      <c r="K41" s="304"/>
      <c r="L41" s="306">
        <f t="shared" si="0"/>
        <v>1000</v>
      </c>
      <c r="M41" s="667">
        <v>1000</v>
      </c>
      <c r="N41" s="667"/>
      <c r="O41" s="667"/>
      <c r="P41" s="667"/>
      <c r="Q41" s="667"/>
      <c r="R41" s="667"/>
      <c r="S41" s="667"/>
    </row>
    <row r="42" spans="1:19" s="124" customFormat="1" ht="15.75" customHeight="1" x14ac:dyDescent="0.2">
      <c r="A42" s="604">
        <v>1</v>
      </c>
      <c r="B42" s="605" t="s">
        <v>51</v>
      </c>
      <c r="C42" s="607" t="s">
        <v>52</v>
      </c>
      <c r="D42" s="600">
        <v>54310</v>
      </c>
      <c r="E42" s="303" t="s">
        <v>220</v>
      </c>
      <c r="F42" s="304"/>
      <c r="G42" s="304"/>
      <c r="H42" s="304"/>
      <c r="I42" s="305"/>
      <c r="J42" s="304"/>
      <c r="K42" s="304"/>
      <c r="L42" s="306">
        <f t="shared" si="0"/>
        <v>0</v>
      </c>
      <c r="M42" s="667">
        <v>1000</v>
      </c>
      <c r="N42" s="667"/>
      <c r="O42" s="667"/>
      <c r="P42" s="667"/>
      <c r="Q42" s="667"/>
      <c r="R42" s="667"/>
      <c r="S42" s="667"/>
    </row>
    <row r="43" spans="1:19" s="124" customFormat="1" ht="15.75" customHeight="1" x14ac:dyDescent="0.2">
      <c r="A43" s="604">
        <v>1</v>
      </c>
      <c r="B43" s="605" t="s">
        <v>51</v>
      </c>
      <c r="C43" s="607" t="s">
        <v>52</v>
      </c>
      <c r="D43" s="600">
        <v>54314</v>
      </c>
      <c r="E43" s="303" t="s">
        <v>84</v>
      </c>
      <c r="F43" s="304">
        <v>1000</v>
      </c>
      <c r="G43" s="304"/>
      <c r="H43" s="304"/>
      <c r="I43" s="305"/>
      <c r="J43" s="304"/>
      <c r="K43" s="304"/>
      <c r="L43" s="306">
        <f t="shared" si="0"/>
        <v>1000</v>
      </c>
      <c r="M43" s="667">
        <v>1000</v>
      </c>
      <c r="N43" s="667"/>
      <c r="O43" s="667"/>
      <c r="P43" s="667"/>
      <c r="Q43" s="667"/>
      <c r="R43" s="667"/>
      <c r="S43" s="667"/>
    </row>
    <row r="44" spans="1:19" s="124" customFormat="1" ht="15.75" customHeight="1" x14ac:dyDescent="0.2">
      <c r="A44" s="604">
        <v>1</v>
      </c>
      <c r="B44" s="605" t="s">
        <v>51</v>
      </c>
      <c r="C44" s="607" t="s">
        <v>52</v>
      </c>
      <c r="D44" s="600">
        <v>54399</v>
      </c>
      <c r="E44" s="303" t="s">
        <v>392</v>
      </c>
      <c r="F44" s="304">
        <v>1000</v>
      </c>
      <c r="G44" s="304"/>
      <c r="H44" s="304"/>
      <c r="I44" s="305"/>
      <c r="J44" s="304"/>
      <c r="K44" s="304"/>
      <c r="L44" s="306">
        <f t="shared" si="0"/>
        <v>1000</v>
      </c>
      <c r="M44" s="667"/>
      <c r="N44" s="667"/>
      <c r="O44" s="667"/>
      <c r="P44" s="667"/>
      <c r="Q44" s="667"/>
      <c r="R44" s="667"/>
      <c r="S44" s="667"/>
    </row>
    <row r="45" spans="1:19" s="124" customFormat="1" ht="15.75" customHeight="1" x14ac:dyDescent="0.2">
      <c r="A45" s="604">
        <v>1</v>
      </c>
      <c r="B45" s="605" t="s">
        <v>51</v>
      </c>
      <c r="C45" s="607" t="s">
        <v>52</v>
      </c>
      <c r="D45" s="600">
        <v>54401</v>
      </c>
      <c r="E45" s="303" t="s">
        <v>271</v>
      </c>
      <c r="F45" s="304">
        <v>800</v>
      </c>
      <c r="G45" s="304"/>
      <c r="H45" s="304"/>
      <c r="I45" s="305"/>
      <c r="J45" s="304"/>
      <c r="K45" s="304"/>
      <c r="L45" s="306">
        <f t="shared" si="0"/>
        <v>800</v>
      </c>
      <c r="M45" s="667"/>
      <c r="N45" s="667"/>
      <c r="O45" s="667"/>
      <c r="P45" s="667"/>
      <c r="Q45" s="667"/>
      <c r="R45" s="667"/>
      <c r="S45" s="667"/>
    </row>
    <row r="46" spans="1:19" s="124" customFormat="1" ht="15.75" customHeight="1" x14ac:dyDescent="0.2">
      <c r="A46" s="604">
        <v>1</v>
      </c>
      <c r="B46" s="605" t="s">
        <v>51</v>
      </c>
      <c r="C46" s="607" t="s">
        <v>52</v>
      </c>
      <c r="D46" s="600">
        <v>54403</v>
      </c>
      <c r="E46" s="303" t="s">
        <v>265</v>
      </c>
      <c r="F46" s="304">
        <v>1000</v>
      </c>
      <c r="G46" s="304"/>
      <c r="H46" s="304"/>
      <c r="I46" s="305"/>
      <c r="J46" s="304"/>
      <c r="K46" s="304"/>
      <c r="L46" s="306">
        <f t="shared" si="0"/>
        <v>1000</v>
      </c>
      <c r="M46" s="667"/>
      <c r="N46" s="667"/>
      <c r="O46" s="667"/>
      <c r="P46" s="667"/>
      <c r="Q46" s="667"/>
      <c r="R46" s="667"/>
      <c r="S46" s="667"/>
    </row>
    <row r="47" spans="1:19" s="124" customFormat="1" ht="15.75" customHeight="1" x14ac:dyDescent="0.2">
      <c r="A47" s="604">
        <v>1</v>
      </c>
      <c r="B47" s="605" t="s">
        <v>51</v>
      </c>
      <c r="C47" s="607" t="s">
        <v>52</v>
      </c>
      <c r="D47" s="600">
        <v>54503</v>
      </c>
      <c r="E47" s="303" t="s">
        <v>79</v>
      </c>
      <c r="F47" s="304">
        <f>1500-800</f>
        <v>700</v>
      </c>
      <c r="G47" s="304"/>
      <c r="H47" s="304"/>
      <c r="I47" s="305"/>
      <c r="J47" s="304"/>
      <c r="K47" s="304"/>
      <c r="L47" s="306">
        <f t="shared" si="0"/>
        <v>700</v>
      </c>
      <c r="M47" s="667">
        <v>800</v>
      </c>
      <c r="N47" s="667"/>
      <c r="O47" s="667"/>
      <c r="P47" s="667"/>
      <c r="Q47" s="667"/>
      <c r="R47" s="667"/>
      <c r="S47" s="667"/>
    </row>
    <row r="48" spans="1:19" s="124" customFormat="1" ht="15.75" customHeight="1" x14ac:dyDescent="0.2">
      <c r="A48" s="604">
        <v>1</v>
      </c>
      <c r="B48" s="605" t="s">
        <v>51</v>
      </c>
      <c r="C48" s="607" t="s">
        <v>52</v>
      </c>
      <c r="D48" s="600">
        <v>54504</v>
      </c>
      <c r="E48" s="303" t="s">
        <v>85</v>
      </c>
      <c r="F48" s="304"/>
      <c r="G48" s="304">
        <v>2000</v>
      </c>
      <c r="H48" s="304"/>
      <c r="I48" s="305"/>
      <c r="J48" s="304"/>
      <c r="K48" s="304"/>
      <c r="L48" s="306">
        <f t="shared" si="0"/>
        <v>2000</v>
      </c>
      <c r="M48" s="667">
        <v>2500</v>
      </c>
      <c r="N48" s="667"/>
      <c r="O48" s="667"/>
      <c r="P48" s="667"/>
      <c r="Q48" s="667"/>
      <c r="R48" s="667"/>
      <c r="S48" s="667"/>
    </row>
    <row r="49" spans="1:19" s="124" customFormat="1" ht="15.75" customHeight="1" x14ac:dyDescent="0.2">
      <c r="A49" s="604">
        <v>1</v>
      </c>
      <c r="B49" s="605" t="s">
        <v>51</v>
      </c>
      <c r="C49" s="607" t="s">
        <v>52</v>
      </c>
      <c r="D49" s="600">
        <v>55508</v>
      </c>
      <c r="E49" s="303" t="s">
        <v>86</v>
      </c>
      <c r="F49" s="304">
        <v>510.11</v>
      </c>
      <c r="G49" s="304"/>
      <c r="H49" s="304"/>
      <c r="I49" s="305"/>
      <c r="J49" s="304"/>
      <c r="K49" s="304"/>
      <c r="L49" s="306">
        <f t="shared" si="0"/>
        <v>510.11</v>
      </c>
      <c r="M49" s="667">
        <v>300</v>
      </c>
      <c r="N49" s="667"/>
      <c r="O49" s="667"/>
      <c r="P49" s="667"/>
      <c r="Q49" s="667"/>
      <c r="R49" s="667"/>
      <c r="S49" s="667"/>
    </row>
    <row r="50" spans="1:19" s="124" customFormat="1" ht="15.75" customHeight="1" x14ac:dyDescent="0.2">
      <c r="A50" s="604">
        <v>1</v>
      </c>
      <c r="B50" s="605" t="s">
        <v>51</v>
      </c>
      <c r="C50" s="607" t="s">
        <v>52</v>
      </c>
      <c r="D50" s="600">
        <v>55601</v>
      </c>
      <c r="E50" s="303" t="s">
        <v>107</v>
      </c>
      <c r="F50" s="304">
        <v>1000</v>
      </c>
      <c r="G50" s="304"/>
      <c r="H50" s="304"/>
      <c r="I50" s="305"/>
      <c r="J50" s="304"/>
      <c r="K50" s="304"/>
      <c r="L50" s="306">
        <f t="shared" si="0"/>
        <v>1000</v>
      </c>
      <c r="M50" s="667"/>
      <c r="N50" s="667"/>
      <c r="O50" s="667"/>
      <c r="P50" s="667"/>
      <c r="Q50" s="667"/>
      <c r="R50" s="667"/>
      <c r="S50" s="667"/>
    </row>
    <row r="51" spans="1:19" s="124" customFormat="1" ht="15.75" customHeight="1" x14ac:dyDescent="0.2">
      <c r="A51" s="604">
        <v>1</v>
      </c>
      <c r="B51" s="605" t="s">
        <v>51</v>
      </c>
      <c r="C51" s="607" t="s">
        <v>52</v>
      </c>
      <c r="D51" s="600">
        <v>55603</v>
      </c>
      <c r="E51" s="303" t="s">
        <v>87</v>
      </c>
      <c r="F51" s="304">
        <v>500</v>
      </c>
      <c r="G51" s="304"/>
      <c r="H51" s="304"/>
      <c r="I51" s="305"/>
      <c r="J51" s="304"/>
      <c r="K51" s="304"/>
      <c r="L51" s="306">
        <f t="shared" si="0"/>
        <v>500</v>
      </c>
      <c r="M51" s="667">
        <v>250</v>
      </c>
      <c r="N51" s="667"/>
      <c r="O51" s="667"/>
      <c r="P51" s="667"/>
      <c r="Q51" s="667"/>
      <c r="R51" s="667"/>
      <c r="S51" s="667"/>
    </row>
    <row r="52" spans="1:19" s="124" customFormat="1" ht="15.75" customHeight="1" x14ac:dyDescent="0.2">
      <c r="A52" s="604">
        <v>1</v>
      </c>
      <c r="B52" s="605" t="s">
        <v>51</v>
      </c>
      <c r="C52" s="607" t="s">
        <v>52</v>
      </c>
      <c r="D52" s="600">
        <v>55703</v>
      </c>
      <c r="E52" s="303" t="s">
        <v>88</v>
      </c>
      <c r="F52" s="304">
        <v>1000</v>
      </c>
      <c r="G52" s="304"/>
      <c r="H52" s="304"/>
      <c r="I52" s="305"/>
      <c r="J52" s="304"/>
      <c r="K52" s="304"/>
      <c r="L52" s="306">
        <f t="shared" si="0"/>
        <v>1000</v>
      </c>
      <c r="M52" s="667">
        <v>300</v>
      </c>
      <c r="N52" s="667"/>
      <c r="O52" s="667"/>
      <c r="P52" s="667"/>
      <c r="Q52" s="667"/>
      <c r="R52" s="667"/>
      <c r="S52" s="667"/>
    </row>
    <row r="53" spans="1:19" s="124" customFormat="1" ht="15.75" customHeight="1" x14ac:dyDescent="0.2">
      <c r="A53" s="604">
        <v>1</v>
      </c>
      <c r="B53" s="605" t="s">
        <v>51</v>
      </c>
      <c r="C53" s="607" t="s">
        <v>52</v>
      </c>
      <c r="D53" s="600">
        <v>55799</v>
      </c>
      <c r="E53" s="303" t="s">
        <v>273</v>
      </c>
      <c r="F53" s="304">
        <v>590.27</v>
      </c>
      <c r="G53" s="304"/>
      <c r="H53" s="304"/>
      <c r="I53" s="305"/>
      <c r="J53" s="304"/>
      <c r="K53" s="304"/>
      <c r="L53" s="306">
        <f t="shared" si="0"/>
        <v>590.27</v>
      </c>
      <c r="M53" s="667">
        <v>7000.11</v>
      </c>
      <c r="N53" s="667"/>
      <c r="O53" s="667"/>
      <c r="P53" s="667"/>
      <c r="Q53" s="667"/>
      <c r="R53" s="667"/>
      <c r="S53" s="667"/>
    </row>
    <row r="54" spans="1:19" s="124" customFormat="1" ht="15.75" customHeight="1" x14ac:dyDescent="0.2">
      <c r="A54" s="604">
        <v>1</v>
      </c>
      <c r="B54" s="605" t="s">
        <v>51</v>
      </c>
      <c r="C54" s="607" t="s">
        <v>52</v>
      </c>
      <c r="D54" s="600">
        <v>56201</v>
      </c>
      <c r="E54" s="303" t="s">
        <v>471</v>
      </c>
      <c r="F54" s="304"/>
      <c r="G54" s="304"/>
      <c r="H54" s="304"/>
      <c r="I54" s="305"/>
      <c r="J54" s="304"/>
      <c r="K54" s="304"/>
      <c r="L54" s="306">
        <f t="shared" si="0"/>
        <v>0</v>
      </c>
      <c r="M54" s="667">
        <v>3000</v>
      </c>
      <c r="N54" s="667"/>
      <c r="O54" s="667"/>
      <c r="P54" s="667"/>
      <c r="Q54" s="667"/>
      <c r="R54" s="667"/>
      <c r="S54" s="667"/>
    </row>
    <row r="55" spans="1:19" s="124" customFormat="1" ht="15.75" customHeight="1" x14ac:dyDescent="0.2">
      <c r="A55" s="604">
        <v>1</v>
      </c>
      <c r="B55" s="605" t="s">
        <v>51</v>
      </c>
      <c r="C55" s="607" t="s">
        <v>52</v>
      </c>
      <c r="D55" s="600">
        <v>56303</v>
      </c>
      <c r="E55" s="303" t="s">
        <v>349</v>
      </c>
      <c r="F55" s="304">
        <v>10800</v>
      </c>
      <c r="G55" s="304"/>
      <c r="H55" s="304"/>
      <c r="I55" s="305"/>
      <c r="J55" s="304"/>
      <c r="K55" s="304"/>
      <c r="L55" s="306">
        <f t="shared" si="0"/>
        <v>10800</v>
      </c>
      <c r="M55" s="667">
        <v>21000</v>
      </c>
      <c r="N55" s="667"/>
      <c r="O55" s="667"/>
      <c r="P55" s="667"/>
      <c r="Q55" s="667"/>
      <c r="R55" s="667"/>
      <c r="S55" s="667"/>
    </row>
    <row r="56" spans="1:19" s="124" customFormat="1" ht="15.75" customHeight="1" x14ac:dyDescent="0.2">
      <c r="A56" s="604">
        <v>1</v>
      </c>
      <c r="B56" s="605" t="s">
        <v>51</v>
      </c>
      <c r="C56" s="607" t="s">
        <v>52</v>
      </c>
      <c r="D56" s="600">
        <v>56304</v>
      </c>
      <c r="E56" s="303" t="s">
        <v>266</v>
      </c>
      <c r="F56" s="304">
        <v>1500</v>
      </c>
      <c r="G56" s="304"/>
      <c r="H56" s="304"/>
      <c r="I56" s="305"/>
      <c r="J56" s="304"/>
      <c r="K56" s="304"/>
      <c r="L56" s="306">
        <f t="shared" si="0"/>
        <v>1500</v>
      </c>
      <c r="M56" s="667">
        <v>3000</v>
      </c>
      <c r="N56" s="667"/>
      <c r="O56" s="667"/>
      <c r="P56" s="667"/>
      <c r="Q56" s="667"/>
      <c r="R56" s="667"/>
      <c r="S56" s="667"/>
    </row>
    <row r="57" spans="1:19" s="124" customFormat="1" ht="15.75" customHeight="1" x14ac:dyDescent="0.2">
      <c r="A57" s="609">
        <v>1</v>
      </c>
      <c r="B57" s="610" t="s">
        <v>51</v>
      </c>
      <c r="C57" s="611" t="s">
        <v>52</v>
      </c>
      <c r="D57" s="612">
        <v>61101</v>
      </c>
      <c r="E57" s="613" t="s">
        <v>224</v>
      </c>
      <c r="F57" s="312">
        <f>1500-768.87+1000+800</f>
        <v>2531.13</v>
      </c>
      <c r="G57" s="312"/>
      <c r="H57" s="312"/>
      <c r="I57" s="614"/>
      <c r="J57" s="312"/>
      <c r="K57" s="312"/>
      <c r="L57" s="306">
        <f t="shared" si="0"/>
        <v>2531.13</v>
      </c>
      <c r="M57" s="667">
        <v>3000</v>
      </c>
      <c r="N57" s="667"/>
      <c r="O57" s="667"/>
      <c r="P57" s="667"/>
      <c r="Q57" s="665">
        <f>SUM(F49:F53)</f>
        <v>3600.38</v>
      </c>
      <c r="R57" s="667"/>
      <c r="S57" s="667"/>
    </row>
    <row r="58" spans="1:19" s="124" customFormat="1" ht="15.75" customHeight="1" x14ac:dyDescent="0.2">
      <c r="A58" s="609">
        <v>1</v>
      </c>
      <c r="B58" s="610" t="s">
        <v>51</v>
      </c>
      <c r="C58" s="611" t="s">
        <v>52</v>
      </c>
      <c r="D58" s="612">
        <v>61104</v>
      </c>
      <c r="E58" s="613" t="s">
        <v>350</v>
      </c>
      <c r="F58" s="312">
        <v>3000</v>
      </c>
      <c r="G58" s="312"/>
      <c r="H58" s="312"/>
      <c r="I58" s="614"/>
      <c r="J58" s="312"/>
      <c r="K58" s="312"/>
      <c r="L58" s="306">
        <f t="shared" si="0"/>
        <v>3000</v>
      </c>
      <c r="M58" s="667">
        <v>1500</v>
      </c>
      <c r="N58" s="667"/>
      <c r="O58" s="667"/>
      <c r="P58" s="667"/>
      <c r="Q58" s="667"/>
      <c r="R58" s="667"/>
      <c r="S58" s="667"/>
    </row>
    <row r="59" spans="1:19" s="124" customFormat="1" ht="15.75" customHeight="1" thickBot="1" x14ac:dyDescent="0.25">
      <c r="A59" s="609"/>
      <c r="B59" s="610"/>
      <c r="C59" s="611"/>
      <c r="D59" s="615"/>
      <c r="E59" s="613"/>
      <c r="F59" s="312"/>
      <c r="G59" s="312"/>
      <c r="H59" s="312"/>
      <c r="I59" s="616"/>
      <c r="J59" s="312"/>
      <c r="K59" s="312"/>
      <c r="L59" s="617"/>
      <c r="M59" s="667"/>
      <c r="N59" s="667"/>
      <c r="O59" s="667"/>
      <c r="P59" s="667"/>
      <c r="Q59" s="667"/>
      <c r="R59" s="667"/>
      <c r="S59" s="667"/>
    </row>
    <row r="60" spans="1:19" ht="30" customHeight="1" thickBot="1" x14ac:dyDescent="0.25">
      <c r="A60" s="752" t="s">
        <v>345</v>
      </c>
      <c r="B60" s="753"/>
      <c r="C60" s="753"/>
      <c r="D60" s="753"/>
      <c r="E60" s="754"/>
      <c r="F60" s="618">
        <f t="shared" ref="F60:L60" si="1">SUM(F11:F59)</f>
        <v>398988.55</v>
      </c>
      <c r="G60" s="618">
        <f t="shared" si="1"/>
        <v>3400</v>
      </c>
      <c r="H60" s="618">
        <f t="shared" si="1"/>
        <v>1400</v>
      </c>
      <c r="I60" s="618">
        <f t="shared" si="1"/>
        <v>1400</v>
      </c>
      <c r="J60" s="618">
        <f t="shared" si="1"/>
        <v>1400</v>
      </c>
      <c r="K60" s="618">
        <f t="shared" si="1"/>
        <v>2500</v>
      </c>
      <c r="L60" s="619">
        <f t="shared" si="1"/>
        <v>409088.55</v>
      </c>
      <c r="M60" s="682"/>
      <c r="N60" s="682"/>
      <c r="O60" s="682"/>
      <c r="P60" s="682"/>
      <c r="Q60" s="682"/>
      <c r="R60" s="682"/>
      <c r="S60" s="682"/>
    </row>
    <row r="61" spans="1:19" x14ac:dyDescent="0.2">
      <c r="M61" s="682"/>
      <c r="N61" s="682"/>
      <c r="O61" s="682"/>
      <c r="P61" s="682"/>
      <c r="Q61" s="682"/>
      <c r="R61" s="682"/>
      <c r="S61" s="682"/>
    </row>
    <row r="62" spans="1:19" x14ac:dyDescent="0.2">
      <c r="L62" s="110"/>
    </row>
    <row r="63" spans="1:19" x14ac:dyDescent="0.2">
      <c r="L63" s="110"/>
    </row>
    <row r="64" spans="1:19" x14ac:dyDescent="0.2">
      <c r="L64" s="300">
        <f>SUM(Ingresos!C50)</f>
        <v>409088.55</v>
      </c>
    </row>
    <row r="65" spans="12:14" x14ac:dyDescent="0.2">
      <c r="L65" s="110"/>
      <c r="N65" s="139"/>
    </row>
    <row r="66" spans="12:14" x14ac:dyDescent="0.2">
      <c r="L66" s="110"/>
    </row>
    <row r="67" spans="12:14" x14ac:dyDescent="0.2">
      <c r="L67" s="110">
        <f>SUM(L60-L64)</f>
        <v>0</v>
      </c>
    </row>
    <row r="68" spans="12:14" x14ac:dyDescent="0.2">
      <c r="L68" s="110"/>
    </row>
    <row r="69" spans="12:14" x14ac:dyDescent="0.2">
      <c r="L69" s="110"/>
    </row>
    <row r="70" spans="12:14" x14ac:dyDescent="0.2">
      <c r="L70" s="110"/>
    </row>
    <row r="71" spans="12:14" x14ac:dyDescent="0.2">
      <c r="L71" s="110"/>
    </row>
    <row r="74" spans="12:14" x14ac:dyDescent="0.2">
      <c r="L74" s="170"/>
    </row>
  </sheetData>
  <sheetProtection sheet="1" objects="1" scenarios="1" selectLockedCells="1" selectUnlockedCells="1"/>
  <autoFilter ref="A7:L1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hiddenButton="1" showButton="0"/>
    <filterColumn colId="8" showButton="0"/>
    <filterColumn colId="9" showButton="0"/>
    <filterColumn colId="10" hiddenButton="1" showButton="0"/>
  </autoFilter>
  <sortState ref="D12:E51">
    <sortCondition ref="D11"/>
  </sortState>
  <mergeCells count="16">
    <mergeCell ref="A60:E60"/>
    <mergeCell ref="A8:L8"/>
    <mergeCell ref="A9:D9"/>
    <mergeCell ref="E9:E10"/>
    <mergeCell ref="A1:L1"/>
    <mergeCell ref="A5:L5"/>
    <mergeCell ref="A3:L3"/>
    <mergeCell ref="A4:L4"/>
    <mergeCell ref="L9:L10"/>
    <mergeCell ref="A2:L2"/>
    <mergeCell ref="A6:L6"/>
    <mergeCell ref="A7:L7"/>
    <mergeCell ref="F9:F10"/>
    <mergeCell ref="G9:G10"/>
    <mergeCell ref="I9:I10"/>
    <mergeCell ref="J9:J10"/>
  </mergeCells>
  <phoneticPr fontId="2" type="noConversion"/>
  <printOptions horizontalCentered="1"/>
  <pageMargins left="0.19685039370078741" right="0.19685039370078741" top="0.78740157480314965" bottom="0.47244094488188981" header="0" footer="0"/>
  <pageSetup scale="80" orientation="landscape" horizontalDpi="4294967293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79"/>
  <sheetViews>
    <sheetView view="pageBreakPreview" zoomScaleSheetLayoutView="100" workbookViewId="0">
      <selection activeCell="N13" sqref="N13"/>
    </sheetView>
  </sheetViews>
  <sheetFormatPr baseColWidth="10" defaultColWidth="11.42578125" defaultRowHeight="12.75" x14ac:dyDescent="0.2"/>
  <cols>
    <col min="1" max="2" width="4.5703125" style="24" customWidth="1"/>
    <col min="3" max="3" width="6.140625" style="24" customWidth="1"/>
    <col min="4" max="4" width="10.28515625" style="24" customWidth="1"/>
    <col min="5" max="5" width="48" style="19" customWidth="1"/>
    <col min="6" max="6" width="16.28515625" style="19" customWidth="1"/>
    <col min="7" max="7" width="15.7109375" style="19" customWidth="1"/>
    <col min="8" max="8" width="16" style="19" customWidth="1"/>
    <col min="9" max="9" width="17.85546875" style="4" customWidth="1"/>
    <col min="10" max="10" width="17.140625" style="21" customWidth="1"/>
    <col min="11" max="11" width="11" style="21" customWidth="1"/>
    <col min="12" max="12" width="15.85546875" style="21" customWidth="1"/>
    <col min="13" max="16384" width="11.42578125" style="21"/>
  </cols>
  <sheetData>
    <row r="1" spans="1:13" ht="18" x14ac:dyDescent="0.25">
      <c r="A1" s="730" t="s">
        <v>412</v>
      </c>
      <c r="B1" s="730"/>
      <c r="C1" s="730"/>
      <c r="D1" s="730"/>
      <c r="E1" s="730"/>
      <c r="F1" s="730"/>
      <c r="G1" s="730"/>
      <c r="H1" s="730"/>
      <c r="I1" s="730"/>
      <c r="J1" s="5"/>
    </row>
    <row r="2" spans="1:13" ht="18" x14ac:dyDescent="0.25">
      <c r="A2" s="730" t="s">
        <v>411</v>
      </c>
      <c r="B2" s="730"/>
      <c r="C2" s="730"/>
      <c r="D2" s="730"/>
      <c r="E2" s="730"/>
      <c r="F2" s="730"/>
      <c r="G2" s="730"/>
      <c r="H2" s="730"/>
      <c r="I2" s="730"/>
      <c r="J2" s="5"/>
    </row>
    <row r="3" spans="1:13" ht="15.75" x14ac:dyDescent="0.2">
      <c r="A3" s="737" t="s">
        <v>227</v>
      </c>
      <c r="B3" s="737"/>
      <c r="C3" s="737"/>
      <c r="D3" s="737"/>
      <c r="E3" s="737"/>
      <c r="F3" s="737"/>
      <c r="G3" s="737"/>
      <c r="H3" s="737"/>
      <c r="I3" s="737"/>
    </row>
    <row r="4" spans="1:13" ht="15.75" x14ac:dyDescent="0.2">
      <c r="A4" s="737" t="s">
        <v>605</v>
      </c>
      <c r="B4" s="737"/>
      <c r="C4" s="737"/>
      <c r="D4" s="737"/>
      <c r="E4" s="737"/>
      <c r="F4" s="737"/>
      <c r="G4" s="737"/>
      <c r="H4" s="737"/>
      <c r="I4" s="737"/>
    </row>
    <row r="5" spans="1:13" ht="15.75" x14ac:dyDescent="0.25">
      <c r="A5" s="769" t="s">
        <v>13</v>
      </c>
      <c r="B5" s="769"/>
      <c r="C5" s="769"/>
      <c r="D5" s="769"/>
      <c r="E5" s="769"/>
      <c r="F5" s="769"/>
      <c r="G5" s="769"/>
      <c r="H5" s="769"/>
      <c r="I5" s="769"/>
    </row>
    <row r="6" spans="1:13" ht="15.75" x14ac:dyDescent="0.25">
      <c r="A6" s="771" t="s">
        <v>228</v>
      </c>
      <c r="B6" s="771"/>
      <c r="C6" s="771"/>
      <c r="D6" s="771"/>
      <c r="E6" s="771"/>
      <c r="F6" s="771"/>
      <c r="G6" s="771"/>
      <c r="H6" s="771"/>
      <c r="I6" s="771"/>
    </row>
    <row r="7" spans="1:13" ht="16.5" thickBot="1" x14ac:dyDescent="0.3">
      <c r="A7" s="772" t="s">
        <v>283</v>
      </c>
      <c r="B7" s="772"/>
      <c r="C7" s="772"/>
      <c r="D7" s="772"/>
      <c r="E7" s="772"/>
      <c r="F7" s="772"/>
      <c r="G7" s="772"/>
      <c r="H7" s="772"/>
      <c r="I7" s="772"/>
    </row>
    <row r="8" spans="1:13" ht="15" thickBot="1" x14ac:dyDescent="0.25">
      <c r="A8" s="773" t="s">
        <v>485</v>
      </c>
      <c r="B8" s="774"/>
      <c r="C8" s="774"/>
      <c r="D8" s="774"/>
      <c r="E8" s="775" t="s">
        <v>180</v>
      </c>
      <c r="F8" s="777" t="s">
        <v>355</v>
      </c>
      <c r="G8" s="777" t="s">
        <v>357</v>
      </c>
      <c r="H8" s="777" t="s">
        <v>356</v>
      </c>
      <c r="I8" s="777" t="s">
        <v>354</v>
      </c>
    </row>
    <row r="9" spans="1:13" ht="180.75" customHeight="1" thickBot="1" x14ac:dyDescent="0.25">
      <c r="A9" s="307" t="s">
        <v>409</v>
      </c>
      <c r="B9" s="307" t="s">
        <v>174</v>
      </c>
      <c r="C9" s="307" t="s">
        <v>410</v>
      </c>
      <c r="D9" s="308" t="s">
        <v>118</v>
      </c>
      <c r="E9" s="776"/>
      <c r="F9" s="778"/>
      <c r="G9" s="778"/>
      <c r="H9" s="778"/>
      <c r="I9" s="778"/>
      <c r="J9" s="682"/>
      <c r="K9" s="682"/>
      <c r="L9" s="682"/>
      <c r="M9" s="682"/>
    </row>
    <row r="10" spans="1:13" s="124" customFormat="1" ht="15.75" customHeight="1" x14ac:dyDescent="0.2">
      <c r="A10" s="620"/>
      <c r="B10" s="621" t="s">
        <v>51</v>
      </c>
      <c r="C10" s="621" t="s">
        <v>54</v>
      </c>
      <c r="D10" s="622">
        <v>51101</v>
      </c>
      <c r="E10" s="623" t="s">
        <v>37</v>
      </c>
      <c r="F10" s="361"/>
      <c r="G10" s="361">
        <f>proyectos!G64</f>
        <v>0</v>
      </c>
      <c r="H10" s="361"/>
      <c r="I10" s="362">
        <f>SUM(F10:H10)</f>
        <v>0</v>
      </c>
      <c r="J10" s="685" t="e">
        <f>proyectos!G65</f>
        <v>#REF!</v>
      </c>
      <c r="K10" s="667">
        <v>51</v>
      </c>
      <c r="L10" s="686">
        <f>SUM(I10:I15)</f>
        <v>169500</v>
      </c>
      <c r="M10" s="667"/>
    </row>
    <row r="11" spans="1:13" s="124" customFormat="1" ht="15.75" customHeight="1" x14ac:dyDescent="0.2">
      <c r="A11" s="620"/>
      <c r="B11" s="621" t="s">
        <v>51</v>
      </c>
      <c r="C11" s="621" t="s">
        <v>54</v>
      </c>
      <c r="D11" s="622">
        <v>51103</v>
      </c>
      <c r="E11" s="623" t="s">
        <v>38</v>
      </c>
      <c r="F11" s="361"/>
      <c r="G11" s="361">
        <f>proyectos!H64</f>
        <v>0</v>
      </c>
      <c r="H11" s="361"/>
      <c r="I11" s="362">
        <f t="shared" ref="I11:I62" si="0">SUM(F11:H11)</f>
        <v>0</v>
      </c>
      <c r="J11" s="685">
        <f>proyectos!H64</f>
        <v>0</v>
      </c>
      <c r="K11" s="667"/>
      <c r="L11" s="686"/>
      <c r="M11" s="667"/>
    </row>
    <row r="12" spans="1:13" s="124" customFormat="1" ht="15.75" customHeight="1" x14ac:dyDescent="0.2">
      <c r="A12" s="620"/>
      <c r="B12" s="621" t="s">
        <v>51</v>
      </c>
      <c r="C12" s="621" t="s">
        <v>54</v>
      </c>
      <c r="D12" s="622">
        <v>51401</v>
      </c>
      <c r="E12" s="623" t="s">
        <v>370</v>
      </c>
      <c r="F12" s="361"/>
      <c r="G12" s="361">
        <f>proyectos!I64</f>
        <v>0</v>
      </c>
      <c r="H12" s="361"/>
      <c r="I12" s="362">
        <f t="shared" si="0"/>
        <v>0</v>
      </c>
      <c r="J12" s="685">
        <f>proyectos!I64</f>
        <v>0</v>
      </c>
      <c r="K12" s="667">
        <v>54</v>
      </c>
      <c r="L12" s="686">
        <f>SUM(I16:I47)</f>
        <v>740149.48</v>
      </c>
      <c r="M12" s="667"/>
    </row>
    <row r="13" spans="1:13" s="124" customFormat="1" ht="15.75" customHeight="1" x14ac:dyDescent="0.2">
      <c r="A13" s="620"/>
      <c r="B13" s="621" t="s">
        <v>51</v>
      </c>
      <c r="C13" s="621" t="s">
        <v>54</v>
      </c>
      <c r="D13" s="622">
        <v>51501</v>
      </c>
      <c r="E13" s="623" t="s">
        <v>371</v>
      </c>
      <c r="F13" s="361"/>
      <c r="G13" s="361">
        <f>proyectos!J64</f>
        <v>0</v>
      </c>
      <c r="H13" s="361"/>
      <c r="I13" s="362">
        <f t="shared" si="0"/>
        <v>0</v>
      </c>
      <c r="J13" s="685">
        <f>proyectos!J64</f>
        <v>0</v>
      </c>
      <c r="K13" s="667">
        <v>55</v>
      </c>
      <c r="L13" s="686">
        <f>SUM(I48:I49)</f>
        <v>0</v>
      </c>
      <c r="M13" s="667"/>
    </row>
    <row r="14" spans="1:13" s="124" customFormat="1" ht="15.75" customHeight="1" x14ac:dyDescent="0.2">
      <c r="A14" s="620"/>
      <c r="B14" s="621" t="s">
        <v>51</v>
      </c>
      <c r="C14" s="621" t="s">
        <v>54</v>
      </c>
      <c r="D14" s="622" t="s">
        <v>226</v>
      </c>
      <c r="E14" s="623" t="s">
        <v>208</v>
      </c>
      <c r="F14" s="361">
        <f>proyectos!M64</f>
        <v>155000</v>
      </c>
      <c r="G14" s="361"/>
      <c r="H14" s="361"/>
      <c r="I14" s="362">
        <f>SUM(F14:H14)</f>
        <v>155000</v>
      </c>
      <c r="J14" s="685">
        <f>proyectos!M64</f>
        <v>155000</v>
      </c>
      <c r="K14" s="667">
        <v>56</v>
      </c>
      <c r="L14" s="686">
        <f>SUM(I51:I52)</f>
        <v>110800</v>
      </c>
      <c r="M14" s="667"/>
    </row>
    <row r="15" spans="1:13" s="124" customFormat="1" ht="15.75" customHeight="1" x14ac:dyDescent="0.2">
      <c r="A15" s="620"/>
      <c r="B15" s="621" t="s">
        <v>51</v>
      </c>
      <c r="C15" s="621" t="s">
        <v>54</v>
      </c>
      <c r="D15" s="622" t="s">
        <v>277</v>
      </c>
      <c r="E15" s="623" t="s">
        <v>278</v>
      </c>
      <c r="F15" s="361"/>
      <c r="G15" s="361">
        <f>proyectos!N64</f>
        <v>14500</v>
      </c>
      <c r="H15" s="361"/>
      <c r="I15" s="362">
        <f t="shared" si="0"/>
        <v>14500</v>
      </c>
      <c r="J15" s="685">
        <f>proyectos!N64</f>
        <v>14500</v>
      </c>
      <c r="K15" s="667">
        <v>61</v>
      </c>
      <c r="L15" s="686">
        <f>SUM(I53:I64)</f>
        <v>294000.37</v>
      </c>
      <c r="M15" s="667"/>
    </row>
    <row r="16" spans="1:13" s="124" customFormat="1" ht="15.75" customHeight="1" x14ac:dyDescent="0.2">
      <c r="A16" s="620"/>
      <c r="B16" s="621" t="s">
        <v>51</v>
      </c>
      <c r="C16" s="621" t="s">
        <v>54</v>
      </c>
      <c r="D16" s="622">
        <v>54101</v>
      </c>
      <c r="E16" s="623" t="s">
        <v>40</v>
      </c>
      <c r="F16" s="361"/>
      <c r="G16" s="361"/>
      <c r="H16" s="361"/>
      <c r="I16" s="362">
        <f t="shared" si="0"/>
        <v>0</v>
      </c>
      <c r="J16" s="685">
        <f t="shared" ref="J16:J68" si="1">SUM(F16:H16)</f>
        <v>0</v>
      </c>
      <c r="K16" s="667">
        <v>71</v>
      </c>
      <c r="L16" s="686">
        <f>I65</f>
        <v>0</v>
      </c>
      <c r="M16" s="667"/>
    </row>
    <row r="17" spans="1:13" s="124" customFormat="1" ht="15.75" customHeight="1" x14ac:dyDescent="0.2">
      <c r="A17" s="620"/>
      <c r="B17" s="621" t="s">
        <v>51</v>
      </c>
      <c r="C17" s="621" t="s">
        <v>54</v>
      </c>
      <c r="D17" s="622">
        <v>54103</v>
      </c>
      <c r="E17" s="623" t="s">
        <v>229</v>
      </c>
      <c r="F17" s="361"/>
      <c r="G17" s="361">
        <f>proyectos!P20</f>
        <v>15000</v>
      </c>
      <c r="H17" s="361"/>
      <c r="I17" s="362">
        <f>SUM(F17:H17)</f>
        <v>15000</v>
      </c>
      <c r="J17" s="685">
        <f t="shared" si="1"/>
        <v>15000</v>
      </c>
      <c r="K17" s="667">
        <v>72</v>
      </c>
      <c r="L17" s="687">
        <f>I65</f>
        <v>0</v>
      </c>
      <c r="M17" s="667"/>
    </row>
    <row r="18" spans="1:13" s="124" customFormat="1" ht="15.75" customHeight="1" thickBot="1" x14ac:dyDescent="0.25">
      <c r="A18" s="620"/>
      <c r="B18" s="624" t="s">
        <v>51</v>
      </c>
      <c r="C18" s="621" t="s">
        <v>54</v>
      </c>
      <c r="D18" s="625">
        <v>54104</v>
      </c>
      <c r="E18" s="626" t="s">
        <v>209</v>
      </c>
      <c r="F18" s="510"/>
      <c r="G18" s="510"/>
      <c r="H18" s="510"/>
      <c r="I18" s="362">
        <f t="shared" si="0"/>
        <v>0</v>
      </c>
      <c r="J18" s="685">
        <f t="shared" si="1"/>
        <v>0</v>
      </c>
      <c r="K18" s="667"/>
      <c r="L18" s="688">
        <f>SUM(L10:L16)</f>
        <v>1314449.8500000001</v>
      </c>
      <c r="M18" s="667"/>
    </row>
    <row r="19" spans="1:13" s="124" customFormat="1" ht="15.75" customHeight="1" thickTop="1" x14ac:dyDescent="0.2">
      <c r="A19" s="620"/>
      <c r="B19" s="624" t="s">
        <v>51</v>
      </c>
      <c r="C19" s="621" t="s">
        <v>54</v>
      </c>
      <c r="D19" s="625">
        <v>54106</v>
      </c>
      <c r="E19" s="626" t="s">
        <v>230</v>
      </c>
      <c r="F19" s="510"/>
      <c r="G19" s="510"/>
      <c r="H19" s="510"/>
      <c r="I19" s="362">
        <f t="shared" si="0"/>
        <v>0</v>
      </c>
      <c r="J19" s="685">
        <f t="shared" si="1"/>
        <v>0</v>
      </c>
      <c r="K19" s="667"/>
      <c r="L19" s="667"/>
      <c r="M19" s="667"/>
    </row>
    <row r="20" spans="1:13" s="124" customFormat="1" ht="15.75" customHeight="1" x14ac:dyDescent="0.2">
      <c r="A20" s="620"/>
      <c r="B20" s="624" t="s">
        <v>51</v>
      </c>
      <c r="C20" s="621" t="s">
        <v>54</v>
      </c>
      <c r="D20" s="625">
        <v>54107</v>
      </c>
      <c r="E20" s="626" t="s">
        <v>211</v>
      </c>
      <c r="F20" s="510"/>
      <c r="G20" s="510">
        <f>proyectos!R64</f>
        <v>800</v>
      </c>
      <c r="H20" s="510"/>
      <c r="I20" s="362">
        <f t="shared" si="0"/>
        <v>800</v>
      </c>
      <c r="J20" s="685">
        <f t="shared" si="1"/>
        <v>800</v>
      </c>
      <c r="K20" s="667"/>
      <c r="L20" s="667"/>
      <c r="M20" s="667"/>
    </row>
    <row r="21" spans="1:13" s="124" customFormat="1" ht="15.75" customHeight="1" x14ac:dyDescent="0.2">
      <c r="A21" s="620"/>
      <c r="B21" s="624" t="s">
        <v>51</v>
      </c>
      <c r="C21" s="621" t="s">
        <v>54</v>
      </c>
      <c r="D21" s="625">
        <v>54109</v>
      </c>
      <c r="E21" s="626" t="s">
        <v>212</v>
      </c>
      <c r="F21" s="510"/>
      <c r="G21" s="510"/>
      <c r="H21" s="510"/>
      <c r="I21" s="362">
        <f t="shared" si="0"/>
        <v>0</v>
      </c>
      <c r="J21" s="685">
        <f t="shared" si="1"/>
        <v>0</v>
      </c>
      <c r="K21" s="667"/>
      <c r="L21" s="667"/>
      <c r="M21" s="667"/>
    </row>
    <row r="22" spans="1:13" s="124" customFormat="1" ht="15.75" customHeight="1" x14ac:dyDescent="0.2">
      <c r="A22" s="620"/>
      <c r="B22" s="624" t="s">
        <v>51</v>
      </c>
      <c r="C22" s="621" t="s">
        <v>54</v>
      </c>
      <c r="D22" s="625">
        <v>54110</v>
      </c>
      <c r="E22" s="626" t="s">
        <v>42</v>
      </c>
      <c r="F22" s="510">
        <f>proyectos!S64</f>
        <v>4200</v>
      </c>
      <c r="G22" s="510"/>
      <c r="H22" s="510"/>
      <c r="I22" s="362">
        <f>SUM(F22:H22)</f>
        <v>4200</v>
      </c>
      <c r="J22" s="685">
        <f>proyectos!S64</f>
        <v>4200</v>
      </c>
      <c r="K22" s="667"/>
      <c r="L22" s="667"/>
      <c r="M22" s="667"/>
    </row>
    <row r="23" spans="1:13" s="124" customFormat="1" ht="15.75" customHeight="1" x14ac:dyDescent="0.2">
      <c r="A23" s="620"/>
      <c r="B23" s="624" t="s">
        <v>51</v>
      </c>
      <c r="C23" s="621" t="s">
        <v>54</v>
      </c>
      <c r="D23" s="625">
        <v>54111</v>
      </c>
      <c r="E23" s="626" t="s">
        <v>48</v>
      </c>
      <c r="F23" s="510">
        <f>proyectos!T64</f>
        <v>287056.26</v>
      </c>
      <c r="G23" s="510"/>
      <c r="H23" s="510"/>
      <c r="I23" s="362">
        <f>SUM(F23:H23)</f>
        <v>287056.26</v>
      </c>
      <c r="J23" s="685">
        <f>proyectos!T64</f>
        <v>287056.26</v>
      </c>
      <c r="K23" s="667"/>
      <c r="L23" s="667"/>
      <c r="M23" s="667"/>
    </row>
    <row r="24" spans="1:13" s="124" customFormat="1" ht="15.75" customHeight="1" x14ac:dyDescent="0.2">
      <c r="A24" s="620"/>
      <c r="B24" s="624" t="s">
        <v>51</v>
      </c>
      <c r="C24" s="621" t="s">
        <v>54</v>
      </c>
      <c r="D24" s="625">
        <v>54112</v>
      </c>
      <c r="E24" s="626" t="s">
        <v>47</v>
      </c>
      <c r="F24" s="510">
        <f>proyectos!AV64</f>
        <v>32250</v>
      </c>
      <c r="G24" s="510"/>
      <c r="H24" s="510"/>
      <c r="I24" s="362">
        <f>SUM(F24:H24)</f>
        <v>32250</v>
      </c>
      <c r="J24" s="685">
        <f>proyectos!AV64</f>
        <v>32250</v>
      </c>
      <c r="K24" s="667"/>
      <c r="L24" s="667"/>
      <c r="M24" s="667"/>
    </row>
    <row r="25" spans="1:13" s="124" customFormat="1" ht="15.75" customHeight="1" x14ac:dyDescent="0.2">
      <c r="A25" s="620"/>
      <c r="B25" s="624" t="s">
        <v>51</v>
      </c>
      <c r="C25" s="621" t="s">
        <v>54</v>
      </c>
      <c r="D25" s="625">
        <v>54114</v>
      </c>
      <c r="E25" s="626" t="s">
        <v>43</v>
      </c>
      <c r="F25" s="510"/>
      <c r="G25" s="510">
        <f>proyectos!U64</f>
        <v>700</v>
      </c>
      <c r="H25" s="510"/>
      <c r="I25" s="362">
        <f>SUM(F25:H25)</f>
        <v>700</v>
      </c>
      <c r="J25" s="685">
        <f>proyectos!U64</f>
        <v>700</v>
      </c>
      <c r="K25" s="667"/>
      <c r="L25" s="667"/>
      <c r="M25" s="667"/>
    </row>
    <row r="26" spans="1:13" s="124" customFormat="1" ht="15.75" customHeight="1" x14ac:dyDescent="0.2">
      <c r="A26" s="620"/>
      <c r="B26" s="624" t="s">
        <v>51</v>
      </c>
      <c r="C26" s="621" t="s">
        <v>54</v>
      </c>
      <c r="D26" s="625">
        <v>54115</v>
      </c>
      <c r="E26" s="626" t="s">
        <v>80</v>
      </c>
      <c r="F26" s="510"/>
      <c r="G26" s="510"/>
      <c r="H26" s="510"/>
      <c r="I26" s="362">
        <f t="shared" si="0"/>
        <v>0</v>
      </c>
      <c r="J26" s="685">
        <f t="shared" si="1"/>
        <v>0</v>
      </c>
      <c r="K26" s="667"/>
      <c r="L26" s="667"/>
      <c r="M26" s="667"/>
    </row>
    <row r="27" spans="1:13" s="124" customFormat="1" ht="15.75" customHeight="1" x14ac:dyDescent="0.2">
      <c r="A27" s="620"/>
      <c r="B27" s="624" t="s">
        <v>51</v>
      </c>
      <c r="C27" s="621" t="s">
        <v>54</v>
      </c>
      <c r="D27" s="625">
        <v>54116</v>
      </c>
      <c r="E27" s="626" t="s">
        <v>474</v>
      </c>
      <c r="F27" s="627"/>
      <c r="G27" s="510">
        <f>proyectos!V64</f>
        <v>5000</v>
      </c>
      <c r="H27" s="510"/>
      <c r="I27" s="362">
        <f t="shared" si="0"/>
        <v>5000</v>
      </c>
      <c r="J27" s="685">
        <f>proyectos!V64</f>
        <v>5000</v>
      </c>
      <c r="K27" s="667"/>
      <c r="L27" s="667"/>
      <c r="M27" s="667"/>
    </row>
    <row r="28" spans="1:13" s="124" customFormat="1" ht="15.75" customHeight="1" x14ac:dyDescent="0.2">
      <c r="A28" s="620"/>
      <c r="B28" s="624" t="s">
        <v>51</v>
      </c>
      <c r="C28" s="621" t="s">
        <v>54</v>
      </c>
      <c r="D28" s="625">
        <v>54118</v>
      </c>
      <c r="E28" s="628" t="s">
        <v>320</v>
      </c>
      <c r="F28" s="510">
        <f>proyectos!X64</f>
        <v>1500</v>
      </c>
      <c r="G28" s="510"/>
      <c r="H28" s="510"/>
      <c r="I28" s="362">
        <f t="shared" si="0"/>
        <v>1500</v>
      </c>
      <c r="J28" s="685">
        <f>proyectos!X64</f>
        <v>1500</v>
      </c>
      <c r="K28" s="667"/>
      <c r="L28" s="667"/>
      <c r="M28" s="667"/>
    </row>
    <row r="29" spans="1:13" s="124" customFormat="1" ht="15.75" customHeight="1" x14ac:dyDescent="0.2">
      <c r="A29" s="620"/>
      <c r="B29" s="624" t="s">
        <v>51</v>
      </c>
      <c r="C29" s="621" t="s">
        <v>54</v>
      </c>
      <c r="D29" s="625">
        <v>54119</v>
      </c>
      <c r="E29" s="626" t="s">
        <v>104</v>
      </c>
      <c r="F29" s="510">
        <f>proyectos!AB64</f>
        <v>28600</v>
      </c>
      <c r="G29" s="510"/>
      <c r="H29" s="510"/>
      <c r="I29" s="362">
        <f>SUM(F29:H29)</f>
        <v>28600</v>
      </c>
      <c r="J29" s="685">
        <f>proyectos!AB64</f>
        <v>28600</v>
      </c>
      <c r="K29" s="667"/>
      <c r="L29" s="667"/>
      <c r="M29" s="667"/>
    </row>
    <row r="30" spans="1:13" s="124" customFormat="1" ht="15.75" customHeight="1" x14ac:dyDescent="0.2">
      <c r="A30" s="620"/>
      <c r="B30" s="624" t="s">
        <v>51</v>
      </c>
      <c r="C30" s="621" t="s">
        <v>54</v>
      </c>
      <c r="D30" s="625">
        <v>54199</v>
      </c>
      <c r="E30" s="626" t="s">
        <v>272</v>
      </c>
      <c r="F30" s="510"/>
      <c r="G30" s="510">
        <f>proyectos!AC64</f>
        <v>3500</v>
      </c>
      <c r="H30" s="510"/>
      <c r="I30" s="362">
        <f t="shared" si="0"/>
        <v>3500</v>
      </c>
      <c r="J30" s="685">
        <f t="shared" si="1"/>
        <v>3500</v>
      </c>
      <c r="K30" s="667"/>
      <c r="L30" s="667"/>
      <c r="M30" s="667"/>
    </row>
    <row r="31" spans="1:13" s="124" customFormat="1" ht="15.75" customHeight="1" x14ac:dyDescent="0.2">
      <c r="A31" s="620"/>
      <c r="B31" s="624" t="s">
        <v>51</v>
      </c>
      <c r="C31" s="621" t="s">
        <v>54</v>
      </c>
      <c r="D31" s="625">
        <v>54201</v>
      </c>
      <c r="E31" s="626" t="s">
        <v>372</v>
      </c>
      <c r="F31" s="510"/>
      <c r="G31" s="510"/>
      <c r="H31" s="510"/>
      <c r="I31" s="362">
        <f t="shared" si="0"/>
        <v>0</v>
      </c>
      <c r="J31" s="685">
        <f t="shared" si="1"/>
        <v>0</v>
      </c>
      <c r="K31" s="667"/>
      <c r="L31" s="686">
        <f>SUM(I16:I47)</f>
        <v>740149.48</v>
      </c>
      <c r="M31" s="667"/>
    </row>
    <row r="32" spans="1:13" s="124" customFormat="1" ht="15.75" customHeight="1" x14ac:dyDescent="0.2">
      <c r="A32" s="620"/>
      <c r="B32" s="624" t="s">
        <v>51</v>
      </c>
      <c r="C32" s="621" t="s">
        <v>54</v>
      </c>
      <c r="D32" s="625">
        <v>54205</v>
      </c>
      <c r="E32" s="626" t="s">
        <v>25</v>
      </c>
      <c r="F32" s="510"/>
      <c r="G32" s="510"/>
      <c r="H32" s="510"/>
      <c r="I32" s="362">
        <f t="shared" si="0"/>
        <v>0</v>
      </c>
      <c r="J32" s="685">
        <f t="shared" si="1"/>
        <v>0</v>
      </c>
      <c r="K32" s="667"/>
      <c r="L32" s="667"/>
      <c r="M32" s="667"/>
    </row>
    <row r="33" spans="1:13" s="124" customFormat="1" ht="15.75" customHeight="1" x14ac:dyDescent="0.2">
      <c r="A33" s="620"/>
      <c r="B33" s="624" t="s">
        <v>51</v>
      </c>
      <c r="C33" s="621" t="s">
        <v>54</v>
      </c>
      <c r="D33" s="625">
        <v>54301</v>
      </c>
      <c r="E33" s="626" t="s">
        <v>321</v>
      </c>
      <c r="F33" s="510">
        <f>proyectos!AD64</f>
        <v>900</v>
      </c>
      <c r="G33" s="510"/>
      <c r="H33" s="510"/>
      <c r="I33" s="362">
        <f t="shared" si="0"/>
        <v>900</v>
      </c>
      <c r="J33" s="685">
        <f t="shared" si="1"/>
        <v>900</v>
      </c>
      <c r="K33" s="667"/>
      <c r="L33" s="667"/>
      <c r="M33" s="667"/>
    </row>
    <row r="34" spans="1:13" s="124" customFormat="1" ht="15.75" customHeight="1" x14ac:dyDescent="0.2">
      <c r="A34" s="620"/>
      <c r="B34" s="624" t="s">
        <v>51</v>
      </c>
      <c r="C34" s="621" t="s">
        <v>54</v>
      </c>
      <c r="D34" s="625">
        <v>54302</v>
      </c>
      <c r="E34" s="626" t="s">
        <v>322</v>
      </c>
      <c r="F34" s="510">
        <f>proyectos!AE64</f>
        <v>0</v>
      </c>
      <c r="G34" s="510"/>
      <c r="H34" s="510"/>
      <c r="I34" s="362">
        <f t="shared" si="0"/>
        <v>0</v>
      </c>
      <c r="J34" s="685">
        <f t="shared" si="1"/>
        <v>0</v>
      </c>
      <c r="K34" s="667"/>
      <c r="L34" s="667"/>
      <c r="M34" s="667"/>
    </row>
    <row r="35" spans="1:13" s="124" customFormat="1" ht="15.75" customHeight="1" x14ac:dyDescent="0.2">
      <c r="A35" s="620"/>
      <c r="B35" s="624" t="s">
        <v>51</v>
      </c>
      <c r="C35" s="621" t="s">
        <v>54</v>
      </c>
      <c r="D35" s="625">
        <v>54303</v>
      </c>
      <c r="E35" s="626" t="s">
        <v>387</v>
      </c>
      <c r="F35" s="510"/>
      <c r="G35" s="510"/>
      <c r="H35" s="510"/>
      <c r="I35" s="362">
        <f t="shared" si="0"/>
        <v>0</v>
      </c>
      <c r="J35" s="685">
        <f t="shared" si="1"/>
        <v>0</v>
      </c>
      <c r="K35" s="667"/>
      <c r="L35" s="667"/>
      <c r="M35" s="667"/>
    </row>
    <row r="36" spans="1:13" s="124" customFormat="1" ht="15.75" customHeight="1" x14ac:dyDescent="0.2">
      <c r="A36" s="620"/>
      <c r="B36" s="624" t="s">
        <v>51</v>
      </c>
      <c r="C36" s="621" t="s">
        <v>54</v>
      </c>
      <c r="D36" s="625">
        <v>54304</v>
      </c>
      <c r="E36" s="626" t="s">
        <v>89</v>
      </c>
      <c r="F36" s="510"/>
      <c r="G36" s="510">
        <f>proyectos!AF64</f>
        <v>11300</v>
      </c>
      <c r="H36" s="510"/>
      <c r="I36" s="362">
        <f t="shared" si="0"/>
        <v>11300</v>
      </c>
      <c r="J36" s="685">
        <f>proyectos!AF64</f>
        <v>11300</v>
      </c>
      <c r="K36" s="667"/>
      <c r="L36" s="667"/>
      <c r="M36" s="667"/>
    </row>
    <row r="37" spans="1:13" s="124" customFormat="1" ht="15.75" customHeight="1" x14ac:dyDescent="0.2">
      <c r="A37" s="620"/>
      <c r="B37" s="624" t="s">
        <v>51</v>
      </c>
      <c r="C37" s="621" t="s">
        <v>54</v>
      </c>
      <c r="D37" s="625">
        <v>54305</v>
      </c>
      <c r="E37" s="626" t="s">
        <v>231</v>
      </c>
      <c r="F37" s="510"/>
      <c r="G37" s="510"/>
      <c r="H37" s="510"/>
      <c r="I37" s="362">
        <f t="shared" si="0"/>
        <v>0</v>
      </c>
      <c r="J37" s="685">
        <f t="shared" si="1"/>
        <v>0</v>
      </c>
      <c r="K37" s="667"/>
      <c r="L37" s="667"/>
      <c r="M37" s="667"/>
    </row>
    <row r="38" spans="1:13" s="124" customFormat="1" ht="15.75" customHeight="1" x14ac:dyDescent="0.2">
      <c r="A38" s="620"/>
      <c r="B38" s="624" t="s">
        <v>51</v>
      </c>
      <c r="C38" s="621" t="s">
        <v>54</v>
      </c>
      <c r="D38" s="625">
        <v>54307</v>
      </c>
      <c r="E38" s="626" t="s">
        <v>323</v>
      </c>
      <c r="F38" s="510"/>
      <c r="G38" s="510">
        <f>proyectos!AR64</f>
        <v>500</v>
      </c>
      <c r="H38" s="510"/>
      <c r="I38" s="362">
        <f t="shared" si="0"/>
        <v>500</v>
      </c>
      <c r="J38" s="685">
        <f t="shared" si="1"/>
        <v>500</v>
      </c>
      <c r="K38" s="667"/>
      <c r="L38" s="667"/>
      <c r="M38" s="667"/>
    </row>
    <row r="39" spans="1:13" s="124" customFormat="1" ht="15.75" customHeight="1" x14ac:dyDescent="0.2">
      <c r="A39" s="620"/>
      <c r="B39" s="624" t="s">
        <v>51</v>
      </c>
      <c r="C39" s="621" t="s">
        <v>54</v>
      </c>
      <c r="D39" s="625">
        <v>54310</v>
      </c>
      <c r="E39" s="626" t="s">
        <v>220</v>
      </c>
      <c r="F39" s="510"/>
      <c r="G39" s="510"/>
      <c r="H39" s="510"/>
      <c r="I39" s="362">
        <f t="shared" si="0"/>
        <v>0</v>
      </c>
      <c r="J39" s="685">
        <f t="shared" si="1"/>
        <v>0</v>
      </c>
      <c r="K39" s="667"/>
      <c r="L39" s="667"/>
      <c r="M39" s="667"/>
    </row>
    <row r="40" spans="1:13" s="124" customFormat="1" ht="15.75" customHeight="1" x14ac:dyDescent="0.2">
      <c r="A40" s="620"/>
      <c r="B40" s="624" t="s">
        <v>51</v>
      </c>
      <c r="C40" s="621" t="s">
        <v>54</v>
      </c>
      <c r="D40" s="625">
        <v>54313</v>
      </c>
      <c r="E40" s="626" t="s">
        <v>232</v>
      </c>
      <c r="F40" s="510"/>
      <c r="G40" s="510"/>
      <c r="H40" s="510"/>
      <c r="I40" s="362">
        <f t="shared" si="0"/>
        <v>0</v>
      </c>
      <c r="J40" s="685">
        <f t="shared" si="1"/>
        <v>0</v>
      </c>
      <c r="K40" s="667"/>
      <c r="L40" s="667"/>
      <c r="M40" s="667"/>
    </row>
    <row r="41" spans="1:13" s="124" customFormat="1" ht="15.75" customHeight="1" x14ac:dyDescent="0.2">
      <c r="A41" s="620"/>
      <c r="B41" s="624" t="s">
        <v>51</v>
      </c>
      <c r="C41" s="621" t="s">
        <v>54</v>
      </c>
      <c r="D41" s="625">
        <v>54314</v>
      </c>
      <c r="E41" s="626" t="s">
        <v>84</v>
      </c>
      <c r="F41" s="510"/>
      <c r="G41" s="510">
        <f>proyectos!AG64</f>
        <v>80600</v>
      </c>
      <c r="H41" s="510"/>
      <c r="I41" s="362">
        <f t="shared" si="0"/>
        <v>80600</v>
      </c>
      <c r="J41" s="685">
        <f>proyectos!AG64</f>
        <v>80600</v>
      </c>
      <c r="K41" s="667"/>
      <c r="L41" s="667"/>
      <c r="M41" s="667"/>
    </row>
    <row r="42" spans="1:13" s="124" customFormat="1" ht="15.75" customHeight="1" x14ac:dyDescent="0.2">
      <c r="A42" s="620"/>
      <c r="B42" s="624" t="s">
        <v>51</v>
      </c>
      <c r="C42" s="621" t="s">
        <v>54</v>
      </c>
      <c r="D42" s="625">
        <v>54316</v>
      </c>
      <c r="E42" s="626" t="s">
        <v>233</v>
      </c>
      <c r="F42" s="510"/>
      <c r="G42" s="510"/>
      <c r="H42" s="510"/>
      <c r="I42" s="362">
        <f t="shared" si="0"/>
        <v>0</v>
      </c>
      <c r="J42" s="685">
        <f t="shared" si="1"/>
        <v>0</v>
      </c>
      <c r="K42" s="667"/>
      <c r="L42" s="667"/>
      <c r="M42" s="667"/>
    </row>
    <row r="43" spans="1:13" s="124" customFormat="1" ht="15.75" customHeight="1" x14ac:dyDescent="0.2">
      <c r="A43" s="620"/>
      <c r="B43" s="624" t="s">
        <v>51</v>
      </c>
      <c r="C43" s="621" t="s">
        <v>54</v>
      </c>
      <c r="D43" s="625">
        <v>54399</v>
      </c>
      <c r="E43" s="626" t="s">
        <v>234</v>
      </c>
      <c r="F43" s="510">
        <f>SUM(proyectos!AH21:AH63)</f>
        <v>93843.22</v>
      </c>
      <c r="G43" s="510">
        <f>SUM(proyectos!AH2:AH20)</f>
        <v>4400</v>
      </c>
      <c r="H43" s="510"/>
      <c r="I43" s="362">
        <f>SUM(F43:H43)</f>
        <v>98243.22</v>
      </c>
      <c r="J43" s="685">
        <f>proyectos!AH64</f>
        <v>98243.22</v>
      </c>
      <c r="K43" s="667"/>
      <c r="L43" s="667"/>
      <c r="M43" s="667"/>
    </row>
    <row r="44" spans="1:13" s="124" customFormat="1" ht="14.25" customHeight="1" x14ac:dyDescent="0.2">
      <c r="A44" s="620"/>
      <c r="B44" s="624" t="s">
        <v>51</v>
      </c>
      <c r="C44" s="621" t="s">
        <v>54</v>
      </c>
      <c r="D44" s="625">
        <v>54508</v>
      </c>
      <c r="E44" s="626" t="s">
        <v>236</v>
      </c>
      <c r="F44" s="510"/>
      <c r="G44" s="510"/>
      <c r="H44" s="510"/>
      <c r="I44" s="362">
        <f t="shared" si="0"/>
        <v>0</v>
      </c>
      <c r="J44" s="685">
        <f t="shared" si="1"/>
        <v>0</v>
      </c>
      <c r="K44" s="667"/>
      <c r="L44" s="667"/>
      <c r="M44" s="667"/>
    </row>
    <row r="45" spans="1:13" s="124" customFormat="1" ht="15.75" customHeight="1" x14ac:dyDescent="0.2">
      <c r="A45" s="620"/>
      <c r="B45" s="624" t="s">
        <v>51</v>
      </c>
      <c r="C45" s="621" t="s">
        <v>54</v>
      </c>
      <c r="D45" s="625">
        <v>54599</v>
      </c>
      <c r="E45" s="626" t="s">
        <v>237</v>
      </c>
      <c r="F45" s="510"/>
      <c r="G45" s="510"/>
      <c r="H45" s="510"/>
      <c r="I45" s="362">
        <f t="shared" si="0"/>
        <v>0</v>
      </c>
      <c r="J45" s="685">
        <f t="shared" si="1"/>
        <v>0</v>
      </c>
      <c r="K45" s="667"/>
      <c r="L45" s="667"/>
      <c r="M45" s="667"/>
    </row>
    <row r="46" spans="1:13" s="124" customFormat="1" ht="15.75" customHeight="1" x14ac:dyDescent="0.2">
      <c r="A46" s="620"/>
      <c r="B46" s="624" t="s">
        <v>51</v>
      </c>
      <c r="C46" s="621" t="s">
        <v>54</v>
      </c>
      <c r="D46" s="625">
        <v>54602</v>
      </c>
      <c r="E46" s="626" t="s">
        <v>238</v>
      </c>
      <c r="F46" s="510"/>
      <c r="G46" s="510">
        <f>proyectos!AL64</f>
        <v>108980</v>
      </c>
      <c r="H46" s="510"/>
      <c r="I46" s="362">
        <f t="shared" si="0"/>
        <v>108980</v>
      </c>
      <c r="J46" s="685">
        <f>proyectos!AL64</f>
        <v>108980</v>
      </c>
      <c r="K46" s="667"/>
      <c r="L46" s="667"/>
      <c r="M46" s="667"/>
    </row>
    <row r="47" spans="1:13" s="124" customFormat="1" ht="15.75" customHeight="1" x14ac:dyDescent="0.2">
      <c r="A47" s="620"/>
      <c r="B47" s="624" t="s">
        <v>51</v>
      </c>
      <c r="C47" s="621" t="s">
        <v>54</v>
      </c>
      <c r="D47" s="625">
        <v>54603</v>
      </c>
      <c r="E47" s="626" t="s">
        <v>477</v>
      </c>
      <c r="F47" s="510"/>
      <c r="G47" s="510">
        <f>proyectos!AM64</f>
        <v>61020</v>
      </c>
      <c r="H47" s="510"/>
      <c r="I47" s="362">
        <f t="shared" si="0"/>
        <v>61020</v>
      </c>
      <c r="J47" s="685">
        <f>proyectos!AM64</f>
        <v>61020</v>
      </c>
      <c r="K47" s="667"/>
      <c r="L47" s="667"/>
      <c r="M47" s="667"/>
    </row>
    <row r="48" spans="1:13" s="124" customFormat="1" ht="15.75" customHeight="1" x14ac:dyDescent="0.2">
      <c r="A48" s="620"/>
      <c r="B48" s="624" t="s">
        <v>51</v>
      </c>
      <c r="C48" s="621" t="s">
        <v>54</v>
      </c>
      <c r="D48" s="625">
        <v>55307</v>
      </c>
      <c r="E48" s="626" t="s">
        <v>529</v>
      </c>
      <c r="F48" s="510">
        <f>proyectos!AA64</f>
        <v>0</v>
      </c>
      <c r="G48" s="510"/>
      <c r="H48" s="510"/>
      <c r="I48" s="362">
        <f t="shared" si="0"/>
        <v>0</v>
      </c>
      <c r="J48" s="685"/>
      <c r="K48" s="667"/>
      <c r="L48" s="667"/>
      <c r="M48" s="667"/>
    </row>
    <row r="49" spans="1:13" s="124" customFormat="1" ht="13.5" customHeight="1" x14ac:dyDescent="0.2">
      <c r="A49" s="620"/>
      <c r="B49" s="624" t="s">
        <v>51</v>
      </c>
      <c r="C49" s="621" t="s">
        <v>54</v>
      </c>
      <c r="D49" s="625">
        <v>55602</v>
      </c>
      <c r="E49" s="626" t="s">
        <v>528</v>
      </c>
      <c r="F49" s="510">
        <f>proyectos!Z64</f>
        <v>0</v>
      </c>
      <c r="G49" s="510"/>
      <c r="H49" s="510"/>
      <c r="I49" s="362">
        <f t="shared" si="0"/>
        <v>0</v>
      </c>
      <c r="J49" s="685"/>
      <c r="K49" s="667"/>
      <c r="L49" s="667"/>
      <c r="M49" s="667"/>
    </row>
    <row r="50" spans="1:13" s="124" customFormat="1" ht="15.75" customHeight="1" x14ac:dyDescent="0.2">
      <c r="A50" s="620"/>
      <c r="B50" s="624" t="s">
        <v>51</v>
      </c>
      <c r="C50" s="621" t="s">
        <v>54</v>
      </c>
      <c r="D50" s="625">
        <v>55603</v>
      </c>
      <c r="E50" s="626" t="s">
        <v>221</v>
      </c>
      <c r="F50" s="510"/>
      <c r="G50" s="510"/>
      <c r="H50" s="510"/>
      <c r="I50" s="362">
        <f t="shared" si="0"/>
        <v>0</v>
      </c>
      <c r="J50" s="685">
        <f t="shared" si="1"/>
        <v>0</v>
      </c>
      <c r="K50" s="667"/>
      <c r="L50" s="667"/>
      <c r="M50" s="667"/>
    </row>
    <row r="51" spans="1:13" s="124" customFormat="1" ht="15.75" customHeight="1" x14ac:dyDescent="0.2">
      <c r="A51" s="620"/>
      <c r="B51" s="624" t="s">
        <v>51</v>
      </c>
      <c r="C51" s="621" t="s">
        <v>54</v>
      </c>
      <c r="D51" s="625">
        <v>56304</v>
      </c>
      <c r="E51" s="626" t="s">
        <v>266</v>
      </c>
      <c r="F51" s="510"/>
      <c r="G51" s="510">
        <f>proyectos!AI64</f>
        <v>89800</v>
      </c>
      <c r="H51" s="510"/>
      <c r="I51" s="362">
        <f t="shared" si="0"/>
        <v>89800</v>
      </c>
      <c r="J51" s="685">
        <f>proyectos!AY64</f>
        <v>0</v>
      </c>
      <c r="K51" s="667"/>
      <c r="L51" s="667"/>
      <c r="M51" s="667"/>
    </row>
    <row r="52" spans="1:13" s="124" customFormat="1" ht="15.75" customHeight="1" x14ac:dyDescent="0.2">
      <c r="A52" s="620"/>
      <c r="B52" s="624" t="s">
        <v>51</v>
      </c>
      <c r="C52" s="621" t="s">
        <v>54</v>
      </c>
      <c r="D52" s="625">
        <v>56305</v>
      </c>
      <c r="E52" s="626" t="s">
        <v>324</v>
      </c>
      <c r="F52" s="510"/>
      <c r="G52" s="510">
        <f>proyectos!AJ64</f>
        <v>21000</v>
      </c>
      <c r="H52" s="510"/>
      <c r="I52" s="362">
        <f t="shared" si="0"/>
        <v>21000</v>
      </c>
      <c r="J52" s="685">
        <f>proyectos!AJ64</f>
        <v>21000</v>
      </c>
      <c r="K52" s="667"/>
      <c r="L52" s="686">
        <f>SUM(I53:I63)</f>
        <v>290000</v>
      </c>
      <c r="M52" s="667"/>
    </row>
    <row r="53" spans="1:13" s="124" customFormat="1" ht="15.75" customHeight="1" x14ac:dyDescent="0.2">
      <c r="A53" s="620"/>
      <c r="B53" s="624" t="s">
        <v>51</v>
      </c>
      <c r="C53" s="621" t="s">
        <v>54</v>
      </c>
      <c r="D53" s="625">
        <v>61101</v>
      </c>
      <c r="E53" s="626" t="s">
        <v>224</v>
      </c>
      <c r="F53" s="510"/>
      <c r="G53" s="510"/>
      <c r="H53" s="510"/>
      <c r="I53" s="362">
        <f t="shared" si="0"/>
        <v>0</v>
      </c>
      <c r="J53" s="685">
        <f t="shared" si="1"/>
        <v>0</v>
      </c>
      <c r="K53" s="667"/>
      <c r="L53" s="667"/>
      <c r="M53" s="667"/>
    </row>
    <row r="54" spans="1:13" s="124" customFormat="1" ht="15.75" customHeight="1" x14ac:dyDescent="0.2">
      <c r="A54" s="620"/>
      <c r="B54" s="624" t="s">
        <v>51</v>
      </c>
      <c r="C54" s="621" t="s">
        <v>54</v>
      </c>
      <c r="D54" s="625">
        <v>61102</v>
      </c>
      <c r="E54" s="626" t="str">
        <f>proyectos!B53</f>
        <v>Maquinaria y Equipos (61102)</v>
      </c>
      <c r="F54" s="510">
        <f>proyectos!E53</f>
        <v>5000</v>
      </c>
      <c r="G54" s="510"/>
      <c r="H54" s="510"/>
      <c r="I54" s="362">
        <f>SUM(F54:H54)</f>
        <v>5000</v>
      </c>
      <c r="J54" s="685">
        <f t="shared" si="1"/>
        <v>5000</v>
      </c>
      <c r="K54" s="667"/>
      <c r="L54" s="667"/>
      <c r="M54" s="667"/>
    </row>
    <row r="55" spans="1:13" s="124" customFormat="1" ht="15.75" customHeight="1" x14ac:dyDescent="0.2">
      <c r="A55" s="620"/>
      <c r="B55" s="624" t="s">
        <v>51</v>
      </c>
      <c r="C55" s="621" t="s">
        <v>54</v>
      </c>
      <c r="D55" s="625">
        <v>61105</v>
      </c>
      <c r="E55" s="626" t="s">
        <v>503</v>
      </c>
      <c r="F55" s="510">
        <f>proyectos!E54</f>
        <v>20000</v>
      </c>
      <c r="G55" s="510"/>
      <c r="H55" s="510"/>
      <c r="I55" s="362">
        <f t="shared" si="0"/>
        <v>20000</v>
      </c>
      <c r="J55" s="685"/>
      <c r="K55" s="667"/>
      <c r="L55" s="667"/>
      <c r="M55" s="667"/>
    </row>
    <row r="56" spans="1:13" s="124" customFormat="1" ht="15.75" customHeight="1" x14ac:dyDescent="0.2">
      <c r="A56" s="620"/>
      <c r="B56" s="624" t="s">
        <v>51</v>
      </c>
      <c r="C56" s="621" t="s">
        <v>54</v>
      </c>
      <c r="D56" s="625">
        <v>61201</v>
      </c>
      <c r="E56" s="626" t="str">
        <f>proyectos!B55</f>
        <v>Terrenos  (61201)</v>
      </c>
      <c r="F56" s="510">
        <f>proyectos!E55</f>
        <v>56000</v>
      </c>
      <c r="G56" s="510"/>
      <c r="H56" s="510"/>
      <c r="I56" s="362">
        <f t="shared" si="0"/>
        <v>56000</v>
      </c>
      <c r="J56" s="685">
        <f t="shared" si="1"/>
        <v>56000</v>
      </c>
      <c r="K56" s="667"/>
      <c r="L56" s="667"/>
      <c r="M56" s="667"/>
    </row>
    <row r="57" spans="1:13" s="124" customFormat="1" ht="15.75" customHeight="1" x14ac:dyDescent="0.2">
      <c r="A57" s="620"/>
      <c r="B57" s="624" t="s">
        <v>51</v>
      </c>
      <c r="C57" s="621" t="s">
        <v>54</v>
      </c>
      <c r="D57" s="625">
        <v>61501</v>
      </c>
      <c r="E57" s="626" t="str">
        <f>proyectos!B56</f>
        <v>Estudios de Preinversión (de Construcciones). (61501)</v>
      </c>
      <c r="F57" s="510">
        <v>8000</v>
      </c>
      <c r="G57" s="510"/>
      <c r="H57" s="510"/>
      <c r="I57" s="362">
        <f t="shared" si="0"/>
        <v>8000</v>
      </c>
      <c r="J57" s="685">
        <f>proyectos!D56</f>
        <v>0</v>
      </c>
      <c r="K57" s="667"/>
      <c r="L57" s="667"/>
      <c r="M57" s="667"/>
    </row>
    <row r="58" spans="1:13" s="124" customFormat="1" ht="15.75" customHeight="1" x14ac:dyDescent="0.2">
      <c r="A58" s="620"/>
      <c r="B58" s="624" t="s">
        <v>51</v>
      </c>
      <c r="C58" s="621" t="s">
        <v>54</v>
      </c>
      <c r="D58" s="625">
        <v>61599</v>
      </c>
      <c r="E58" s="626" t="str">
        <f>proyectos!B57</f>
        <v>Estudios de Preinversión  (proy.progr.divers). (61599)</v>
      </c>
      <c r="F58" s="510"/>
      <c r="G58" s="510">
        <f>proyectos!D57</f>
        <v>0</v>
      </c>
      <c r="H58" s="510"/>
      <c r="I58" s="362">
        <f t="shared" si="0"/>
        <v>0</v>
      </c>
      <c r="J58" s="685">
        <f>proyectos!D57</f>
        <v>0</v>
      </c>
      <c r="K58" s="667"/>
      <c r="L58" s="667">
        <v>8900</v>
      </c>
      <c r="M58" s="667"/>
    </row>
    <row r="59" spans="1:13" s="124" customFormat="1" ht="15.75" customHeight="1" x14ac:dyDescent="0.2">
      <c r="A59" s="620"/>
      <c r="B59" s="624" t="s">
        <v>51</v>
      </c>
      <c r="C59" s="621" t="s">
        <v>54</v>
      </c>
      <c r="D59" s="625">
        <v>61601</v>
      </c>
      <c r="E59" s="626" t="str">
        <f>proyectos!B58</f>
        <v>Viales  (61601)</v>
      </c>
      <c r="F59" s="510">
        <f>proyectos!E58</f>
        <v>196000</v>
      </c>
      <c r="G59" s="510"/>
      <c r="H59" s="510"/>
      <c r="I59" s="362">
        <f t="shared" si="0"/>
        <v>196000</v>
      </c>
      <c r="J59" s="685">
        <f t="shared" si="1"/>
        <v>196000</v>
      </c>
      <c r="K59" s="667"/>
      <c r="L59" s="667">
        <v>3500</v>
      </c>
      <c r="M59" s="667"/>
    </row>
    <row r="60" spans="1:13" s="124" customFormat="1" ht="15.75" customHeight="1" x14ac:dyDescent="0.2">
      <c r="A60" s="620"/>
      <c r="B60" s="624" t="s">
        <v>51</v>
      </c>
      <c r="C60" s="621" t="s">
        <v>54</v>
      </c>
      <c r="D60" s="625">
        <v>61602</v>
      </c>
      <c r="E60" s="626" t="str">
        <f>proyectos!B59</f>
        <v>De Salud y Saneamiento Ambiental  (61602)</v>
      </c>
      <c r="F60" s="510"/>
      <c r="G60" s="510"/>
      <c r="H60" s="510"/>
      <c r="I60" s="362">
        <f t="shared" si="0"/>
        <v>0</v>
      </c>
      <c r="J60" s="685">
        <f t="shared" si="1"/>
        <v>0</v>
      </c>
      <c r="K60" s="667"/>
      <c r="L60" s="686">
        <v>140764.45000000001</v>
      </c>
      <c r="M60" s="667"/>
    </row>
    <row r="61" spans="1:13" s="124" customFormat="1" ht="15.75" customHeight="1" x14ac:dyDescent="0.2">
      <c r="A61" s="620"/>
      <c r="B61" s="624" t="s">
        <v>51</v>
      </c>
      <c r="C61" s="621" t="s">
        <v>54</v>
      </c>
      <c r="D61" s="625">
        <v>61603</v>
      </c>
      <c r="E61" s="626" t="str">
        <f>proyectos!B60</f>
        <v>De Educación y Recreación  (61603)</v>
      </c>
      <c r="F61" s="510"/>
      <c r="G61" s="510"/>
      <c r="H61" s="510"/>
      <c r="I61" s="362">
        <f t="shared" si="0"/>
        <v>0</v>
      </c>
      <c r="J61" s="685">
        <f t="shared" si="1"/>
        <v>0</v>
      </c>
      <c r="K61" s="667"/>
      <c r="L61" s="686">
        <v>5000</v>
      </c>
      <c r="M61" s="667"/>
    </row>
    <row r="62" spans="1:13" s="124" customFormat="1" ht="15.75" customHeight="1" x14ac:dyDescent="0.2">
      <c r="A62" s="620"/>
      <c r="B62" s="624" t="s">
        <v>51</v>
      </c>
      <c r="C62" s="621" t="s">
        <v>54</v>
      </c>
      <c r="D62" s="625">
        <v>61606</v>
      </c>
      <c r="E62" s="626" t="str">
        <f>proyectos!B61</f>
        <v>Eléctricas y Comunicaciones  (61606)</v>
      </c>
      <c r="F62" s="510"/>
      <c r="G62" s="510"/>
      <c r="H62" s="510"/>
      <c r="I62" s="362">
        <f t="shared" si="0"/>
        <v>0</v>
      </c>
      <c r="J62" s="685">
        <f t="shared" si="1"/>
        <v>0</v>
      </c>
      <c r="K62" s="667"/>
      <c r="L62" s="686">
        <f>SUM(L58:L61)</f>
        <v>158164.45000000001</v>
      </c>
      <c r="M62" s="667"/>
    </row>
    <row r="63" spans="1:13" s="124" customFormat="1" ht="15.75" customHeight="1" x14ac:dyDescent="0.2">
      <c r="A63" s="620"/>
      <c r="B63" s="624" t="s">
        <v>51</v>
      </c>
      <c r="C63" s="621" t="s">
        <v>54</v>
      </c>
      <c r="D63" s="625">
        <v>61608</v>
      </c>
      <c r="E63" s="626" t="str">
        <f>proyectos!B62</f>
        <v>Supervición de Infraestructura (61608)</v>
      </c>
      <c r="F63" s="510">
        <f>proyectos!E62</f>
        <v>5000</v>
      </c>
      <c r="G63" s="510"/>
      <c r="H63" s="510"/>
      <c r="I63" s="362">
        <f>SUM(F63:H63)</f>
        <v>5000</v>
      </c>
      <c r="J63" s="685">
        <f t="shared" si="1"/>
        <v>5000</v>
      </c>
      <c r="K63" s="667"/>
      <c r="L63" s="685"/>
      <c r="M63" s="667"/>
    </row>
    <row r="64" spans="1:13" s="124" customFormat="1" ht="15.75" customHeight="1" x14ac:dyDescent="0.2">
      <c r="A64" s="620"/>
      <c r="B64" s="624" t="s">
        <v>51</v>
      </c>
      <c r="C64" s="621" t="s">
        <v>54</v>
      </c>
      <c r="D64" s="625">
        <v>61699</v>
      </c>
      <c r="E64" s="626" t="str">
        <f>proyectos!B63</f>
        <v>Obras de Infraestructura Diversa  (11699)</v>
      </c>
      <c r="F64" s="510">
        <f>proyectos!E63</f>
        <v>4000.37</v>
      </c>
      <c r="G64" s="510"/>
      <c r="H64" s="510"/>
      <c r="I64" s="362">
        <f>SUM(F64:H64)</f>
        <v>4000.37</v>
      </c>
      <c r="J64" s="685">
        <f t="shared" si="1"/>
        <v>4000.37</v>
      </c>
      <c r="K64" s="667"/>
      <c r="L64" s="685"/>
      <c r="M64" s="667"/>
    </row>
    <row r="65" spans="1:13" s="124" customFormat="1" ht="15.75" customHeight="1" x14ac:dyDescent="0.2">
      <c r="A65" s="629"/>
      <c r="B65" s="624"/>
      <c r="C65" s="621"/>
      <c r="D65" s="625"/>
      <c r="E65" s="626" t="s">
        <v>530</v>
      </c>
      <c r="F65" s="510"/>
      <c r="G65" s="510"/>
      <c r="H65" s="510"/>
      <c r="I65" s="362"/>
      <c r="J65" s="685">
        <f t="shared" si="1"/>
        <v>0</v>
      </c>
      <c r="K65" s="667"/>
      <c r="L65" s="685"/>
      <c r="M65" s="667"/>
    </row>
    <row r="66" spans="1:13" s="124" customFormat="1" ht="15.75" customHeight="1" x14ac:dyDescent="0.2">
      <c r="A66" s="629"/>
      <c r="B66" s="624"/>
      <c r="C66" s="621"/>
      <c r="D66" s="625"/>
      <c r="E66" s="626"/>
      <c r="F66" s="510"/>
      <c r="G66" s="510"/>
      <c r="H66" s="510"/>
      <c r="I66" s="362"/>
      <c r="J66" s="685">
        <f t="shared" si="1"/>
        <v>0</v>
      </c>
      <c r="K66" s="667"/>
      <c r="L66" s="686"/>
      <c r="M66" s="667"/>
    </row>
    <row r="67" spans="1:13" s="124" customFormat="1" ht="15.75" customHeight="1" thickBot="1" x14ac:dyDescent="0.25">
      <c r="A67" s="630"/>
      <c r="B67" s="631"/>
      <c r="C67" s="631"/>
      <c r="D67" s="632"/>
      <c r="E67" s="633"/>
      <c r="F67" s="634"/>
      <c r="G67" s="634"/>
      <c r="H67" s="634"/>
      <c r="I67" s="362">
        <f t="shared" ref="I67" si="2">SUM(F67:H67)</f>
        <v>0</v>
      </c>
      <c r="J67" s="685">
        <f t="shared" si="1"/>
        <v>0</v>
      </c>
      <c r="K67" s="667"/>
      <c r="L67" s="685"/>
      <c r="M67" s="667"/>
    </row>
    <row r="68" spans="1:13" ht="30" customHeight="1" thickBot="1" x14ac:dyDescent="0.25">
      <c r="A68" s="780" t="s">
        <v>330</v>
      </c>
      <c r="B68" s="781"/>
      <c r="C68" s="781"/>
      <c r="D68" s="781"/>
      <c r="E68" s="782"/>
      <c r="F68" s="635">
        <f t="shared" ref="F68:H68" si="3">SUM(F10:F67)</f>
        <v>897349.85</v>
      </c>
      <c r="G68" s="635">
        <f t="shared" si="3"/>
        <v>417100</v>
      </c>
      <c r="H68" s="635">
        <f t="shared" si="3"/>
        <v>0</v>
      </c>
      <c r="I68" s="635">
        <f>SUM(I10:I67)</f>
        <v>1314449.8500000001</v>
      </c>
      <c r="J68" s="685">
        <f t="shared" si="1"/>
        <v>1314449.8500000001</v>
      </c>
      <c r="K68" s="689"/>
      <c r="L68" s="690"/>
      <c r="M68" s="682"/>
    </row>
    <row r="69" spans="1:13" x14ac:dyDescent="0.2">
      <c r="A69" s="22"/>
      <c r="B69" s="22"/>
      <c r="C69" s="22"/>
      <c r="D69" s="22"/>
      <c r="I69" s="37"/>
      <c r="L69" s="164"/>
    </row>
    <row r="70" spans="1:13" ht="15.75" x14ac:dyDescent="0.25">
      <c r="A70" s="22"/>
      <c r="B70" s="22"/>
      <c r="C70" s="22"/>
      <c r="D70" s="22"/>
      <c r="E70" s="38"/>
      <c r="F70" s="38"/>
      <c r="G70" s="38"/>
      <c r="H70" s="38"/>
      <c r="I70" s="138">
        <f>SUM(Ingresos!D50)+Ingresos!G50</f>
        <v>1659503.9700000002</v>
      </c>
      <c r="J70" s="21" t="s">
        <v>367</v>
      </c>
    </row>
    <row r="71" spans="1:13" ht="19.5" customHeight="1" x14ac:dyDescent="0.2">
      <c r="A71" s="779" t="s">
        <v>14</v>
      </c>
      <c r="B71" s="779"/>
      <c r="C71" s="779"/>
      <c r="D71" s="779"/>
      <c r="F71" s="197">
        <f>SUM(F54:F64)</f>
        <v>294000.37</v>
      </c>
      <c r="I71" s="110">
        <f>'Deuda Pub 75%'!H18</f>
        <v>345054.12</v>
      </c>
      <c r="J71" s="21" t="s">
        <v>368</v>
      </c>
      <c r="L71" s="164"/>
    </row>
    <row r="72" spans="1:13" ht="27" customHeight="1" thickBot="1" x14ac:dyDescent="0.3">
      <c r="A72" s="770" t="s">
        <v>2</v>
      </c>
      <c r="B72" s="770"/>
      <c r="C72" s="770"/>
      <c r="D72" s="770"/>
      <c r="E72" s="770"/>
      <c r="F72" s="198" t="s">
        <v>510</v>
      </c>
      <c r="G72" s="126"/>
      <c r="H72" s="126"/>
      <c r="I72" s="210">
        <f>SUM(I70-I71)</f>
        <v>1314449.8500000001</v>
      </c>
      <c r="J72" s="21" t="s">
        <v>369</v>
      </c>
    </row>
    <row r="73" spans="1:13" ht="20.25" customHeight="1" thickTop="1" x14ac:dyDescent="0.2">
      <c r="A73" s="770" t="s">
        <v>8</v>
      </c>
      <c r="B73" s="770"/>
      <c r="C73" s="770"/>
      <c r="D73" s="770"/>
      <c r="E73" s="770"/>
      <c r="F73" s="126" t="s">
        <v>511</v>
      </c>
      <c r="G73" s="126"/>
      <c r="H73" s="126"/>
      <c r="I73" s="110"/>
      <c r="L73" s="164"/>
    </row>
    <row r="74" spans="1:13" ht="21.75" customHeight="1" x14ac:dyDescent="0.2">
      <c r="A74" s="770" t="s">
        <v>9</v>
      </c>
      <c r="B74" s="770"/>
      <c r="C74" s="770"/>
      <c r="D74" s="770"/>
      <c r="E74" s="770"/>
      <c r="F74" s="126" t="s">
        <v>512</v>
      </c>
      <c r="G74" s="126"/>
      <c r="H74" s="126"/>
      <c r="I74" s="110"/>
    </row>
    <row r="75" spans="1:13" x14ac:dyDescent="0.2">
      <c r="A75" s="770"/>
      <c r="B75" s="770"/>
      <c r="C75" s="770"/>
      <c r="D75" s="770"/>
      <c r="E75" s="770"/>
      <c r="F75" s="126" t="s">
        <v>513</v>
      </c>
      <c r="G75" s="126"/>
      <c r="H75" s="126"/>
      <c r="I75" s="110">
        <f>SUM(I72-I68)</f>
        <v>0</v>
      </c>
      <c r="L75" s="21">
        <f>1119752.54-252955.08</f>
        <v>866797.46000000008</v>
      </c>
    </row>
    <row r="76" spans="1:13" x14ac:dyDescent="0.2">
      <c r="F76" s="197">
        <f>SUM(F72:F75)</f>
        <v>0</v>
      </c>
      <c r="I76" s="110"/>
    </row>
    <row r="77" spans="1:13" x14ac:dyDescent="0.2">
      <c r="I77" s="110"/>
    </row>
    <row r="78" spans="1:13" x14ac:dyDescent="0.2">
      <c r="I78" s="110"/>
    </row>
    <row r="79" spans="1:13" x14ac:dyDescent="0.2">
      <c r="I79" s="110"/>
    </row>
  </sheetData>
  <sheetProtection sheet="1" objects="1" scenarios="1" selectLockedCells="1" selectUnlockedCells="1"/>
  <sortState ref="D10:E44">
    <sortCondition ref="D10"/>
  </sortState>
  <mergeCells count="19">
    <mergeCell ref="A72:E72"/>
    <mergeCell ref="A73:E73"/>
    <mergeCell ref="A74:E74"/>
    <mergeCell ref="A75:E75"/>
    <mergeCell ref="A6:I6"/>
    <mergeCell ref="A7:I7"/>
    <mergeCell ref="A8:D8"/>
    <mergeCell ref="E8:E9"/>
    <mergeCell ref="I8:I9"/>
    <mergeCell ref="A71:D71"/>
    <mergeCell ref="A68:E68"/>
    <mergeCell ref="F8:F9"/>
    <mergeCell ref="G8:G9"/>
    <mergeCell ref="H8:H9"/>
    <mergeCell ref="A1:I1"/>
    <mergeCell ref="A2:I2"/>
    <mergeCell ref="A3:I3"/>
    <mergeCell ref="A4:I4"/>
    <mergeCell ref="A5:I5"/>
  </mergeCells>
  <printOptions horizontalCentered="1"/>
  <pageMargins left="0.23622047244094491" right="0.23622047244094491" top="0.55118110236220474" bottom="0.35433070866141736" header="0.31496062992125984" footer="0.31496062992125984"/>
  <pageSetup scale="76" orientation="landscape" r:id="rId1"/>
  <rowBreaks count="2" manualBreakCount="2">
    <brk id="26" max="8" man="1"/>
    <brk id="54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L25"/>
  <sheetViews>
    <sheetView view="pageBreakPreview" topLeftCell="A7" zoomScaleSheetLayoutView="100" workbookViewId="0">
      <selection activeCell="K9" sqref="K9"/>
    </sheetView>
  </sheetViews>
  <sheetFormatPr baseColWidth="10" defaultColWidth="11.42578125" defaultRowHeight="12.75" x14ac:dyDescent="0.2"/>
  <cols>
    <col min="1" max="1" width="6.28515625" style="32" customWidth="1"/>
    <col min="2" max="2" width="7.42578125" style="32" customWidth="1"/>
    <col min="3" max="3" width="7.85546875" style="33" customWidth="1"/>
    <col min="4" max="4" width="7.42578125" style="31" customWidth="1"/>
    <col min="5" max="5" width="7.28515625" style="31" customWidth="1"/>
    <col min="6" max="6" width="10.140625" style="31" customWidth="1"/>
    <col min="7" max="7" width="36.28515625" style="25" customWidth="1"/>
    <col min="8" max="8" width="18.140625" style="25" customWidth="1"/>
    <col min="9" max="10" width="11.42578125" style="26"/>
    <col min="11" max="11" width="17.42578125" style="26" customWidth="1"/>
    <col min="12" max="16384" width="11.42578125" style="26"/>
  </cols>
  <sheetData>
    <row r="1" spans="1:12" ht="18" x14ac:dyDescent="0.2">
      <c r="A1" s="730" t="s">
        <v>472</v>
      </c>
      <c r="B1" s="730"/>
      <c r="C1" s="730"/>
      <c r="D1" s="730"/>
      <c r="E1" s="730"/>
      <c r="F1" s="730"/>
      <c r="G1" s="730"/>
      <c r="H1" s="730"/>
    </row>
    <row r="2" spans="1:12" ht="18" x14ac:dyDescent="0.2">
      <c r="A2" s="730" t="s">
        <v>411</v>
      </c>
      <c r="B2" s="730"/>
      <c r="C2" s="730"/>
      <c r="D2" s="730"/>
      <c r="E2" s="730"/>
      <c r="F2" s="730"/>
      <c r="G2" s="730"/>
      <c r="H2" s="730"/>
    </row>
    <row r="3" spans="1:12" ht="15.75" x14ac:dyDescent="0.2">
      <c r="A3" s="737" t="s">
        <v>12</v>
      </c>
      <c r="B3" s="737"/>
      <c r="C3" s="737"/>
      <c r="D3" s="737"/>
      <c r="E3" s="737"/>
      <c r="F3" s="737"/>
      <c r="G3" s="737"/>
      <c r="H3" s="737"/>
    </row>
    <row r="4" spans="1:12" ht="15.75" x14ac:dyDescent="0.2">
      <c r="A4" s="737" t="s">
        <v>605</v>
      </c>
      <c r="B4" s="737"/>
      <c r="C4" s="737"/>
      <c r="D4" s="737"/>
      <c r="E4" s="737"/>
      <c r="F4" s="737"/>
      <c r="G4" s="737"/>
      <c r="H4" s="737"/>
    </row>
    <row r="5" spans="1:12" ht="15.75" x14ac:dyDescent="0.2">
      <c r="A5" s="739" t="s">
        <v>13</v>
      </c>
      <c r="B5" s="739"/>
      <c r="C5" s="739"/>
      <c r="D5" s="739"/>
      <c r="E5" s="739"/>
      <c r="F5" s="739"/>
      <c r="G5" s="739"/>
      <c r="H5" s="739"/>
    </row>
    <row r="6" spans="1:12" x14ac:dyDescent="0.2">
      <c r="A6" s="636"/>
      <c r="B6" s="637"/>
      <c r="C6" s="637"/>
      <c r="D6" s="637"/>
      <c r="E6" s="637"/>
      <c r="F6" s="637"/>
      <c r="G6" s="636"/>
      <c r="H6" s="636"/>
    </row>
    <row r="7" spans="1:12" ht="20.25" customHeight="1" thickBot="1" x14ac:dyDescent="0.25">
      <c r="A7" s="740" t="s">
        <v>351</v>
      </c>
      <c r="B7" s="740"/>
      <c r="C7" s="740"/>
      <c r="D7" s="740"/>
      <c r="E7" s="740"/>
      <c r="F7" s="740"/>
      <c r="G7" s="740"/>
      <c r="H7" s="740"/>
    </row>
    <row r="8" spans="1:12" ht="99.95" customHeight="1" thickBot="1" x14ac:dyDescent="0.25">
      <c r="A8" s="783" t="s">
        <v>0</v>
      </c>
      <c r="B8" s="784"/>
      <c r="C8" s="784"/>
      <c r="D8" s="784"/>
      <c r="E8" s="784"/>
      <c r="F8" s="785"/>
      <c r="G8" s="786" t="s">
        <v>177</v>
      </c>
      <c r="H8" s="788" t="s">
        <v>178</v>
      </c>
      <c r="I8" s="663"/>
      <c r="J8" s="663"/>
      <c r="K8" s="663"/>
      <c r="L8" s="663"/>
    </row>
    <row r="9" spans="1:12" ht="99.95" customHeight="1" thickBot="1" x14ac:dyDescent="0.25">
      <c r="A9" s="638" t="s">
        <v>171</v>
      </c>
      <c r="B9" s="639" t="s">
        <v>172</v>
      </c>
      <c r="C9" s="639" t="s">
        <v>173</v>
      </c>
      <c r="D9" s="639" t="s">
        <v>174</v>
      </c>
      <c r="E9" s="640" t="s">
        <v>175</v>
      </c>
      <c r="F9" s="641" t="s">
        <v>176</v>
      </c>
      <c r="G9" s="787"/>
      <c r="H9" s="789"/>
      <c r="I9" s="663"/>
      <c r="J9" s="691"/>
      <c r="K9" s="663"/>
      <c r="L9" s="663"/>
    </row>
    <row r="10" spans="1:12" ht="36.75" customHeight="1" x14ac:dyDescent="0.2">
      <c r="A10" s="642">
        <v>5</v>
      </c>
      <c r="B10" s="643" t="s">
        <v>57</v>
      </c>
      <c r="C10" s="643" t="s">
        <v>49</v>
      </c>
      <c r="D10" s="643" t="s">
        <v>51</v>
      </c>
      <c r="E10" s="643" t="s">
        <v>54</v>
      </c>
      <c r="F10" s="644" t="s">
        <v>74</v>
      </c>
      <c r="G10" s="645" t="s">
        <v>524</v>
      </c>
      <c r="H10" s="646">
        <f>163.3*12</f>
        <v>1959.6000000000001</v>
      </c>
      <c r="I10" s="663"/>
      <c r="J10" s="663">
        <v>55</v>
      </c>
      <c r="K10" s="692">
        <f>SUM(H10:H12)</f>
        <v>126564.95527162999</v>
      </c>
      <c r="L10" s="663"/>
    </row>
    <row r="11" spans="1:12" ht="36.75" customHeight="1" x14ac:dyDescent="0.2">
      <c r="A11" s="417">
        <v>5</v>
      </c>
      <c r="B11" s="418" t="s">
        <v>57</v>
      </c>
      <c r="C11" s="418" t="s">
        <v>49</v>
      </c>
      <c r="D11" s="418" t="s">
        <v>51</v>
      </c>
      <c r="E11" s="418" t="s">
        <v>54</v>
      </c>
      <c r="F11" s="647" t="s">
        <v>508</v>
      </c>
      <c r="G11" s="645" t="s">
        <v>142</v>
      </c>
      <c r="H11" s="646">
        <f>'analisis deuda'!C252</f>
        <v>4957.6120029042731</v>
      </c>
      <c r="I11" s="663"/>
      <c r="J11" s="663">
        <v>71</v>
      </c>
      <c r="K11" s="692">
        <f>+H13+H14+0.01</f>
        <v>218489.17472837004</v>
      </c>
      <c r="L11" s="663"/>
    </row>
    <row r="12" spans="1:12" ht="36.75" customHeight="1" thickBot="1" x14ac:dyDescent="0.25">
      <c r="A12" s="417">
        <v>5</v>
      </c>
      <c r="B12" s="418" t="s">
        <v>57</v>
      </c>
      <c r="C12" s="418" t="s">
        <v>49</v>
      </c>
      <c r="D12" s="418" t="s">
        <v>51</v>
      </c>
      <c r="E12" s="418" t="s">
        <v>54</v>
      </c>
      <c r="F12" s="647" t="s">
        <v>274</v>
      </c>
      <c r="G12" s="648" t="s">
        <v>276</v>
      </c>
      <c r="H12" s="646">
        <f>'analisis deuda'!C197</f>
        <v>119647.74326872572</v>
      </c>
      <c r="I12" s="663"/>
      <c r="J12" s="663"/>
      <c r="K12" s="693">
        <f>SUM(K10:K11)</f>
        <v>345054.13</v>
      </c>
      <c r="L12" s="663"/>
    </row>
    <row r="13" spans="1:12" ht="36.75" customHeight="1" thickTop="1" x14ac:dyDescent="0.2">
      <c r="A13" s="417">
        <v>5</v>
      </c>
      <c r="B13" s="418" t="s">
        <v>57</v>
      </c>
      <c r="C13" s="418" t="s">
        <v>49</v>
      </c>
      <c r="D13" s="418" t="s">
        <v>51</v>
      </c>
      <c r="E13" s="418" t="s">
        <v>54</v>
      </c>
      <c r="F13" s="647" t="s">
        <v>509</v>
      </c>
      <c r="G13" s="648" t="s">
        <v>142</v>
      </c>
      <c r="H13" s="646">
        <f>'analisis deuda'!D252</f>
        <v>97999.747997095736</v>
      </c>
      <c r="I13" s="663"/>
      <c r="J13" s="663"/>
      <c r="K13" s="663"/>
      <c r="L13" s="663"/>
    </row>
    <row r="14" spans="1:12" ht="36.75" customHeight="1" x14ac:dyDescent="0.2">
      <c r="A14" s="417">
        <v>5</v>
      </c>
      <c r="B14" s="418" t="s">
        <v>57</v>
      </c>
      <c r="C14" s="418" t="s">
        <v>49</v>
      </c>
      <c r="D14" s="418" t="s">
        <v>51</v>
      </c>
      <c r="E14" s="418" t="s">
        <v>54</v>
      </c>
      <c r="F14" s="647" t="s">
        <v>275</v>
      </c>
      <c r="G14" s="648" t="s">
        <v>276</v>
      </c>
      <c r="H14" s="646">
        <f>'analisis deuda'!D197</f>
        <v>120489.41673127429</v>
      </c>
      <c r="I14" s="663"/>
      <c r="J14" s="663"/>
      <c r="K14" s="663">
        <f>178749.22+8710</f>
        <v>187459.22</v>
      </c>
      <c r="L14" s="663"/>
    </row>
    <row r="15" spans="1:12" ht="0.75" customHeight="1" thickBot="1" x14ac:dyDescent="0.25">
      <c r="A15" s="417"/>
      <c r="B15" s="418"/>
      <c r="C15" s="418"/>
      <c r="D15" s="418"/>
      <c r="E15" s="418"/>
      <c r="F15" s="647"/>
      <c r="G15" s="645"/>
      <c r="H15" s="646"/>
      <c r="I15" s="663"/>
      <c r="J15" s="663"/>
      <c r="K15" s="663"/>
      <c r="L15" s="663"/>
    </row>
    <row r="16" spans="1:12" ht="30" hidden="1" customHeight="1" thickBot="1" x14ac:dyDescent="0.25">
      <c r="A16" s="417"/>
      <c r="B16" s="418"/>
      <c r="C16" s="418"/>
      <c r="D16" s="418"/>
      <c r="E16" s="418"/>
      <c r="F16" s="647"/>
      <c r="G16" s="645"/>
      <c r="H16" s="646">
        <v>0</v>
      </c>
      <c r="I16" s="663"/>
      <c r="J16" s="663"/>
      <c r="K16" s="663" t="s">
        <v>406</v>
      </c>
      <c r="L16" s="663"/>
    </row>
    <row r="17" spans="1:12" ht="30" hidden="1" customHeight="1" thickBot="1" x14ac:dyDescent="0.25">
      <c r="A17" s="649"/>
      <c r="B17" s="421"/>
      <c r="C17" s="421"/>
      <c r="D17" s="421"/>
      <c r="E17" s="421"/>
      <c r="F17" s="650"/>
      <c r="G17" s="651"/>
      <c r="H17" s="652"/>
      <c r="I17" s="663"/>
      <c r="J17" s="663"/>
      <c r="K17" s="663"/>
      <c r="L17" s="663"/>
    </row>
    <row r="18" spans="1:12" s="34" customFormat="1" ht="30" customHeight="1" thickBot="1" x14ac:dyDescent="0.25">
      <c r="A18" s="790" t="s">
        <v>319</v>
      </c>
      <c r="B18" s="791"/>
      <c r="C18" s="791"/>
      <c r="D18" s="791"/>
      <c r="E18" s="791"/>
      <c r="F18" s="791"/>
      <c r="G18" s="792"/>
      <c r="H18" s="653">
        <f>SUM(H10:H14)</f>
        <v>345054.12</v>
      </c>
      <c r="I18" s="694"/>
      <c r="J18" s="694"/>
      <c r="K18" s="694"/>
      <c r="L18" s="694"/>
    </row>
    <row r="19" spans="1:12" ht="19.5" customHeight="1" x14ac:dyDescent="0.2">
      <c r="A19" s="35"/>
      <c r="B19" s="35"/>
      <c r="C19" s="36"/>
      <c r="D19" s="28"/>
      <c r="E19" s="28"/>
      <c r="F19" s="28"/>
    </row>
    <row r="20" spans="1:12" ht="24" customHeight="1" x14ac:dyDescent="0.2">
      <c r="A20" s="736" t="s">
        <v>14</v>
      </c>
      <c r="B20" s="736"/>
      <c r="C20" s="736"/>
      <c r="D20" s="736"/>
      <c r="E20" s="736"/>
      <c r="F20" s="736"/>
      <c r="H20" s="135">
        <v>345054.12</v>
      </c>
    </row>
    <row r="21" spans="1:12" ht="17.25" customHeight="1" thickBot="1" x14ac:dyDescent="0.25">
      <c r="A21" s="729" t="s">
        <v>2</v>
      </c>
      <c r="B21" s="729"/>
      <c r="C21" s="729"/>
      <c r="D21" s="729"/>
      <c r="E21" s="729"/>
      <c r="F21" s="729"/>
      <c r="G21" s="729"/>
      <c r="H21" s="137">
        <f>SUM(H18-H20)</f>
        <v>0</v>
      </c>
    </row>
    <row r="22" spans="1:12" ht="24.75" customHeight="1" thickTop="1" x14ac:dyDescent="0.2">
      <c r="A22" s="729" t="s">
        <v>10</v>
      </c>
      <c r="B22" s="729"/>
      <c r="C22" s="729"/>
      <c r="D22" s="729"/>
      <c r="E22" s="729"/>
      <c r="F22" s="729"/>
      <c r="G22" s="729"/>
      <c r="H22" s="136"/>
    </row>
    <row r="23" spans="1:12" x14ac:dyDescent="0.2">
      <c r="A23" s="35"/>
      <c r="B23" s="35"/>
      <c r="C23" s="36"/>
      <c r="D23" s="28"/>
      <c r="E23" s="28"/>
      <c r="F23" s="28"/>
      <c r="H23" s="135"/>
    </row>
    <row r="24" spans="1:12" x14ac:dyDescent="0.2">
      <c r="A24" s="35"/>
      <c r="B24" s="35"/>
      <c r="C24" s="36"/>
      <c r="D24" s="28"/>
      <c r="E24" s="28"/>
      <c r="F24" s="28"/>
      <c r="H24" s="135"/>
    </row>
    <row r="25" spans="1:12" x14ac:dyDescent="0.2">
      <c r="H25" s="135"/>
    </row>
  </sheetData>
  <sheetProtection sheet="1" objects="1" scenarios="1" selectLockedCells="1" selectUnlockedCells="1"/>
  <mergeCells count="13">
    <mergeCell ref="A2:H2"/>
    <mergeCell ref="A1:H1"/>
    <mergeCell ref="A22:G22"/>
    <mergeCell ref="A20:F20"/>
    <mergeCell ref="A7:H7"/>
    <mergeCell ref="A8:F8"/>
    <mergeCell ref="G8:G9"/>
    <mergeCell ref="A21:G21"/>
    <mergeCell ref="H8:H9"/>
    <mergeCell ref="A5:H5"/>
    <mergeCell ref="A3:H3"/>
    <mergeCell ref="A4:H4"/>
    <mergeCell ref="A18:G18"/>
  </mergeCells>
  <phoneticPr fontId="2" type="noConversion"/>
  <printOptions horizontalCentered="1"/>
  <pageMargins left="0.59055118110236227" right="0.19685039370078741" top="1.0236220472440944" bottom="0.19685039370078741" header="0" footer="0"/>
  <pageSetup scale="90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view="pageBreakPreview" zoomScale="106" zoomScaleSheetLayoutView="106" workbookViewId="0">
      <selection activeCell="A5" sqref="A5:H5"/>
    </sheetView>
  </sheetViews>
  <sheetFormatPr baseColWidth="10" defaultColWidth="11.42578125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12.7109375" style="24" customWidth="1"/>
    <col min="7" max="7" width="42.5703125" style="19" customWidth="1"/>
    <col min="8" max="8" width="19.28515625" style="4" customWidth="1"/>
    <col min="9" max="16384" width="11.42578125" style="21"/>
  </cols>
  <sheetData>
    <row r="1" spans="1:9" ht="18" x14ac:dyDescent="0.25">
      <c r="A1" s="806" t="s">
        <v>412</v>
      </c>
      <c r="B1" s="807"/>
      <c r="C1" s="807"/>
      <c r="D1" s="807"/>
      <c r="E1" s="807"/>
      <c r="F1" s="807"/>
      <c r="G1" s="807"/>
      <c r="H1" s="807"/>
      <c r="I1" s="5"/>
    </row>
    <row r="2" spans="1:9" ht="18" x14ac:dyDescent="0.25">
      <c r="A2" s="806" t="s">
        <v>411</v>
      </c>
      <c r="B2" s="807"/>
      <c r="C2" s="807"/>
      <c r="D2" s="807"/>
      <c r="E2" s="807"/>
      <c r="F2" s="807"/>
      <c r="G2" s="807"/>
      <c r="H2" s="807"/>
      <c r="I2" s="5"/>
    </row>
    <row r="3" spans="1:9" ht="15.75" x14ac:dyDescent="0.2">
      <c r="A3" s="808" t="s">
        <v>227</v>
      </c>
      <c r="B3" s="809"/>
      <c r="C3" s="809"/>
      <c r="D3" s="809"/>
      <c r="E3" s="809"/>
      <c r="F3" s="809"/>
      <c r="G3" s="809"/>
      <c r="H3" s="809"/>
    </row>
    <row r="4" spans="1:9" ht="15.75" x14ac:dyDescent="0.2">
      <c r="A4" s="808" t="s">
        <v>605</v>
      </c>
      <c r="B4" s="809"/>
      <c r="C4" s="809"/>
      <c r="D4" s="809"/>
      <c r="E4" s="809"/>
      <c r="F4" s="809"/>
      <c r="G4" s="809"/>
      <c r="H4" s="809"/>
    </row>
    <row r="5" spans="1:9" ht="15" x14ac:dyDescent="0.2">
      <c r="A5" s="810" t="s">
        <v>13</v>
      </c>
      <c r="B5" s="811"/>
      <c r="C5" s="811"/>
      <c r="D5" s="811"/>
      <c r="E5" s="811"/>
      <c r="F5" s="811"/>
      <c r="G5" s="811"/>
      <c r="H5" s="811"/>
    </row>
    <row r="6" spans="1:9" ht="8.25" customHeight="1" x14ac:dyDescent="0.25">
      <c r="A6" s="796"/>
      <c r="B6" s="797"/>
      <c r="C6" s="797"/>
      <c r="D6" s="797"/>
      <c r="E6" s="797"/>
      <c r="F6" s="797"/>
      <c r="G6" s="797"/>
      <c r="H6" s="797"/>
    </row>
    <row r="7" spans="1:9" ht="15.75" x14ac:dyDescent="0.25">
      <c r="A7" s="798" t="s">
        <v>228</v>
      </c>
      <c r="B7" s="798"/>
      <c r="C7" s="798"/>
      <c r="D7" s="798"/>
      <c r="E7" s="798"/>
      <c r="F7" s="798"/>
      <c r="G7" s="798"/>
      <c r="H7" s="798"/>
    </row>
    <row r="8" spans="1:9" ht="16.5" thickBot="1" x14ac:dyDescent="0.3">
      <c r="A8" s="799" t="s">
        <v>279</v>
      </c>
      <c r="B8" s="799"/>
      <c r="C8" s="799"/>
      <c r="D8" s="799"/>
      <c r="E8" s="799"/>
      <c r="F8" s="799"/>
      <c r="G8" s="799"/>
      <c r="H8" s="799"/>
    </row>
    <row r="9" spans="1:9" ht="13.5" thickBot="1" x14ac:dyDescent="0.25">
      <c r="A9" s="800" t="s">
        <v>0</v>
      </c>
      <c r="B9" s="801"/>
      <c r="C9" s="801"/>
      <c r="D9" s="801"/>
      <c r="E9" s="801"/>
      <c r="F9" s="801"/>
      <c r="G9" s="802" t="s">
        <v>180</v>
      </c>
      <c r="H9" s="804" t="s">
        <v>181</v>
      </c>
    </row>
    <row r="10" spans="1:9" ht="200.25" customHeight="1" thickBot="1" x14ac:dyDescent="0.25">
      <c r="A10" s="202" t="s">
        <v>171</v>
      </c>
      <c r="B10" s="203" t="s">
        <v>172</v>
      </c>
      <c r="C10" s="203" t="s">
        <v>143</v>
      </c>
      <c r="D10" s="203" t="s">
        <v>174</v>
      </c>
      <c r="E10" s="204" t="s">
        <v>182</v>
      </c>
      <c r="F10" s="205" t="s">
        <v>118</v>
      </c>
      <c r="G10" s="803"/>
      <c r="H10" s="805"/>
    </row>
    <row r="11" spans="1:9" ht="15.75" customHeight="1" x14ac:dyDescent="0.2">
      <c r="A11" s="9">
        <v>3</v>
      </c>
      <c r="B11" s="10" t="s">
        <v>53</v>
      </c>
      <c r="C11" s="10" t="s">
        <v>327</v>
      </c>
      <c r="D11" s="10" t="s">
        <v>51</v>
      </c>
      <c r="E11" s="10" t="s">
        <v>247</v>
      </c>
      <c r="F11" s="11" t="s">
        <v>226</v>
      </c>
      <c r="G11" s="12" t="s">
        <v>208</v>
      </c>
      <c r="H11" s="13"/>
    </row>
    <row r="12" spans="1:9" ht="15.75" customHeight="1" x14ac:dyDescent="0.2">
      <c r="A12" s="8">
        <v>3</v>
      </c>
      <c r="B12" s="1" t="s">
        <v>53</v>
      </c>
      <c r="C12" s="10" t="s">
        <v>327</v>
      </c>
      <c r="D12" s="10" t="s">
        <v>51</v>
      </c>
      <c r="E12" s="10" t="s">
        <v>247</v>
      </c>
      <c r="F12" s="2">
        <v>54111</v>
      </c>
      <c r="G12" s="6" t="s">
        <v>48</v>
      </c>
      <c r="H12" s="14"/>
    </row>
    <row r="13" spans="1:9" ht="15.75" customHeight="1" x14ac:dyDescent="0.2">
      <c r="A13" s="8">
        <v>3</v>
      </c>
      <c r="B13" s="1" t="s">
        <v>53</v>
      </c>
      <c r="C13" s="10" t="s">
        <v>327</v>
      </c>
      <c r="D13" s="10" t="s">
        <v>51</v>
      </c>
      <c r="E13" s="10" t="s">
        <v>247</v>
      </c>
      <c r="F13" s="2">
        <v>54112</v>
      </c>
      <c r="G13" s="6" t="s">
        <v>47</v>
      </c>
      <c r="H13" s="14"/>
    </row>
    <row r="14" spans="1:9" ht="15.75" customHeight="1" x14ac:dyDescent="0.2">
      <c r="A14" s="8">
        <v>3</v>
      </c>
      <c r="B14" s="1" t="s">
        <v>53</v>
      </c>
      <c r="C14" s="10" t="s">
        <v>327</v>
      </c>
      <c r="D14" s="10" t="s">
        <v>51</v>
      </c>
      <c r="E14" s="10" t="s">
        <v>247</v>
      </c>
      <c r="F14" s="2">
        <v>54199</v>
      </c>
      <c r="G14" s="6" t="s">
        <v>246</v>
      </c>
      <c r="H14" s="14"/>
    </row>
    <row r="15" spans="1:9" ht="15.75" customHeight="1" x14ac:dyDescent="0.2">
      <c r="A15" s="8">
        <v>3</v>
      </c>
      <c r="B15" s="1" t="s">
        <v>53</v>
      </c>
      <c r="C15" s="10" t="s">
        <v>327</v>
      </c>
      <c r="D15" s="10" t="s">
        <v>51</v>
      </c>
      <c r="E15" s="10" t="s">
        <v>247</v>
      </c>
      <c r="F15" s="2">
        <v>54313</v>
      </c>
      <c r="G15" s="6" t="s">
        <v>232</v>
      </c>
      <c r="H15" s="14"/>
    </row>
    <row r="16" spans="1:9" ht="15.75" customHeight="1" x14ac:dyDescent="0.2">
      <c r="A16" s="8">
        <v>3</v>
      </c>
      <c r="B16" s="1" t="s">
        <v>53</v>
      </c>
      <c r="C16" s="10" t="s">
        <v>327</v>
      </c>
      <c r="D16" s="10" t="s">
        <v>51</v>
      </c>
      <c r="E16" s="10" t="s">
        <v>247</v>
      </c>
      <c r="F16" s="2">
        <v>54316</v>
      </c>
      <c r="G16" s="6" t="s">
        <v>233</v>
      </c>
      <c r="H16" s="14"/>
    </row>
    <row r="17" spans="1:8" ht="15.75" customHeight="1" x14ac:dyDescent="0.2">
      <c r="A17" s="8">
        <v>3</v>
      </c>
      <c r="B17" s="1" t="s">
        <v>53</v>
      </c>
      <c r="C17" s="10" t="s">
        <v>327</v>
      </c>
      <c r="D17" s="10" t="s">
        <v>51</v>
      </c>
      <c r="E17" s="10" t="s">
        <v>247</v>
      </c>
      <c r="F17" s="2">
        <v>54599</v>
      </c>
      <c r="G17" s="6" t="s">
        <v>237</v>
      </c>
      <c r="H17" s="14"/>
    </row>
    <row r="18" spans="1:8" ht="15.75" customHeight="1" x14ac:dyDescent="0.2">
      <c r="A18" s="8">
        <v>3</v>
      </c>
      <c r="B18" s="1" t="s">
        <v>53</v>
      </c>
      <c r="C18" s="10" t="s">
        <v>327</v>
      </c>
      <c r="D18" s="10" t="s">
        <v>51</v>
      </c>
      <c r="E18" s="10" t="s">
        <v>247</v>
      </c>
      <c r="F18" s="2">
        <v>55601</v>
      </c>
      <c r="G18" s="6" t="s">
        <v>107</v>
      </c>
      <c r="H18" s="14"/>
    </row>
    <row r="19" spans="1:8" ht="15.75" customHeight="1" x14ac:dyDescent="0.2">
      <c r="A19" s="8">
        <v>3</v>
      </c>
      <c r="B19" s="1" t="s">
        <v>53</v>
      </c>
      <c r="C19" s="10" t="s">
        <v>327</v>
      </c>
      <c r="D19" s="10" t="s">
        <v>51</v>
      </c>
      <c r="E19" s="10" t="s">
        <v>247</v>
      </c>
      <c r="F19" s="2">
        <v>55603</v>
      </c>
      <c r="G19" s="6" t="s">
        <v>221</v>
      </c>
      <c r="H19" s="14"/>
    </row>
    <row r="20" spans="1:8" ht="15.75" customHeight="1" x14ac:dyDescent="0.2">
      <c r="A20" s="8">
        <v>3</v>
      </c>
      <c r="B20" s="1" t="s">
        <v>53</v>
      </c>
      <c r="C20" s="10" t="s">
        <v>327</v>
      </c>
      <c r="D20" s="10" t="s">
        <v>51</v>
      </c>
      <c r="E20" s="10" t="s">
        <v>247</v>
      </c>
      <c r="F20" s="2">
        <v>61101</v>
      </c>
      <c r="G20" s="6" t="s">
        <v>239</v>
      </c>
      <c r="H20" s="14"/>
    </row>
    <row r="21" spans="1:8" ht="15.75" customHeight="1" x14ac:dyDescent="0.2">
      <c r="A21" s="8">
        <v>3</v>
      </c>
      <c r="B21" s="1" t="s">
        <v>53</v>
      </c>
      <c r="C21" s="10" t="s">
        <v>327</v>
      </c>
      <c r="D21" s="10" t="s">
        <v>51</v>
      </c>
      <c r="E21" s="10" t="s">
        <v>247</v>
      </c>
      <c r="F21" s="2">
        <v>61102</v>
      </c>
      <c r="G21" s="6" t="s">
        <v>240</v>
      </c>
      <c r="H21" s="14"/>
    </row>
    <row r="22" spans="1:8" ht="15.75" customHeight="1" x14ac:dyDescent="0.2">
      <c r="A22" s="8">
        <v>3</v>
      </c>
      <c r="B22" s="1" t="s">
        <v>53</v>
      </c>
      <c r="C22" s="10" t="s">
        <v>327</v>
      </c>
      <c r="D22" s="10" t="s">
        <v>51</v>
      </c>
      <c r="E22" s="10" t="s">
        <v>247</v>
      </c>
      <c r="F22" s="2">
        <v>61599</v>
      </c>
      <c r="G22" s="6" t="s">
        <v>241</v>
      </c>
      <c r="H22" s="14"/>
    </row>
    <row r="23" spans="1:8" ht="15.75" customHeight="1" x14ac:dyDescent="0.2">
      <c r="A23" s="8">
        <v>3</v>
      </c>
      <c r="B23" s="1" t="s">
        <v>53</v>
      </c>
      <c r="C23" s="10" t="s">
        <v>327</v>
      </c>
      <c r="D23" s="10" t="s">
        <v>51</v>
      </c>
      <c r="E23" s="10" t="s">
        <v>247</v>
      </c>
      <c r="F23" s="2">
        <v>61607</v>
      </c>
      <c r="G23" s="6" t="s">
        <v>242</v>
      </c>
      <c r="H23" s="14"/>
    </row>
    <row r="24" spans="1:8" ht="15.75" customHeight="1" x14ac:dyDescent="0.2">
      <c r="A24" s="8">
        <v>3</v>
      </c>
      <c r="B24" s="1" t="s">
        <v>53</v>
      </c>
      <c r="C24" s="10" t="s">
        <v>327</v>
      </c>
      <c r="D24" s="10" t="s">
        <v>51</v>
      </c>
      <c r="E24" s="10" t="s">
        <v>247</v>
      </c>
      <c r="F24" s="2">
        <v>61608</v>
      </c>
      <c r="G24" s="6" t="s">
        <v>243</v>
      </c>
      <c r="H24" s="14"/>
    </row>
    <row r="25" spans="1:8" ht="15.75" customHeight="1" x14ac:dyDescent="0.2">
      <c r="A25" s="8">
        <v>3</v>
      </c>
      <c r="B25" s="1" t="s">
        <v>53</v>
      </c>
      <c r="C25" s="10" t="s">
        <v>327</v>
      </c>
      <c r="D25" s="10" t="s">
        <v>51</v>
      </c>
      <c r="E25" s="10" t="s">
        <v>247</v>
      </c>
      <c r="F25" s="2">
        <v>61699</v>
      </c>
      <c r="G25" s="6" t="s">
        <v>244</v>
      </c>
      <c r="H25" s="14"/>
    </row>
    <row r="26" spans="1:8" ht="15.75" customHeight="1" thickBot="1" x14ac:dyDescent="0.25">
      <c r="A26" s="17"/>
      <c r="B26" s="15"/>
      <c r="C26" s="15"/>
      <c r="D26" s="15"/>
      <c r="E26" s="15"/>
      <c r="F26" s="3"/>
      <c r="G26" s="7"/>
      <c r="H26" s="16"/>
    </row>
    <row r="27" spans="1:8" ht="26.25" customHeight="1" thickBot="1" x14ac:dyDescent="0.25">
      <c r="A27" s="793" t="s">
        <v>329</v>
      </c>
      <c r="B27" s="794"/>
      <c r="C27" s="794"/>
      <c r="D27" s="794"/>
      <c r="E27" s="794"/>
      <c r="F27" s="794"/>
      <c r="G27" s="795"/>
      <c r="H27" s="206">
        <f>SUM(H11:H26)</f>
        <v>0</v>
      </c>
    </row>
    <row r="28" spans="1:8" x14ac:dyDescent="0.2">
      <c r="A28" s="22"/>
      <c r="B28" s="22"/>
      <c r="C28" s="22"/>
      <c r="D28" s="22"/>
      <c r="E28" s="22"/>
      <c r="F28" s="22"/>
      <c r="H28" s="37"/>
    </row>
    <row r="29" spans="1:8" ht="15.75" x14ac:dyDescent="0.25">
      <c r="A29" s="22"/>
      <c r="B29" s="22"/>
      <c r="C29" s="22"/>
      <c r="D29" s="22"/>
      <c r="E29" s="22"/>
      <c r="F29" s="22"/>
      <c r="G29" s="38"/>
      <c r="H29" s="38"/>
    </row>
    <row r="30" spans="1:8" ht="19.5" customHeight="1" x14ac:dyDescent="0.2">
      <c r="A30" s="779" t="s">
        <v>14</v>
      </c>
      <c r="B30" s="779"/>
      <c r="C30" s="779"/>
      <c r="D30" s="779"/>
      <c r="E30" s="779"/>
      <c r="F30" s="779"/>
    </row>
    <row r="31" spans="1:8" x14ac:dyDescent="0.2">
      <c r="A31" s="770" t="s">
        <v>2</v>
      </c>
      <c r="B31" s="770"/>
      <c r="C31" s="770"/>
      <c r="D31" s="770"/>
      <c r="E31" s="770"/>
      <c r="F31" s="770"/>
      <c r="G31" s="770"/>
    </row>
    <row r="32" spans="1:8" x14ac:dyDescent="0.2">
      <c r="A32" s="770" t="s">
        <v>8</v>
      </c>
      <c r="B32" s="770"/>
      <c r="C32" s="770"/>
      <c r="D32" s="770"/>
      <c r="E32" s="770"/>
      <c r="F32" s="770"/>
      <c r="G32" s="770"/>
    </row>
    <row r="33" spans="1:7" x14ac:dyDescent="0.2">
      <c r="A33" s="770" t="s">
        <v>9</v>
      </c>
      <c r="B33" s="770"/>
      <c r="C33" s="770"/>
      <c r="D33" s="770"/>
      <c r="E33" s="770"/>
      <c r="F33" s="770"/>
      <c r="G33" s="770"/>
    </row>
    <row r="34" spans="1:7" x14ac:dyDescent="0.2">
      <c r="A34" s="770"/>
      <c r="B34" s="770"/>
      <c r="C34" s="770"/>
      <c r="D34" s="770"/>
      <c r="E34" s="770"/>
      <c r="F34" s="770"/>
      <c r="G34" s="770"/>
    </row>
  </sheetData>
  <mergeCells count="17"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34:G34"/>
    <mergeCell ref="A27:G27"/>
    <mergeCell ref="A30:F30"/>
    <mergeCell ref="A31:G31"/>
    <mergeCell ref="A32:G32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view="pageBreakPreview" zoomScale="140" zoomScaleSheetLayoutView="140" workbookViewId="0">
      <selection activeCell="H15" sqref="H15"/>
    </sheetView>
  </sheetViews>
  <sheetFormatPr baseColWidth="10" defaultColWidth="11.42578125" defaultRowHeight="12.75" x14ac:dyDescent="0.2"/>
  <cols>
    <col min="1" max="1" width="4.5703125" style="24" customWidth="1"/>
    <col min="2" max="2" width="4.42578125" style="24" customWidth="1"/>
    <col min="3" max="4" width="4.5703125" style="24" customWidth="1"/>
    <col min="5" max="5" width="6.140625" style="24" customWidth="1"/>
    <col min="6" max="6" width="8.7109375" style="24" customWidth="1"/>
    <col min="7" max="7" width="45.7109375" style="19" customWidth="1"/>
    <col min="8" max="8" width="18.5703125" style="4" customWidth="1"/>
    <col min="9" max="10" width="11.42578125" style="21"/>
    <col min="11" max="11" width="13" style="21" bestFit="1" customWidth="1"/>
    <col min="12" max="16384" width="11.42578125" style="21"/>
  </cols>
  <sheetData>
    <row r="1" spans="1:9" ht="18" x14ac:dyDescent="0.25">
      <c r="A1" s="806" t="s">
        <v>412</v>
      </c>
      <c r="B1" s="807"/>
      <c r="C1" s="807"/>
      <c r="D1" s="807"/>
      <c r="E1" s="807"/>
      <c r="F1" s="807"/>
      <c r="G1" s="807"/>
      <c r="H1" s="807"/>
      <c r="I1" s="5"/>
    </row>
    <row r="2" spans="1:9" ht="18" x14ac:dyDescent="0.25">
      <c r="A2" s="814" t="s">
        <v>411</v>
      </c>
      <c r="B2" s="814"/>
      <c r="C2" s="814"/>
      <c r="D2" s="814"/>
      <c r="E2" s="814"/>
      <c r="F2" s="814"/>
      <c r="G2" s="814"/>
      <c r="H2" s="814"/>
      <c r="I2" s="5"/>
    </row>
    <row r="3" spans="1:9" ht="15.75" x14ac:dyDescent="0.2">
      <c r="A3" s="808" t="s">
        <v>227</v>
      </c>
      <c r="B3" s="809"/>
      <c r="C3" s="809"/>
      <c r="D3" s="809"/>
      <c r="E3" s="809"/>
      <c r="F3" s="809"/>
      <c r="G3" s="809"/>
      <c r="H3" s="809"/>
    </row>
    <row r="4" spans="1:9" ht="15.75" x14ac:dyDescent="0.2">
      <c r="A4" s="808" t="s">
        <v>605</v>
      </c>
      <c r="B4" s="809"/>
      <c r="C4" s="809"/>
      <c r="D4" s="809"/>
      <c r="E4" s="809"/>
      <c r="F4" s="809"/>
      <c r="G4" s="809"/>
      <c r="H4" s="809"/>
    </row>
    <row r="5" spans="1:9" ht="15" x14ac:dyDescent="0.2">
      <c r="A5" s="810" t="s">
        <v>13</v>
      </c>
      <c r="B5" s="811"/>
      <c r="C5" s="811"/>
      <c r="D5" s="811"/>
      <c r="E5" s="811"/>
      <c r="F5" s="811"/>
      <c r="G5" s="811"/>
      <c r="H5" s="811"/>
    </row>
    <row r="6" spans="1:9" ht="8.25" customHeight="1" x14ac:dyDescent="0.25">
      <c r="A6" s="796"/>
      <c r="B6" s="797"/>
      <c r="C6" s="797"/>
      <c r="D6" s="797"/>
      <c r="E6" s="797"/>
      <c r="F6" s="797"/>
      <c r="G6" s="797"/>
      <c r="H6" s="797"/>
    </row>
    <row r="7" spans="1:9" ht="15.75" x14ac:dyDescent="0.25">
      <c r="A7" s="798" t="s">
        <v>228</v>
      </c>
      <c r="B7" s="798"/>
      <c r="C7" s="798"/>
      <c r="D7" s="798"/>
      <c r="E7" s="798"/>
      <c r="F7" s="798"/>
      <c r="G7" s="798"/>
      <c r="H7" s="798"/>
    </row>
    <row r="8" spans="1:9" ht="16.5" thickBot="1" x14ac:dyDescent="0.3">
      <c r="A8" s="799" t="s">
        <v>245</v>
      </c>
      <c r="B8" s="799"/>
      <c r="C8" s="799"/>
      <c r="D8" s="799"/>
      <c r="E8" s="799"/>
      <c r="F8" s="799"/>
      <c r="G8" s="799"/>
      <c r="H8" s="799"/>
    </row>
    <row r="9" spans="1:9" ht="15.75" thickBot="1" x14ac:dyDescent="0.3">
      <c r="A9" s="812" t="s">
        <v>0</v>
      </c>
      <c r="B9" s="813"/>
      <c r="C9" s="813"/>
      <c r="D9" s="813"/>
      <c r="E9" s="813"/>
      <c r="F9" s="813"/>
      <c r="G9" s="815" t="s">
        <v>180</v>
      </c>
      <c r="H9" s="817" t="s">
        <v>181</v>
      </c>
    </row>
    <row r="10" spans="1:9" ht="200.25" customHeight="1" thickBot="1" x14ac:dyDescent="0.25">
      <c r="A10" s="242" t="s">
        <v>171</v>
      </c>
      <c r="B10" s="243" t="s">
        <v>172</v>
      </c>
      <c r="C10" s="243" t="s">
        <v>143</v>
      </c>
      <c r="D10" s="243" t="s">
        <v>174</v>
      </c>
      <c r="E10" s="244"/>
      <c r="F10" s="245" t="s">
        <v>118</v>
      </c>
      <c r="G10" s="816"/>
      <c r="H10" s="818"/>
    </row>
    <row r="11" spans="1:9" ht="15.75" customHeight="1" x14ac:dyDescent="0.2">
      <c r="A11" s="9">
        <v>3</v>
      </c>
      <c r="B11" s="10" t="s">
        <v>53</v>
      </c>
      <c r="C11" s="10" t="s">
        <v>53</v>
      </c>
      <c r="D11" s="10" t="s">
        <v>108</v>
      </c>
      <c r="E11" s="10"/>
      <c r="F11" s="154">
        <v>61102</v>
      </c>
      <c r="G11" s="169" t="s">
        <v>395</v>
      </c>
      <c r="H11" s="165">
        <v>0</v>
      </c>
    </row>
    <row r="12" spans="1:9" ht="15.75" customHeight="1" x14ac:dyDescent="0.2">
      <c r="A12" s="8">
        <v>3</v>
      </c>
      <c r="B12" s="1" t="s">
        <v>53</v>
      </c>
      <c r="C12" s="1" t="s">
        <v>53</v>
      </c>
      <c r="D12" s="1" t="s">
        <v>108</v>
      </c>
      <c r="E12" s="10"/>
      <c r="F12" s="154">
        <v>61105</v>
      </c>
      <c r="G12" s="146" t="s">
        <v>398</v>
      </c>
      <c r="H12" s="14">
        <v>0</v>
      </c>
    </row>
    <row r="13" spans="1:9" ht="15.75" customHeight="1" x14ac:dyDescent="0.2">
      <c r="A13" s="8">
        <v>3</v>
      </c>
      <c r="B13" s="1" t="s">
        <v>53</v>
      </c>
      <c r="C13" s="1" t="s">
        <v>53</v>
      </c>
      <c r="D13" s="1" t="s">
        <v>108</v>
      </c>
      <c r="E13" s="10"/>
      <c r="F13" s="154">
        <v>61501</v>
      </c>
      <c r="G13" s="146" t="s">
        <v>405</v>
      </c>
      <c r="H13" s="14"/>
    </row>
    <row r="14" spans="1:9" ht="15.75" customHeight="1" x14ac:dyDescent="0.2">
      <c r="A14" s="8">
        <v>3</v>
      </c>
      <c r="B14" s="1" t="s">
        <v>53</v>
      </c>
      <c r="C14" s="1" t="s">
        <v>53</v>
      </c>
      <c r="D14" s="1" t="s">
        <v>108</v>
      </c>
      <c r="E14" s="10"/>
      <c r="F14" s="154">
        <v>61599</v>
      </c>
      <c r="G14" s="146" t="s">
        <v>404</v>
      </c>
      <c r="H14" s="14"/>
    </row>
    <row r="15" spans="1:9" ht="15.75" customHeight="1" x14ac:dyDescent="0.2">
      <c r="A15" s="8">
        <v>3</v>
      </c>
      <c r="B15" s="1" t="s">
        <v>53</v>
      </c>
      <c r="C15" s="1" t="s">
        <v>53</v>
      </c>
      <c r="D15" s="1" t="s">
        <v>108</v>
      </c>
      <c r="E15" s="10"/>
      <c r="F15" s="154">
        <v>61601</v>
      </c>
      <c r="G15" s="146" t="s">
        <v>399</v>
      </c>
      <c r="H15" s="14">
        <v>307500</v>
      </c>
    </row>
    <row r="16" spans="1:9" ht="15.75" customHeight="1" x14ac:dyDescent="0.2">
      <c r="A16" s="8">
        <v>3</v>
      </c>
      <c r="B16" s="1" t="s">
        <v>53</v>
      </c>
      <c r="C16" s="1" t="s">
        <v>53</v>
      </c>
      <c r="D16" s="1" t="s">
        <v>108</v>
      </c>
      <c r="E16" s="10"/>
      <c r="F16" s="154">
        <v>61602</v>
      </c>
      <c r="G16" s="146" t="s">
        <v>400</v>
      </c>
      <c r="H16" s="14"/>
    </row>
    <row r="17" spans="1:11" ht="15.75" customHeight="1" x14ac:dyDescent="0.2">
      <c r="A17" s="8">
        <v>3</v>
      </c>
      <c r="B17" s="1" t="s">
        <v>53</v>
      </c>
      <c r="C17" s="1" t="s">
        <v>53</v>
      </c>
      <c r="D17" s="1" t="s">
        <v>108</v>
      </c>
      <c r="E17" s="10"/>
      <c r="F17" s="154">
        <v>61603</v>
      </c>
      <c r="G17" s="146" t="s">
        <v>401</v>
      </c>
      <c r="H17" s="14">
        <v>0</v>
      </c>
    </row>
    <row r="18" spans="1:11" ht="15.75" customHeight="1" x14ac:dyDescent="0.2">
      <c r="A18" s="8">
        <v>3</v>
      </c>
      <c r="B18" s="1" t="s">
        <v>53</v>
      </c>
      <c r="C18" s="1" t="s">
        <v>53</v>
      </c>
      <c r="D18" s="1" t="s">
        <v>108</v>
      </c>
      <c r="E18" s="10"/>
      <c r="F18" s="154">
        <v>61606</v>
      </c>
      <c r="G18" s="146" t="s">
        <v>402</v>
      </c>
      <c r="H18" s="14">
        <v>192500</v>
      </c>
    </row>
    <row r="19" spans="1:11" ht="15.75" customHeight="1" x14ac:dyDescent="0.2">
      <c r="A19" s="8">
        <v>3</v>
      </c>
      <c r="B19" s="1" t="s">
        <v>53</v>
      </c>
      <c r="C19" s="1" t="s">
        <v>53</v>
      </c>
      <c r="D19" s="1" t="s">
        <v>108</v>
      </c>
      <c r="E19" s="10"/>
      <c r="F19" s="154">
        <v>61608</v>
      </c>
      <c r="G19" s="146" t="s">
        <v>403</v>
      </c>
      <c r="H19" s="14"/>
    </row>
    <row r="20" spans="1:11" ht="15.75" customHeight="1" x14ac:dyDescent="0.2">
      <c r="A20" s="8">
        <v>3</v>
      </c>
      <c r="B20" s="1" t="s">
        <v>53</v>
      </c>
      <c r="C20" s="1" t="s">
        <v>53</v>
      </c>
      <c r="D20" s="1" t="s">
        <v>108</v>
      </c>
      <c r="E20" s="10"/>
      <c r="F20" s="154">
        <v>61699</v>
      </c>
      <c r="G20" s="146" t="s">
        <v>397</v>
      </c>
      <c r="H20" s="14"/>
    </row>
    <row r="21" spans="1:11" ht="15.75" customHeight="1" x14ac:dyDescent="0.2">
      <c r="A21" s="8"/>
      <c r="B21" s="1"/>
      <c r="C21" s="1"/>
      <c r="D21" s="1"/>
      <c r="E21" s="10"/>
      <c r="F21" s="167"/>
      <c r="G21" s="147"/>
      <c r="H21" s="14"/>
      <c r="J21" s="21">
        <v>61</v>
      </c>
      <c r="K21" s="134">
        <f>SUM(H13:H20)</f>
        <v>500000</v>
      </c>
    </row>
    <row r="22" spans="1:11" ht="15.75" customHeight="1" x14ac:dyDescent="0.2">
      <c r="A22" s="8"/>
      <c r="B22" s="1"/>
      <c r="C22" s="1"/>
      <c r="D22" s="1"/>
      <c r="E22" s="10"/>
      <c r="F22" s="167"/>
      <c r="G22" s="147"/>
      <c r="H22" s="14">
        <v>0</v>
      </c>
      <c r="I22" s="21">
        <v>5000</v>
      </c>
    </row>
    <row r="23" spans="1:11" ht="15.75" customHeight="1" x14ac:dyDescent="0.2">
      <c r="A23" s="8"/>
      <c r="B23" s="1"/>
      <c r="C23" s="1"/>
      <c r="D23" s="1"/>
      <c r="E23" s="10"/>
      <c r="F23" s="167"/>
      <c r="G23" s="147"/>
      <c r="H23" s="14"/>
    </row>
    <row r="24" spans="1:11" ht="15.75" customHeight="1" x14ac:dyDescent="0.2">
      <c r="A24" s="8"/>
      <c r="B24" s="1"/>
      <c r="C24" s="1"/>
      <c r="D24" s="1"/>
      <c r="E24" s="10"/>
      <c r="F24" s="167"/>
      <c r="G24" s="147"/>
      <c r="H24" s="14">
        <v>0</v>
      </c>
      <c r="I24" s="21">
        <v>5000</v>
      </c>
    </row>
    <row r="25" spans="1:11" ht="15.75" customHeight="1" x14ac:dyDescent="0.2">
      <c r="A25" s="8"/>
      <c r="B25" s="1"/>
      <c r="C25" s="1"/>
      <c r="D25" s="1"/>
      <c r="E25" s="10"/>
      <c r="F25" s="167"/>
      <c r="G25" s="147"/>
      <c r="H25" s="14"/>
      <c r="I25" s="21">
        <v>62727</v>
      </c>
    </row>
    <row r="26" spans="1:11" ht="15.75" customHeight="1" thickBot="1" x14ac:dyDescent="0.25">
      <c r="A26" s="17"/>
      <c r="B26" s="15"/>
      <c r="C26" s="15"/>
      <c r="D26" s="15"/>
      <c r="E26" s="15"/>
      <c r="F26" s="168"/>
      <c r="G26" s="148"/>
      <c r="H26" s="166"/>
    </row>
    <row r="27" spans="1:11" ht="29.25" customHeight="1" thickBot="1" x14ac:dyDescent="0.25">
      <c r="A27" s="819" t="s">
        <v>328</v>
      </c>
      <c r="B27" s="820"/>
      <c r="C27" s="820"/>
      <c r="D27" s="820"/>
      <c r="E27" s="820"/>
      <c r="F27" s="820"/>
      <c r="G27" s="821"/>
      <c r="H27" s="246">
        <f>SUM(H15:H18)</f>
        <v>500000</v>
      </c>
    </row>
    <row r="28" spans="1:11" x14ac:dyDescent="0.2">
      <c r="A28" s="22"/>
      <c r="B28" s="22"/>
      <c r="C28" s="22"/>
      <c r="D28" s="22"/>
      <c r="E28" s="22"/>
      <c r="F28" s="22"/>
      <c r="H28" s="37"/>
    </row>
    <row r="29" spans="1:11" ht="15.75" x14ac:dyDescent="0.25">
      <c r="A29" s="22"/>
      <c r="B29" s="22"/>
      <c r="C29" s="22"/>
      <c r="D29" s="22"/>
      <c r="E29" s="22"/>
      <c r="F29" s="22"/>
      <c r="G29" s="38"/>
      <c r="H29" s="132">
        <f>SUM(Ingresos!G50)</f>
        <v>0</v>
      </c>
    </row>
    <row r="30" spans="1:11" ht="19.5" customHeight="1" thickBot="1" x14ac:dyDescent="0.3">
      <c r="A30" s="779" t="s">
        <v>14</v>
      </c>
      <c r="B30" s="779"/>
      <c r="C30" s="779"/>
      <c r="D30" s="779"/>
      <c r="E30" s="779"/>
      <c r="F30" s="779"/>
      <c r="H30" s="133">
        <f>SUM(H27-H29)</f>
        <v>500000</v>
      </c>
    </row>
    <row r="31" spans="1:11" ht="15.75" thickTop="1" x14ac:dyDescent="0.25">
      <c r="A31" s="770" t="s">
        <v>2</v>
      </c>
      <c r="B31" s="770"/>
      <c r="C31" s="770"/>
      <c r="D31" s="770"/>
      <c r="E31" s="770"/>
      <c r="F31" s="770"/>
      <c r="G31" s="770"/>
      <c r="H31" s="132"/>
    </row>
    <row r="32" spans="1:11" ht="15" x14ac:dyDescent="0.25">
      <c r="A32" s="770" t="s">
        <v>8</v>
      </c>
      <c r="B32" s="770"/>
      <c r="C32" s="770"/>
      <c r="D32" s="770"/>
      <c r="E32" s="770"/>
      <c r="F32" s="770"/>
      <c r="G32" s="770"/>
      <c r="H32" s="132"/>
    </row>
    <row r="33" spans="1:8" ht="15" x14ac:dyDescent="0.25">
      <c r="A33" s="770" t="s">
        <v>9</v>
      </c>
      <c r="B33" s="770"/>
      <c r="C33" s="770"/>
      <c r="D33" s="770"/>
      <c r="E33" s="770"/>
      <c r="F33" s="770"/>
      <c r="G33" s="770"/>
      <c r="H33" s="132"/>
    </row>
    <row r="34" spans="1:8" ht="15" x14ac:dyDescent="0.25">
      <c r="A34" s="770"/>
      <c r="B34" s="770"/>
      <c r="C34" s="770"/>
      <c r="D34" s="770"/>
      <c r="E34" s="770"/>
      <c r="F34" s="770"/>
      <c r="G34" s="770"/>
      <c r="H34" s="132"/>
    </row>
    <row r="35" spans="1:8" ht="15" x14ac:dyDescent="0.25">
      <c r="H35" s="132"/>
    </row>
    <row r="36" spans="1:8" ht="15" x14ac:dyDescent="0.25">
      <c r="H36" s="132"/>
    </row>
    <row r="37" spans="1:8" ht="15" x14ac:dyDescent="0.25">
      <c r="H37" s="132"/>
    </row>
    <row r="38" spans="1:8" ht="15" x14ac:dyDescent="0.25">
      <c r="H38" s="132"/>
    </row>
    <row r="39" spans="1:8" ht="15" x14ac:dyDescent="0.25">
      <c r="H39" s="132"/>
    </row>
    <row r="40" spans="1:8" ht="15" x14ac:dyDescent="0.25">
      <c r="H40" s="132"/>
    </row>
    <row r="41" spans="1:8" ht="15" x14ac:dyDescent="0.25">
      <c r="H41" s="132"/>
    </row>
    <row r="42" spans="1:8" ht="15" x14ac:dyDescent="0.25">
      <c r="H42" s="132"/>
    </row>
  </sheetData>
  <mergeCells count="17"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31:G31"/>
    <mergeCell ref="A32:G32"/>
    <mergeCell ref="A30:F30"/>
    <mergeCell ref="A7:H7"/>
    <mergeCell ref="A8:H8"/>
    <mergeCell ref="A9:F9"/>
    <mergeCell ref="G9:G10"/>
    <mergeCell ref="H9:H10"/>
  </mergeCells>
  <printOptions horizontalCentered="1"/>
  <pageMargins left="0.59055118110236227" right="0.35433070866141736" top="0.9448818897637796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14</vt:i4>
      </vt:variant>
    </vt:vector>
  </HeadingPairs>
  <TitlesOfParts>
    <vt:vector size="34" baseType="lpstr">
      <vt:lpstr>Estructura</vt:lpstr>
      <vt:lpstr>Rubros</vt:lpstr>
      <vt:lpstr>Ingresos</vt:lpstr>
      <vt:lpstr>Egresos F.P. </vt:lpstr>
      <vt:lpstr>Egr. FODES 25%</vt:lpstr>
      <vt:lpstr>Egr.FODES 75%</vt:lpstr>
      <vt:lpstr>Deuda Pub 75%</vt:lpstr>
      <vt:lpstr>FISDL</vt:lpstr>
      <vt:lpstr>Ejec. Prestamo</vt:lpstr>
      <vt:lpstr>Dietas</vt:lpstr>
      <vt:lpstr>auxiliares</vt:lpstr>
      <vt:lpstr>Hoja1</vt:lpstr>
      <vt:lpstr>ESPECIFICOPROYECTOS</vt:lpstr>
      <vt:lpstr>ANALISIS</vt:lpstr>
      <vt:lpstr>analisis deuda</vt:lpstr>
      <vt:lpstr>proyectos</vt:lpstr>
      <vt:lpstr>Hoja5</vt:lpstr>
      <vt:lpstr>Hoja4</vt:lpstr>
      <vt:lpstr>Hoja2</vt:lpstr>
      <vt:lpstr>Hoja3</vt:lpstr>
      <vt:lpstr>'Deuda Pub 75%'!Área_de_impresión</vt:lpstr>
      <vt:lpstr>'Egr. FODES 25%'!Área_de_impresión</vt:lpstr>
      <vt:lpstr>'Egr.FODES 75%'!Área_de_impresión</vt:lpstr>
      <vt:lpstr>'Egresos F.P. '!Área_de_impresión</vt:lpstr>
      <vt:lpstr>'Ejec. Prestamo'!Área_de_impresión</vt:lpstr>
      <vt:lpstr>FISDL!Área_de_impresión</vt:lpstr>
      <vt:lpstr>Ingresos!Área_de_impresión</vt:lpstr>
      <vt:lpstr>proyectos!Área_de_impresión</vt:lpstr>
      <vt:lpstr>Estructura!ESTRUCTURA</vt:lpstr>
      <vt:lpstr>ANALISIS!Títulos_a_imprimir</vt:lpstr>
      <vt:lpstr>'Egr. FODES 25%'!Títulos_a_imprimir</vt:lpstr>
      <vt:lpstr>'Egr.FODES 75%'!Títulos_a_imprimir</vt:lpstr>
      <vt:lpstr>'Egresos F.P. 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UAIP</cp:lastModifiedBy>
  <cp:lastPrinted>2020-01-21T16:44:44Z</cp:lastPrinted>
  <dcterms:created xsi:type="dcterms:W3CDTF">2007-07-18T15:13:44Z</dcterms:created>
  <dcterms:modified xsi:type="dcterms:W3CDTF">2020-06-18T20:58:14Z</dcterms:modified>
</cp:coreProperties>
</file>