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opietario\Desktop\informacion oficiosa enero 2019\POAS 2019\"/>
    </mc:Choice>
  </mc:AlternateContent>
  <xr:revisionPtr revIDLastSave="0" documentId="8_{248DAF67-DF71-4BF8-ACC5-476F162C7158}" xr6:coauthVersionLast="40" xr6:coauthVersionMax="40" xr10:uidLastSave="{00000000-0000-0000-0000-000000000000}"/>
  <workbookProtection workbookAlgorithmName="SHA-512" workbookHashValue="ofNnchKNcCzIDao8goyzqKI4VpvyjrZoEEw84Z1eZYivhAzSqIZsendm22krYY1cvwnxM/Jrq8eRFPJtq4NWkw==" workbookSaltValue="Xl4scyQe+azdBs4S1tT+bA==" workbookSpinCount="100000" lockStructure="1"/>
  <bookViews>
    <workbookView xWindow="0" yWindow="0" windowWidth="20490" windowHeight="7245" tabRatio="903" xr2:uid="{00000000-000D-0000-FFFF-FFFF00000000}"/>
  </bookViews>
  <sheets>
    <sheet name="Estructura" sheetId="56" r:id="rId1"/>
    <sheet name="Rubros" sheetId="57" r:id="rId2"/>
    <sheet name="Ingresos" sheetId="16" r:id="rId3"/>
    <sheet name="Egresos F.P. " sheetId="12" r:id="rId4"/>
    <sheet name="Egr. FODES 25%" sheetId="20" r:id="rId5"/>
    <sheet name="Egr.FODES 75%" sheetId="58" r:id="rId6"/>
    <sheet name="Deuda Pub 75%" sheetId="15" r:id="rId7"/>
    <sheet name="Ejec. Prestamo" sheetId="59" r:id="rId8"/>
    <sheet name="Dietas" sheetId="27" state="hidden" r:id="rId9"/>
    <sheet name="auxiliares" sheetId="61" state="hidden" r:id="rId10"/>
    <sheet name="ESPECIFICOPROYECTOS" sheetId="66" r:id="rId11"/>
    <sheet name="ANALISIS" sheetId="64" r:id="rId12"/>
    <sheet name="analisis deuda" sheetId="65" r:id="rId13"/>
    <sheet name="proyectos" sheetId="67" r:id="rId14"/>
  </sheets>
  <definedNames>
    <definedName name="_xlnm._FilterDatabase" localSheetId="4" hidden="1">'Egr. FODES 25%'!$A$7:$L$10</definedName>
    <definedName name="_xlnm._FilterDatabase" localSheetId="2" hidden="1">Ingresos!$A$1:$I$49</definedName>
    <definedName name="_xlnm.Print_Area" localSheetId="6">'Deuda Pub 75%'!$A$1:$H$18</definedName>
    <definedName name="_xlnm.Print_Area" localSheetId="4">'Egr. FODES 25%'!$A$1:$L$60</definedName>
    <definedName name="_xlnm.Print_Area" localSheetId="5">'Egr.FODES 75%'!$A$1:$I$68</definedName>
    <definedName name="_xlnm.Print_Area" localSheetId="3">'Egresos F.P. '!$A$1:$L$82</definedName>
    <definedName name="_xlnm.Print_Area" localSheetId="7">'Ejec. Prestamo'!$A$1:$H$27</definedName>
    <definedName name="_xlnm.Print_Area" localSheetId="2">Ingresos!$A$1:$I$49</definedName>
    <definedName name="_xlnm.Print_Area" localSheetId="13">proyectos!$A$1:$E$78</definedName>
    <definedName name="ESTRUCTURA" localSheetId="0">Estructura!$A$4</definedName>
    <definedName name="_xlnm.Print_Titles" localSheetId="11">ANALISIS!$5:$6</definedName>
    <definedName name="_xlnm.Print_Titles" localSheetId="4">'Egr. FODES 25%'!$1:$10</definedName>
    <definedName name="_xlnm.Print_Titles" localSheetId="5">'Egr.FODES 75%'!$8:$9</definedName>
    <definedName name="_xlnm.Print_Titles" localSheetId="3">'Egresos F.P. '!$1:$9</definedName>
    <definedName name="_xlnm.Print_Titles" localSheetId="2">Ingresos!$1:$8</definedName>
  </definedNames>
  <calcPr calcId="181029"/>
</workbook>
</file>

<file path=xl/calcChain.xml><?xml version="1.0" encoding="utf-8"?>
<calcChain xmlns="http://schemas.openxmlformats.org/spreadsheetml/2006/main">
  <c r="F29" i="58" l="1"/>
  <c r="A412" i="66"/>
  <c r="H423" i="66"/>
  <c r="E61" i="67"/>
  <c r="H397" i="66" l="1"/>
  <c r="A386" i="66"/>
  <c r="A383" i="66" s="1"/>
  <c r="A356" i="66"/>
  <c r="A359" i="66" s="1"/>
  <c r="H370" i="66"/>
  <c r="A333" i="66"/>
  <c r="A336" i="66" s="1"/>
  <c r="H343" i="66"/>
  <c r="H318" i="66"/>
  <c r="A296" i="66"/>
  <c r="A299" i="66" s="1"/>
  <c r="H283" i="66"/>
  <c r="A268" i="66"/>
  <c r="A271" i="66" s="1"/>
  <c r="AZ13" i="67"/>
  <c r="H255" i="66"/>
  <c r="A243" i="66"/>
  <c r="A246" i="66" s="1"/>
  <c r="H232" i="66" l="1"/>
  <c r="A222" i="66"/>
  <c r="A225" i="66" s="1"/>
  <c r="A201" i="66"/>
  <c r="A204" i="66" s="1"/>
  <c r="H186" i="66"/>
  <c r="A178" i="66"/>
  <c r="A181" i="66" s="1"/>
  <c r="H165" i="66"/>
  <c r="A157" i="66"/>
  <c r="A160" i="66" s="1"/>
  <c r="H142" i="66"/>
  <c r="A130" i="66"/>
  <c r="A133" i="66" s="1"/>
  <c r="A107" i="66"/>
  <c r="A110" i="66" s="1"/>
  <c r="H121" i="66"/>
  <c r="H94" i="66"/>
  <c r="A82" i="66"/>
  <c r="A85" i="66" s="1"/>
  <c r="A61" i="66"/>
  <c r="A58" i="66" s="1"/>
  <c r="H39" i="66"/>
  <c r="H43" i="66" l="1"/>
  <c r="H41" i="66"/>
  <c r="H40" i="66"/>
  <c r="H14" i="66"/>
  <c r="H13" i="66"/>
  <c r="A36" i="66"/>
  <c r="A33" i="66" s="1"/>
  <c r="A10" i="66"/>
  <c r="H45" i="66" l="1"/>
  <c r="E68" i="67"/>
  <c r="E66" i="67"/>
  <c r="H27" i="59"/>
  <c r="F59" i="58"/>
  <c r="G46" i="58"/>
  <c r="F63" i="58"/>
  <c r="G58" i="58"/>
  <c r="F57" i="58"/>
  <c r="AY63" i="67"/>
  <c r="AX63" i="67"/>
  <c r="AW63" i="67"/>
  <c r="G51" i="58" s="1"/>
  <c r="AV63" i="67"/>
  <c r="AU63" i="67"/>
  <c r="AT63" i="67"/>
  <c r="F24" i="58" s="1"/>
  <c r="AS63" i="67"/>
  <c r="AR63" i="67"/>
  <c r="AQ63" i="67"/>
  <c r="AP63" i="67"/>
  <c r="AO63" i="67"/>
  <c r="AN63" i="67"/>
  <c r="AM63" i="67"/>
  <c r="AL63" i="67"/>
  <c r="G47" i="58" s="1"/>
  <c r="AK63" i="67"/>
  <c r="AJ63" i="67"/>
  <c r="AI63" i="67"/>
  <c r="G52" i="58" s="1"/>
  <c r="AH63" i="67"/>
  <c r="AG63" i="67"/>
  <c r="AF63" i="67"/>
  <c r="G41" i="58" s="1"/>
  <c r="AE63" i="67"/>
  <c r="G36" i="58" s="1"/>
  <c r="AD63" i="67"/>
  <c r="AC63" i="67"/>
  <c r="AB63" i="67"/>
  <c r="G30" i="58" s="1"/>
  <c r="AA63" i="67"/>
  <c r="Z63" i="67"/>
  <c r="Y63" i="67"/>
  <c r="X63" i="67"/>
  <c r="W63" i="67"/>
  <c r="V63" i="67"/>
  <c r="U63" i="67"/>
  <c r="T63" i="67"/>
  <c r="G25" i="58" s="1"/>
  <c r="S63" i="67"/>
  <c r="F23" i="58" s="1"/>
  <c r="R63" i="67"/>
  <c r="Q63" i="67"/>
  <c r="G20" i="58" s="1"/>
  <c r="P63" i="67"/>
  <c r="O63" i="67"/>
  <c r="N63" i="67"/>
  <c r="M63" i="67"/>
  <c r="G15" i="58" s="1"/>
  <c r="L63" i="67"/>
  <c r="F14" i="58" s="1"/>
  <c r="K63" i="67"/>
  <c r="J63" i="67"/>
  <c r="I63" i="67"/>
  <c r="G13" i="58" s="1"/>
  <c r="H63" i="67"/>
  <c r="G12" i="58" s="1"/>
  <c r="G63" i="67"/>
  <c r="G11" i="58" s="1"/>
  <c r="F63" i="67"/>
  <c r="G10" i="58" s="1"/>
  <c r="E31" i="67"/>
  <c r="E30" i="67"/>
  <c r="E29" i="67"/>
  <c r="E28" i="67"/>
  <c r="E63" i="67" l="1"/>
  <c r="E26" i="67" l="1"/>
  <c r="E15" i="67"/>
  <c r="E14" i="67"/>
  <c r="E13" i="67"/>
  <c r="E12" i="67"/>
  <c r="E11" i="67"/>
  <c r="E10" i="67"/>
  <c r="E9" i="67"/>
  <c r="AZ10" i="67"/>
  <c r="BA10" i="67"/>
  <c r="D48" i="67"/>
  <c r="C48" i="67"/>
  <c r="A6" i="67"/>
  <c r="A7" i="67" s="1"/>
  <c r="A8" i="67" s="1"/>
  <c r="A9" i="67" s="1"/>
  <c r="A10" i="67" s="1"/>
  <c r="A11" i="67" s="1"/>
  <c r="A12" i="67" s="1"/>
  <c r="A13" i="67" s="1"/>
  <c r="A14" i="67" s="1"/>
  <c r="F44" i="12"/>
  <c r="L69" i="12"/>
  <c r="L77" i="12"/>
  <c r="A15" i="67" l="1"/>
  <c r="A16" i="67" s="1"/>
  <c r="A17" i="67" s="1"/>
  <c r="A18" i="67" s="1"/>
  <c r="A19" i="67" s="1"/>
  <c r="A20" i="67" s="1"/>
  <c r="A21" i="67" s="1"/>
  <c r="A22" i="67" s="1"/>
  <c r="A26" i="67" s="1"/>
  <c r="D52" i="67"/>
  <c r="C20" i="67"/>
  <c r="C23" i="67" s="1"/>
  <c r="C64" i="67" s="1"/>
  <c r="C25" i="57" l="1"/>
  <c r="I65" i="58"/>
  <c r="C37" i="64"/>
  <c r="F29" i="12" l="1"/>
  <c r="F58" i="20" l="1"/>
  <c r="F35" i="20"/>
  <c r="C42" i="16"/>
  <c r="D43" i="16"/>
  <c r="E7" i="64" l="1"/>
  <c r="C26" i="64" l="1"/>
  <c r="K18" i="12" l="1"/>
  <c r="K17" i="12"/>
  <c r="E19" i="64" l="1"/>
  <c r="E20" i="64"/>
  <c r="E21" i="64"/>
  <c r="E22" i="64"/>
  <c r="E23" i="64"/>
  <c r="E24" i="64"/>
  <c r="E26" i="64"/>
  <c r="E27" i="64"/>
  <c r="E28" i="64"/>
  <c r="E29" i="64"/>
  <c r="E30" i="64"/>
  <c r="E31" i="64"/>
  <c r="E32" i="64"/>
  <c r="E33" i="64"/>
  <c r="E34" i="64"/>
  <c r="E37" i="64"/>
  <c r="E17" i="64"/>
  <c r="E16" i="64"/>
  <c r="E15" i="64"/>
  <c r="E14" i="64"/>
  <c r="E13" i="64"/>
  <c r="E12" i="64"/>
  <c r="E11" i="64"/>
  <c r="E10" i="64"/>
  <c r="E9" i="64"/>
  <c r="E8" i="64"/>
  <c r="F34" i="20" l="1"/>
  <c r="D9" i="67"/>
  <c r="J18" i="12"/>
  <c r="H18" i="12"/>
  <c r="G18" i="12"/>
  <c r="J17" i="12"/>
  <c r="H17" i="12"/>
  <c r="G17" i="12"/>
  <c r="F10" i="12" l="1"/>
  <c r="K11" i="12"/>
  <c r="J11" i="12"/>
  <c r="H11" i="12"/>
  <c r="G11" i="12"/>
  <c r="F11" i="12"/>
  <c r="F17" i="12" l="1"/>
  <c r="F18" i="12"/>
  <c r="AZ8" i="67"/>
  <c r="E8" i="67"/>
  <c r="F37" i="64" l="1"/>
  <c r="F29" i="64"/>
  <c r="F21" i="64"/>
  <c r="F13" i="64"/>
  <c r="E43" i="64"/>
  <c r="E42" i="64"/>
  <c r="E41" i="64"/>
  <c r="F41" i="64" s="1"/>
  <c r="E40" i="64"/>
  <c r="F40" i="64" s="1"/>
  <c r="E39" i="64"/>
  <c r="F39" i="64" s="1"/>
  <c r="E38" i="64"/>
  <c r="F38" i="64" s="1"/>
  <c r="E36" i="64"/>
  <c r="F36" i="64" s="1"/>
  <c r="E35" i="64"/>
  <c r="F35" i="64" s="1"/>
  <c r="F34" i="64"/>
  <c r="F33" i="64"/>
  <c r="F32" i="64"/>
  <c r="F31" i="64"/>
  <c r="F30" i="64"/>
  <c r="F28" i="64"/>
  <c r="F27" i="64"/>
  <c r="F26" i="64"/>
  <c r="E25" i="64"/>
  <c r="F25" i="64" s="1"/>
  <c r="F24" i="64"/>
  <c r="F23" i="64"/>
  <c r="F22" i="64"/>
  <c r="F20" i="64"/>
  <c r="F19" i="64"/>
  <c r="E18" i="64"/>
  <c r="F18" i="64" s="1"/>
  <c r="F17" i="64"/>
  <c r="F16" i="64"/>
  <c r="F15" i="64"/>
  <c r="F14" i="64"/>
  <c r="F12" i="64"/>
  <c r="F11" i="64"/>
  <c r="F10" i="64"/>
  <c r="F9" i="64"/>
  <c r="F8" i="64"/>
  <c r="F7" i="64"/>
  <c r="C44" i="64"/>
  <c r="I63" i="58" l="1"/>
  <c r="I62" i="58"/>
  <c r="I61" i="58"/>
  <c r="I60" i="58"/>
  <c r="I59" i="58"/>
  <c r="I58" i="58"/>
  <c r="I57" i="58"/>
  <c r="I56" i="58"/>
  <c r="I54" i="58"/>
  <c r="I53" i="58"/>
  <c r="I50" i="58"/>
  <c r="I45" i="58"/>
  <c r="I44" i="58"/>
  <c r="I42" i="58"/>
  <c r="I40" i="58"/>
  <c r="I39" i="58"/>
  <c r="I38" i="58"/>
  <c r="I37" i="58"/>
  <c r="I35" i="58"/>
  <c r="I33" i="58"/>
  <c r="I32" i="58"/>
  <c r="I31" i="58"/>
  <c r="I29" i="58"/>
  <c r="I26" i="58"/>
  <c r="I25" i="58"/>
  <c r="I21" i="58"/>
  <c r="I20" i="58"/>
  <c r="I19" i="58"/>
  <c r="I18" i="58"/>
  <c r="I16" i="58"/>
  <c r="I13" i="58"/>
  <c r="I12" i="58"/>
  <c r="I11" i="58"/>
  <c r="I10" i="58"/>
  <c r="F43" i="58"/>
  <c r="F34" i="58"/>
  <c r="I34" i="58" s="1"/>
  <c r="F48" i="58"/>
  <c r="I48" i="58" s="1"/>
  <c r="F49" i="58"/>
  <c r="I49" i="58" s="1"/>
  <c r="F55" i="58"/>
  <c r="I55" i="58" s="1"/>
  <c r="F28" i="58"/>
  <c r="I28" i="58" s="1"/>
  <c r="I14" i="58"/>
  <c r="I46" i="58"/>
  <c r="I52" i="58"/>
  <c r="G43" i="58"/>
  <c r="I36" i="58"/>
  <c r="I30" i="58"/>
  <c r="G27" i="58"/>
  <c r="I27" i="58" s="1"/>
  <c r="G17" i="58"/>
  <c r="I17" i="58" s="1"/>
  <c r="I15" i="58"/>
  <c r="F22" i="58"/>
  <c r="I22" i="58" s="1"/>
  <c r="I41" i="58"/>
  <c r="I47" i="58"/>
  <c r="I23" i="58" l="1"/>
  <c r="J64" i="67"/>
  <c r="N64" i="67"/>
  <c r="T64" i="67"/>
  <c r="AB64" i="67"/>
  <c r="AN64" i="67"/>
  <c r="AR64" i="67"/>
  <c r="AO64" i="67"/>
  <c r="I51" i="58"/>
  <c r="F64" i="67"/>
  <c r="P64" i="67"/>
  <c r="AH64" i="67"/>
  <c r="AP64" i="67"/>
  <c r="O64" i="67"/>
  <c r="AY64" i="67"/>
  <c r="G64" i="67"/>
  <c r="Q64" i="67"/>
  <c r="AA64" i="67"/>
  <c r="AI64" i="67"/>
  <c r="AQ64" i="67"/>
  <c r="K64" i="67"/>
  <c r="U64" i="67"/>
  <c r="AC64" i="67"/>
  <c r="AK64" i="67"/>
  <c r="AS64" i="67"/>
  <c r="AJ64" i="67"/>
  <c r="V64" i="67"/>
  <c r="AU64" i="67"/>
  <c r="AW64" i="67"/>
  <c r="M64" i="67"/>
  <c r="AE64" i="67"/>
  <c r="AM64" i="67"/>
  <c r="AV64" i="67"/>
  <c r="L13" i="58"/>
  <c r="AF64" i="67"/>
  <c r="AL64" i="67"/>
  <c r="I43" i="58"/>
  <c r="X64" i="67"/>
  <c r="Z64" i="67"/>
  <c r="AG64" i="67"/>
  <c r="Y64" i="67"/>
  <c r="AD64" i="67"/>
  <c r="W64" i="67"/>
  <c r="R64" i="67"/>
  <c r="L64" i="67"/>
  <c r="BA12" i="67"/>
  <c r="BA11" i="67"/>
  <c r="BA63" i="67" l="1"/>
  <c r="S64" i="67"/>
  <c r="AT64" i="67"/>
  <c r="I24" i="58"/>
  <c r="BA9" i="67"/>
  <c r="BA7" i="67"/>
  <c r="AZ12" i="67"/>
  <c r="AZ11" i="67"/>
  <c r="AZ9" i="67"/>
  <c r="AZ7" i="67"/>
  <c r="E7" i="67" l="1"/>
  <c r="E6" i="67"/>
  <c r="E5" i="67"/>
  <c r="D23" i="67" s="1"/>
  <c r="D24" i="67" s="1"/>
  <c r="E62" i="67" l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71" i="12" s="1"/>
  <c r="A72" i="12" s="1"/>
  <c r="A73" i="12" s="1"/>
  <c r="A74" i="12" s="1"/>
  <c r="A75" i="12" s="1"/>
  <c r="A76" i="12" s="1"/>
  <c r="A79" i="12" s="1"/>
  <c r="A80" i="12" s="1"/>
  <c r="F54" i="20"/>
  <c r="P258" i="65"/>
  <c r="D37" i="64" l="1"/>
  <c r="L59" i="12" l="1"/>
  <c r="L80" i="12"/>
  <c r="L81" i="12"/>
  <c r="L79" i="12"/>
  <c r="L78" i="12"/>
  <c r="L76" i="12"/>
  <c r="L75" i="12"/>
  <c r="L74" i="12"/>
  <c r="L73" i="12"/>
  <c r="L72" i="12"/>
  <c r="L71" i="12"/>
  <c r="L70" i="12"/>
  <c r="L68" i="12"/>
  <c r="L67" i="12"/>
  <c r="L65" i="12"/>
  <c r="L64" i="12"/>
  <c r="L63" i="12"/>
  <c r="L62" i="12"/>
  <c r="L61" i="12"/>
  <c r="L60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6" i="12"/>
  <c r="L15" i="12"/>
  <c r="L14" i="12"/>
  <c r="L13" i="12"/>
  <c r="L12" i="12"/>
  <c r="L11" i="12"/>
  <c r="N67" i="12" l="1"/>
  <c r="N73" i="12"/>
  <c r="N78" i="12"/>
  <c r="A27" i="67" l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G92" i="12"/>
  <c r="L66" i="12" l="1"/>
  <c r="N27" i="12" s="1"/>
  <c r="H10" i="15" l="1"/>
  <c r="F61" i="16" l="1"/>
  <c r="L62" i="58" l="1"/>
  <c r="F76" i="58"/>
  <c r="K14" i="15"/>
  <c r="Q57" i="20"/>
  <c r="I67" i="58" l="1"/>
  <c r="I66" i="58"/>
  <c r="L229" i="65"/>
  <c r="L14" i="58" l="1"/>
  <c r="L31" i="58"/>
  <c r="L12" i="58"/>
  <c r="L10" i="58"/>
  <c r="P52" i="16"/>
  <c r="K82" i="12"/>
  <c r="H82" i="12" l="1"/>
  <c r="I82" i="12"/>
  <c r="J82" i="12"/>
  <c r="G82" i="12"/>
  <c r="L17" i="12"/>
  <c r="L18" i="12"/>
  <c r="L52" i="58" l="1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K60" i="20"/>
  <c r="Q21" i="20"/>
  <c r="P4" i="20"/>
  <c r="P5" i="20" s="1"/>
  <c r="P35" i="20" l="1"/>
  <c r="R11" i="20"/>
  <c r="R14" i="20"/>
  <c r="K41" i="16" l="1"/>
  <c r="O29" i="20"/>
  <c r="O23" i="20"/>
  <c r="F252" i="65" l="1"/>
  <c r="B252" i="65"/>
  <c r="L237" i="65"/>
  <c r="C230" i="65" s="1"/>
  <c r="H238" i="65" s="1"/>
  <c r="C239" i="65" s="1"/>
  <c r="I44" i="64" l="1"/>
  <c r="H44" i="64"/>
  <c r="G44" i="64"/>
  <c r="D239" i="65" l="1"/>
  <c r="H60" i="20"/>
  <c r="O78" i="12"/>
  <c r="I48" i="16"/>
  <c r="K21" i="59"/>
  <c r="L75" i="58"/>
  <c r="J67" i="58"/>
  <c r="J66" i="58"/>
  <c r="J65" i="58"/>
  <c r="J63" i="58"/>
  <c r="J62" i="58"/>
  <c r="J61" i="58"/>
  <c r="J60" i="58"/>
  <c r="J59" i="58"/>
  <c r="J58" i="58"/>
  <c r="J57" i="58"/>
  <c r="J56" i="58"/>
  <c r="J54" i="58"/>
  <c r="J53" i="58"/>
  <c r="O67" i="12" l="1"/>
  <c r="O7" i="12"/>
  <c r="O5" i="12"/>
  <c r="O75" i="12"/>
  <c r="O6" i="12"/>
  <c r="H239" i="65"/>
  <c r="C240" i="65" s="1"/>
  <c r="E239" i="65"/>
  <c r="L16" i="58"/>
  <c r="L17" i="58"/>
  <c r="A7" i="66"/>
  <c r="O4" i="12"/>
  <c r="R101" i="12"/>
  <c r="R100" i="12"/>
  <c r="R93" i="12"/>
  <c r="R92" i="12"/>
  <c r="L10" i="12"/>
  <c r="L172" i="65"/>
  <c r="L118" i="65"/>
  <c r="L63" i="65"/>
  <c r="L6" i="65"/>
  <c r="B18" i="16"/>
  <c r="B36" i="16"/>
  <c r="N46" i="16"/>
  <c r="B28" i="16"/>
  <c r="B17" i="16"/>
  <c r="F36" i="16"/>
  <c r="I36" i="16" s="1"/>
  <c r="F18" i="16"/>
  <c r="H16" i="66"/>
  <c r="L82" i="12" l="1"/>
  <c r="N18" i="12"/>
  <c r="G239" i="65"/>
  <c r="J47" i="58"/>
  <c r="O3" i="12"/>
  <c r="R94" i="12"/>
  <c r="T94" i="12" s="1"/>
  <c r="H64" i="66"/>
  <c r="AZ51" i="67"/>
  <c r="AZ50" i="67"/>
  <c r="BA51" i="67"/>
  <c r="BA35" i="67"/>
  <c r="BA6" i="67"/>
  <c r="J11" i="58"/>
  <c r="O10" i="12" l="1"/>
  <c r="O85" i="12" s="1"/>
  <c r="S94" i="12"/>
  <c r="D240" i="65"/>
  <c r="U94" i="12"/>
  <c r="H15" i="66"/>
  <c r="BA5" i="67"/>
  <c r="BA62" i="67" s="1"/>
  <c r="H672" i="66"/>
  <c r="H671" i="66"/>
  <c r="H670" i="66"/>
  <c r="H669" i="66"/>
  <c r="H668" i="66"/>
  <c r="H667" i="66"/>
  <c r="H666" i="66"/>
  <c r="G666" i="66"/>
  <c r="H665" i="66"/>
  <c r="H664" i="66"/>
  <c r="H663" i="66"/>
  <c r="J26" i="58"/>
  <c r="AZ55" i="67"/>
  <c r="E58" i="58"/>
  <c r="E64" i="58"/>
  <c r="E63" i="58"/>
  <c r="E62" i="58"/>
  <c r="E61" i="58"/>
  <c r="E60" i="58"/>
  <c r="E59" i="58"/>
  <c r="E57" i="58"/>
  <c r="E56" i="58"/>
  <c r="E54" i="58"/>
  <c r="AJ1" i="67" s="1"/>
  <c r="AZ61" i="67"/>
  <c r="AZ60" i="67"/>
  <c r="AZ59" i="67"/>
  <c r="AZ58" i="67"/>
  <c r="AZ57" i="67"/>
  <c r="AZ56" i="67"/>
  <c r="AZ54" i="67"/>
  <c r="F195" i="65"/>
  <c r="B195" i="65"/>
  <c r="L180" i="65"/>
  <c r="C173" i="65" s="1"/>
  <c r="H181" i="65" s="1"/>
  <c r="F141" i="65"/>
  <c r="B141" i="65"/>
  <c r="L126" i="65"/>
  <c r="C119" i="65" s="1"/>
  <c r="H127" i="65" s="1"/>
  <c r="C128" i="65" s="1"/>
  <c r="F86" i="65"/>
  <c r="B86" i="65"/>
  <c r="L71" i="65"/>
  <c r="C64" i="65" s="1"/>
  <c r="H72" i="65" s="1"/>
  <c r="C73" i="65" s="1"/>
  <c r="I317" i="66"/>
  <c r="H209" i="66"/>
  <c r="H73" i="66"/>
  <c r="H19" i="66"/>
  <c r="H17" i="66"/>
  <c r="H18" i="66"/>
  <c r="J52" i="58"/>
  <c r="J51" i="58"/>
  <c r="J50" i="58"/>
  <c r="J46" i="58"/>
  <c r="J45" i="58"/>
  <c r="J44" i="58"/>
  <c r="J43" i="58"/>
  <c r="J42" i="58"/>
  <c r="J41" i="58"/>
  <c r="J40" i="58"/>
  <c r="J39" i="58"/>
  <c r="J38" i="58"/>
  <c r="J37" i="58"/>
  <c r="J36" i="58"/>
  <c r="J35" i="58"/>
  <c r="J34" i="58"/>
  <c r="J33" i="58"/>
  <c r="J32" i="58"/>
  <c r="J31" i="58"/>
  <c r="J30" i="58"/>
  <c r="J29" i="58"/>
  <c r="J28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J12" i="58"/>
  <c r="J10" i="58"/>
  <c r="AZ35" i="67"/>
  <c r="AZ6" i="67"/>
  <c r="AZ5" i="67"/>
  <c r="H22" i="66" l="1"/>
  <c r="C182" i="65"/>
  <c r="H240" i="65"/>
  <c r="C241" i="65" s="1"/>
  <c r="E240" i="65"/>
  <c r="I44" i="66"/>
  <c r="I72" i="66"/>
  <c r="I21" i="66"/>
  <c r="AZ63" i="67"/>
  <c r="H682" i="66"/>
  <c r="I93" i="66"/>
  <c r="I120" i="66"/>
  <c r="D73" i="65"/>
  <c r="E73" i="65" s="1"/>
  <c r="H24" i="66"/>
  <c r="AZ62" i="67"/>
  <c r="R1" i="67"/>
  <c r="AI1" i="67"/>
  <c r="AH1" i="67"/>
  <c r="T1" i="67"/>
  <c r="AG1" i="67"/>
  <c r="AF1" i="67"/>
  <c r="AE1" i="67"/>
  <c r="AC1" i="67"/>
  <c r="AB1" i="67"/>
  <c r="AA1" i="67"/>
  <c r="W1" i="67"/>
  <c r="S1" i="67"/>
  <c r="O1" i="67"/>
  <c r="M1" i="67"/>
  <c r="L1" i="67"/>
  <c r="K1" i="67"/>
  <c r="J1" i="67"/>
  <c r="F1" i="67"/>
  <c r="H68" i="58"/>
  <c r="G68" i="58"/>
  <c r="L14" i="65"/>
  <c r="C7" i="65" s="1"/>
  <c r="H15" i="65" s="1"/>
  <c r="C16" i="65" s="1"/>
  <c r="F29" i="65"/>
  <c r="B29" i="65"/>
  <c r="H254" i="65" l="1"/>
  <c r="G240" i="65"/>
  <c r="D182" i="65"/>
  <c r="D128" i="65"/>
  <c r="G73" i="65"/>
  <c r="H73" i="65"/>
  <c r="C74" i="65" s="1"/>
  <c r="D16" i="65"/>
  <c r="D241" i="65" l="1"/>
  <c r="H182" i="65"/>
  <c r="C183" i="65" s="1"/>
  <c r="E182" i="65"/>
  <c r="H128" i="65"/>
  <c r="C129" i="65" s="1"/>
  <c r="E128" i="65"/>
  <c r="H16" i="65"/>
  <c r="C17" i="65" s="1"/>
  <c r="E16" i="65"/>
  <c r="H241" i="65" l="1"/>
  <c r="C242" i="65" s="1"/>
  <c r="E241" i="65"/>
  <c r="G182" i="65"/>
  <c r="G128" i="65"/>
  <c r="D74" i="65"/>
  <c r="G16" i="65"/>
  <c r="G241" i="65" l="1"/>
  <c r="D183" i="65"/>
  <c r="D129" i="65"/>
  <c r="H74" i="65"/>
  <c r="C75" i="65" s="1"/>
  <c r="E74" i="65"/>
  <c r="D17" i="65"/>
  <c r="E17" i="65" s="1"/>
  <c r="D242" i="65" l="1"/>
  <c r="E242" i="65" s="1"/>
  <c r="H183" i="65"/>
  <c r="C184" i="65" s="1"/>
  <c r="E183" i="65"/>
  <c r="H129" i="65"/>
  <c r="C130" i="65" s="1"/>
  <c r="E129" i="65"/>
  <c r="G74" i="65"/>
  <c r="G17" i="65"/>
  <c r="H17" i="65"/>
  <c r="C18" i="65" s="1"/>
  <c r="G242" i="65" l="1"/>
  <c r="H242" i="65"/>
  <c r="C243" i="65" s="1"/>
  <c r="G183" i="65"/>
  <c r="G129" i="65"/>
  <c r="D75" i="65"/>
  <c r="D18" i="65"/>
  <c r="D184" i="65" l="1"/>
  <c r="D130" i="65"/>
  <c r="H75" i="65"/>
  <c r="C76" i="65" s="1"/>
  <c r="E75" i="65"/>
  <c r="H18" i="65"/>
  <c r="C19" i="65" s="1"/>
  <c r="E18" i="65"/>
  <c r="D243" i="65" l="1"/>
  <c r="E243" i="65" s="1"/>
  <c r="H184" i="65"/>
  <c r="C185" i="65" s="1"/>
  <c r="E184" i="65"/>
  <c r="H130" i="65"/>
  <c r="C131" i="65" s="1"/>
  <c r="E130" i="65"/>
  <c r="G75" i="65"/>
  <c r="G18" i="65"/>
  <c r="G243" i="65" l="1"/>
  <c r="H243" i="65"/>
  <c r="C244" i="65" s="1"/>
  <c r="G184" i="65"/>
  <c r="G130" i="65"/>
  <c r="D76" i="65"/>
  <c r="E76" i="65" s="1"/>
  <c r="D19" i="65"/>
  <c r="D185" i="65" l="1"/>
  <c r="E185" i="65" s="1"/>
  <c r="D131" i="65"/>
  <c r="E131" i="65" s="1"/>
  <c r="G76" i="65"/>
  <c r="H76" i="65"/>
  <c r="C77" i="65" s="1"/>
  <c r="H19" i="65"/>
  <c r="C20" i="65" s="1"/>
  <c r="E19" i="65"/>
  <c r="D244" i="65" l="1"/>
  <c r="H244" i="65" s="1"/>
  <c r="C245" i="65" s="1"/>
  <c r="G185" i="65"/>
  <c r="H185" i="65"/>
  <c r="C186" i="65" s="1"/>
  <c r="G131" i="65"/>
  <c r="H131" i="65"/>
  <c r="C132" i="65" s="1"/>
  <c r="G19" i="65"/>
  <c r="E244" i="65" l="1"/>
  <c r="G244" i="65" s="1"/>
  <c r="D77" i="65"/>
  <c r="E77" i="65" s="1"/>
  <c r="D20" i="65"/>
  <c r="D245" i="65" l="1"/>
  <c r="H245" i="65" s="1"/>
  <c r="C246" i="65" s="1"/>
  <c r="D186" i="65"/>
  <c r="E186" i="65" s="1"/>
  <c r="D132" i="65"/>
  <c r="E132" i="65" s="1"/>
  <c r="G77" i="65"/>
  <c r="H77" i="65"/>
  <c r="C78" i="65" s="1"/>
  <c r="H20" i="65"/>
  <c r="C21" i="65" s="1"/>
  <c r="E20" i="65"/>
  <c r="E245" i="65" l="1"/>
  <c r="G245" i="65" s="1"/>
  <c r="G186" i="65"/>
  <c r="H186" i="65"/>
  <c r="C187" i="65" s="1"/>
  <c r="G132" i="65"/>
  <c r="H132" i="65"/>
  <c r="C133" i="65" s="1"/>
  <c r="G20" i="65"/>
  <c r="D246" i="65" l="1"/>
  <c r="H246" i="65" s="1"/>
  <c r="C247" i="65" s="1"/>
  <c r="D78" i="65"/>
  <c r="H78" i="65" s="1"/>
  <c r="C79" i="65" s="1"/>
  <c r="D21" i="65"/>
  <c r="H21" i="65" s="1"/>
  <c r="C22" i="65" s="1"/>
  <c r="E246" i="65" l="1"/>
  <c r="G246" i="65" s="1"/>
  <c r="D187" i="65"/>
  <c r="H187" i="65" s="1"/>
  <c r="C188" i="65" s="1"/>
  <c r="D133" i="65"/>
  <c r="H133" i="65" s="1"/>
  <c r="C134" i="65" s="1"/>
  <c r="E78" i="65"/>
  <c r="G78" i="65" s="1"/>
  <c r="E21" i="65"/>
  <c r="G21" i="65" s="1"/>
  <c r="D247" i="65" l="1"/>
  <c r="H247" i="65" s="1"/>
  <c r="C248" i="65" s="1"/>
  <c r="E187" i="65"/>
  <c r="G187" i="65" s="1"/>
  <c r="E133" i="65"/>
  <c r="G133" i="65" s="1"/>
  <c r="D79" i="65"/>
  <c r="H79" i="65" s="1"/>
  <c r="C80" i="65" s="1"/>
  <c r="D22" i="65"/>
  <c r="H22" i="65" s="1"/>
  <c r="C23" i="65" s="1"/>
  <c r="E247" i="65" l="1"/>
  <c r="G247" i="65" s="1"/>
  <c r="D188" i="65"/>
  <c r="H188" i="65" s="1"/>
  <c r="C189" i="65" s="1"/>
  <c r="D134" i="65"/>
  <c r="H134" i="65" s="1"/>
  <c r="C135" i="65" s="1"/>
  <c r="E79" i="65"/>
  <c r="G79" i="65" s="1"/>
  <c r="E22" i="65"/>
  <c r="G22" i="65" s="1"/>
  <c r="D248" i="65" l="1"/>
  <c r="H248" i="65" s="1"/>
  <c r="C249" i="65" s="1"/>
  <c r="E188" i="65"/>
  <c r="G188" i="65" s="1"/>
  <c r="E134" i="65"/>
  <c r="G134" i="65" s="1"/>
  <c r="D80" i="65"/>
  <c r="H80" i="65" s="1"/>
  <c r="C81" i="65" s="1"/>
  <c r="D23" i="65"/>
  <c r="H23" i="65" s="1"/>
  <c r="C24" i="65" s="1"/>
  <c r="E248" i="65" l="1"/>
  <c r="G248" i="65" s="1"/>
  <c r="D189" i="65"/>
  <c r="H189" i="65" s="1"/>
  <c r="C190" i="65" s="1"/>
  <c r="D135" i="65"/>
  <c r="H135" i="65" s="1"/>
  <c r="C136" i="65" s="1"/>
  <c r="E80" i="65"/>
  <c r="G80" i="65" s="1"/>
  <c r="E23" i="65"/>
  <c r="G23" i="65" s="1"/>
  <c r="D249" i="65" l="1"/>
  <c r="H249" i="65" s="1"/>
  <c r="C250" i="65" s="1"/>
  <c r="E189" i="65"/>
  <c r="G189" i="65" s="1"/>
  <c r="E135" i="65"/>
  <c r="G135" i="65" s="1"/>
  <c r="D81" i="65"/>
  <c r="H81" i="65" s="1"/>
  <c r="C82" i="65" s="1"/>
  <c r="D24" i="65"/>
  <c r="H24" i="65" s="1"/>
  <c r="C25" i="65" s="1"/>
  <c r="E249" i="65" l="1"/>
  <c r="G249" i="65" s="1"/>
  <c r="D190" i="65"/>
  <c r="H190" i="65" s="1"/>
  <c r="C191" i="65" s="1"/>
  <c r="D136" i="65"/>
  <c r="H136" i="65" s="1"/>
  <c r="C137" i="65" s="1"/>
  <c r="E81" i="65"/>
  <c r="G81" i="65" s="1"/>
  <c r="E24" i="65"/>
  <c r="G24" i="65" s="1"/>
  <c r="D250" i="65" l="1"/>
  <c r="E250" i="65" s="1"/>
  <c r="C252" i="65"/>
  <c r="H11" i="15" s="1"/>
  <c r="E190" i="65"/>
  <c r="G190" i="65" s="1"/>
  <c r="E136" i="65"/>
  <c r="G136" i="65" s="1"/>
  <c r="D82" i="65"/>
  <c r="H82" i="65" s="1"/>
  <c r="C83" i="65" s="1"/>
  <c r="D25" i="65"/>
  <c r="H25" i="65" s="1"/>
  <c r="C26" i="65" s="1"/>
  <c r="D252" i="65" l="1"/>
  <c r="H13" i="15" s="1"/>
  <c r="H250" i="65"/>
  <c r="G250" i="65"/>
  <c r="G252" i="65" s="1"/>
  <c r="E252" i="65"/>
  <c r="D191" i="65"/>
  <c r="H191" i="65" s="1"/>
  <c r="C192" i="65" s="1"/>
  <c r="D137" i="65"/>
  <c r="H137" i="65" s="1"/>
  <c r="C138" i="65" s="1"/>
  <c r="E82" i="65"/>
  <c r="G82" i="65" s="1"/>
  <c r="E25" i="65"/>
  <c r="G25" i="65" s="1"/>
  <c r="E191" i="65" l="1"/>
  <c r="G191" i="65" s="1"/>
  <c r="E137" i="65"/>
  <c r="G137" i="65" s="1"/>
  <c r="D83" i="65"/>
  <c r="H83" i="65" s="1"/>
  <c r="C84" i="65" s="1"/>
  <c r="D26" i="65"/>
  <c r="H26" i="65" s="1"/>
  <c r="C27" i="65" s="1"/>
  <c r="D192" i="65" l="1"/>
  <c r="H192" i="65" s="1"/>
  <c r="C193" i="65" s="1"/>
  <c r="D138" i="65"/>
  <c r="H138" i="65" s="1"/>
  <c r="C139" i="65" s="1"/>
  <c r="E83" i="65"/>
  <c r="G83" i="65" s="1"/>
  <c r="E26" i="65"/>
  <c r="G26" i="65" s="1"/>
  <c r="E192" i="65" l="1"/>
  <c r="G192" i="65" s="1"/>
  <c r="E138" i="65"/>
  <c r="G138" i="65" s="1"/>
  <c r="D84" i="65"/>
  <c r="E84" i="65" s="1"/>
  <c r="C86" i="65"/>
  <c r="D27" i="65"/>
  <c r="E27" i="65" s="1"/>
  <c r="C29" i="65"/>
  <c r="J60" i="20"/>
  <c r="I60" i="20"/>
  <c r="G60" i="20"/>
  <c r="F60" i="20"/>
  <c r="F82" i="12"/>
  <c r="F37" i="16"/>
  <c r="F29" i="16"/>
  <c r="F19" i="16"/>
  <c r="F41" i="16"/>
  <c r="F40" i="16"/>
  <c r="F39" i="16"/>
  <c r="I39" i="16" s="1"/>
  <c r="F38" i="16"/>
  <c r="F35" i="16"/>
  <c r="F34" i="16"/>
  <c r="F33" i="16"/>
  <c r="F32" i="16"/>
  <c r="F31" i="16"/>
  <c r="F30" i="16"/>
  <c r="F28" i="16"/>
  <c r="F27" i="16"/>
  <c r="F26" i="16"/>
  <c r="F25" i="16"/>
  <c r="F24" i="16"/>
  <c r="F23" i="16"/>
  <c r="F22" i="16"/>
  <c r="F21" i="16"/>
  <c r="F20" i="16"/>
  <c r="F17" i="16"/>
  <c r="F16" i="16"/>
  <c r="F15" i="16"/>
  <c r="F12" i="16"/>
  <c r="F11" i="16"/>
  <c r="I11" i="16" s="1"/>
  <c r="F10" i="16"/>
  <c r="D44" i="64"/>
  <c r="M33" i="61"/>
  <c r="N33" i="61"/>
  <c r="O33" i="61"/>
  <c r="P33" i="61"/>
  <c r="Q33" i="61"/>
  <c r="L33" i="61"/>
  <c r="C16" i="61"/>
  <c r="O12" i="20" l="1"/>
  <c r="C19" i="57" s="1"/>
  <c r="F9" i="16"/>
  <c r="F49" i="16" s="1"/>
  <c r="L87" i="12" s="1"/>
  <c r="L89" i="12" s="1"/>
  <c r="F44" i="64"/>
  <c r="N48" i="16"/>
  <c r="O15" i="20"/>
  <c r="D193" i="65"/>
  <c r="C195" i="65"/>
  <c r="D139" i="65"/>
  <c r="C141" i="65"/>
  <c r="D86" i="65"/>
  <c r="H84" i="65"/>
  <c r="G84" i="65"/>
  <c r="G86" i="65" s="1"/>
  <c r="E86" i="65"/>
  <c r="O13" i="20"/>
  <c r="O14" i="20"/>
  <c r="C21" i="57" s="1"/>
  <c r="O11" i="20"/>
  <c r="C18" i="57" s="1"/>
  <c r="G27" i="65"/>
  <c r="G29" i="65" s="1"/>
  <c r="E29" i="65"/>
  <c r="D29" i="65"/>
  <c r="H27" i="65"/>
  <c r="L60" i="20"/>
  <c r="E44" i="64"/>
  <c r="I17" i="16"/>
  <c r="I19" i="16"/>
  <c r="I20" i="16"/>
  <c r="I18" i="16"/>
  <c r="I45" i="16"/>
  <c r="I46" i="16"/>
  <c r="I47" i="16"/>
  <c r="C13" i="57" s="1"/>
  <c r="F15" i="27"/>
  <c r="D16" i="61"/>
  <c r="I16" i="61" s="1"/>
  <c r="C17" i="61" s="1"/>
  <c r="G29" i="61"/>
  <c r="F29" i="61"/>
  <c r="B29" i="61"/>
  <c r="D49" i="16"/>
  <c r="I44" i="16"/>
  <c r="I33" i="16"/>
  <c r="I32" i="16"/>
  <c r="I29" i="16"/>
  <c r="I25" i="16"/>
  <c r="I23" i="16"/>
  <c r="I14" i="16"/>
  <c r="I15" i="16"/>
  <c r="I16" i="16"/>
  <c r="I10" i="16"/>
  <c r="I30" i="16"/>
  <c r="G8" i="27"/>
  <c r="C49" i="16"/>
  <c r="L64" i="20" s="1"/>
  <c r="I42" i="16"/>
  <c r="K15" i="16" s="1"/>
  <c r="C10" i="57" s="1"/>
  <c r="I43" i="16"/>
  <c r="K16" i="16" s="1"/>
  <c r="C11" i="57" s="1"/>
  <c r="I12" i="16"/>
  <c r="I13" i="16"/>
  <c r="I21" i="16"/>
  <c r="I22" i="16"/>
  <c r="I24" i="16"/>
  <c r="I26" i="16"/>
  <c r="I27" i="16"/>
  <c r="I28" i="16"/>
  <c r="I31" i="16"/>
  <c r="I34" i="16"/>
  <c r="I35" i="16"/>
  <c r="I37" i="16"/>
  <c r="I38" i="16"/>
  <c r="I40" i="16"/>
  <c r="I41" i="16"/>
  <c r="L85" i="12"/>
  <c r="N88" i="12" s="1"/>
  <c r="G13" i="27"/>
  <c r="G9" i="27"/>
  <c r="G10" i="27"/>
  <c r="G11" i="27"/>
  <c r="G12" i="27"/>
  <c r="G14" i="27"/>
  <c r="G49" i="16"/>
  <c r="D45" i="64" l="1"/>
  <c r="F60" i="16" s="1"/>
  <c r="F62" i="16" s="1"/>
  <c r="C197" i="65"/>
  <c r="K17" i="16"/>
  <c r="I9" i="16"/>
  <c r="K10" i="16" s="1"/>
  <c r="C6" i="57" s="1"/>
  <c r="E16" i="61"/>
  <c r="H16" i="61" s="1"/>
  <c r="H49" i="16"/>
  <c r="K12" i="16"/>
  <c r="C7" i="57" s="1"/>
  <c r="K14" i="16"/>
  <c r="C9" i="57" s="1"/>
  <c r="O8" i="12"/>
  <c r="K13" i="16"/>
  <c r="C8" i="57" s="1"/>
  <c r="D195" i="65"/>
  <c r="H193" i="65"/>
  <c r="E193" i="65"/>
  <c r="D141" i="65"/>
  <c r="H139" i="65"/>
  <c r="E139" i="65"/>
  <c r="L67" i="20"/>
  <c r="O16" i="20"/>
  <c r="G16" i="27"/>
  <c r="E49" i="16"/>
  <c r="G15" i="27"/>
  <c r="C12" i="57" l="1"/>
  <c r="I70" i="58"/>
  <c r="I51" i="16"/>
  <c r="C255" i="65"/>
  <c r="H12" i="15"/>
  <c r="D197" i="65"/>
  <c r="I49" i="16"/>
  <c r="H29" i="59"/>
  <c r="H30" i="59" s="1"/>
  <c r="C14" i="57"/>
  <c r="K18" i="16"/>
  <c r="G193" i="65"/>
  <c r="G195" i="65" s="1"/>
  <c r="E195" i="65"/>
  <c r="G139" i="65"/>
  <c r="G141" i="65" s="1"/>
  <c r="E141" i="65"/>
  <c r="D17" i="61"/>
  <c r="K10" i="15" l="1"/>
  <c r="C20" i="57" s="1"/>
  <c r="D255" i="65"/>
  <c r="H255" i="65" s="1"/>
  <c r="H256" i="65" s="1"/>
  <c r="H14" i="15"/>
  <c r="K11" i="15" s="1"/>
  <c r="C24" i="57" s="1"/>
  <c r="E197" i="65"/>
  <c r="E255" i="65" s="1"/>
  <c r="I17" i="61"/>
  <c r="C18" i="61" s="1"/>
  <c r="E17" i="61"/>
  <c r="H18" i="15" l="1"/>
  <c r="D51" i="16" s="1"/>
  <c r="D4" i="67" s="1"/>
  <c r="D25" i="67" s="1"/>
  <c r="D53" i="67" s="1"/>
  <c r="I71" i="58"/>
  <c r="I72" i="58" s="1"/>
  <c r="K12" i="15"/>
  <c r="H17" i="61"/>
  <c r="D61" i="67" l="1"/>
  <c r="D64" i="67"/>
  <c r="H21" i="15"/>
  <c r="D18" i="61"/>
  <c r="E64" i="67" l="1"/>
  <c r="D65" i="67"/>
  <c r="F64" i="58"/>
  <c r="D62" i="67"/>
  <c r="I18" i="61"/>
  <c r="C19" i="61" s="1"/>
  <c r="E18" i="61"/>
  <c r="I64" i="58" l="1"/>
  <c r="F71" i="58"/>
  <c r="J64" i="58"/>
  <c r="F68" i="58"/>
  <c r="J68" i="58" s="1"/>
  <c r="H18" i="61"/>
  <c r="L15" i="58" l="1"/>
  <c r="I68" i="58"/>
  <c r="I75" i="58" s="1"/>
  <c r="D19" i="61"/>
  <c r="E19" i="61" s="1"/>
  <c r="L18" i="58" l="1"/>
  <c r="C22" i="57"/>
  <c r="C26" i="57" s="1"/>
  <c r="H19" i="61"/>
  <c r="I19" i="61"/>
  <c r="C20" i="61" s="1"/>
  <c r="D20" i="61" l="1"/>
  <c r="E20" i="61" s="1"/>
  <c r="H20" i="61" l="1"/>
  <c r="I20" i="61"/>
  <c r="C21" i="61" s="1"/>
  <c r="D21" i="61" l="1"/>
  <c r="E21" i="61" s="1"/>
  <c r="H21" i="61" l="1"/>
  <c r="I21" i="61"/>
  <c r="C22" i="61" s="1"/>
  <c r="D22" i="61" l="1"/>
  <c r="I22" i="61" s="1"/>
  <c r="C23" i="61" s="1"/>
  <c r="E22" i="61" l="1"/>
  <c r="H22" i="61" s="1"/>
  <c r="D23" i="61" l="1"/>
  <c r="I23" i="61" s="1"/>
  <c r="C24" i="61" s="1"/>
  <c r="E23" i="61" l="1"/>
  <c r="H23" i="61" s="1"/>
  <c r="D24" i="61" l="1"/>
  <c r="I24" i="61" s="1"/>
  <c r="C25" i="61" s="1"/>
  <c r="E24" i="61" l="1"/>
  <c r="H24" i="61" s="1"/>
  <c r="D25" i="61" l="1"/>
  <c r="I25" i="61" s="1"/>
  <c r="C26" i="61" s="1"/>
  <c r="E25" i="61" l="1"/>
  <c r="H25" i="61" s="1"/>
  <c r="D26" i="61" l="1"/>
  <c r="I26" i="61" s="1"/>
  <c r="C27" i="61" s="1"/>
  <c r="E26" i="61" l="1"/>
  <c r="H26" i="61" s="1"/>
  <c r="D27" i="61" l="1"/>
  <c r="E27" i="61" s="1"/>
  <c r="C29" i="61"/>
  <c r="H27" i="61" l="1"/>
  <c r="H29" i="61" s="1"/>
  <c r="E29" i="61"/>
  <c r="D29" i="61"/>
  <c r="I27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dayana chula</author>
  </authors>
  <commentList>
    <comment ref="F2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pago de asesor y marco tulio hasta septiembre 2019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P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Licda. Maria Teresa</author>
  </authors>
  <commentList>
    <comment ref="E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7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8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9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10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11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12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13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14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15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2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28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29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30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  <comment ref="E31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Licda. Maria Teresa:</t>
        </r>
        <r>
          <rPr>
            <sz val="9"/>
            <color indexed="81"/>
            <rFont val="Tahoma"/>
            <family val="2"/>
          </rPr>
          <t xml:space="preserve">
SE PARTIRA EN DOS 15000 CADA VEZ Y QUEDAN PENDINETES 6000
</t>
        </r>
      </text>
    </comment>
  </commentList>
</comments>
</file>

<file path=xl/sharedStrings.xml><?xml version="1.0" encoding="utf-8"?>
<sst xmlns="http://schemas.openxmlformats.org/spreadsheetml/2006/main" count="2256" uniqueCount="613">
  <si>
    <t>ESTRUCTURA PRESUPUESTARIA</t>
  </si>
  <si>
    <t>3. HISTORIAL DE SALDOS BANCARIOS</t>
  </si>
  <si>
    <t>1. ESTRUCTURA PRESUPUESTARIA APROBADA</t>
  </si>
  <si>
    <t>1. BASE DE GENERACION DE AVISOS DE CONTRIBUYENTES</t>
  </si>
  <si>
    <t>2. HISTORIAL DE RECUPERACION DE MOROSIDAD</t>
  </si>
  <si>
    <t>4. TRANSFERENCIAS GOES</t>
  </si>
  <si>
    <t>5. INFORME DE CREDITOS SOLICITADOS</t>
  </si>
  <si>
    <t>6. DONACIONES</t>
  </si>
  <si>
    <t>2. NOMINA DE SALARIOS</t>
  </si>
  <si>
    <t>3. PLAN DE COMPRAS (BIENES Y SERVICIOS)</t>
  </si>
  <si>
    <t>2. AMORTIZACION DE LA DEUDA PUBLICA MUNICIPAL</t>
  </si>
  <si>
    <t>(En Dolares de los Estados Unidos de America)</t>
  </si>
  <si>
    <t>FORMULACION DEL PRESUPUESTO MUNICIPAL DE EGRESOS</t>
  </si>
  <si>
    <t>(En Dolares de los Estados Unidos de América)</t>
  </si>
  <si>
    <t>INSUMOS BASICOS:</t>
  </si>
  <si>
    <t>PRESUPUESTO MUNICIPAL DE FUNCIONAMIENTO POR ESTRUCTURA PRESUPUESTARIA</t>
  </si>
  <si>
    <t>DETALLE CONSOLIDADO DE INGRESOS POR ESPECIFICO Y FUENTE DE FINANCIAMIENTO</t>
  </si>
  <si>
    <t>11801</t>
  </si>
  <si>
    <t>De Comercio</t>
  </si>
  <si>
    <t>11802</t>
  </si>
  <si>
    <t>De Industria</t>
  </si>
  <si>
    <t>11804</t>
  </si>
  <si>
    <t>De Servicios</t>
  </si>
  <si>
    <t>12109</t>
  </si>
  <si>
    <t>Aseo Público</t>
  </si>
  <si>
    <t>Alumbrado Público</t>
  </si>
  <si>
    <t>12211</t>
  </si>
  <si>
    <t>Cotejo de Fierros</t>
  </si>
  <si>
    <t>14299</t>
  </si>
  <si>
    <t>Servicios Diversos</t>
  </si>
  <si>
    <t>15301</t>
  </si>
  <si>
    <t>Multa por Mora de Impuestos</t>
  </si>
  <si>
    <t>Intereses por Mora de Impuestos</t>
  </si>
  <si>
    <t>15302</t>
  </si>
  <si>
    <t>16201</t>
  </si>
  <si>
    <t>22201</t>
  </si>
  <si>
    <t>51101</t>
  </si>
  <si>
    <t>Sueldos</t>
  </si>
  <si>
    <t>Aguinaldos</t>
  </si>
  <si>
    <t>Por Remuneraciones Permanentes</t>
  </si>
  <si>
    <t>Productos Alimenticios para Personas</t>
  </si>
  <si>
    <t>Productos de papel y Carton</t>
  </si>
  <si>
    <t>Combustibles y Lubricantes</t>
  </si>
  <si>
    <t>Materiales de Oficina</t>
  </si>
  <si>
    <t>Servicios de Energia Electrica</t>
  </si>
  <si>
    <t>Servicios de Agua</t>
  </si>
  <si>
    <t>Servicios de Telecomunicaciones</t>
  </si>
  <si>
    <t>Miner. Metalicos y Prod. Der.</t>
  </si>
  <si>
    <t>Miner. No Metalicos y Prod. Der.</t>
  </si>
  <si>
    <t>01</t>
  </si>
  <si>
    <t>2</t>
  </si>
  <si>
    <t>1</t>
  </si>
  <si>
    <t>110</t>
  </si>
  <si>
    <t>03</t>
  </si>
  <si>
    <t>111</t>
  </si>
  <si>
    <t>FUENTE O SUBFUENTE DE FINANCIAMIENTO: Recursos Propios</t>
  </si>
  <si>
    <t>000</t>
  </si>
  <si>
    <t>05</t>
  </si>
  <si>
    <t>Vialidades</t>
  </si>
  <si>
    <t>12111</t>
  </si>
  <si>
    <t>Cementerios Municipales</t>
  </si>
  <si>
    <t>12114</t>
  </si>
  <si>
    <t>Fiestas Patronales</t>
  </si>
  <si>
    <t>12117</t>
  </si>
  <si>
    <t>Pavimentacion</t>
  </si>
  <si>
    <t>12118</t>
  </si>
  <si>
    <t>Postes, Torres y Antenas</t>
  </si>
  <si>
    <t>12119</t>
  </si>
  <si>
    <t>Rastro y Tiangue</t>
  </si>
  <si>
    <t>15703</t>
  </si>
  <si>
    <t>Rentabilidad de cuentas bancarias</t>
  </si>
  <si>
    <t>15799</t>
  </si>
  <si>
    <t>Ingresos Diversos</t>
  </si>
  <si>
    <t>FISDL/PFGL</t>
  </si>
  <si>
    <t>55302</t>
  </si>
  <si>
    <t>Dietas</t>
  </si>
  <si>
    <t>Transportes, Fletes y mantenimientos</t>
  </si>
  <si>
    <t>Servicios de Publicidad</t>
  </si>
  <si>
    <t>Servicios Generales y arrendamientos div</t>
  </si>
  <si>
    <t>Servicios Juridicos</t>
  </si>
  <si>
    <t>Materiales Informaticos</t>
  </si>
  <si>
    <t>Atenciones oficiales</t>
  </si>
  <si>
    <t>TOTAL FONDOS PROPIOS</t>
  </si>
  <si>
    <t>Especies Municipales Diversas</t>
  </si>
  <si>
    <t>Atenciones Oficiales</t>
  </si>
  <si>
    <t>Servicios de Contabilidad y Auditoria</t>
  </si>
  <si>
    <t>Derechos</t>
  </si>
  <si>
    <t>Comisiones y Gastos bancarios</t>
  </si>
  <si>
    <t>Multas y costas judiciales</t>
  </si>
  <si>
    <t>Transportes Fletes y almacenamientos</t>
  </si>
  <si>
    <t>32102</t>
  </si>
  <si>
    <t>Cuentas por cobrar de años anteriores</t>
  </si>
  <si>
    <t>0301</t>
  </si>
  <si>
    <t>0501</t>
  </si>
  <si>
    <t>Línea de Trabajo</t>
  </si>
  <si>
    <t>Nombre</t>
  </si>
  <si>
    <t>Cargo o Puesto</t>
  </si>
  <si>
    <t>Sistema de Remuneración</t>
  </si>
  <si>
    <t>Salarios</t>
  </si>
  <si>
    <t>Mesual</t>
  </si>
  <si>
    <t>Anual</t>
  </si>
  <si>
    <t>0101</t>
  </si>
  <si>
    <t>Sub-Total Línea de Trabajo 0101</t>
  </si>
  <si>
    <t>CONTRATOS</t>
  </si>
  <si>
    <t>Materiales Electricos</t>
  </si>
  <si>
    <t>15314</t>
  </si>
  <si>
    <t>Otras multas municipales</t>
  </si>
  <si>
    <t>Primas y gastos de seguro de personas</t>
  </si>
  <si>
    <t>4</t>
  </si>
  <si>
    <t>0302</t>
  </si>
  <si>
    <t>CONCEPTO</t>
  </si>
  <si>
    <t>21</t>
  </si>
  <si>
    <t>GASTOS CORRIENTES</t>
  </si>
  <si>
    <t>22</t>
  </si>
  <si>
    <t>GASTOS DE CAPITAL</t>
  </si>
  <si>
    <t>23</t>
  </si>
  <si>
    <t>APLICACIONES FINANCIERAS</t>
  </si>
  <si>
    <t>12210</t>
  </si>
  <si>
    <t xml:space="preserve"> Objeto Específico</t>
  </si>
  <si>
    <t>DENOMINACION</t>
  </si>
  <si>
    <t xml:space="preserve"> FODES</t>
  </si>
  <si>
    <t xml:space="preserve"> Fondo General</t>
  </si>
  <si>
    <t>OTROS</t>
  </si>
  <si>
    <t>Fondos Propios</t>
  </si>
  <si>
    <t>Préstamos Internos</t>
  </si>
  <si>
    <t xml:space="preserve"> T O T A L  </t>
  </si>
  <si>
    <t>DONACIONES</t>
  </si>
  <si>
    <t>Funcionamiento 25%</t>
  </si>
  <si>
    <t>Inversión 75%</t>
  </si>
  <si>
    <t>11808</t>
  </si>
  <si>
    <t>Centros de Enseñanza</t>
  </si>
  <si>
    <t>11810</t>
  </si>
  <si>
    <t>11817</t>
  </si>
  <si>
    <t>Hoteles, Moteles y Similares</t>
  </si>
  <si>
    <t>Vallas Publicitarias</t>
  </si>
  <si>
    <t>12112</t>
  </si>
  <si>
    <t>Desechos</t>
  </si>
  <si>
    <t>12115</t>
  </si>
  <si>
    <t>Mercados</t>
  </si>
  <si>
    <t>Permisos y Licencias Municipales</t>
  </si>
  <si>
    <t>12122</t>
  </si>
  <si>
    <t>14201</t>
  </si>
  <si>
    <t>Servicios Básicos</t>
  </si>
  <si>
    <t>De Empresas Públicas Financieras</t>
  </si>
  <si>
    <t>Linea de Trabajo</t>
  </si>
  <si>
    <t>AREA DE GESTIÓN</t>
  </si>
  <si>
    <t>1 - CONDUCCION ADMINISTRATIVA</t>
  </si>
  <si>
    <t>3 - DESARROLLO SOCIAL</t>
  </si>
  <si>
    <t>SERVICIO DE LA DEUDA MUNICIPAL</t>
  </si>
  <si>
    <t>5- DEUDA PUBICA</t>
  </si>
  <si>
    <t>CLASIFICACION ECONOMICA DEL GASTO</t>
  </si>
  <si>
    <t>FUENTES DE FINANCIAM.</t>
  </si>
  <si>
    <t>1 FONDOS GENERAL</t>
  </si>
  <si>
    <t>2 FONDOS PROPIOS</t>
  </si>
  <si>
    <t>5 DONACIONES</t>
  </si>
  <si>
    <t>RUBRO DE AGRUPACION</t>
  </si>
  <si>
    <t>MONTO PRESUPUESTADO</t>
  </si>
  <si>
    <t>IMPUESTOS</t>
  </si>
  <si>
    <t>TASAS Y DERECHOS</t>
  </si>
  <si>
    <t>VENTA DE BIENES Y SERVICIOS</t>
  </si>
  <si>
    <t>INGRESOS FINANCIEROS Y OTROS</t>
  </si>
  <si>
    <t>TRANSFERENCIAS DE CAPITAL</t>
  </si>
  <si>
    <t>TRANSFERENCIAS CORRIENTES</t>
  </si>
  <si>
    <t>SALDO DE AÑOS ANTERIORES</t>
  </si>
  <si>
    <t>TOTAL INGRESOS</t>
  </si>
  <si>
    <t>TOTAL EGRESOS</t>
  </si>
  <si>
    <t>REMUNERACIONES</t>
  </si>
  <si>
    <t>ADQUISICION DE BIENES Y SERVICIOS</t>
  </si>
  <si>
    <t>GASTOS FINANCIEROS Y OTROS</t>
  </si>
  <si>
    <t>AMORTIZACION DE ENDEUDAMIENTO PUBLICO</t>
  </si>
  <si>
    <t>CUENTAS POR PAGAR DE AÑOS ANTERIORES.</t>
  </si>
  <si>
    <t>31304</t>
  </si>
  <si>
    <t xml:space="preserve"> Area de Gestión</t>
  </si>
  <si>
    <t xml:space="preserve"> Unidd Presupuestaria</t>
  </si>
  <si>
    <t xml:space="preserve"> Linea de Trabajo</t>
  </si>
  <si>
    <t xml:space="preserve"> Fuente de Financiamiento</t>
  </si>
  <si>
    <t xml:space="preserve"> Subfuente de Financiamiento</t>
  </si>
  <si>
    <t>Objeto Específico</t>
  </si>
  <si>
    <t>DENOMINACIÓN</t>
  </si>
  <si>
    <t>FONDOS 75%</t>
  </si>
  <si>
    <t>Fuente de Financiamiento</t>
  </si>
  <si>
    <t xml:space="preserve"> DENOMINACIÓN</t>
  </si>
  <si>
    <t xml:space="preserve"> MONTO</t>
  </si>
  <si>
    <t>Subfuente de Financiamiento</t>
  </si>
  <si>
    <t>Cálculo de intereses sobre saldo y distribución de cuota fija por prestamo bancario</t>
  </si>
  <si>
    <t xml:space="preserve">Capital </t>
  </si>
  <si>
    <t>$</t>
  </si>
  <si>
    <t>Saldo Inic</t>
  </si>
  <si>
    <t>Tasa de ints</t>
  </si>
  <si>
    <t>Comisión ISDEM</t>
  </si>
  <si>
    <t>Mensual</t>
  </si>
  <si>
    <t xml:space="preserve">Cuota fija </t>
  </si>
  <si>
    <t>Prestamo</t>
  </si>
  <si>
    <t>Retención ISDEM</t>
  </si>
  <si>
    <t>Caja de Crédito</t>
  </si>
  <si>
    <t xml:space="preserve">Cuota Fija </t>
  </si>
  <si>
    <t>Comisión por</t>
  </si>
  <si>
    <t xml:space="preserve">Otro </t>
  </si>
  <si>
    <t xml:space="preserve">Saldo Capital </t>
  </si>
  <si>
    <t xml:space="preserve">FECHA </t>
  </si>
  <si>
    <t xml:space="preserve">DIAS </t>
  </si>
  <si>
    <t xml:space="preserve">CAPITAL </t>
  </si>
  <si>
    <t>de Préstamo</t>
  </si>
  <si>
    <t xml:space="preserve">Ser Garante </t>
  </si>
  <si>
    <t>Descuento</t>
  </si>
  <si>
    <t>de Prestamo</t>
  </si>
  <si>
    <t>Departamento de Chalatenango</t>
  </si>
  <si>
    <t>INTS. 7.5%</t>
  </si>
  <si>
    <t>Total por Año</t>
  </si>
  <si>
    <t>Salarios por Jornal</t>
  </si>
  <si>
    <t>Productos Textiles y Vestuarios</t>
  </si>
  <si>
    <t>Productos de cuero y Caucho</t>
  </si>
  <si>
    <t>Productos Quimicos</t>
  </si>
  <si>
    <t>Llantas y Neumaticos</t>
  </si>
  <si>
    <t>Minerales no Metalicos y Prod. Derivados</t>
  </si>
  <si>
    <t>Minerales Metalicos y Prod. Derivados</t>
  </si>
  <si>
    <t>Herramientas, Rep. y Accesorios</t>
  </si>
  <si>
    <t>Bienes de Uso y Consumo Diversos</t>
  </si>
  <si>
    <t>Mant.  Reparaciones de Bienes Muebles</t>
  </si>
  <si>
    <t>Mant. Reparaciones de Vehiculos</t>
  </si>
  <si>
    <t>Mant. Reparaciones de Bienes Inmuebles</t>
  </si>
  <si>
    <t>Servicios de Alimentación</t>
  </si>
  <si>
    <t>Comisiones y Gastos Bancarios</t>
  </si>
  <si>
    <t>Multas y Costas Procesales</t>
  </si>
  <si>
    <t>Bienes Muebles Diversos</t>
  </si>
  <si>
    <t>Mobiliarios</t>
  </si>
  <si>
    <t>Remuneraciones Diversas</t>
  </si>
  <si>
    <t>51202</t>
  </si>
  <si>
    <t>PRESUPUESTO MUNICIPAL DE EGRESOS</t>
  </si>
  <si>
    <t>PRESUPUESTO MUNICIPAL DE INVERSION POR ESTRUCTURA PRESUPUESTARIA</t>
  </si>
  <si>
    <t>Productos Agropecuarios y Forestales</t>
  </si>
  <si>
    <t>Productos de Cuero y Caucho</t>
  </si>
  <si>
    <t>Servicios de públicidad</t>
  </si>
  <si>
    <t>Impresiones, Publicaciones y Reproducc.</t>
  </si>
  <si>
    <t>Arrendamiento de Bienes Muebles</t>
  </si>
  <si>
    <t>Servicios Generales y Arrendamientos Diversos</t>
  </si>
  <si>
    <t>Servicios de Capacitación</t>
  </si>
  <si>
    <t>Estudios e Investigaciones</t>
  </si>
  <si>
    <t>Consultorias, Estudios e Investigaciones</t>
  </si>
  <si>
    <t>Deposito de Desechos</t>
  </si>
  <si>
    <t>Moviliarios</t>
  </si>
  <si>
    <t>Maquinarias y Equipos</t>
  </si>
  <si>
    <t>Proy. Programas de Inversión Div.</t>
  </si>
  <si>
    <t>Viales</t>
  </si>
  <si>
    <t>Supervisión de Infraestructura</t>
  </si>
  <si>
    <t>Obras de Infraestrutura Diversas</t>
  </si>
  <si>
    <t>FUENTE O SUBFUENTE DE FINANCIAMIENTO: PRESTAMOS INTERNOS</t>
  </si>
  <si>
    <t>FODES 25%</t>
  </si>
  <si>
    <t>FODES 75%</t>
  </si>
  <si>
    <t>TOTALES</t>
  </si>
  <si>
    <t>32101</t>
  </si>
  <si>
    <t>Saldo inicial en Caja</t>
  </si>
  <si>
    <t>32201</t>
  </si>
  <si>
    <t>ALCALDIA MUNICIPAL DE SAN JOSE CANCASQUE</t>
  </si>
  <si>
    <t>31308</t>
  </si>
  <si>
    <t>De Empresas Privadas Financieras</t>
  </si>
  <si>
    <t>Saldo Inicial en Bancos</t>
  </si>
  <si>
    <t>Transfer. Corrientes del Sector Publico</t>
  </si>
  <si>
    <t>Transfer. de Capital del Sector Público</t>
  </si>
  <si>
    <t>Por Expedic. Documentos de Identif.</t>
  </si>
  <si>
    <t>Por Prestación de Servicios en el Pais</t>
  </si>
  <si>
    <t>Viaticos por comisión Interna</t>
  </si>
  <si>
    <t>A Personas Naturales</t>
  </si>
  <si>
    <t>Herramientas, Repuestos y Acces.</t>
  </si>
  <si>
    <t>Mtto. Reparación de Bienes</t>
  </si>
  <si>
    <t>Mtto. Reparación de Vehiculos</t>
  </si>
  <si>
    <t>Mtto. Reparación de Bienes Muebles</t>
  </si>
  <si>
    <t>Pasajes y Víaticos</t>
  </si>
  <si>
    <t>Bienes de Uso y Consumo Diverso</t>
  </si>
  <si>
    <t>Gastos Diversos</t>
  </si>
  <si>
    <t>55308</t>
  </si>
  <si>
    <t>71308</t>
  </si>
  <si>
    <t>De Empresas Privadas Finacieras</t>
  </si>
  <si>
    <t>51901</t>
  </si>
  <si>
    <t>Honorarios</t>
  </si>
  <si>
    <t>ALCALDIA MUNICIPAL DE SAN JOSE CANCASQUE, CHALATENANGO</t>
  </si>
  <si>
    <t>PROYECCION  ANUAL DE DIETAS 2013</t>
  </si>
  <si>
    <t>FUENTE O SUBFUENTE DE FINANCIAMIENTO: FODES 25% FUNCIONAMIENTO</t>
  </si>
  <si>
    <t>FUENTE O SUBFUENTE DE FINANCIAMIENTO: FODES 75% INVERSION</t>
  </si>
  <si>
    <t>Ejercicio 2014</t>
  </si>
  <si>
    <t>CAJA DE CREDITO DE ZACATECOLUCA</t>
  </si>
  <si>
    <t>Fecha de Vencimiento</t>
  </si>
  <si>
    <t>Fecha de Contrato</t>
  </si>
  <si>
    <t>Total Cuota</t>
  </si>
  <si>
    <t xml:space="preserve">DISPONIBILIDADES INICIALES </t>
  </si>
  <si>
    <t>CUENTA</t>
  </si>
  <si>
    <t>FISDL/KFW</t>
  </si>
  <si>
    <t>Fondo Municipal</t>
  </si>
  <si>
    <t xml:space="preserve">FODES 5% Preinversión </t>
  </si>
  <si>
    <t>FODES 75% Ahorro</t>
  </si>
  <si>
    <t>Cta Ahorro FISDL/KFW</t>
  </si>
  <si>
    <t>Cta. Ahorro inversión Prestamo</t>
  </si>
  <si>
    <t>Disposicion final Des. Solidos</t>
  </si>
  <si>
    <t>Chapoda, Limpuieza Calle y Barrios</t>
  </si>
  <si>
    <t>Apoyo al Desarrollo Educ. Utiles escolares</t>
  </si>
  <si>
    <t>Recolección, Transporte Desechos Solidos</t>
  </si>
  <si>
    <t>Adquisición de Terreno</t>
  </si>
  <si>
    <t>Mejora alumb. Publico 2013</t>
  </si>
  <si>
    <t>FISDL Procumidad KFW</t>
  </si>
  <si>
    <t>Fomento al Des. Agicola</t>
  </si>
  <si>
    <t>Caminos Vecinales</t>
  </si>
  <si>
    <t>Tramo Calle Guillenes 13</t>
  </si>
  <si>
    <t>Compra Eq.Informatico</t>
  </si>
  <si>
    <t>Apoyo al Deporte 2013</t>
  </si>
  <si>
    <t>Cap. Asistencia Tec.25648</t>
  </si>
  <si>
    <t>Gestión de Riezgos</t>
  </si>
  <si>
    <t>Des. Act. Sociales y C.</t>
  </si>
  <si>
    <t>Cosntrucc. Muro C. Conc</t>
  </si>
  <si>
    <t>FISDL/PFGL C1</t>
  </si>
  <si>
    <t>FISDL/PFGL C2</t>
  </si>
  <si>
    <t>Mej. C. Salida Ctones Guillen</t>
  </si>
  <si>
    <t>Multas e Intereses Diversos</t>
  </si>
  <si>
    <t>Pasajes al Interior</t>
  </si>
  <si>
    <t>A organismos sin fines de lucro</t>
  </si>
  <si>
    <t>TOTAL   GASTOS POR EL SERVICIO DE LA DEUDA</t>
  </si>
  <si>
    <t>Herramientas, Repuestos y Accesorios</t>
  </si>
  <si>
    <t>Mantenimiento  y Repar. de Bienes  Muebles</t>
  </si>
  <si>
    <t>Mantenimiento y  Repararación de  Vehiculos</t>
  </si>
  <si>
    <t>Servicios de Limpieza y Fumigaciones</t>
  </si>
  <si>
    <t>Becas</t>
  </si>
  <si>
    <t>4 PRESTAMOS INTERNOS</t>
  </si>
  <si>
    <t>02</t>
  </si>
  <si>
    <t>TOTAL GASTOS FONDOS PRESTAMOS</t>
  </si>
  <si>
    <t>TOTAL GASTOS FODES INVERSION</t>
  </si>
  <si>
    <t>Objeto Especifico</t>
  </si>
  <si>
    <t>EJERCICIO 2015</t>
  </si>
  <si>
    <t>Baños y Lavaderos Públicos</t>
  </si>
  <si>
    <t>ESTIMACION PRESUPUESTARIA DE INGRESOS / FONDOS PROPIOS</t>
  </si>
  <si>
    <t>Multas por Registro Civil</t>
  </si>
  <si>
    <t>rubros</t>
  </si>
  <si>
    <t>montos</t>
  </si>
  <si>
    <t>TOTAL</t>
  </si>
  <si>
    <t>DIRECCION Y ADMINISTRACION MUNICIPAL</t>
  </si>
  <si>
    <t>0101 DIRECCION Y ADMINISTRACION SUPERIOR</t>
  </si>
  <si>
    <t>0102 ADMINISTRACION FINANCIERA Y TRIBUTARIA</t>
  </si>
  <si>
    <t>0201 SERVICIOS INTERNOS</t>
  </si>
  <si>
    <t>Servicios de Energía Electrica</t>
  </si>
  <si>
    <t>Al personal de servicios permanentes</t>
  </si>
  <si>
    <t>Beneficios Adicionales</t>
  </si>
  <si>
    <t>TOTALES POR LINEA DE TRABAJO</t>
  </si>
  <si>
    <t>TOTAL FODES 25%</t>
  </si>
  <si>
    <t>ADMINISTRACION FINANCIERA Y TRIBUTARIA</t>
  </si>
  <si>
    <t>0202 SERVICIOS EXTERNOS</t>
  </si>
  <si>
    <t>A Organismos sin fines de lucro</t>
  </si>
  <si>
    <t>Equipos Informáticos</t>
  </si>
  <si>
    <t>PRESUPUESTO MUNICIPAL SERVICIO DE LA DEUDA PUBLICA MUNICIPAL</t>
  </si>
  <si>
    <t>Total</t>
  </si>
  <si>
    <t>Fromula Factor Fijo</t>
  </si>
  <si>
    <t>TOTAL POR FODES 75% INVERSIÓN</t>
  </si>
  <si>
    <t>0301 INFRAESTRUCTURA SOCIAL,         A.G. 3</t>
  </si>
  <si>
    <t>0401 INFRAESTRUCTURA PARA EL DESARROLLO ECONOMICO,                 A. G. 4</t>
  </si>
  <si>
    <t>0302 PROGRAMAS DE DESARROLLO SOCIAL,       A.G. 3</t>
  </si>
  <si>
    <t>0102</t>
  </si>
  <si>
    <t>0201</t>
  </si>
  <si>
    <t>0202</t>
  </si>
  <si>
    <t>AMORTIZACION E INTERESES DE LA DEUDA PUBLICA MUNICIPAL</t>
  </si>
  <si>
    <t>INFRAESTRUCTURA SOCIAL</t>
  </si>
  <si>
    <t>SERVICIOS MUNICIPALES</t>
  </si>
  <si>
    <t>DIRECCION Y ADMINISTRACION SUPERIOR</t>
  </si>
  <si>
    <t>INVERSION E INFRAESTRUCTURA SOCIAL</t>
  </si>
  <si>
    <t>PROGRAMAS DE DESARROLLO SOCIAL</t>
  </si>
  <si>
    <t>TOTAL FODES</t>
  </si>
  <si>
    <t>DEUDA</t>
  </si>
  <si>
    <t>TOTAL FODES INVERSION</t>
  </si>
  <si>
    <t>Contribuciones patronales a Instit. Sector Publico</t>
  </si>
  <si>
    <t>Contrib. Patronales a institucionesl del Sector Priv.</t>
  </si>
  <si>
    <t>Servicios Energia Electrica</t>
  </si>
  <si>
    <t>MODALIDAD: Por Administración</t>
  </si>
  <si>
    <t>TOTAL  DEL PROYECTO</t>
  </si>
  <si>
    <t>INVERSIONES EN ACTIVOS FIJOS</t>
  </si>
  <si>
    <t>PRESUPUESTO DE INVERSION, PROYECTO:</t>
  </si>
  <si>
    <t>Herramientas Repuestos y Accesorios</t>
  </si>
  <si>
    <t>PRESUPUESTO MUNICIPAL DE INVERSION POR ESTRUCTURA PRESUP.</t>
  </si>
  <si>
    <t>54303-mtto.rep.inmuebles</t>
  </si>
  <si>
    <t>deposito desechos</t>
  </si>
  <si>
    <t>matto.vehiculo</t>
  </si>
  <si>
    <t>llantas</t>
  </si>
  <si>
    <t>emergía eléctrica</t>
  </si>
  <si>
    <t>alumbrado público</t>
  </si>
  <si>
    <t>ser.publicidad</t>
  </si>
  <si>
    <t>fumigaciones</t>
  </si>
  <si>
    <t>Terrenos</t>
  </si>
  <si>
    <t>Mantenimiento y  Rep. De Bienes Inmuebles</t>
  </si>
  <si>
    <t>prod.text.y vestuarios</t>
  </si>
  <si>
    <t>Produc.Quimicos</t>
  </si>
  <si>
    <t>Comis.Gastos Banc.</t>
  </si>
  <si>
    <t>54110</t>
  </si>
  <si>
    <t>Transportes Fletes y Almacenamientos</t>
  </si>
  <si>
    <t>Servicios Generales y Arrendam. Div.</t>
  </si>
  <si>
    <t>Serv. Generales y Arrendam. Diversos</t>
  </si>
  <si>
    <t>Mantto. Y Rep. De Bienes Inmuebles</t>
  </si>
  <si>
    <t>Mantto. Y Rep. De Bienes Muebles</t>
  </si>
  <si>
    <t>Serv. Generales y Arrend. Diversos</t>
  </si>
  <si>
    <t>Llantas y Neumáticos</t>
  </si>
  <si>
    <t xml:space="preserve">      </t>
  </si>
  <si>
    <t>MODALIDAD: Por Contrato o Administración</t>
  </si>
  <si>
    <t>PRESUPUESTO DE INVERSION, PROYECTOS 2015</t>
  </si>
  <si>
    <t>Maquinaria y Equipos</t>
  </si>
  <si>
    <t>Viales (61601)</t>
  </si>
  <si>
    <t>De Salud y Saneamiento Ambiental (61602)</t>
  </si>
  <si>
    <t>De Educación y Recreación (61603)</t>
  </si>
  <si>
    <t>Electricas y Comunicaciones (61606)</t>
  </si>
  <si>
    <t>Supervision de Infraestructura (61608)</t>
  </si>
  <si>
    <t>Obras de Infraestrutura Diversas (61699)</t>
  </si>
  <si>
    <t>Maquinaria y Equipos (61102)</t>
  </si>
  <si>
    <t>Estudios de Preinversión (de Construcciones) (61501)</t>
  </si>
  <si>
    <t>61201</t>
  </si>
  <si>
    <t>61501</t>
  </si>
  <si>
    <t>Obras de Infraestructura Diversa</t>
  </si>
  <si>
    <t xml:space="preserve">Terrenos </t>
  </si>
  <si>
    <t xml:space="preserve">Viales </t>
  </si>
  <si>
    <t xml:space="preserve">De Salud y Saneamiento Ambiental </t>
  </si>
  <si>
    <t xml:space="preserve">De Educación y Recreación </t>
  </si>
  <si>
    <t xml:space="preserve">Eléctricas y Comunicaciones </t>
  </si>
  <si>
    <t xml:space="preserve">Supervición de Infraestructura </t>
  </si>
  <si>
    <t>Estudios de Preinversión  (proy.progr.divers).</t>
  </si>
  <si>
    <t>Estudios de Preinversión (de Construcciones).</t>
  </si>
  <si>
    <t>61599</t>
  </si>
  <si>
    <t>.</t>
  </si>
  <si>
    <t>aguinaldos</t>
  </si>
  <si>
    <t>51103</t>
  </si>
  <si>
    <t>Area de Gestion</t>
  </si>
  <si>
    <t xml:space="preserve"> Fuente de Recurso</t>
  </si>
  <si>
    <t>51401</t>
  </si>
  <si>
    <t>51501</t>
  </si>
  <si>
    <t>TOTAL  PROYECTOS POR CONTRATO</t>
  </si>
  <si>
    <t>ALCALDIA MUNICIPAL DE ZARAGOZA</t>
  </si>
  <si>
    <t>DEPARTAMENTO DE  LA LIBERTAD</t>
  </si>
  <si>
    <t>Financieros</t>
  </si>
  <si>
    <t>Vialidad</t>
  </si>
  <si>
    <t>Por Serv. de Certif. o Visado de doc.</t>
  </si>
  <si>
    <t>Tasas Diversas</t>
  </si>
  <si>
    <t>Multas por Declaración Extemporanea</t>
  </si>
  <si>
    <t>0103</t>
  </si>
  <si>
    <t>UNIDADES ADMINISTRATIVAS DE APOYO</t>
  </si>
  <si>
    <t>0203</t>
  </si>
  <si>
    <t>ASEO PUBLICO</t>
  </si>
  <si>
    <t>SERVICIOS JURIDICOS</t>
  </si>
  <si>
    <t>SERVICIOS MUNICIPALES DIVERSOS</t>
  </si>
  <si>
    <t>Departamento de La Libertad</t>
  </si>
  <si>
    <t>BANCO IZALQUEÑO DE LOS TRABAJADORES</t>
  </si>
  <si>
    <t>CAJA DE CREDITO DE CONCEPCION BATRES</t>
  </si>
  <si>
    <t>CAJA DE CREDITO SANTIAGO NONUALCO</t>
  </si>
  <si>
    <t>ACACES DE R.L.</t>
  </si>
  <si>
    <t>0103 UNIDADES ADMINISTRATIVAS DE APOYO</t>
  </si>
  <si>
    <t>0203 SERVICIOS MUNICIPALES DIVERSOS</t>
  </si>
  <si>
    <t>0201 ASEO PUBLICO</t>
  </si>
  <si>
    <t>0202 SERVICIOS JURIDICOS</t>
  </si>
  <si>
    <t>Horas Extraordinarias</t>
  </si>
  <si>
    <t>Por Prestación de Servicios en el Exterior</t>
  </si>
  <si>
    <t>Materiales de defensa y Seguridad Pública</t>
  </si>
  <si>
    <t>Servicios de Fumigaciones</t>
  </si>
  <si>
    <t>Servicios de Lavanderia y Planchado</t>
  </si>
  <si>
    <t>Arrendamientos de Bienes Muebles</t>
  </si>
  <si>
    <t>Limpieza de Calles</t>
  </si>
  <si>
    <t>Recoleccion de Desechos</t>
  </si>
  <si>
    <t>pfgl</t>
  </si>
  <si>
    <t>fc</t>
  </si>
  <si>
    <t>ejec.prest.</t>
  </si>
  <si>
    <t>0103 UNIDAD ADMINISTRATIVA DE APOYO</t>
  </si>
  <si>
    <t>Transf. Corrientes al Sector Publico</t>
  </si>
  <si>
    <t>DEPARTAMENTO DE LA LIBERTAD</t>
  </si>
  <si>
    <t>ALCALDIA MUNICIPAL ZARAGOZA</t>
  </si>
  <si>
    <t>Libros Textos, Utiles de Enseñanza y Publicac.</t>
  </si>
  <si>
    <t>libros, utiles de enseñanza y public.</t>
  </si>
  <si>
    <t>Recoleccion y transp basura</t>
  </si>
  <si>
    <t>Recoleccion y Transporte Desechos Solidos</t>
  </si>
  <si>
    <t>ALCALDIA MUNICIPAL DE ZARAGOZA, DEPARTAMENTO DE LA LIBERTAD</t>
  </si>
  <si>
    <t>isss</t>
  </si>
  <si>
    <t>afp</t>
  </si>
  <si>
    <t>Miner.meta. y prod.deriv</t>
  </si>
  <si>
    <t>Deudas años anteriores</t>
  </si>
  <si>
    <t>de educac y recreac</t>
  </si>
  <si>
    <t>Transferencias Corrientes al Sector Púb.</t>
  </si>
  <si>
    <t>ESTRUCT. PRESUPUEST.</t>
  </si>
  <si>
    <t>Libros, Textos, Utiles de Enseñanza y Publ.</t>
  </si>
  <si>
    <t>Impresiones, publicac. y reproducciones</t>
  </si>
  <si>
    <t xml:space="preserve">Amortiz. Estimada </t>
  </si>
  <si>
    <t>FIDEMUNI</t>
  </si>
  <si>
    <t>Amortiz. Estimada</t>
  </si>
  <si>
    <t>Mantto. Y Rep. De Vehículos</t>
  </si>
  <si>
    <t>56304-transf.personas naturales</t>
  </si>
  <si>
    <t>MOBILIARIOS (61101)</t>
  </si>
  <si>
    <t>Terrenos  (61201)</t>
  </si>
  <si>
    <t>Estudios de Preinversión (de Construcciones). (61501)</t>
  </si>
  <si>
    <t>Estudios de Preinversión  (proy.progr.divers). (61599)</t>
  </si>
  <si>
    <t>Viales  (61601)</t>
  </si>
  <si>
    <t>De Salud y Saneamiento Ambiental  (61602)</t>
  </si>
  <si>
    <t>De Educación y Recreación  (61603)</t>
  </si>
  <si>
    <t>Eléctricas y Comunicaciones  (61606)</t>
  </si>
  <si>
    <t>Supervición de Infraestructura (61608)</t>
  </si>
  <si>
    <t>Obras de Infraestructura Diversa  (11699)</t>
  </si>
  <si>
    <t>SUB TOTAL INFRAESTRUCTURA</t>
  </si>
  <si>
    <t>SUB TOTAL PROGRAMAS DE DESARROLLO SOCIAL</t>
  </si>
  <si>
    <t>Vehículos de Transporte</t>
  </si>
  <si>
    <t>Primas y Gastos de Seguro de Bienes</t>
  </si>
  <si>
    <t>De Empresas Privadas no Financieras</t>
  </si>
  <si>
    <t>P R E S U P U E S T O   D E   I N G R E S O S</t>
  </si>
  <si>
    <t>P R E S U P U E S T O   D E   E G R E S O S</t>
  </si>
  <si>
    <t>55304</t>
  </si>
  <si>
    <t>71304</t>
  </si>
  <si>
    <t>5000</t>
  </si>
  <si>
    <t>140764.45</t>
  </si>
  <si>
    <t>8900</t>
  </si>
  <si>
    <t>3500</t>
  </si>
  <si>
    <t>Ctas. x cobrar de años anteriores</t>
  </si>
  <si>
    <t>(mora tributaria)</t>
  </si>
  <si>
    <t>Viaticos por comisión Externa</t>
  </si>
  <si>
    <t>PRESUP.EJEC.Y PROYECT.</t>
  </si>
  <si>
    <t>Saldo estimado al 31/12/2017</t>
  </si>
  <si>
    <t>Tasa de int.</t>
  </si>
  <si>
    <t xml:space="preserve"> Deuda Actual</t>
  </si>
  <si>
    <t>Intereses</t>
  </si>
  <si>
    <t>Capital</t>
  </si>
  <si>
    <t xml:space="preserve">Total </t>
  </si>
  <si>
    <t>P R O G R A M A S   D E   D E S A R R O L L O   S O C I A L</t>
  </si>
  <si>
    <t>AYUDA CON LAMINAS A FAMILIAS DE ESCASOS RECURSOS</t>
  </si>
  <si>
    <t>De instituciones Descentralizadas no Financieras (cuota isdem oip)</t>
  </si>
  <si>
    <t>RECOLEC. TRANSPORTE Y DISPOS.FINAL DESECHOS SOLIDOS 2018</t>
  </si>
  <si>
    <t>61105 veículos</t>
  </si>
  <si>
    <t>55602 seguros de bienes</t>
  </si>
  <si>
    <t>55307 intereses</t>
  </si>
  <si>
    <t>Primas y Gastos de Seguros de Bienes</t>
  </si>
  <si>
    <t>De empresas Privadas no Financieras (intereses)</t>
  </si>
  <si>
    <t>Cuentas por pagar de años anteriores</t>
  </si>
  <si>
    <t>INGRESOS   2014</t>
  </si>
  <si>
    <t>INGRESOS     2015</t>
  </si>
  <si>
    <t>INGRESOS      2016</t>
  </si>
  <si>
    <r>
      <t xml:space="preserve">Presupuesto Estimado para el </t>
    </r>
    <r>
      <rPr>
        <b/>
        <sz val="12"/>
        <rFont val="Cambria"/>
        <family val="1"/>
        <scheme val="major"/>
      </rPr>
      <t>2019</t>
    </r>
  </si>
  <si>
    <t>PRESUPUESTO MUNICIPAL DE INGRESOS 2019</t>
  </si>
  <si>
    <t>PROGRAMA DE FOMENTO Y APOYO AL DEPORTE ZARAGOZA  2019</t>
  </si>
  <si>
    <t>FIESTAS PATRONALES 2019</t>
  </si>
  <si>
    <t>EJERCICIO 2019</t>
  </si>
  <si>
    <t>Saldo estimado al 31/12/2018</t>
  </si>
  <si>
    <t>01/01/20198</t>
  </si>
  <si>
    <t>31/10/20198</t>
  </si>
  <si>
    <t>Saldo al 21/12/2018</t>
  </si>
  <si>
    <t>Ejercicio 2019</t>
  </si>
  <si>
    <t>Saldo al 10/12/2018</t>
  </si>
  <si>
    <t>Saldo al 31/12/2019</t>
  </si>
  <si>
    <t>Amortización a Capital 2019 =</t>
  </si>
  <si>
    <t>Amortiz. Estimada 12/2018</t>
  </si>
  <si>
    <t>Saldo al 19/12/2018</t>
  </si>
  <si>
    <t>CELEBRACION DE FIESTAS NACIONALES, CIVICAS Y NAVIDEÑAS 2019</t>
  </si>
  <si>
    <t>TOTAL FODES 2019</t>
  </si>
  <si>
    <t>DISPONIBILIDAD PARA INFRAESTRUCTURA</t>
  </si>
  <si>
    <t>CAMBIO DE CERCA DE NYLON POR MAYA CICLON EN C.POLIDEPORTIVO</t>
  </si>
  <si>
    <t>Por Remuneraciones Permanentes ISSS</t>
  </si>
  <si>
    <t>Por Remuneraciones Permanentes AFP</t>
  </si>
  <si>
    <t>FOMENTO Y PARTICIPACION ACTIVA DE LAS MUJERES DEL MPIO.DE ZARG./2019</t>
  </si>
  <si>
    <t>PROGRAMA DE APOYO A LA CULTURA Y EL ARTE DEL MUNICIPIO DE ZARAGOZA</t>
  </si>
  <si>
    <t>PAVIMENTACION DE 170 MTS DE LA CALLE EL COCAL, CTN SAN SEBASTIAN ASUCHIO</t>
  </si>
  <si>
    <t>PAVIMENTACION DE 170 MTS DE LA CALLE PPAL DE LA COMUNIDAD LA VEGA #2</t>
  </si>
  <si>
    <t>PRESUSPUESTO MUNICIPAL AÑO 2019   -   INVERSION FODES 75%</t>
  </si>
  <si>
    <t>T O T A L   D E   E G R E S O S   F O D E S   7 5 %   2 0 1 9</t>
  </si>
  <si>
    <t>COMPRA DE PAQUETES  AGRICOLAS 2019</t>
  </si>
  <si>
    <t>ASISTENCIA ALIMENTICIA PARA ADULTOS MAYORES DEL MUNICIPIO ZGZA. (500X$20)</t>
  </si>
  <si>
    <t>Rec.Mora 10%</t>
  </si>
  <si>
    <t>Saldo al 26/12/2018</t>
  </si>
  <si>
    <t>PROGRAMA DE FOMENTO A LA EDUCACION EN EL MUN.DE ZAR.(40X60)</t>
  </si>
  <si>
    <t>ESTRUCTURA PRESUPUESTARIA PARA EL EJERCICIO 2019</t>
  </si>
  <si>
    <t>PRESUPUESTO POR RUBROS DE AGRUPACION, EJERCICIO 2019</t>
  </si>
  <si>
    <t>Unidad Presupuestaria</t>
  </si>
  <si>
    <t xml:space="preserve"> </t>
  </si>
  <si>
    <t>PROGRAMA DE APOYO A LA NIÑEZ Y LA ADOLESCENCIA</t>
  </si>
  <si>
    <t>Deuda 2017/18</t>
  </si>
  <si>
    <t>FIESTAS PATRONALES 2017</t>
  </si>
  <si>
    <t>PROGRAMA CULTURAL PARTICIPATIVO</t>
  </si>
  <si>
    <t>PROGRAMA DE ASISTENCIA ALIMENTICIA A ADULTOS MAYORES</t>
  </si>
  <si>
    <t>APOYO CON INSUMOS DE PAQUETES AGRICOLAS</t>
  </si>
  <si>
    <t>PROGRAMA DE APOYO AL DEPORTE 2018</t>
  </si>
  <si>
    <t>RECOLEC. TRANSPORTE Y DISPOS.FINAL DESECHOS SOLIDOS 2019</t>
  </si>
  <si>
    <t>CELEBRACION DE FIESTAS NAVIDEÑAS Y ENTREGA DE JUGUETES 2018</t>
  </si>
  <si>
    <t>Primas y Gastos de Seguro de Personas</t>
  </si>
  <si>
    <t>MANTTO. Y REP. DE CALLES Y PJES. EN ZONAS URB. Y RURALES DE ZARAGOZA 2019</t>
  </si>
  <si>
    <t>MANTTO. Y REP. DE CALLES Y PJES. EN ZONAS URB. Y RURALES DE ZARAGOZA 2018</t>
  </si>
  <si>
    <t xml:space="preserve">RECARPETEO 2º CALLE PTE. Y 4º CALLE OTE.  ZARAGOZA </t>
  </si>
  <si>
    <t>PAV. 75M. COL. NUEVA SAN NICOLAS</t>
  </si>
  <si>
    <t>PAV. 209M. DE CALLE #1 Y AV. PPAL. LOS CEDROS ZARAGOZA</t>
  </si>
  <si>
    <t>CONSTRUCCION SISTEMA DE DRENAJE URB. JARDINEZ</t>
  </si>
  <si>
    <t>PAVIMENTACION DE 308M. PJE. 3 COL. VILLAS DE ZARAGOZA</t>
  </si>
  <si>
    <t>COMPRA DE LAMINA</t>
  </si>
  <si>
    <t>PAVIMENTACION CALLE LA VEGA</t>
  </si>
  <si>
    <t>PAVIMENTACION CALLE COMUNIDAD SANTA TERESITA</t>
  </si>
  <si>
    <t>PAVIMENTACION 150 M. PRADOS DE ZARAGOZA</t>
  </si>
  <si>
    <t>PAVIMENTACION CALLE LOS GIRASOLES</t>
  </si>
  <si>
    <t>PAVIMENTACION 327M. COL. LA FUENTE</t>
  </si>
  <si>
    <t>CONSTRUCCION DE CANALETA CALLE EL JIOTE</t>
  </si>
  <si>
    <t>DISPONIBILIDAD</t>
  </si>
  <si>
    <t>ISSS</t>
  </si>
  <si>
    <t>AFP</t>
  </si>
  <si>
    <t>61601 viales</t>
  </si>
  <si>
    <t>56304</t>
  </si>
  <si>
    <t>Transferencias a personas naturales</t>
  </si>
  <si>
    <t>56305</t>
  </si>
  <si>
    <t>54602</t>
  </si>
  <si>
    <t>Deposito de desechos</t>
  </si>
  <si>
    <t xml:space="preserve">Recoleccion de desechos </t>
  </si>
  <si>
    <t>54314</t>
  </si>
  <si>
    <t>Trasnsportes, fletes y mantenimientos</t>
  </si>
  <si>
    <t>Materiales de oficina</t>
  </si>
  <si>
    <t>Productos quimicos</t>
  </si>
  <si>
    <t>Transferencia a personas naturales</t>
  </si>
  <si>
    <t>Trasnferencias a personas naturales</t>
  </si>
  <si>
    <t>PRESUPUESTO DE INVERSION, PROGRAMA DE DESARROLLO SOCIAL:</t>
  </si>
  <si>
    <t>Transporte,, fletes y mantenimientos</t>
  </si>
  <si>
    <t>Herramientas, repuestos y accesorios</t>
  </si>
  <si>
    <t>Servicios generales y arrendamientos diversos</t>
  </si>
  <si>
    <t>Minerales metalicos y productos derivados</t>
  </si>
  <si>
    <t>PARED PERIMETRAL CENTRO ESCOLAR CANTON EL BARILLO</t>
  </si>
  <si>
    <t>Libros, textos, utiles de enseñanza</t>
  </si>
  <si>
    <t>PROYECTO DE ALUMBRADO  PUBLICO ELECTRICO 2018</t>
  </si>
  <si>
    <t xml:space="preserve">ALUMBRADO PUBLICO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</si>
</sst>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;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 [$$-300A]\ * #,##0.00_ ;_ [$$-300A]\ * \-#,##0.00_ ;_ [$$-300A]\ * &quot;-&quot;??_ ;_ @_ "/>
    <numFmt numFmtId="168" formatCode="_-[$€-2]* #,##0.00_-;\-[$€-2]* #,##0.00_-;_-[$€-2]* &quot;-&quot;??_-"/>
    <numFmt numFmtId="169" formatCode="_-[$$-340A]\ * #,##0.00_-;\-[$$-340A]\ * #,##0.00_-;_-[$$-340A]\ * &quot;-&quot;??_-;_-@_-"/>
    <numFmt numFmtId="170" formatCode="_([$$-440A]* #,##0.00_);_([$$-440A]* \(#,##0.00\);_([$$-440A]* &quot;-&quot;??_);_(@_)"/>
    <numFmt numFmtId="171" formatCode="_-[$$-440A]* #,##0.00_ ;_-[$$-440A]* \-#,##0.00\ ;_-[$$-440A]* &quot;-&quot;??_ ;_-@_ "/>
  </numFmts>
  <fonts count="10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b/>
      <u val="doubleAccounting"/>
      <sz val="12"/>
      <name val="Arial"/>
      <family val="2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0"/>
      <name val="Cambria"/>
      <family val="1"/>
      <scheme val="major"/>
    </font>
    <font>
      <b/>
      <u val="singleAccounting"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8"/>
      <name val="Arial"/>
      <family val="2"/>
    </font>
    <font>
      <b/>
      <u val="singleAccounting"/>
      <sz val="14"/>
      <name val="Arial"/>
      <family val="2"/>
    </font>
    <font>
      <b/>
      <u val="doubleAccounting"/>
      <sz val="11"/>
      <name val="Arial"/>
      <family val="2"/>
    </font>
    <font>
      <b/>
      <u val="singleAccounting"/>
      <sz val="12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sz val="48"/>
      <name val="Arial"/>
      <family val="2"/>
    </font>
    <font>
      <sz val="10"/>
      <name val="Arial"/>
      <family val="2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mbria"/>
      <family val="1"/>
    </font>
    <font>
      <b/>
      <sz val="10"/>
      <name val="Cambria"/>
      <family val="1"/>
    </font>
    <font>
      <sz val="12"/>
      <name val="Cambria"/>
      <family val="1"/>
    </font>
    <font>
      <b/>
      <u val="doubleAccounting"/>
      <sz val="12"/>
      <name val="Cambria"/>
      <family val="1"/>
    </font>
    <font>
      <sz val="10"/>
      <name val="Cambria"/>
      <family val="1"/>
    </font>
    <font>
      <sz val="11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u val="singleAccounting"/>
      <sz val="14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Arial"/>
      <family val="2"/>
    </font>
    <font>
      <b/>
      <sz val="1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9"/>
      <name val="Cambria"/>
      <family val="1"/>
      <scheme val="major"/>
    </font>
    <font>
      <b/>
      <sz val="10"/>
      <color theme="1"/>
      <name val="Arial"/>
      <family val="2"/>
    </font>
    <font>
      <b/>
      <sz val="10"/>
      <color theme="1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8"/>
      <color theme="1"/>
      <name val="Cambria"/>
      <family val="1"/>
      <scheme val="major"/>
    </font>
    <font>
      <b/>
      <sz val="6"/>
      <name val="Arial"/>
      <family val="2"/>
    </font>
    <font>
      <b/>
      <u val="singleAccounting"/>
      <sz val="11"/>
      <name val="Arial"/>
      <family val="2"/>
    </font>
    <font>
      <b/>
      <u val="singleAccounting"/>
      <sz val="10"/>
      <name val="Arial"/>
      <family val="2"/>
    </font>
    <font>
      <b/>
      <sz val="8"/>
      <name val="Cambria"/>
      <family val="1"/>
      <scheme val="major"/>
    </font>
    <font>
      <b/>
      <sz val="7"/>
      <name val="Cambria"/>
      <family val="1"/>
      <scheme val="major"/>
    </font>
    <font>
      <b/>
      <sz val="6"/>
      <name val="Cambria"/>
      <family val="1"/>
      <scheme val="major"/>
    </font>
    <font>
      <b/>
      <u val="doubleAccounting"/>
      <sz val="6"/>
      <name val="Cambria"/>
      <family val="1"/>
      <scheme val="major"/>
    </font>
    <font>
      <b/>
      <u val="doubleAccounting"/>
      <sz val="6"/>
      <name val="Arial"/>
      <family val="2"/>
    </font>
    <font>
      <b/>
      <sz val="7"/>
      <name val="Arial"/>
      <family val="2"/>
    </font>
    <font>
      <sz val="7"/>
      <name val="Cambria"/>
      <family val="1"/>
      <scheme val="major"/>
    </font>
    <font>
      <sz val="7"/>
      <name val="Arial"/>
      <family val="2"/>
    </font>
    <font>
      <sz val="7"/>
      <color rgb="FFFF0000"/>
      <name val="Arial"/>
      <family val="2"/>
    </font>
    <font>
      <b/>
      <u val="singleAccounting"/>
      <sz val="8"/>
      <name val="Cambria"/>
      <family val="1"/>
      <scheme val="major"/>
    </font>
    <font>
      <sz val="10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10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10"/>
      <color theme="0"/>
      <name val="Arial"/>
      <family val="2"/>
    </font>
    <font>
      <u val="singleAccounting"/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u val="doubleAccounting"/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8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9"/>
      <name val="Arial"/>
      <family val="2"/>
    </font>
    <font>
      <b/>
      <u/>
      <sz val="11"/>
      <name val="Arial"/>
      <family val="2"/>
    </font>
    <font>
      <sz val="6"/>
      <color theme="0"/>
      <name val="Arial"/>
      <family val="2"/>
    </font>
    <font>
      <sz val="5"/>
      <color theme="0"/>
      <name val="Arial"/>
      <family val="2"/>
    </font>
    <font>
      <b/>
      <sz val="6"/>
      <color theme="0"/>
      <name val="Arial"/>
      <family val="2"/>
    </font>
    <font>
      <b/>
      <sz val="12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C15F"/>
        <bgColor indexed="64"/>
      </patternFill>
    </fill>
    <fill>
      <patternFill patternType="solid">
        <fgColor rgb="FF87C15F"/>
        <bgColor auto="1"/>
      </patternFill>
    </fill>
    <fill>
      <patternFill patternType="solid">
        <fgColor rgb="FFCCCCFF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168" fontId="1" fillId="0" borderId="0" applyFont="0" applyFill="0" applyBorder="0" applyAlignment="0" applyProtection="0"/>
    <xf numFmtId="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3" fillId="0" borderId="0"/>
    <xf numFmtId="165" fontId="31" fillId="0" borderId="0" applyFont="0" applyFill="0" applyBorder="0" applyAlignment="0" applyProtection="0"/>
  </cellStyleXfs>
  <cellXfs count="856">
    <xf numFmtId="0" fontId="0" fillId="0" borderId="0" xfId="0"/>
    <xf numFmtId="49" fontId="4" fillId="2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167" fontId="4" fillId="2" borderId="2" xfId="5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0" xfId="0" applyFont="1" applyFill="1"/>
    <xf numFmtId="0" fontId="8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164" fontId="1" fillId="2" borderId="0" xfId="5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49" fontId="9" fillId="0" borderId="0" xfId="0" applyNumberFormat="1" applyFont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8" fillId="0" borderId="0" xfId="0" applyFont="1"/>
    <xf numFmtId="4" fontId="18" fillId="0" borderId="0" xfId="0" applyNumberFormat="1" applyFont="1"/>
    <xf numFmtId="0" fontId="18" fillId="0" borderId="7" xfId="0" applyFont="1" applyBorder="1"/>
    <xf numFmtId="0" fontId="18" fillId="0" borderId="8" xfId="0" applyFont="1" applyBorder="1"/>
    <xf numFmtId="0" fontId="18" fillId="0" borderId="6" xfId="0" applyFont="1" applyBorder="1"/>
    <xf numFmtId="0" fontId="18" fillId="0" borderId="1" xfId="0" applyFont="1" applyBorder="1"/>
    <xf numFmtId="4" fontId="18" fillId="0" borderId="8" xfId="0" applyNumberFormat="1" applyFont="1" applyBorder="1" applyAlignment="1">
      <alignment horizontal="center"/>
    </xf>
    <xf numFmtId="4" fontId="18" fillId="0" borderId="3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4" fontId="18" fillId="0" borderId="28" xfId="0" applyNumberFormat="1" applyFont="1" applyBorder="1" applyAlignment="1">
      <alignment horizontal="center"/>
    </xf>
    <xf numFmtId="14" fontId="18" fillId="0" borderId="6" xfId="0" applyNumberFormat="1" applyFont="1" applyBorder="1"/>
    <xf numFmtId="170" fontId="18" fillId="0" borderId="1" xfId="5" applyNumberFormat="1" applyFont="1" applyBorder="1"/>
    <xf numFmtId="170" fontId="18" fillId="0" borderId="28" xfId="5" applyNumberFormat="1" applyFont="1" applyBorder="1"/>
    <xf numFmtId="170" fontId="20" fillId="0" borderId="1" xfId="5" applyNumberFormat="1" applyFont="1" applyBorder="1"/>
    <xf numFmtId="14" fontId="18" fillId="0" borderId="23" xfId="0" applyNumberFormat="1" applyFont="1" applyBorder="1"/>
    <xf numFmtId="0" fontId="20" fillId="0" borderId="13" xfId="0" applyFont="1" applyBorder="1"/>
    <xf numFmtId="170" fontId="21" fillId="0" borderId="13" xfId="5" applyNumberFormat="1" applyFont="1" applyBorder="1"/>
    <xf numFmtId="170" fontId="18" fillId="0" borderId="24" xfId="5" applyNumberFormat="1" applyFont="1" applyBorder="1"/>
    <xf numFmtId="0" fontId="18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 applyAlignment="1">
      <alignment horizontal="right"/>
    </xf>
    <xf numFmtId="0" fontId="18" fillId="0" borderId="25" xfId="0" applyFont="1" applyBorder="1"/>
    <xf numFmtId="0" fontId="18" fillId="0" borderId="26" xfId="0" applyFont="1" applyBorder="1"/>
    <xf numFmtId="4" fontId="18" fillId="0" borderId="27" xfId="0" applyNumberFormat="1" applyFont="1" applyBorder="1"/>
    <xf numFmtId="0" fontId="20" fillId="0" borderId="0" xfId="0" applyFont="1" applyBorder="1"/>
    <xf numFmtId="4" fontId="20" fillId="0" borderId="0" xfId="0" applyNumberFormat="1" applyFont="1" applyBorder="1"/>
    <xf numFmtId="10" fontId="20" fillId="0" borderId="0" xfId="0" quotePrefix="1" applyNumberFormat="1" applyFont="1" applyBorder="1" applyAlignment="1">
      <alignment horizontal="right"/>
    </xf>
    <xf numFmtId="17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10" fillId="0" borderId="1" xfId="5" applyNumberFormat="1" applyFont="1" applyBorder="1" applyAlignment="1">
      <alignment horizontal="center" vertical="center"/>
    </xf>
    <xf numFmtId="44" fontId="8" fillId="0" borderId="1" xfId="5" applyNumberFormat="1" applyFont="1" applyFill="1" applyBorder="1" applyAlignment="1">
      <alignment horizontal="center" vertical="center"/>
    </xf>
    <xf numFmtId="44" fontId="8" fillId="6" borderId="14" xfId="5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4" fontId="8" fillId="6" borderId="16" xfId="5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170" fontId="1" fillId="2" borderId="0" xfId="5" applyNumberFormat="1" applyFont="1" applyFill="1" applyBorder="1" applyAlignment="1">
      <alignment horizontal="right" vertical="center"/>
    </xf>
    <xf numFmtId="170" fontId="1" fillId="0" borderId="0" xfId="0" applyNumberFormat="1" applyFont="1" applyFill="1" applyAlignment="1">
      <alignment vertical="center"/>
    </xf>
    <xf numFmtId="166" fontId="0" fillId="0" borderId="0" xfId="5" applyFont="1"/>
    <xf numFmtId="0" fontId="6" fillId="0" borderId="0" xfId="0" applyFont="1" applyAlignment="1">
      <alignment vertical="center"/>
    </xf>
    <xf numFmtId="170" fontId="1" fillId="0" borderId="0" xfId="0" applyNumberFormat="1" applyFont="1" applyAlignment="1">
      <alignment vertical="center" wrapText="1"/>
    </xf>
    <xf numFmtId="16" fontId="18" fillId="0" borderId="6" xfId="0" applyNumberFormat="1" applyFont="1" applyBorder="1" applyAlignment="1">
      <alignment horizontal="center"/>
    </xf>
    <xf numFmtId="14" fontId="18" fillId="0" borderId="0" xfId="0" applyNumberFormat="1" applyFont="1" applyBorder="1"/>
    <xf numFmtId="49" fontId="9" fillId="0" borderId="0" xfId="0" applyNumberFormat="1" applyFont="1" applyAlignment="1"/>
    <xf numFmtId="166" fontId="1" fillId="0" borderId="0" xfId="5" applyFont="1"/>
    <xf numFmtId="0" fontId="8" fillId="0" borderId="0" xfId="0" applyFont="1" applyAlignment="1">
      <alignment horizontal="left" indent="7"/>
    </xf>
    <xf numFmtId="166" fontId="18" fillId="0" borderId="0" xfId="5" applyFont="1"/>
    <xf numFmtId="0" fontId="1" fillId="0" borderId="1" xfId="0" applyFont="1" applyBorder="1" applyAlignment="1">
      <alignment horizontal="left" indent="1"/>
    </xf>
    <xf numFmtId="0" fontId="1" fillId="0" borderId="1" xfId="0" applyFont="1" applyBorder="1"/>
    <xf numFmtId="166" fontId="1" fillId="0" borderId="1" xfId="5" applyFont="1" applyBorder="1"/>
    <xf numFmtId="0" fontId="1" fillId="0" borderId="1" xfId="0" applyFont="1" applyFill="1" applyBorder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166" fontId="1" fillId="0" borderId="0" xfId="5" applyFont="1" applyBorder="1"/>
    <xf numFmtId="166" fontId="8" fillId="0" borderId="37" xfId="0" applyNumberFormat="1" applyFont="1" applyBorder="1"/>
    <xf numFmtId="166" fontId="8" fillId="0" borderId="38" xfId="0" applyNumberFormat="1" applyFont="1" applyBorder="1"/>
    <xf numFmtId="0" fontId="1" fillId="0" borderId="48" xfId="0" applyFont="1" applyBorder="1" applyAlignment="1">
      <alignment horizontal="left" indent="1"/>
    </xf>
    <xf numFmtId="166" fontId="8" fillId="2" borderId="0" xfId="5" applyFont="1" applyFill="1"/>
    <xf numFmtId="0" fontId="10" fillId="0" borderId="0" xfId="0" applyFont="1"/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49" fontId="10" fillId="2" borderId="32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33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49" fontId="10" fillId="2" borderId="35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70" fontId="10" fillId="2" borderId="4" xfId="0" applyNumberFormat="1" applyFont="1" applyFill="1" applyBorder="1" applyAlignment="1">
      <alignment horizontal="left"/>
    </xf>
    <xf numFmtId="170" fontId="10" fillId="2" borderId="5" xfId="0" applyNumberFormat="1" applyFont="1" applyFill="1" applyBorder="1" applyAlignment="1">
      <alignment horizontal="left"/>
    </xf>
    <xf numFmtId="170" fontId="10" fillId="2" borderId="3" xfId="5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 vertical="center" wrapText="1"/>
    </xf>
    <xf numFmtId="166" fontId="11" fillId="2" borderId="0" xfId="5" applyFont="1" applyFill="1"/>
    <xf numFmtId="170" fontId="10" fillId="0" borderId="0" xfId="0" applyNumberFormat="1" applyFont="1"/>
    <xf numFmtId="170" fontId="1" fillId="0" borderId="0" xfId="0" applyNumberFormat="1" applyFont="1"/>
    <xf numFmtId="0" fontId="4" fillId="0" borderId="0" xfId="0" applyFont="1"/>
    <xf numFmtId="0" fontId="28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/>
    <xf numFmtId="166" fontId="0" fillId="0" borderId="0" xfId="0" applyNumberFormat="1"/>
    <xf numFmtId="0" fontId="0" fillId="0" borderId="0" xfId="0" applyFill="1"/>
    <xf numFmtId="0" fontId="1" fillId="0" borderId="0" xfId="0" applyFont="1" applyFill="1" applyBorder="1"/>
    <xf numFmtId="166" fontId="10" fillId="0" borderId="0" xfId="0" applyNumberFormat="1" applyFont="1"/>
    <xf numFmtId="0" fontId="10" fillId="0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56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10" fillId="0" borderId="9" xfId="0" applyFont="1" applyFill="1" applyBorder="1"/>
    <xf numFmtId="166" fontId="0" fillId="0" borderId="0" xfId="5" applyFont="1" applyBorder="1"/>
    <xf numFmtId="170" fontId="1" fillId="0" borderId="0" xfId="0" applyNumberFormat="1" applyFont="1" applyAlignment="1">
      <alignment wrapText="1"/>
    </xf>
    <xf numFmtId="0" fontId="10" fillId="0" borderId="58" xfId="0" applyFont="1" applyFill="1" applyBorder="1" applyAlignment="1">
      <alignment horizontal="center" vertical="center" wrapText="1"/>
    </xf>
    <xf numFmtId="170" fontId="10" fillId="0" borderId="4" xfId="0" applyNumberFormat="1" applyFont="1" applyFill="1" applyBorder="1" applyAlignment="1">
      <alignment horizontal="left"/>
    </xf>
    <xf numFmtId="0" fontId="8" fillId="0" borderId="0" xfId="0" applyFont="1" applyFill="1"/>
    <xf numFmtId="166" fontId="8" fillId="0" borderId="0" xfId="5" applyFont="1" applyFill="1"/>
    <xf numFmtId="170" fontId="10" fillId="0" borderId="0" xfId="0" applyNumberFormat="1" applyFont="1" applyAlignment="1">
      <alignment vertical="center"/>
    </xf>
    <xf numFmtId="167" fontId="4" fillId="2" borderId="18" xfId="5" applyNumberFormat="1" applyFont="1" applyFill="1" applyBorder="1" applyAlignment="1">
      <alignment horizontal="right"/>
    </xf>
    <xf numFmtId="167" fontId="4" fillId="2" borderId="56" xfId="5" applyNumberFormat="1" applyFont="1" applyFill="1" applyBorder="1" applyAlignment="1">
      <alignment horizontal="right"/>
    </xf>
    <xf numFmtId="0" fontId="4" fillId="0" borderId="58" xfId="0" applyFont="1" applyFill="1" applyBorder="1" applyAlignment="1">
      <alignment horizontal="center" vertical="center" wrapText="1"/>
    </xf>
    <xf numFmtId="49" fontId="4" fillId="2" borderId="59" xfId="0" applyNumberFormat="1" applyFont="1" applyFill="1" applyBorder="1" applyAlignment="1">
      <alignment horizontal="center"/>
    </xf>
    <xf numFmtId="0" fontId="10" fillId="0" borderId="18" xfId="0" applyFont="1" applyFill="1" applyBorder="1" applyAlignment="1">
      <alignment horizontal="left"/>
    </xf>
    <xf numFmtId="165" fontId="8" fillId="2" borderId="0" xfId="8" applyFont="1" applyFill="1"/>
    <xf numFmtId="0" fontId="10" fillId="0" borderId="0" xfId="0" applyFont="1" applyFill="1" applyAlignment="1">
      <alignment vertical="center"/>
    </xf>
    <xf numFmtId="0" fontId="18" fillId="0" borderId="0" xfId="0" applyFont="1" applyFill="1"/>
    <xf numFmtId="4" fontId="18" fillId="0" borderId="0" xfId="0" applyNumberFormat="1" applyFont="1" applyFill="1"/>
    <xf numFmtId="0" fontId="18" fillId="0" borderId="0" xfId="0" applyFont="1" applyFill="1" applyBorder="1"/>
    <xf numFmtId="4" fontId="20" fillId="0" borderId="0" xfId="0" applyNumberFormat="1" applyFont="1" applyFill="1" applyBorder="1"/>
    <xf numFmtId="4" fontId="18" fillId="0" borderId="0" xfId="0" applyNumberFormat="1" applyFont="1" applyFill="1" applyBorder="1"/>
    <xf numFmtId="0" fontId="20" fillId="0" borderId="0" xfId="0" applyFont="1" applyFill="1" applyBorder="1"/>
    <xf numFmtId="0" fontId="18" fillId="0" borderId="0" xfId="0" applyFont="1" applyFill="1" applyBorder="1" applyAlignment="1">
      <alignment horizontal="right"/>
    </xf>
    <xf numFmtId="10" fontId="20" fillId="0" borderId="0" xfId="0" quotePrefix="1" applyNumberFormat="1" applyFont="1" applyFill="1" applyBorder="1" applyAlignment="1">
      <alignment horizontal="right"/>
    </xf>
    <xf numFmtId="0" fontId="18" fillId="0" borderId="25" xfId="0" applyFont="1" applyFill="1" applyBorder="1"/>
    <xf numFmtId="0" fontId="18" fillId="0" borderId="26" xfId="0" applyFont="1" applyFill="1" applyBorder="1"/>
    <xf numFmtId="4" fontId="18" fillId="0" borderId="27" xfId="0" applyNumberFormat="1" applyFont="1" applyFill="1" applyBorder="1"/>
    <xf numFmtId="0" fontId="18" fillId="0" borderId="7" xfId="0" applyFont="1" applyFill="1" applyBorder="1"/>
    <xf numFmtId="0" fontId="18" fillId="0" borderId="8" xfId="0" applyFont="1" applyFill="1" applyBorder="1"/>
    <xf numFmtId="4" fontId="18" fillId="0" borderId="8" xfId="0" applyNumberFormat="1" applyFont="1" applyFill="1" applyBorder="1" applyAlignment="1">
      <alignment horizontal="center"/>
    </xf>
    <xf numFmtId="4" fontId="18" fillId="0" borderId="31" xfId="0" applyNumberFormat="1" applyFont="1" applyFill="1" applyBorder="1" applyAlignment="1">
      <alignment horizontal="center"/>
    </xf>
    <xf numFmtId="0" fontId="18" fillId="0" borderId="23" xfId="0" applyFont="1" applyFill="1" applyBorder="1"/>
    <xf numFmtId="0" fontId="18" fillId="0" borderId="13" xfId="0" applyFont="1" applyFill="1" applyBorder="1"/>
    <xf numFmtId="4" fontId="18" fillId="0" borderId="13" xfId="0" applyNumberFormat="1" applyFont="1" applyFill="1" applyBorder="1" applyAlignment="1">
      <alignment horizontal="center"/>
    </xf>
    <xf numFmtId="4" fontId="19" fillId="0" borderId="13" xfId="0" applyNumberFormat="1" applyFont="1" applyFill="1" applyBorder="1" applyAlignment="1">
      <alignment horizontal="center"/>
    </xf>
    <xf numFmtId="4" fontId="18" fillId="0" borderId="24" xfId="0" applyNumberFormat="1" applyFont="1" applyFill="1" applyBorder="1" applyAlignment="1">
      <alignment horizontal="center"/>
    </xf>
    <xf numFmtId="14" fontId="18" fillId="0" borderId="7" xfId="0" applyNumberFormat="1" applyFont="1" applyFill="1" applyBorder="1"/>
    <xf numFmtId="170" fontId="18" fillId="0" borderId="8" xfId="5" applyNumberFormat="1" applyFont="1" applyFill="1" applyBorder="1"/>
    <xf numFmtId="170" fontId="18" fillId="0" borderId="31" xfId="5" applyNumberFormat="1" applyFont="1" applyFill="1" applyBorder="1"/>
    <xf numFmtId="14" fontId="18" fillId="0" borderId="6" xfId="0" applyNumberFormat="1" applyFont="1" applyFill="1" applyBorder="1"/>
    <xf numFmtId="0" fontId="18" fillId="0" borderId="1" xfId="0" applyFont="1" applyFill="1" applyBorder="1"/>
    <xf numFmtId="170" fontId="18" fillId="0" borderId="1" xfId="5" applyNumberFormat="1" applyFont="1" applyFill="1" applyBorder="1"/>
    <xf numFmtId="170" fontId="20" fillId="0" borderId="1" xfId="5" applyNumberFormat="1" applyFont="1" applyFill="1" applyBorder="1"/>
    <xf numFmtId="170" fontId="18" fillId="0" borderId="28" xfId="5" applyNumberFormat="1" applyFont="1" applyFill="1" applyBorder="1"/>
    <xf numFmtId="14" fontId="18" fillId="0" borderId="23" xfId="0" applyNumberFormat="1" applyFont="1" applyFill="1" applyBorder="1"/>
    <xf numFmtId="0" fontId="20" fillId="0" borderId="13" xfId="0" applyFont="1" applyFill="1" applyBorder="1"/>
    <xf numFmtId="170" fontId="21" fillId="0" borderId="13" xfId="5" applyNumberFormat="1" applyFont="1" applyFill="1" applyBorder="1"/>
    <xf numFmtId="170" fontId="18" fillId="0" borderId="24" xfId="5" applyNumberFormat="1" applyFont="1" applyFill="1" applyBorder="1"/>
    <xf numFmtId="0" fontId="23" fillId="0" borderId="0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49" fontId="10" fillId="2" borderId="8" xfId="0" applyNumberFormat="1" applyFont="1" applyFill="1" applyBorder="1" applyAlignment="1">
      <alignment horizontal="center" wrapText="1"/>
    </xf>
    <xf numFmtId="49" fontId="10" fillId="2" borderId="32" xfId="0" applyNumberFormat="1" applyFont="1" applyFill="1" applyBorder="1" applyAlignment="1">
      <alignment horizontal="center" wrapText="1"/>
    </xf>
    <xf numFmtId="49" fontId="10" fillId="2" borderId="18" xfId="0" applyNumberFormat="1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left" wrapText="1"/>
    </xf>
    <xf numFmtId="170" fontId="10" fillId="2" borderId="10" xfId="0" applyNumberFormat="1" applyFont="1" applyFill="1" applyBorder="1" applyAlignment="1">
      <alignment horizontal="left" wrapText="1"/>
    </xf>
    <xf numFmtId="170" fontId="10" fillId="2" borderId="2" xfId="5" applyNumberFormat="1" applyFont="1" applyFill="1" applyBorder="1" applyAlignment="1">
      <alignment horizontal="right" wrapText="1"/>
    </xf>
    <xf numFmtId="0" fontId="10" fillId="2" borderId="6" xfId="0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 wrapText="1"/>
    </xf>
    <xf numFmtId="49" fontId="10" fillId="2" borderId="33" xfId="0" applyNumberFormat="1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left" wrapText="1"/>
    </xf>
    <xf numFmtId="170" fontId="10" fillId="2" borderId="4" xfId="0" applyNumberFormat="1" applyFont="1" applyFill="1" applyBorder="1" applyAlignment="1">
      <alignment horizontal="left" wrapText="1"/>
    </xf>
    <xf numFmtId="0" fontId="11" fillId="0" borderId="36" xfId="2" applyFont="1" applyFill="1" applyBorder="1" applyAlignment="1">
      <alignment horizontal="center" vertical="center" textRotation="90" wrapText="1"/>
    </xf>
    <xf numFmtId="0" fontId="11" fillId="0" borderId="37" xfId="2" applyFont="1" applyFill="1" applyBorder="1" applyAlignment="1">
      <alignment horizontal="center" vertical="center" textRotation="90" wrapText="1"/>
    </xf>
    <xf numFmtId="0" fontId="11" fillId="0" borderId="39" xfId="2" applyFont="1" applyFill="1" applyBorder="1" applyAlignment="1">
      <alignment horizontal="center" vertical="center" textRotation="90" wrapText="1"/>
    </xf>
    <xf numFmtId="0" fontId="11" fillId="0" borderId="38" xfId="2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170" fontId="4" fillId="0" borderId="9" xfId="5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170" fontId="4" fillId="0" borderId="2" xfId="5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170" fontId="4" fillId="0" borderId="3" xfId="5" applyNumberFormat="1" applyFont="1" applyFill="1" applyBorder="1" applyAlignment="1">
      <alignment horizontal="right"/>
    </xf>
    <xf numFmtId="170" fontId="25" fillId="0" borderId="14" xfId="5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64" fontId="1" fillId="0" borderId="0" xfId="5" applyNumberFormat="1" applyFont="1" applyFill="1" applyBorder="1" applyAlignment="1">
      <alignment horizontal="right"/>
    </xf>
    <xf numFmtId="166" fontId="29" fillId="0" borderId="0" xfId="5" applyFont="1" applyFill="1" applyBorder="1"/>
    <xf numFmtId="0" fontId="4" fillId="0" borderId="0" xfId="0" applyFont="1" applyFill="1"/>
    <xf numFmtId="0" fontId="6" fillId="0" borderId="4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6" fontId="4" fillId="0" borderId="0" xfId="5" applyFont="1" applyFill="1" applyBorder="1"/>
    <xf numFmtId="0" fontId="1" fillId="0" borderId="0" xfId="0" applyFont="1" applyFill="1" applyAlignment="1">
      <alignment horizontal="center"/>
    </xf>
    <xf numFmtId="49" fontId="4" fillId="0" borderId="32" xfId="0" applyNumberFormat="1" applyFont="1" applyFill="1" applyBorder="1" applyAlignment="1">
      <alignment horizontal="center"/>
    </xf>
    <xf numFmtId="0" fontId="4" fillId="0" borderId="18" xfId="0" applyFont="1" applyFill="1" applyBorder="1"/>
    <xf numFmtId="166" fontId="1" fillId="0" borderId="57" xfId="5" applyFont="1" applyFill="1" applyBorder="1"/>
    <xf numFmtId="166" fontId="1" fillId="0" borderId="10" xfId="5" applyFont="1" applyFill="1" applyBorder="1"/>
    <xf numFmtId="166" fontId="1" fillId="0" borderId="4" xfId="5" applyFont="1" applyFill="1" applyBorder="1"/>
    <xf numFmtId="0" fontId="4" fillId="0" borderId="2" xfId="0" applyFont="1" applyFill="1" applyBorder="1" applyAlignment="1">
      <alignment horizontal="left"/>
    </xf>
    <xf numFmtId="170" fontId="4" fillId="0" borderId="10" xfId="5" applyNumberFormat="1" applyFont="1" applyFill="1" applyBorder="1" applyAlignment="1">
      <alignment horizontal="right"/>
    </xf>
    <xf numFmtId="170" fontId="4" fillId="0" borderId="4" xfId="5" applyNumberFormat="1" applyFont="1" applyFill="1" applyBorder="1" applyAlignment="1">
      <alignment horizontal="right"/>
    </xf>
    <xf numFmtId="49" fontId="4" fillId="0" borderId="35" xfId="0" applyNumberFormat="1" applyFont="1" applyFill="1" applyBorder="1" applyAlignment="1">
      <alignment horizontal="center"/>
    </xf>
    <xf numFmtId="49" fontId="4" fillId="0" borderId="56" xfId="0" applyNumberFormat="1" applyFont="1" applyFill="1" applyBorder="1" applyAlignment="1">
      <alignment horizontal="center"/>
    </xf>
    <xf numFmtId="0" fontId="4" fillId="0" borderId="56" xfId="0" applyFont="1" applyFill="1" applyBorder="1" applyAlignment="1">
      <alignment horizontal="left"/>
    </xf>
    <xf numFmtId="170" fontId="4" fillId="0" borderId="5" xfId="5" applyNumberFormat="1" applyFont="1" applyFill="1" applyBorder="1" applyAlignment="1">
      <alignment horizontal="right"/>
    </xf>
    <xf numFmtId="170" fontId="27" fillId="0" borderId="14" xfId="5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justify"/>
    </xf>
    <xf numFmtId="164" fontId="1" fillId="0" borderId="0" xfId="0" applyNumberFormat="1" applyFont="1"/>
    <xf numFmtId="164" fontId="1" fillId="0" borderId="0" xfId="0" applyNumberFormat="1" applyFont="1" applyFill="1"/>
    <xf numFmtId="49" fontId="1" fillId="0" borderId="0" xfId="0" applyNumberFormat="1" applyFont="1" applyFill="1" applyBorder="1" applyAlignment="1">
      <alignment horizontal="justify"/>
    </xf>
    <xf numFmtId="165" fontId="1" fillId="0" borderId="0" xfId="8" applyFont="1" applyAlignment="1">
      <alignment vertical="center" wrapText="1"/>
    </xf>
    <xf numFmtId="166" fontId="1" fillId="0" borderId="0" xfId="5" applyFont="1" applyAlignment="1">
      <alignment wrapText="1"/>
    </xf>
    <xf numFmtId="0" fontId="23" fillId="0" borderId="0" xfId="0" applyFont="1" applyFill="1" applyBorder="1" applyAlignment="1">
      <alignment horizontal="center"/>
    </xf>
    <xf numFmtId="166" fontId="11" fillId="0" borderId="0" xfId="5" applyFont="1"/>
    <xf numFmtId="170" fontId="0" fillId="0" borderId="0" xfId="0" applyNumberFormat="1"/>
    <xf numFmtId="164" fontId="10" fillId="0" borderId="0" xfId="0" applyNumberFormat="1" applyFont="1"/>
    <xf numFmtId="166" fontId="20" fillId="0" borderId="0" xfId="5" applyFont="1" applyFill="1"/>
    <xf numFmtId="166" fontId="8" fillId="0" borderId="0" xfId="5" applyFont="1" applyBorder="1"/>
    <xf numFmtId="170" fontId="10" fillId="0" borderId="10" xfId="0" applyNumberFormat="1" applyFont="1" applyFill="1" applyBorder="1" applyAlignment="1">
      <alignment horizontal="left" wrapText="1"/>
    </xf>
    <xf numFmtId="170" fontId="10" fillId="0" borderId="4" xfId="0" applyNumberFormat="1" applyFont="1" applyFill="1" applyBorder="1" applyAlignment="1">
      <alignment horizontal="left" wrapText="1"/>
    </xf>
    <xf numFmtId="0" fontId="41" fillId="0" borderId="60" xfId="0" applyFont="1" applyBorder="1" applyAlignment="1">
      <alignment horizontal="center" vertical="center" wrapText="1"/>
    </xf>
    <xf numFmtId="0" fontId="41" fillId="0" borderId="18" xfId="0" applyFont="1" applyBorder="1" applyAlignment="1">
      <alignment vertical="center" wrapText="1"/>
    </xf>
    <xf numFmtId="170" fontId="41" fillId="0" borderId="18" xfId="0" applyNumberFormat="1" applyFont="1" applyBorder="1" applyAlignment="1">
      <alignment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2" xfId="0" applyFont="1" applyBorder="1" applyAlignment="1">
      <alignment vertical="center" wrapText="1"/>
    </xf>
    <xf numFmtId="170" fontId="41" fillId="0" borderId="2" xfId="0" applyNumberFormat="1" applyFont="1" applyBorder="1" applyAlignment="1">
      <alignment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16" xfId="0" applyFont="1" applyBorder="1" applyAlignment="1">
      <alignment vertical="center" wrapText="1"/>
    </xf>
    <xf numFmtId="170" fontId="41" fillId="0" borderId="15" xfId="0" applyNumberFormat="1" applyFont="1" applyBorder="1" applyAlignment="1">
      <alignment vertical="center" wrapText="1"/>
    </xf>
    <xf numFmtId="0" fontId="41" fillId="0" borderId="0" xfId="0" applyFont="1" applyAlignment="1">
      <alignment horizontal="center" vertical="center" wrapText="1"/>
    </xf>
    <xf numFmtId="170" fontId="41" fillId="0" borderId="0" xfId="0" applyNumberFormat="1" applyFont="1" applyAlignment="1">
      <alignment vertical="center" wrapText="1"/>
    </xf>
    <xf numFmtId="0" fontId="41" fillId="0" borderId="60" xfId="0" applyFont="1" applyBorder="1" applyAlignment="1">
      <alignment vertical="center" wrapText="1"/>
    </xf>
    <xf numFmtId="0" fontId="41" fillId="0" borderId="58" xfId="0" applyFont="1" applyBorder="1" applyAlignment="1">
      <alignment vertical="center" wrapText="1"/>
    </xf>
    <xf numFmtId="0" fontId="41" fillId="0" borderId="17" xfId="0" applyFont="1" applyBorder="1" applyAlignment="1">
      <alignment vertical="center" wrapText="1"/>
    </xf>
    <xf numFmtId="0" fontId="43" fillId="0" borderId="0" xfId="0" applyFont="1" applyAlignment="1">
      <alignment wrapText="1"/>
    </xf>
    <xf numFmtId="166" fontId="18" fillId="0" borderId="9" xfId="5" applyFont="1" applyFill="1" applyBorder="1" applyAlignment="1">
      <alignment horizontal="center" vertical="center"/>
    </xf>
    <xf numFmtId="166" fontId="18" fillId="2" borderId="9" xfId="5" applyFont="1" applyFill="1" applyBorder="1" applyAlignment="1">
      <alignment horizontal="center" vertical="center"/>
    </xf>
    <xf numFmtId="0" fontId="20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justify" vertical="center" wrapText="1"/>
    </xf>
    <xf numFmtId="0" fontId="20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justify" vertical="center" wrapText="1"/>
    </xf>
    <xf numFmtId="0" fontId="20" fillId="0" borderId="9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166" fontId="18" fillId="0" borderId="2" xfId="5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justify" vertical="center" wrapText="1"/>
    </xf>
    <xf numFmtId="166" fontId="18" fillId="2" borderId="2" xfId="5" applyFont="1" applyFill="1" applyBorder="1" applyAlignment="1">
      <alignment horizontal="center" vertical="center"/>
    </xf>
    <xf numFmtId="166" fontId="18" fillId="2" borderId="56" xfId="5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/>
    </xf>
    <xf numFmtId="49" fontId="44" fillId="2" borderId="8" xfId="0" applyNumberFormat="1" applyFont="1" applyFill="1" applyBorder="1" applyAlignment="1">
      <alignment horizontal="center"/>
    </xf>
    <xf numFmtId="0" fontId="44" fillId="0" borderId="9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left"/>
    </xf>
    <xf numFmtId="166" fontId="44" fillId="0" borderId="10" xfId="5" applyFont="1" applyFill="1" applyBorder="1" applyAlignment="1">
      <alignment horizontal="left"/>
    </xf>
    <xf numFmtId="167" fontId="44" fillId="0" borderId="9" xfId="5" applyNumberFormat="1" applyFont="1" applyFill="1" applyBorder="1" applyAlignment="1">
      <alignment horizontal="right"/>
    </xf>
    <xf numFmtId="49" fontId="44" fillId="2" borderId="1" xfId="0" applyNumberFormat="1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left"/>
    </xf>
    <xf numFmtId="166" fontId="44" fillId="0" borderId="4" xfId="5" applyFont="1" applyFill="1" applyBorder="1" applyAlignment="1">
      <alignment horizontal="left"/>
    </xf>
    <xf numFmtId="166" fontId="44" fillId="2" borderId="4" xfId="5" applyFont="1" applyFill="1" applyBorder="1" applyAlignment="1">
      <alignment horizontal="left"/>
    </xf>
    <xf numFmtId="0" fontId="44" fillId="2" borderId="6" xfId="0" applyFont="1" applyFill="1" applyBorder="1" applyAlignment="1">
      <alignment horizontal="center"/>
    </xf>
    <xf numFmtId="0" fontId="44" fillId="2" borderId="12" xfId="0" applyFont="1" applyFill="1" applyBorder="1" applyAlignment="1">
      <alignment horizontal="center"/>
    </xf>
    <xf numFmtId="49" fontId="44" fillId="2" borderId="11" xfId="0" applyNumberFormat="1" applyFont="1" applyFill="1" applyBorder="1" applyAlignment="1">
      <alignment horizontal="center"/>
    </xf>
    <xf numFmtId="49" fontId="44" fillId="2" borderId="3" xfId="0" applyNumberFormat="1" applyFont="1" applyFill="1" applyBorder="1" applyAlignment="1">
      <alignment horizontal="center"/>
    </xf>
    <xf numFmtId="0" fontId="44" fillId="2" borderId="5" xfId="0" applyFont="1" applyFill="1" applyBorder="1" applyAlignment="1">
      <alignment horizontal="left"/>
    </xf>
    <xf numFmtId="166" fontId="44" fillId="2" borderId="5" xfId="5" applyFont="1" applyFill="1" applyBorder="1" applyAlignment="1">
      <alignment horizontal="left"/>
    </xf>
    <xf numFmtId="0" fontId="36" fillId="2" borderId="25" xfId="0" applyFont="1" applyFill="1" applyBorder="1" applyAlignment="1">
      <alignment horizontal="center" vertical="center"/>
    </xf>
    <xf numFmtId="49" fontId="36" fillId="2" borderId="26" xfId="0" applyNumberFormat="1" applyFont="1" applyFill="1" applyBorder="1" applyAlignment="1">
      <alignment horizontal="center" vertical="center"/>
    </xf>
    <xf numFmtId="49" fontId="36" fillId="2" borderId="27" xfId="0" applyNumberFormat="1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left" vertical="center" wrapText="1"/>
    </xf>
    <xf numFmtId="169" fontId="36" fillId="2" borderId="4" xfId="0" applyNumberFormat="1" applyFont="1" applyFill="1" applyBorder="1" applyAlignment="1">
      <alignment horizontal="left" vertical="center"/>
    </xf>
    <xf numFmtId="0" fontId="36" fillId="10" borderId="6" xfId="0" applyFont="1" applyFill="1" applyBorder="1" applyAlignment="1">
      <alignment horizontal="center" vertical="center"/>
    </xf>
    <xf numFmtId="49" fontId="36" fillId="10" borderId="1" xfId="0" applyNumberFormat="1" applyFont="1" applyFill="1" applyBorder="1" applyAlignment="1">
      <alignment horizontal="center" vertical="center"/>
    </xf>
    <xf numFmtId="49" fontId="36" fillId="10" borderId="28" xfId="0" applyNumberFormat="1" applyFont="1" applyFill="1" applyBorder="1" applyAlignment="1">
      <alignment horizontal="center" vertical="center"/>
    </xf>
    <xf numFmtId="0" fontId="36" fillId="10" borderId="4" xfId="0" applyFont="1" applyFill="1" applyBorder="1" applyAlignment="1">
      <alignment horizontal="left" vertical="center" wrapText="1"/>
    </xf>
    <xf numFmtId="169" fontId="36" fillId="10" borderId="4" xfId="0" applyNumberFormat="1" applyFont="1" applyFill="1" applyBorder="1" applyAlignment="1">
      <alignment horizontal="left" vertical="center"/>
    </xf>
    <xf numFmtId="0" fontId="36" fillId="9" borderId="6" xfId="0" applyFont="1" applyFill="1" applyBorder="1" applyAlignment="1">
      <alignment horizontal="center" vertical="center"/>
    </xf>
    <xf numFmtId="49" fontId="36" fillId="9" borderId="1" xfId="0" applyNumberFormat="1" applyFont="1" applyFill="1" applyBorder="1" applyAlignment="1">
      <alignment horizontal="center" vertical="center"/>
    </xf>
    <xf numFmtId="49" fontId="36" fillId="9" borderId="28" xfId="0" applyNumberFormat="1" applyFont="1" applyFill="1" applyBorder="1" applyAlignment="1">
      <alignment horizontal="center" vertical="center"/>
    </xf>
    <xf numFmtId="0" fontId="36" fillId="9" borderId="4" xfId="0" applyFont="1" applyFill="1" applyBorder="1" applyAlignment="1">
      <alignment horizontal="justify" vertical="center" wrapText="1"/>
    </xf>
    <xf numFmtId="169" fontId="36" fillId="9" borderId="4" xfId="0" applyNumberFormat="1" applyFont="1" applyFill="1" applyBorder="1" applyAlignment="1">
      <alignment horizontal="left" vertical="center"/>
    </xf>
    <xf numFmtId="0" fontId="36" fillId="10" borderId="4" xfId="0" applyFont="1" applyFill="1" applyBorder="1" applyAlignment="1">
      <alignment horizontal="justify" vertical="center" wrapText="1"/>
    </xf>
    <xf numFmtId="0" fontId="36" fillId="2" borderId="6" xfId="0" applyFont="1" applyFill="1" applyBorder="1" applyAlignment="1">
      <alignment horizontal="center" vertical="center"/>
    </xf>
    <xf numFmtId="49" fontId="36" fillId="2" borderId="1" xfId="0" applyNumberFormat="1" applyFont="1" applyFill="1" applyBorder="1" applyAlignment="1">
      <alignment horizontal="center" vertical="center"/>
    </xf>
    <xf numFmtId="49" fontId="36" fillId="2" borderId="28" xfId="0" applyNumberFormat="1" applyFont="1" applyFill="1" applyBorder="1" applyAlignment="1">
      <alignment horizontal="center" vertical="center"/>
    </xf>
    <xf numFmtId="49" fontId="36" fillId="2" borderId="12" xfId="0" applyNumberFormat="1" applyFont="1" applyFill="1" applyBorder="1" applyAlignment="1">
      <alignment horizontal="center" vertical="center"/>
    </xf>
    <xf numFmtId="49" fontId="36" fillId="2" borderId="11" xfId="0" applyNumberFormat="1" applyFont="1" applyFill="1" applyBorder="1" applyAlignment="1">
      <alignment horizontal="center" vertical="center"/>
    </xf>
    <xf numFmtId="49" fontId="36" fillId="2" borderId="53" xfId="0" applyNumberFormat="1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vertical="center" wrapText="1"/>
    </xf>
    <xf numFmtId="169" fontId="36" fillId="2" borderId="5" xfId="0" applyNumberFormat="1" applyFont="1" applyFill="1" applyBorder="1" applyAlignment="1">
      <alignment horizontal="left" vertical="center"/>
    </xf>
    <xf numFmtId="171" fontId="1" fillId="0" borderId="0" xfId="0" applyNumberFormat="1" applyFont="1" applyAlignment="1">
      <alignment wrapText="1"/>
    </xf>
    <xf numFmtId="170" fontId="41" fillId="0" borderId="2" xfId="0" applyNumberFormat="1" applyFont="1" applyFill="1" applyBorder="1" applyAlignment="1">
      <alignment vertical="center" wrapText="1"/>
    </xf>
    <xf numFmtId="170" fontId="18" fillId="0" borderId="0" xfId="0" applyNumberFormat="1" applyFont="1"/>
    <xf numFmtId="0" fontId="0" fillId="0" borderId="0" xfId="0" applyFill="1" applyBorder="1"/>
    <xf numFmtId="170" fontId="10" fillId="2" borderId="18" xfId="0" applyNumberFormat="1" applyFont="1" applyFill="1" applyBorder="1" applyAlignment="1">
      <alignment horizontal="left" wrapText="1"/>
    </xf>
    <xf numFmtId="170" fontId="10" fillId="2" borderId="2" xfId="0" applyNumberFormat="1" applyFont="1" applyFill="1" applyBorder="1" applyAlignment="1">
      <alignment horizontal="left" wrapText="1"/>
    </xf>
    <xf numFmtId="170" fontId="10" fillId="2" borderId="2" xfId="0" applyNumberFormat="1" applyFont="1" applyFill="1" applyBorder="1" applyAlignment="1">
      <alignment horizontal="left"/>
    </xf>
    <xf numFmtId="0" fontId="10" fillId="0" borderId="15" xfId="0" applyFont="1" applyBorder="1"/>
    <xf numFmtId="170" fontId="10" fillId="2" borderId="3" xfId="0" applyNumberFormat="1" applyFont="1" applyFill="1" applyBorder="1" applyAlignment="1">
      <alignment horizontal="left"/>
    </xf>
    <xf numFmtId="170" fontId="10" fillId="2" borderId="56" xfId="0" applyNumberFormat="1" applyFont="1" applyFill="1" applyBorder="1" applyAlignment="1">
      <alignment horizontal="left"/>
    </xf>
    <xf numFmtId="170" fontId="10" fillId="0" borderId="2" xfId="5" applyNumberFormat="1" applyFont="1" applyFill="1" applyBorder="1" applyAlignment="1">
      <alignment horizontal="right" wrapText="1"/>
    </xf>
    <xf numFmtId="0" fontId="1" fillId="0" borderId="0" xfId="0" applyNumberFormat="1" applyFont="1" applyAlignment="1">
      <alignment wrapText="1"/>
    </xf>
    <xf numFmtId="4" fontId="18" fillId="0" borderId="8" xfId="0" applyNumberFormat="1" applyFont="1" applyFill="1" applyBorder="1"/>
    <xf numFmtId="4" fontId="20" fillId="0" borderId="11" xfId="0" applyNumberFormat="1" applyFont="1" applyFill="1" applyBorder="1"/>
    <xf numFmtId="164" fontId="6" fillId="0" borderId="0" xfId="0" applyNumberFormat="1" applyFont="1" applyBorder="1"/>
    <xf numFmtId="0" fontId="1" fillId="0" borderId="63" xfId="0" applyFont="1" applyBorder="1" applyAlignment="1">
      <alignment vertical="center"/>
    </xf>
    <xf numFmtId="0" fontId="6" fillId="13" borderId="45" xfId="2" applyFont="1" applyFill="1" applyBorder="1" applyAlignment="1" applyProtection="1">
      <alignment horizontal="center" vertical="center" textRotation="90" wrapText="1"/>
      <protection locked="0" hidden="1"/>
    </xf>
    <xf numFmtId="0" fontId="11" fillId="13" borderId="36" xfId="2" applyFont="1" applyFill="1" applyBorder="1" applyAlignment="1">
      <alignment horizontal="center" vertical="center" textRotation="90" wrapText="1"/>
    </xf>
    <xf numFmtId="0" fontId="11" fillId="13" borderId="37" xfId="2" applyFont="1" applyFill="1" applyBorder="1" applyAlignment="1">
      <alignment horizontal="center" vertical="center" textRotation="90" wrapText="1"/>
    </xf>
    <xf numFmtId="0" fontId="11" fillId="13" borderId="39" xfId="2" applyFont="1" applyFill="1" applyBorder="1" applyAlignment="1">
      <alignment horizontal="center" vertical="center" textRotation="90" wrapText="1"/>
    </xf>
    <xf numFmtId="0" fontId="11" fillId="13" borderId="38" xfId="2" applyFont="1" applyFill="1" applyBorder="1" applyAlignment="1">
      <alignment horizontal="center" vertical="center" textRotation="90" wrapText="1"/>
    </xf>
    <xf numFmtId="0" fontId="6" fillId="13" borderId="16" xfId="2" applyFont="1" applyFill="1" applyBorder="1" applyAlignment="1" applyProtection="1">
      <alignment horizontal="center" vertical="center" textRotation="90" wrapText="1"/>
      <protection locked="0" hidden="1"/>
    </xf>
    <xf numFmtId="170" fontId="26" fillId="13" borderId="14" xfId="0" applyNumberFormat="1" applyFont="1" applyFill="1" applyBorder="1" applyAlignment="1">
      <alignment vertical="center"/>
    </xf>
    <xf numFmtId="170" fontId="16" fillId="13" borderId="14" xfId="0" applyNumberFormat="1" applyFont="1" applyFill="1" applyBorder="1" applyAlignment="1">
      <alignment vertical="center"/>
    </xf>
    <xf numFmtId="0" fontId="34" fillId="13" borderId="37" xfId="2" applyFont="1" applyFill="1" applyBorder="1" applyAlignment="1">
      <alignment horizontal="center" vertical="center" textRotation="90" wrapText="1"/>
    </xf>
    <xf numFmtId="0" fontId="34" fillId="13" borderId="38" xfId="2" applyFont="1" applyFill="1" applyBorder="1" applyAlignment="1">
      <alignment horizontal="center" vertical="center" textRotation="90" wrapText="1"/>
    </xf>
    <xf numFmtId="167" fontId="45" fillId="13" borderId="14" xfId="2" applyNumberFormat="1" applyFont="1" applyFill="1" applyBorder="1" applyAlignment="1">
      <alignment horizontal="center" vertical="center"/>
    </xf>
    <xf numFmtId="166" fontId="44" fillId="0" borderId="2" xfId="5" applyFont="1" applyFill="1" applyBorder="1" applyAlignment="1">
      <alignment horizontal="left"/>
    </xf>
    <xf numFmtId="0" fontId="44" fillId="2" borderId="2" xfId="0" applyFont="1" applyFill="1" applyBorder="1" applyAlignment="1">
      <alignment horizontal="left"/>
    </xf>
    <xf numFmtId="0" fontId="34" fillId="13" borderId="19" xfId="1" applyFont="1" applyFill="1" applyBorder="1" applyAlignment="1">
      <alignment horizontal="center" vertical="center" textRotation="90" wrapText="1"/>
    </xf>
    <xf numFmtId="0" fontId="34" fillId="13" borderId="20" xfId="1" applyFont="1" applyFill="1" applyBorder="1" applyAlignment="1">
      <alignment horizontal="center" vertical="center" textRotation="90" wrapText="1"/>
    </xf>
    <xf numFmtId="0" fontId="34" fillId="13" borderId="21" xfId="1" applyFont="1" applyFill="1" applyBorder="1" applyAlignment="1">
      <alignment horizontal="center" vertical="center" textRotation="90" wrapText="1"/>
    </xf>
    <xf numFmtId="0" fontId="34" fillId="13" borderId="22" xfId="1" applyFont="1" applyFill="1" applyBorder="1" applyAlignment="1">
      <alignment horizontal="center" vertical="center" textRotation="90" wrapText="1"/>
    </xf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/>
    <xf numFmtId="4" fontId="47" fillId="0" borderId="0" xfId="0" applyNumberFormat="1" applyFont="1" applyFill="1"/>
    <xf numFmtId="0" fontId="47" fillId="0" borderId="0" xfId="0" applyFont="1" applyFill="1" applyBorder="1"/>
    <xf numFmtId="4" fontId="47" fillId="0" borderId="0" xfId="0" applyNumberFormat="1" applyFont="1" applyFill="1" applyBorder="1"/>
    <xf numFmtId="0" fontId="48" fillId="0" borderId="0" xfId="0" applyFont="1" applyAlignment="1">
      <alignment vertical="center" wrapText="1"/>
    </xf>
    <xf numFmtId="0" fontId="57" fillId="0" borderId="0" xfId="0" applyFont="1" applyAlignment="1">
      <alignment horizontal="center" vertical="center" wrapText="1"/>
    </xf>
    <xf numFmtId="49" fontId="58" fillId="0" borderId="15" xfId="0" applyNumberFormat="1" applyFont="1" applyBorder="1" applyAlignment="1">
      <alignment vertical="center" wrapText="1"/>
    </xf>
    <xf numFmtId="49" fontId="47" fillId="0" borderId="15" xfId="0" applyNumberFormat="1" applyFont="1" applyBorder="1" applyAlignment="1">
      <alignment horizontal="center" vertical="center" wrapText="1"/>
    </xf>
    <xf numFmtId="49" fontId="47" fillId="0" borderId="15" xfId="0" applyNumberFormat="1" applyFont="1" applyBorder="1" applyAlignment="1">
      <alignment vertical="center" wrapText="1"/>
    </xf>
    <xf numFmtId="0" fontId="48" fillId="0" borderId="62" xfId="0" applyFont="1" applyBorder="1" applyAlignment="1">
      <alignment vertical="center" wrapText="1"/>
    </xf>
    <xf numFmtId="49" fontId="58" fillId="0" borderId="15" xfId="0" applyNumberFormat="1" applyFont="1" applyBorder="1" applyAlignment="1">
      <alignment horizontal="center" vertical="center" wrapText="1"/>
    </xf>
    <xf numFmtId="49" fontId="47" fillId="0" borderId="9" xfId="0" applyNumberFormat="1" applyFont="1" applyBorder="1" applyAlignment="1">
      <alignment horizontal="center" vertical="center" wrapText="1"/>
    </xf>
    <xf numFmtId="49" fontId="47" fillId="0" borderId="9" xfId="0" applyNumberFormat="1" applyFont="1" applyBorder="1" applyAlignment="1">
      <alignment vertical="center" wrapText="1"/>
    </xf>
    <xf numFmtId="49" fontId="58" fillId="0" borderId="3" xfId="0" applyNumberFormat="1" applyFont="1" applyBorder="1" applyAlignment="1">
      <alignment horizontal="center" vertical="center" wrapText="1"/>
    </xf>
    <xf numFmtId="49" fontId="58" fillId="0" borderId="3" xfId="0" applyNumberFormat="1" applyFont="1" applyBorder="1" applyAlignment="1">
      <alignment vertical="center" wrapText="1"/>
    </xf>
    <xf numFmtId="49" fontId="47" fillId="0" borderId="3" xfId="0" applyNumberFormat="1" applyFont="1" applyBorder="1" applyAlignment="1">
      <alignment horizontal="center" vertical="center" wrapText="1"/>
    </xf>
    <xf numFmtId="0" fontId="57" fillId="0" borderId="0" xfId="0" applyFont="1" applyAlignment="1">
      <alignment vertical="center" wrapText="1"/>
    </xf>
    <xf numFmtId="49" fontId="47" fillId="0" borderId="16" xfId="0" applyNumberFormat="1" applyFont="1" applyBorder="1" applyAlignment="1">
      <alignment horizontal="center" vertical="center" wrapText="1"/>
    </xf>
    <xf numFmtId="49" fontId="47" fillId="0" borderId="16" xfId="0" applyNumberFormat="1" applyFont="1" applyBorder="1" applyAlignment="1">
      <alignment vertical="center" wrapText="1"/>
    </xf>
    <xf numFmtId="49" fontId="47" fillId="0" borderId="0" xfId="0" applyNumberFormat="1" applyFont="1" applyAlignment="1">
      <alignment horizontal="center" vertical="center" wrapText="1"/>
    </xf>
    <xf numFmtId="49" fontId="47" fillId="0" borderId="0" xfId="0" applyNumberFormat="1" applyFont="1" applyAlignment="1">
      <alignment vertical="center" wrapText="1"/>
    </xf>
    <xf numFmtId="49" fontId="47" fillId="0" borderId="0" xfId="0" applyNumberFormat="1" applyFont="1" applyAlignment="1">
      <alignment horizontal="left" vertical="center" wrapText="1"/>
    </xf>
    <xf numFmtId="49" fontId="59" fillId="0" borderId="0" xfId="0" applyNumberFormat="1" applyFont="1" applyAlignment="1">
      <alignment horizontal="left" vertical="center" wrapText="1"/>
    </xf>
    <xf numFmtId="49" fontId="47" fillId="0" borderId="0" xfId="0" applyNumberFormat="1" applyFont="1" applyAlignment="1">
      <alignment horizontal="right" vertical="center" wrapText="1"/>
    </xf>
    <xf numFmtId="0" fontId="40" fillId="13" borderId="29" xfId="0" applyFont="1" applyFill="1" applyBorder="1" applyAlignment="1">
      <alignment horizontal="center" vertical="center" wrapText="1"/>
    </xf>
    <xf numFmtId="0" fontId="39" fillId="13" borderId="14" xfId="0" applyFont="1" applyFill="1" applyBorder="1" applyAlignment="1">
      <alignment horizontal="center" vertical="center" wrapText="1"/>
    </xf>
    <xf numFmtId="170" fontId="42" fillId="13" borderId="14" xfId="0" applyNumberFormat="1" applyFont="1" applyFill="1" applyBorder="1" applyAlignment="1">
      <alignment vertical="center" wrapText="1"/>
    </xf>
    <xf numFmtId="0" fontId="39" fillId="13" borderId="29" xfId="0" applyFont="1" applyFill="1" applyBorder="1" applyAlignment="1">
      <alignment horizontal="center" vertical="center" wrapText="1"/>
    </xf>
    <xf numFmtId="0" fontId="23" fillId="13" borderId="14" xfId="0" applyFont="1" applyFill="1" applyBorder="1" applyAlignment="1">
      <alignment vertical="center" wrapText="1"/>
    </xf>
    <xf numFmtId="0" fontId="23" fillId="13" borderId="14" xfId="0" applyFont="1" applyFill="1" applyBorder="1" applyAlignment="1">
      <alignment horizontal="center" vertical="center" wrapText="1"/>
    </xf>
    <xf numFmtId="166" fontId="23" fillId="13" borderId="14" xfId="5" applyFont="1" applyFill="1" applyBorder="1" applyAlignment="1">
      <alignment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textRotation="90" wrapText="1"/>
    </xf>
    <xf numFmtId="0" fontId="63" fillId="12" borderId="29" xfId="0" applyFont="1" applyFill="1" applyBorder="1" applyAlignment="1">
      <alignment horizontal="center" vertical="center" wrapText="1"/>
    </xf>
    <xf numFmtId="0" fontId="63" fillId="12" borderId="14" xfId="0" applyFont="1" applyFill="1" applyBorder="1" applyAlignment="1">
      <alignment horizontal="center" vertical="center" wrapText="1"/>
    </xf>
    <xf numFmtId="0" fontId="63" fillId="12" borderId="4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0" fontId="41" fillId="0" borderId="15" xfId="0" applyNumberFormat="1" applyFont="1" applyFill="1" applyBorder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23" fillId="13" borderId="26" xfId="0" applyFont="1" applyFill="1" applyBorder="1" applyAlignment="1">
      <alignment horizontal="center" vertical="center" wrapText="1"/>
    </xf>
    <xf numFmtId="0" fontId="23" fillId="13" borderId="13" xfId="0" applyFont="1" applyFill="1" applyBorder="1" applyAlignment="1">
      <alignment horizontal="center" vertical="center" wrapText="1"/>
    </xf>
    <xf numFmtId="1" fontId="20" fillId="13" borderId="13" xfId="0" applyNumberFormat="1" applyFont="1" applyFill="1" applyBorder="1" applyAlignment="1">
      <alignment horizontal="center" vertical="center" wrapText="1"/>
    </xf>
    <xf numFmtId="170" fontId="66" fillId="0" borderId="14" xfId="5" applyNumberFormat="1" applyFont="1" applyFill="1" applyBorder="1" applyAlignment="1">
      <alignment horizontal="center" vertical="center"/>
    </xf>
    <xf numFmtId="166" fontId="4" fillId="0" borderId="2" xfId="5" applyFont="1" applyFill="1" applyBorder="1" applyAlignment="1">
      <alignment horizontal="right"/>
    </xf>
    <xf numFmtId="0" fontId="11" fillId="12" borderId="36" xfId="2" applyFont="1" applyFill="1" applyBorder="1" applyAlignment="1">
      <alignment horizontal="center" vertical="center" textRotation="90" wrapText="1"/>
    </xf>
    <xf numFmtId="0" fontId="11" fillId="12" borderId="37" xfId="2" applyFont="1" applyFill="1" applyBorder="1" applyAlignment="1">
      <alignment horizontal="center" vertical="center" textRotation="90" wrapText="1"/>
    </xf>
    <xf numFmtId="0" fontId="11" fillId="12" borderId="39" xfId="2" applyFont="1" applyFill="1" applyBorder="1" applyAlignment="1">
      <alignment horizontal="center" vertical="center" textRotation="90" wrapText="1"/>
    </xf>
    <xf numFmtId="0" fontId="11" fillId="12" borderId="38" xfId="2" applyFont="1" applyFill="1" applyBorder="1" applyAlignment="1">
      <alignment horizontal="center" vertical="center" textRotation="90" wrapText="1"/>
    </xf>
    <xf numFmtId="170" fontId="66" fillId="12" borderId="14" xfId="5" applyNumberFormat="1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/>
    </xf>
    <xf numFmtId="170" fontId="25" fillId="12" borderId="14" xfId="5" applyNumberFormat="1" applyFont="1" applyFill="1" applyBorder="1" applyAlignment="1">
      <alignment horizontal="center" vertical="center"/>
    </xf>
    <xf numFmtId="170" fontId="65" fillId="12" borderId="14" xfId="5" applyNumberFormat="1" applyFont="1" applyFill="1" applyBorder="1" applyAlignment="1">
      <alignment horizontal="center" vertical="center"/>
    </xf>
    <xf numFmtId="0" fontId="11" fillId="12" borderId="1" xfId="2" applyFont="1" applyFill="1" applyBorder="1" applyAlignment="1">
      <alignment horizontal="center" vertical="center" textRotation="90" wrapText="1"/>
    </xf>
    <xf numFmtId="170" fontId="66" fillId="12" borderId="16" xfId="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170" fontId="4" fillId="0" borderId="1" xfId="5" applyNumberFormat="1" applyFont="1" applyFill="1" applyBorder="1" applyAlignment="1">
      <alignment horizontal="right"/>
    </xf>
    <xf numFmtId="170" fontId="4" fillId="0" borderId="43" xfId="5" applyNumberFormat="1" applyFont="1" applyFill="1" applyBorder="1" applyAlignment="1">
      <alignment horizontal="right"/>
    </xf>
    <xf numFmtId="170" fontId="65" fillId="0" borderId="14" xfId="5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6" fontId="23" fillId="13" borderId="16" xfId="5" applyFont="1" applyFill="1" applyBorder="1" applyAlignment="1">
      <alignment vertical="center" wrapText="1"/>
    </xf>
    <xf numFmtId="166" fontId="19" fillId="0" borderId="15" xfId="5" applyFont="1" applyBorder="1" applyAlignment="1">
      <alignment horizontal="left" vertical="center" wrapText="1"/>
    </xf>
    <xf numFmtId="170" fontId="19" fillId="0" borderId="15" xfId="0" applyNumberFormat="1" applyFont="1" applyFill="1" applyBorder="1" applyAlignment="1">
      <alignment horizontal="left" vertical="center" wrapText="1"/>
    </xf>
    <xf numFmtId="170" fontId="19" fillId="0" borderId="15" xfId="0" applyNumberFormat="1" applyFont="1" applyBorder="1" applyAlignment="1">
      <alignment horizontal="left" vertical="center" wrapText="1"/>
    </xf>
    <xf numFmtId="166" fontId="2" fillId="0" borderId="15" xfId="5" applyFont="1" applyBorder="1" applyAlignment="1">
      <alignment horizontal="left"/>
    </xf>
    <xf numFmtId="0" fontId="19" fillId="0" borderId="30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166" fontId="69" fillId="13" borderId="41" xfId="5" applyFont="1" applyFill="1" applyBorder="1" applyAlignment="1">
      <alignment horizontal="left" vertical="center" wrapText="1"/>
    </xf>
    <xf numFmtId="170" fontId="70" fillId="13" borderId="14" xfId="0" applyNumberFormat="1" applyFont="1" applyFill="1" applyBorder="1" applyAlignment="1">
      <alignment horizontal="left" vertical="center" wrapText="1"/>
    </xf>
    <xf numFmtId="170" fontId="70" fillId="13" borderId="14" xfId="0" applyNumberFormat="1" applyFont="1" applyFill="1" applyBorder="1" applyAlignment="1">
      <alignment horizontal="left" vertical="center"/>
    </xf>
    <xf numFmtId="166" fontId="71" fillId="13" borderId="14" xfId="5" applyFont="1" applyFill="1" applyBorder="1" applyAlignment="1">
      <alignment horizontal="left" vertical="center"/>
    </xf>
    <xf numFmtId="166" fontId="71" fillId="13" borderId="14" xfId="5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7" fillId="0" borderId="1" xfId="5" applyNumberFormat="1" applyFont="1" applyBorder="1" applyAlignment="1">
      <alignment horizontal="center" vertical="center"/>
    </xf>
    <xf numFmtId="0" fontId="19" fillId="11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67" fillId="0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67" fillId="11" borderId="1" xfId="0" applyFont="1" applyFill="1" applyBorder="1" applyAlignment="1">
      <alignment horizontal="left"/>
    </xf>
    <xf numFmtId="0" fontId="19" fillId="11" borderId="8" xfId="0" applyFont="1" applyFill="1" applyBorder="1" applyAlignment="1">
      <alignment horizontal="left"/>
    </xf>
    <xf numFmtId="0" fontId="19" fillId="12" borderId="1" xfId="0" applyFont="1" applyFill="1" applyBorder="1" applyAlignment="1">
      <alignment horizontal="center" vertical="center"/>
    </xf>
    <xf numFmtId="0" fontId="67" fillId="12" borderId="1" xfId="0" applyFont="1" applyFill="1" applyBorder="1" applyAlignment="1">
      <alignment horizontal="center" vertical="center"/>
    </xf>
    <xf numFmtId="0" fontId="67" fillId="12" borderId="4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8" fillId="0" borderId="1" xfId="0" applyFont="1" applyFill="1" applyBorder="1" applyAlignment="1">
      <alignment horizontal="left"/>
    </xf>
    <xf numFmtId="166" fontId="68" fillId="0" borderId="1" xfId="5" applyFont="1" applyFill="1" applyBorder="1" applyAlignment="1">
      <alignment horizontal="left"/>
    </xf>
    <xf numFmtId="166" fontId="73" fillId="0" borderId="1" xfId="5" applyFont="1" applyFill="1" applyBorder="1" applyAlignment="1">
      <alignment horizontal="left"/>
    </xf>
    <xf numFmtId="0" fontId="73" fillId="11" borderId="1" xfId="0" applyFont="1" applyFill="1" applyBorder="1" applyAlignment="1">
      <alignment horizontal="left"/>
    </xf>
    <xf numFmtId="166" fontId="73" fillId="11" borderId="1" xfId="5" applyFont="1" applyFill="1" applyBorder="1" applyAlignment="1">
      <alignment horizontal="left"/>
    </xf>
    <xf numFmtId="0" fontId="68" fillId="0" borderId="1" xfId="0" applyFont="1" applyFill="1" applyBorder="1" applyAlignment="1"/>
    <xf numFmtId="166" fontId="68" fillId="0" borderId="1" xfId="5" applyFont="1" applyFill="1" applyBorder="1" applyAlignment="1"/>
    <xf numFmtId="166" fontId="73" fillId="0" borderId="1" xfId="0" applyNumberFormat="1" applyFont="1" applyFill="1" applyBorder="1" applyAlignment="1"/>
    <xf numFmtId="166" fontId="73" fillId="0" borderId="1" xfId="5" applyFont="1" applyFill="1" applyBorder="1" applyAlignment="1"/>
    <xf numFmtId="0" fontId="73" fillId="11" borderId="1" xfId="0" applyFont="1" applyFill="1" applyBorder="1" applyAlignment="1"/>
    <xf numFmtId="166" fontId="73" fillId="11" borderId="1" xfId="5" applyFont="1" applyFill="1" applyBorder="1" applyAlignment="1"/>
    <xf numFmtId="166" fontId="68" fillId="11" borderId="1" xfId="5" applyFont="1" applyFill="1" applyBorder="1" applyAlignment="1"/>
    <xf numFmtId="166" fontId="68" fillId="12" borderId="1" xfId="5" applyFont="1" applyFill="1" applyBorder="1" applyAlignment="1">
      <alignment horizontal="center" vertical="center"/>
    </xf>
    <xf numFmtId="164" fontId="68" fillId="12" borderId="1" xfId="0" applyNumberFormat="1" applyFont="1" applyFill="1" applyBorder="1" applyAlignment="1">
      <alignment horizontal="center" vertical="center"/>
    </xf>
    <xf numFmtId="166" fontId="73" fillId="11" borderId="48" xfId="5" applyFont="1" applyFill="1" applyBorder="1" applyAlignment="1">
      <alignment horizontal="left"/>
    </xf>
    <xf numFmtId="166" fontId="74" fillId="0" borderId="1" xfId="5" applyFont="1" applyBorder="1" applyAlignment="1">
      <alignment horizontal="left"/>
    </xf>
    <xf numFmtId="166" fontId="73" fillId="11" borderId="1" xfId="0" applyNumberFormat="1" applyFont="1" applyFill="1" applyBorder="1" applyAlignment="1">
      <alignment horizontal="left"/>
    </xf>
    <xf numFmtId="166" fontId="73" fillId="11" borderId="61" xfId="5" applyFont="1" applyFill="1" applyBorder="1" applyAlignment="1">
      <alignment horizontal="left"/>
    </xf>
    <xf numFmtId="166" fontId="73" fillId="0" borderId="1" xfId="5" applyFont="1" applyFill="1" applyBorder="1" applyAlignment="1">
      <alignment horizontal="left" vertical="center"/>
    </xf>
    <xf numFmtId="166" fontId="75" fillId="0" borderId="0" xfId="5" applyFont="1" applyAlignment="1">
      <alignment horizontal="left" vertical="center"/>
    </xf>
    <xf numFmtId="166" fontId="68" fillId="0" borderId="1" xfId="0" applyNumberFormat="1" applyFont="1" applyFill="1" applyBorder="1" applyAlignment="1">
      <alignment horizontal="left"/>
    </xf>
    <xf numFmtId="0" fontId="73" fillId="0" borderId="1" xfId="0" applyFont="1" applyFill="1" applyBorder="1" applyAlignment="1">
      <alignment horizontal="left"/>
    </xf>
    <xf numFmtId="164" fontId="64" fillId="0" borderId="1" xfId="0" applyNumberFormat="1" applyFont="1" applyBorder="1" applyAlignment="1">
      <alignment horizontal="left" vertical="center"/>
    </xf>
    <xf numFmtId="0" fontId="67" fillId="0" borderId="1" xfId="0" applyFont="1" applyFill="1" applyBorder="1" applyAlignment="1">
      <alignment horizontal="center" vertical="center"/>
    </xf>
    <xf numFmtId="0" fontId="67" fillId="0" borderId="1" xfId="0" applyFont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left" vertical="center"/>
    </xf>
    <xf numFmtId="0" fontId="56" fillId="0" borderId="9" xfId="0" applyFont="1" applyFill="1" applyBorder="1" applyAlignment="1">
      <alignment horizontal="left" vertical="center"/>
    </xf>
    <xf numFmtId="0" fontId="56" fillId="0" borderId="2" xfId="0" applyFont="1" applyFill="1" applyBorder="1" applyAlignment="1">
      <alignment horizontal="left" vertical="center"/>
    </xf>
    <xf numFmtId="0" fontId="56" fillId="2" borderId="56" xfId="0" applyFont="1" applyFill="1" applyBorder="1" applyAlignment="1">
      <alignment horizontal="left" vertical="center"/>
    </xf>
    <xf numFmtId="0" fontId="63" fillId="12" borderId="45" xfId="2" applyFont="1" applyFill="1" applyBorder="1" applyAlignment="1" applyProtection="1">
      <alignment horizontal="center" vertical="center" textRotation="90" wrapText="1"/>
      <protection locked="0" hidden="1"/>
    </xf>
    <xf numFmtId="0" fontId="63" fillId="12" borderId="36" xfId="2" applyFont="1" applyFill="1" applyBorder="1" applyAlignment="1">
      <alignment horizontal="center" vertical="center" textRotation="90" wrapText="1"/>
    </xf>
    <xf numFmtId="0" fontId="63" fillId="12" borderId="37" xfId="2" applyFont="1" applyFill="1" applyBorder="1" applyAlignment="1">
      <alignment horizontal="center" vertical="center" textRotation="90" wrapText="1"/>
    </xf>
    <xf numFmtId="0" fontId="63" fillId="12" borderId="39" xfId="2" applyFont="1" applyFill="1" applyBorder="1" applyAlignment="1">
      <alignment horizontal="center" vertical="center" textRotation="90" wrapText="1"/>
    </xf>
    <xf numFmtId="0" fontId="63" fillId="12" borderId="38" xfId="2" applyFont="1" applyFill="1" applyBorder="1" applyAlignment="1">
      <alignment horizontal="center" vertical="center" textRotation="90" wrapText="1"/>
    </xf>
    <xf numFmtId="0" fontId="63" fillId="12" borderId="16" xfId="2" applyFont="1" applyFill="1" applyBorder="1" applyAlignment="1" applyProtection="1">
      <alignment horizontal="center" vertical="center" textRotation="90" wrapText="1"/>
      <protection locked="0" hidden="1"/>
    </xf>
    <xf numFmtId="170" fontId="19" fillId="0" borderId="10" xfId="0" applyNumberFormat="1" applyFont="1" applyFill="1" applyBorder="1" applyAlignment="1">
      <alignment horizontal="left" vertical="center"/>
    </xf>
    <xf numFmtId="170" fontId="19" fillId="0" borderId="4" xfId="0" applyNumberFormat="1" applyFont="1" applyFill="1" applyBorder="1" applyAlignment="1">
      <alignment horizontal="left" vertical="center"/>
    </xf>
    <xf numFmtId="170" fontId="19" fillId="2" borderId="4" xfId="0" applyNumberFormat="1" applyFont="1" applyFill="1" applyBorder="1" applyAlignment="1">
      <alignment horizontal="left" vertical="center"/>
    </xf>
    <xf numFmtId="170" fontId="19" fillId="2" borderId="10" xfId="0" applyNumberFormat="1" applyFont="1" applyFill="1" applyBorder="1" applyAlignment="1">
      <alignment horizontal="left" vertical="center"/>
    </xf>
    <xf numFmtId="170" fontId="19" fillId="2" borderId="5" xfId="0" applyNumberFormat="1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/>
    </xf>
    <xf numFmtId="49" fontId="19" fillId="2" borderId="8" xfId="0" applyNumberFormat="1" applyFont="1" applyFill="1" applyBorder="1" applyAlignment="1">
      <alignment horizontal="left" vertical="center"/>
    </xf>
    <xf numFmtId="0" fontId="19" fillId="0" borderId="46" xfId="0" applyFont="1" applyFill="1" applyBorder="1" applyAlignment="1">
      <alignment horizontal="left" vertical="center" wrapText="1"/>
    </xf>
    <xf numFmtId="170" fontId="19" fillId="0" borderId="9" xfId="5" applyNumberFormat="1" applyFont="1" applyFill="1" applyBorder="1" applyAlignment="1">
      <alignment horizontal="left" vertical="center"/>
    </xf>
    <xf numFmtId="49" fontId="19" fillId="2" borderId="1" xfId="0" applyNumberFormat="1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/>
    </xf>
    <xf numFmtId="49" fontId="19" fillId="2" borderId="11" xfId="0" applyNumberFormat="1" applyFont="1" applyFill="1" applyBorder="1" applyAlignment="1">
      <alignment horizontal="left" vertical="center"/>
    </xf>
    <xf numFmtId="49" fontId="19" fillId="2" borderId="34" xfId="0" applyNumberFormat="1" applyFont="1" applyFill="1" applyBorder="1" applyAlignment="1">
      <alignment horizontal="left" vertical="center"/>
    </xf>
    <xf numFmtId="49" fontId="19" fillId="2" borderId="35" xfId="0" applyNumberFormat="1" applyFont="1" applyFill="1" applyBorder="1" applyAlignment="1">
      <alignment horizontal="left" vertical="center"/>
    </xf>
    <xf numFmtId="170" fontId="76" fillId="12" borderId="14" xfId="2" applyNumberFormat="1" applyFont="1" applyFill="1" applyBorder="1" applyAlignment="1">
      <alignment horizontal="left" vertical="center"/>
    </xf>
    <xf numFmtId="0" fontId="56" fillId="0" borderId="2" xfId="0" applyFont="1" applyFill="1" applyBorder="1" applyAlignment="1">
      <alignment horizontal="left"/>
    </xf>
    <xf numFmtId="166" fontId="74" fillId="0" borderId="0" xfId="5" applyFont="1" applyAlignment="1">
      <alignment horizontal="left"/>
    </xf>
    <xf numFmtId="49" fontId="79" fillId="2" borderId="0" xfId="0" applyNumberFormat="1" applyFont="1" applyFill="1" applyAlignment="1">
      <alignment horizontal="center" vertical="center"/>
    </xf>
    <xf numFmtId="0" fontId="80" fillId="3" borderId="0" xfId="0" applyFont="1" applyFill="1" applyBorder="1" applyAlignment="1">
      <alignment vertical="center" wrapText="1"/>
    </xf>
    <xf numFmtId="9" fontId="79" fillId="2" borderId="0" xfId="0" applyNumberFormat="1" applyFont="1" applyFill="1" applyAlignment="1">
      <alignment horizontal="center" vertical="center"/>
    </xf>
    <xf numFmtId="0" fontId="79" fillId="2" borderId="0" xfId="0" applyFont="1" applyFill="1" applyAlignment="1">
      <alignment horizontal="center" vertical="center"/>
    </xf>
    <xf numFmtId="0" fontId="79" fillId="2" borderId="0" xfId="0" applyFont="1" applyFill="1" applyAlignment="1">
      <alignment vertical="center"/>
    </xf>
    <xf numFmtId="0" fontId="81" fillId="2" borderId="0" xfId="0" applyFont="1" applyFill="1" applyAlignment="1">
      <alignment vertical="center"/>
    </xf>
    <xf numFmtId="0" fontId="79" fillId="0" borderId="0" xfId="0" applyFont="1" applyAlignment="1">
      <alignment vertical="center"/>
    </xf>
    <xf numFmtId="49" fontId="80" fillId="2" borderId="0" xfId="0" applyNumberFormat="1" applyFont="1" applyFill="1" applyBorder="1" applyAlignment="1">
      <alignment horizontal="left" vertical="center"/>
    </xf>
    <xf numFmtId="166" fontId="81" fillId="2" borderId="0" xfId="0" applyNumberFormat="1" applyFont="1" applyFill="1" applyAlignment="1">
      <alignment vertical="center"/>
    </xf>
    <xf numFmtId="0" fontId="81" fillId="0" borderId="0" xfId="0" applyFont="1" applyAlignment="1">
      <alignment vertical="center"/>
    </xf>
    <xf numFmtId="166" fontId="79" fillId="2" borderId="0" xfId="5" applyFont="1" applyFill="1" applyAlignment="1">
      <alignment vertical="center"/>
    </xf>
    <xf numFmtId="166" fontId="79" fillId="2" borderId="0" xfId="0" applyNumberFormat="1" applyFont="1" applyFill="1" applyAlignment="1">
      <alignment vertical="center"/>
    </xf>
    <xf numFmtId="0" fontId="79" fillId="0" borderId="0" xfId="0" applyFont="1" applyFill="1" applyAlignment="1">
      <alignment vertical="center"/>
    </xf>
    <xf numFmtId="0" fontId="79" fillId="0" borderId="0" xfId="0" applyFont="1" applyFill="1" applyAlignment="1">
      <alignment horizontal="left" vertical="center"/>
    </xf>
    <xf numFmtId="170" fontId="82" fillId="0" borderId="0" xfId="0" applyNumberFormat="1" applyFont="1"/>
    <xf numFmtId="166" fontId="79" fillId="0" borderId="0" xfId="0" applyNumberFormat="1" applyFont="1" applyAlignment="1">
      <alignment vertical="center"/>
    </xf>
    <xf numFmtId="0" fontId="79" fillId="0" borderId="0" xfId="0" applyFont="1" applyAlignment="1">
      <alignment horizontal="left" vertical="center"/>
    </xf>
    <xf numFmtId="0" fontId="82" fillId="0" borderId="0" xfId="0" applyFont="1"/>
    <xf numFmtId="166" fontId="79" fillId="0" borderId="1" xfId="0" applyNumberFormat="1" applyFont="1" applyBorder="1" applyAlignment="1">
      <alignment vertical="center"/>
    </xf>
    <xf numFmtId="165" fontId="79" fillId="0" borderId="0" xfId="8" applyFont="1"/>
    <xf numFmtId="164" fontId="79" fillId="0" borderId="0" xfId="0" applyNumberFormat="1" applyFont="1" applyAlignment="1">
      <alignment vertical="center"/>
    </xf>
    <xf numFmtId="0" fontId="80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170" fontId="83" fillId="0" borderId="0" xfId="0" applyNumberFormat="1" applyFont="1" applyAlignment="1">
      <alignment vertical="center"/>
    </xf>
    <xf numFmtId="170" fontId="83" fillId="0" borderId="46" xfId="0" applyNumberFormat="1" applyFont="1" applyBorder="1" applyAlignment="1">
      <alignment vertical="center"/>
    </xf>
    <xf numFmtId="0" fontId="83" fillId="0" borderId="0" xfId="0" applyFont="1" applyFill="1" applyAlignment="1">
      <alignment vertical="center"/>
    </xf>
    <xf numFmtId="170" fontId="84" fillId="0" borderId="0" xfId="0" applyNumberFormat="1" applyFont="1" applyFill="1" applyAlignment="1">
      <alignment vertical="center"/>
    </xf>
    <xf numFmtId="0" fontId="85" fillId="0" borderId="0" xfId="0" applyFont="1" applyAlignment="1">
      <alignment vertical="center"/>
    </xf>
    <xf numFmtId="170" fontId="85" fillId="0" borderId="0" xfId="0" applyNumberFormat="1" applyFont="1" applyAlignment="1">
      <alignment vertical="center"/>
    </xf>
    <xf numFmtId="165" fontId="83" fillId="0" borderId="0" xfId="8" applyFont="1" applyAlignment="1">
      <alignment vertical="center"/>
    </xf>
    <xf numFmtId="170" fontId="86" fillId="0" borderId="0" xfId="0" applyNumberFormat="1" applyFont="1" applyAlignment="1">
      <alignment vertical="center"/>
    </xf>
    <xf numFmtId="49" fontId="83" fillId="2" borderId="0" xfId="0" applyNumberFormat="1" applyFont="1" applyFill="1" applyAlignment="1">
      <alignment horizontal="center" vertical="center"/>
    </xf>
    <xf numFmtId="0" fontId="83" fillId="2" borderId="0" xfId="0" applyFont="1" applyFill="1" applyAlignment="1">
      <alignment vertical="center"/>
    </xf>
    <xf numFmtId="170" fontId="83" fillId="2" borderId="0" xfId="5" applyNumberFormat="1" applyFont="1" applyFill="1" applyBorder="1" applyAlignment="1">
      <alignment horizontal="right" vertical="center"/>
    </xf>
    <xf numFmtId="0" fontId="88" fillId="2" borderId="0" xfId="0" applyFont="1" applyFill="1" applyAlignment="1">
      <alignment vertical="center"/>
    </xf>
    <xf numFmtId="170" fontId="89" fillId="2" borderId="14" xfId="0" applyNumberFormat="1" applyFont="1" applyFill="1" applyBorder="1" applyAlignment="1">
      <alignment vertical="center"/>
    </xf>
    <xf numFmtId="170" fontId="90" fillId="2" borderId="0" xfId="0" applyNumberFormat="1" applyFont="1" applyFill="1" applyAlignment="1">
      <alignment vertical="center"/>
    </xf>
    <xf numFmtId="49" fontId="83" fillId="2" borderId="0" xfId="0" applyNumberFormat="1" applyFont="1" applyFill="1" applyBorder="1" applyAlignment="1">
      <alignment horizontal="justify" vertical="center"/>
    </xf>
    <xf numFmtId="170" fontId="91" fillId="2" borderId="0" xfId="0" applyNumberFormat="1" applyFont="1" applyFill="1" applyAlignment="1">
      <alignment vertical="center"/>
    </xf>
    <xf numFmtId="0" fontId="91" fillId="2" borderId="0" xfId="0" applyFont="1" applyFill="1" applyAlignment="1">
      <alignment vertical="center"/>
    </xf>
    <xf numFmtId="0" fontId="83" fillId="2" borderId="0" xfId="0" applyFont="1" applyFill="1" applyAlignment="1">
      <alignment horizontal="center" vertical="center"/>
    </xf>
    <xf numFmtId="170" fontId="92" fillId="0" borderId="0" xfId="0" applyNumberFormat="1" applyFont="1" applyAlignment="1">
      <alignment vertical="center"/>
    </xf>
    <xf numFmtId="170" fontId="85" fillId="0" borderId="0" xfId="0" applyNumberFormat="1" applyFont="1" applyBorder="1" applyAlignment="1">
      <alignment vertical="center"/>
    </xf>
    <xf numFmtId="0" fontId="85" fillId="0" borderId="0" xfId="0" applyFont="1" applyFill="1" applyAlignment="1">
      <alignment vertical="center"/>
    </xf>
    <xf numFmtId="0" fontId="79" fillId="0" borderId="0" xfId="0" applyFont="1" applyFill="1"/>
    <xf numFmtId="170" fontId="82" fillId="0" borderId="54" xfId="0" applyNumberFormat="1" applyFont="1" applyBorder="1"/>
    <xf numFmtId="0" fontId="79" fillId="0" borderId="0" xfId="0" applyFont="1"/>
    <xf numFmtId="0" fontId="79" fillId="2" borderId="0" xfId="0" applyFont="1" applyFill="1"/>
    <xf numFmtId="166" fontId="81" fillId="2" borderId="0" xfId="5" applyFont="1" applyFill="1"/>
    <xf numFmtId="166" fontId="81" fillId="2" borderId="46" xfId="5" applyFont="1" applyFill="1" applyBorder="1"/>
    <xf numFmtId="166" fontId="82" fillId="0" borderId="0" xfId="0" applyNumberFormat="1" applyFont="1"/>
    <xf numFmtId="167" fontId="82" fillId="0" borderId="0" xfId="0" applyNumberFormat="1" applyFont="1"/>
    <xf numFmtId="167" fontId="93" fillId="0" borderId="0" xfId="0" applyNumberFormat="1" applyFont="1"/>
    <xf numFmtId="166" fontId="79" fillId="0" borderId="0" xfId="0" applyNumberFormat="1" applyFont="1"/>
    <xf numFmtId="49" fontId="79" fillId="2" borderId="0" xfId="0" applyNumberFormat="1" applyFont="1" applyFill="1" applyBorder="1" applyAlignment="1">
      <alignment horizontal="center"/>
    </xf>
    <xf numFmtId="166" fontId="79" fillId="2" borderId="0" xfId="5" applyFont="1" applyFill="1" applyBorder="1" applyAlignment="1">
      <alignment horizontal="justify"/>
    </xf>
    <xf numFmtId="49" fontId="79" fillId="2" borderId="0" xfId="0" applyNumberFormat="1" applyFont="1" applyFill="1" applyBorder="1" applyAlignment="1">
      <alignment horizontal="justify"/>
    </xf>
    <xf numFmtId="0" fontId="79" fillId="2" borderId="0" xfId="0" applyFont="1" applyFill="1" applyAlignment="1">
      <alignment horizontal="center"/>
    </xf>
    <xf numFmtId="0" fontId="82" fillId="0" borderId="0" xfId="0" applyFont="1" applyBorder="1"/>
    <xf numFmtId="167" fontId="82" fillId="0" borderId="0" xfId="0" applyNumberFormat="1" applyFont="1" applyBorder="1"/>
    <xf numFmtId="0" fontId="10" fillId="0" borderId="0" xfId="0" applyFont="1" applyBorder="1"/>
    <xf numFmtId="0" fontId="80" fillId="2" borderId="0" xfId="0" applyFont="1" applyFill="1" applyBorder="1"/>
    <xf numFmtId="166" fontId="94" fillId="2" borderId="0" xfId="5" applyFont="1" applyFill="1" applyBorder="1"/>
    <xf numFmtId="0" fontId="79" fillId="0" borderId="0" xfId="0" applyFont="1" applyBorder="1"/>
    <xf numFmtId="0" fontId="79" fillId="2" borderId="0" xfId="0" applyFont="1" applyFill="1" applyBorder="1"/>
    <xf numFmtId="166" fontId="79" fillId="2" borderId="0" xfId="0" applyNumberFormat="1" applyFont="1" applyFill="1" applyBorder="1"/>
    <xf numFmtId="166" fontId="81" fillId="2" borderId="0" xfId="5" applyFont="1" applyFill="1" applyBorder="1"/>
    <xf numFmtId="166" fontId="94" fillId="8" borderId="0" xfId="5" applyFont="1" applyFill="1" applyBorder="1"/>
    <xf numFmtId="0" fontId="79" fillId="2" borderId="0" xfId="0" applyFont="1" applyFill="1" applyBorder="1" applyAlignment="1">
      <alignment horizontal="center"/>
    </xf>
    <xf numFmtId="0" fontId="79" fillId="0" borderId="0" xfId="0" applyFont="1" applyBorder="1" applyAlignment="1">
      <alignment vertical="center"/>
    </xf>
    <xf numFmtId="0" fontId="79" fillId="0" borderId="0" xfId="0" applyFont="1" applyFill="1" applyBorder="1" applyAlignment="1">
      <alignment vertical="center"/>
    </xf>
    <xf numFmtId="169" fontId="79" fillId="0" borderId="0" xfId="0" applyNumberFormat="1" applyFont="1" applyBorder="1" applyAlignment="1">
      <alignment vertical="center"/>
    </xf>
    <xf numFmtId="49" fontId="79" fillId="2" borderId="0" xfId="0" applyNumberFormat="1" applyFont="1" applyFill="1" applyBorder="1" applyAlignment="1">
      <alignment horizontal="center" vertical="center"/>
    </xf>
    <xf numFmtId="166" fontId="79" fillId="2" borderId="0" xfId="5" applyFont="1" applyFill="1" applyBorder="1" applyAlignment="1">
      <alignment horizontal="justify" vertical="center"/>
    </xf>
    <xf numFmtId="169" fontId="46" fillId="13" borderId="66" xfId="1" applyNumberFormat="1" applyFont="1" applyFill="1" applyBorder="1" applyAlignment="1">
      <alignment horizontal="center" vertical="center" wrapText="1"/>
    </xf>
    <xf numFmtId="0" fontId="79" fillId="2" borderId="0" xfId="0" applyFont="1" applyFill="1" applyBorder="1" applyAlignment="1">
      <alignment vertical="center"/>
    </xf>
    <xf numFmtId="166" fontId="79" fillId="2" borderId="0" xfId="5" applyFont="1" applyFill="1" applyBorder="1" applyAlignment="1">
      <alignment vertical="center"/>
    </xf>
    <xf numFmtId="0" fontId="79" fillId="2" borderId="0" xfId="0" applyFont="1" applyFill="1" applyBorder="1" applyAlignment="1">
      <alignment horizontal="center" vertical="center"/>
    </xf>
    <xf numFmtId="0" fontId="96" fillId="12" borderId="36" xfId="2" applyFont="1" applyFill="1" applyBorder="1" applyAlignment="1">
      <alignment horizontal="center" vertical="center" textRotation="90" wrapText="1"/>
    </xf>
    <xf numFmtId="0" fontId="96" fillId="12" borderId="37" xfId="2" applyFont="1" applyFill="1" applyBorder="1" applyAlignment="1">
      <alignment horizontal="center" vertical="center" textRotation="90" wrapText="1"/>
    </xf>
    <xf numFmtId="0" fontId="96" fillId="12" borderId="39" xfId="2" applyFont="1" applyFill="1" applyBorder="1" applyAlignment="1">
      <alignment horizontal="center" vertical="center" textRotation="90" wrapText="1"/>
    </xf>
    <xf numFmtId="0" fontId="96" fillId="12" borderId="38" xfId="2" applyFont="1" applyFill="1" applyBorder="1" applyAlignment="1">
      <alignment horizontal="center" vertical="center" textRotation="90" wrapText="1"/>
    </xf>
    <xf numFmtId="167" fontId="97" fillId="12" borderId="14" xfId="2" applyNumberFormat="1" applyFont="1" applyFill="1" applyBorder="1" applyAlignment="1">
      <alignment horizontal="center" vertical="center"/>
    </xf>
    <xf numFmtId="167" fontId="79" fillId="0" borderId="0" xfId="0" applyNumberFormat="1" applyFont="1"/>
    <xf numFmtId="170" fontId="83" fillId="0" borderId="0" xfId="0" applyNumberFormat="1" applyFont="1"/>
    <xf numFmtId="4" fontId="77" fillId="0" borderId="1" xfId="0" applyNumberFormat="1" applyFont="1" applyFill="1" applyBorder="1" applyAlignment="1">
      <alignment horizontal="center"/>
    </xf>
    <xf numFmtId="166" fontId="78" fillId="0" borderId="48" xfId="5" applyFont="1" applyFill="1" applyBorder="1"/>
    <xf numFmtId="166" fontId="20" fillId="0" borderId="1" xfId="5" applyFont="1" applyFill="1" applyBorder="1"/>
    <xf numFmtId="4" fontId="18" fillId="0" borderId="1" xfId="0" applyNumberFormat="1" applyFont="1" applyFill="1" applyBorder="1"/>
    <xf numFmtId="4" fontId="18" fillId="0" borderId="47" xfId="0" applyNumberFormat="1" applyFont="1" applyFill="1" applyBorder="1"/>
    <xf numFmtId="4" fontId="78" fillId="0" borderId="1" xfId="0" applyNumberFormat="1" applyFont="1" applyFill="1" applyBorder="1"/>
    <xf numFmtId="166" fontId="78" fillId="0" borderId="1" xfId="5" applyFont="1" applyFill="1" applyBorder="1"/>
    <xf numFmtId="0" fontId="77" fillId="0" borderId="0" xfId="0" applyFont="1"/>
    <xf numFmtId="166" fontId="77" fillId="0" borderId="0" xfId="5" applyFont="1"/>
    <xf numFmtId="166" fontId="77" fillId="0" borderId="0" xfId="5" applyFont="1" applyBorder="1"/>
    <xf numFmtId="4" fontId="18" fillId="0" borderId="49" xfId="0" applyNumberFormat="1" applyFont="1" applyFill="1" applyBorder="1"/>
    <xf numFmtId="4" fontId="18" fillId="0" borderId="32" xfId="0" applyNumberFormat="1" applyFont="1" applyFill="1" applyBorder="1" applyAlignment="1">
      <alignment horizontal="center"/>
    </xf>
    <xf numFmtId="4" fontId="18" fillId="0" borderId="67" xfId="0" applyNumberFormat="1" applyFont="1" applyFill="1" applyBorder="1" applyAlignment="1">
      <alignment horizontal="center"/>
    </xf>
    <xf numFmtId="170" fontId="18" fillId="0" borderId="32" xfId="5" applyNumberFormat="1" applyFont="1" applyFill="1" applyBorder="1"/>
    <xf numFmtId="170" fontId="18" fillId="0" borderId="33" xfId="5" applyNumberFormat="1" applyFont="1" applyFill="1" applyBorder="1"/>
    <xf numFmtId="0" fontId="77" fillId="0" borderId="0" xfId="0" applyFont="1" applyBorder="1"/>
    <xf numFmtId="0" fontId="83" fillId="0" borderId="0" xfId="0" applyFont="1" applyFill="1" applyBorder="1"/>
    <xf numFmtId="166" fontId="98" fillId="0" borderId="0" xfId="5" applyFont="1" applyFill="1" applyBorder="1"/>
    <xf numFmtId="0" fontId="72" fillId="0" borderId="33" xfId="0" applyFont="1" applyBorder="1" applyAlignment="1">
      <alignment horizontal="center" vertical="center"/>
    </xf>
    <xf numFmtId="0" fontId="72" fillId="0" borderId="33" xfId="0" applyFont="1" applyFill="1" applyBorder="1" applyAlignment="1"/>
    <xf numFmtId="166" fontId="74" fillId="0" borderId="33" xfId="5" applyFont="1" applyFill="1" applyBorder="1" applyAlignment="1"/>
    <xf numFmtId="166" fontId="72" fillId="0" borderId="33" xfId="5" applyFont="1" applyFill="1" applyBorder="1" applyAlignment="1"/>
    <xf numFmtId="166" fontId="2" fillId="12" borderId="33" xfId="5" applyFont="1" applyFill="1" applyBorder="1" applyAlignment="1">
      <alignment horizontal="center" vertical="center"/>
    </xf>
    <xf numFmtId="166" fontId="74" fillId="0" borderId="33" xfId="5" applyFont="1" applyFill="1" applyBorder="1" applyAlignment="1">
      <alignment horizontal="left"/>
    </xf>
    <xf numFmtId="0" fontId="74" fillId="0" borderId="33" xfId="0" applyFont="1" applyFill="1" applyBorder="1" applyAlignment="1">
      <alignment horizontal="left"/>
    </xf>
    <xf numFmtId="166" fontId="64" fillId="0" borderId="33" xfId="5" applyFont="1" applyBorder="1" applyAlignment="1">
      <alignment horizontal="center" vertical="center"/>
    </xf>
    <xf numFmtId="0" fontId="86" fillId="0" borderId="0" xfId="0" applyFont="1" applyFill="1" applyBorder="1" applyAlignment="1">
      <alignment horizontal="center" textRotation="90" wrapText="1"/>
    </xf>
    <xf numFmtId="0" fontId="86" fillId="0" borderId="0" xfId="0" applyFont="1" applyFill="1" applyBorder="1" applyAlignment="1">
      <alignment horizontal="center" textRotation="90"/>
    </xf>
    <xf numFmtId="0" fontId="83" fillId="0" borderId="0" xfId="0" applyFont="1" applyFill="1" applyBorder="1" applyAlignment="1">
      <alignment horizontal="center" textRotation="90" wrapText="1"/>
    </xf>
    <xf numFmtId="0" fontId="83" fillId="0" borderId="0" xfId="0" applyFont="1" applyFill="1" applyBorder="1" applyAlignment="1">
      <alignment horizontal="center" textRotation="90"/>
    </xf>
    <xf numFmtId="166" fontId="98" fillId="0" borderId="0" xfId="5" applyFont="1" applyFill="1" applyBorder="1" applyAlignment="1">
      <alignment horizontal="center" textRotation="90"/>
    </xf>
    <xf numFmtId="0" fontId="83" fillId="0" borderId="0" xfId="0" applyFont="1" applyFill="1" applyBorder="1" applyAlignment="1"/>
    <xf numFmtId="166" fontId="83" fillId="0" borderId="0" xfId="5" applyFont="1" applyFill="1" applyBorder="1"/>
    <xf numFmtId="166" fontId="86" fillId="0" borderId="0" xfId="5" applyFont="1" applyFill="1" applyBorder="1"/>
    <xf numFmtId="166" fontId="98" fillId="0" borderId="0" xfId="0" applyNumberFormat="1" applyFont="1" applyFill="1" applyBorder="1"/>
    <xf numFmtId="166" fontId="99" fillId="0" borderId="0" xfId="5" applyFont="1" applyFill="1" applyBorder="1"/>
    <xf numFmtId="166" fontId="86" fillId="0" borderId="0" xfId="0" applyNumberFormat="1" applyFont="1" applyFill="1" applyBorder="1"/>
    <xf numFmtId="166" fontId="83" fillId="0" borderId="0" xfId="0" applyNumberFormat="1" applyFont="1" applyFill="1" applyBorder="1"/>
    <xf numFmtId="166" fontId="100" fillId="0" borderId="0" xfId="5" applyFont="1" applyFill="1" applyBorder="1"/>
    <xf numFmtId="166" fontId="86" fillId="0" borderId="0" xfId="5" applyFont="1"/>
    <xf numFmtId="164" fontId="101" fillId="0" borderId="0" xfId="0" applyNumberFormat="1" applyFont="1" applyBorder="1"/>
    <xf numFmtId="49" fontId="59" fillId="0" borderId="0" xfId="0" applyNumberFormat="1" applyFont="1" applyAlignment="1">
      <alignment horizontal="left" vertical="center" wrapText="1"/>
    </xf>
    <xf numFmtId="49" fontId="47" fillId="0" borderId="0" xfId="0" applyNumberFormat="1" applyFont="1" applyAlignment="1">
      <alignment horizontal="left" vertical="center" wrapText="1" indent="1"/>
    </xf>
    <xf numFmtId="49" fontId="58" fillId="0" borderId="43" xfId="0" applyNumberFormat="1" applyFont="1" applyBorder="1" applyAlignment="1">
      <alignment horizontal="left" vertical="center" wrapText="1" indent="1"/>
    </xf>
    <xf numFmtId="49" fontId="58" fillId="0" borderId="44" xfId="0" applyNumberFormat="1" applyFont="1" applyBorder="1" applyAlignment="1">
      <alignment horizontal="left" vertical="center" wrapText="1" indent="1"/>
    </xf>
    <xf numFmtId="49" fontId="35" fillId="0" borderId="0" xfId="0" applyNumberFormat="1" applyFont="1" applyFill="1" applyAlignment="1">
      <alignment horizontal="center" vertical="center" wrapText="1"/>
    </xf>
    <xf numFmtId="49" fontId="35" fillId="14" borderId="0" xfId="0" applyNumberFormat="1" applyFont="1" applyFill="1" applyBorder="1" applyAlignment="1">
      <alignment horizontal="center" vertical="center" wrapText="1"/>
    </xf>
    <xf numFmtId="49" fontId="35" fillId="0" borderId="42" xfId="0" applyNumberFormat="1" applyFont="1" applyFill="1" applyBorder="1" applyAlignment="1">
      <alignment horizontal="center" vertical="center" wrapText="1"/>
    </xf>
    <xf numFmtId="49" fontId="58" fillId="0" borderId="15" xfId="0" applyNumberFormat="1" applyFont="1" applyBorder="1" applyAlignment="1">
      <alignment horizontal="left" vertical="center" wrapText="1"/>
    </xf>
    <xf numFmtId="49" fontId="58" fillId="0" borderId="9" xfId="0" applyNumberFormat="1" applyFont="1" applyBorder="1" applyAlignment="1">
      <alignment horizontal="left" vertical="center" wrapText="1"/>
    </xf>
    <xf numFmtId="49" fontId="58" fillId="0" borderId="5" xfId="0" applyNumberFormat="1" applyFont="1" applyBorder="1" applyAlignment="1">
      <alignment horizontal="left" vertical="center" wrapText="1" indent="1"/>
    </xf>
    <xf numFmtId="49" fontId="58" fillId="0" borderId="10" xfId="0" applyNumberFormat="1" applyFont="1" applyBorder="1" applyAlignment="1">
      <alignment horizontal="left" vertical="center" wrapText="1" indent="1"/>
    </xf>
    <xf numFmtId="49" fontId="47" fillId="0" borderId="15" xfId="0" applyNumberFormat="1" applyFont="1" applyBorder="1" applyAlignment="1">
      <alignment horizontal="center" vertical="center" wrapText="1"/>
    </xf>
    <xf numFmtId="49" fontId="47" fillId="0" borderId="9" xfId="0" applyNumberFormat="1" applyFont="1" applyBorder="1" applyAlignment="1">
      <alignment horizontal="center" vertical="center" wrapText="1"/>
    </xf>
    <xf numFmtId="49" fontId="47" fillId="0" borderId="3" xfId="0" applyNumberFormat="1" applyFont="1" applyBorder="1" applyAlignment="1">
      <alignment horizontal="center" vertical="center" wrapText="1"/>
    </xf>
    <xf numFmtId="49" fontId="47" fillId="0" borderId="16" xfId="0" applyNumberFormat="1" applyFont="1" applyBorder="1" applyAlignment="1">
      <alignment horizontal="center" vertical="center" wrapText="1"/>
    </xf>
    <xf numFmtId="49" fontId="58" fillId="0" borderId="3" xfId="0" applyNumberFormat="1" applyFont="1" applyBorder="1" applyAlignment="1">
      <alignment horizontal="left" vertical="center" wrapText="1"/>
    </xf>
    <xf numFmtId="49" fontId="39" fillId="0" borderId="42" xfId="0" applyNumberFormat="1" applyFont="1" applyBorder="1" applyAlignment="1">
      <alignment horizontal="center" vertical="center" wrapText="1"/>
    </xf>
    <xf numFmtId="0" fontId="39" fillId="13" borderId="29" xfId="0" applyFont="1" applyFill="1" applyBorder="1" applyAlignment="1">
      <alignment horizontal="center" vertical="center" wrapText="1"/>
    </xf>
    <xf numFmtId="0" fontId="39" fillId="13" borderId="41" xfId="0" applyFont="1" applyFill="1" applyBorder="1" applyAlignment="1">
      <alignment horizontal="center" vertical="center" wrapText="1"/>
    </xf>
    <xf numFmtId="49" fontId="39" fillId="0" borderId="0" xfId="0" applyNumberFormat="1" applyFont="1" applyBorder="1" applyAlignment="1">
      <alignment horizontal="center" vertical="center" wrapText="1"/>
    </xf>
    <xf numFmtId="49" fontId="60" fillId="0" borderId="0" xfId="0" applyNumberFormat="1" applyFont="1" applyFill="1" applyAlignment="1">
      <alignment horizontal="center" vertical="center" wrapText="1"/>
    </xf>
    <xf numFmtId="49" fontId="61" fillId="14" borderId="0" xfId="0" applyNumberFormat="1" applyFont="1" applyFill="1" applyBorder="1" applyAlignment="1">
      <alignment horizontal="center" vertical="center" wrapText="1"/>
    </xf>
    <xf numFmtId="49" fontId="62" fillId="0" borderId="0" xfId="0" applyNumberFormat="1" applyFont="1" applyFill="1" applyBorder="1" applyAlignment="1">
      <alignment horizontal="center" vertical="center" wrapText="1"/>
    </xf>
    <xf numFmtId="49" fontId="79" fillId="2" borderId="0" xfId="0" applyNumberFormat="1" applyFont="1" applyFill="1" applyBorder="1" applyAlignment="1">
      <alignment horizontal="justify" vertical="center"/>
    </xf>
    <xf numFmtId="0" fontId="49" fillId="0" borderId="0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 textRotation="90" wrapText="1"/>
    </xf>
    <xf numFmtId="0" fontId="49" fillId="14" borderId="0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/>
    </xf>
    <xf numFmtId="0" fontId="23" fillId="13" borderId="1" xfId="0" applyFont="1" applyFill="1" applyBorder="1" applyAlignment="1" applyProtection="1">
      <alignment horizontal="center" vertical="center" textRotation="90" wrapText="1"/>
      <protection locked="0" hidden="1"/>
    </xf>
    <xf numFmtId="0" fontId="20" fillId="13" borderId="1" xfId="0" applyFont="1" applyFill="1" applyBorder="1" applyAlignment="1">
      <alignment horizontal="center" vertical="center"/>
    </xf>
    <xf numFmtId="49" fontId="83" fillId="2" borderId="0" xfId="0" applyNumberFormat="1" applyFont="1" applyFill="1" applyBorder="1" applyAlignment="1">
      <alignment horizontal="justify" vertical="center"/>
    </xf>
    <xf numFmtId="49" fontId="29" fillId="2" borderId="0" xfId="0" applyNumberFormat="1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49" fontId="87" fillId="2" borderId="0" xfId="0" applyNumberFormat="1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35" fillId="0" borderId="42" xfId="0" applyFont="1" applyFill="1" applyBorder="1" applyAlignment="1">
      <alignment horizontal="center" vertical="center"/>
    </xf>
    <xf numFmtId="0" fontId="63" fillId="12" borderId="29" xfId="2" applyFont="1" applyFill="1" applyBorder="1" applyAlignment="1">
      <alignment horizontal="center" vertical="center"/>
    </xf>
    <xf numFmtId="0" fontId="63" fillId="12" borderId="41" xfId="2" applyFont="1" applyFill="1" applyBorder="1" applyAlignment="1">
      <alignment horizontal="center" vertical="center"/>
    </xf>
    <xf numFmtId="0" fontId="63" fillId="12" borderId="45" xfId="2" applyFont="1" applyFill="1" applyBorder="1" applyAlignment="1">
      <alignment horizontal="center" vertical="center" wrapText="1"/>
    </xf>
    <xf numFmtId="0" fontId="63" fillId="12" borderId="16" xfId="2" applyFont="1" applyFill="1" applyBorder="1" applyAlignment="1">
      <alignment horizontal="center" vertical="center" wrapText="1"/>
    </xf>
    <xf numFmtId="164" fontId="67" fillId="12" borderId="29" xfId="2" applyNumberFormat="1" applyFont="1" applyFill="1" applyBorder="1" applyAlignment="1">
      <alignment horizontal="left" vertical="center"/>
    </xf>
    <xf numFmtId="164" fontId="67" fillId="12" borderId="41" xfId="2" applyNumberFormat="1" applyFont="1" applyFill="1" applyBorder="1" applyAlignment="1">
      <alignment horizontal="left" vertical="center"/>
    </xf>
    <xf numFmtId="164" fontId="67" fillId="12" borderId="40" xfId="2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3" fillId="12" borderId="45" xfId="2" applyFont="1" applyFill="1" applyBorder="1" applyAlignment="1" applyProtection="1">
      <alignment horizontal="center" vertical="center" textRotation="90" wrapText="1"/>
      <protection locked="0" hidden="1"/>
    </xf>
    <xf numFmtId="0" fontId="63" fillId="12" borderId="16" xfId="2" applyFont="1" applyFill="1" applyBorder="1" applyAlignment="1" applyProtection="1">
      <alignment horizontal="center" vertical="center" textRotation="90" wrapText="1"/>
      <protection locked="0" hidden="1"/>
    </xf>
    <xf numFmtId="49" fontId="6" fillId="13" borderId="29" xfId="0" applyNumberFormat="1" applyFont="1" applyFill="1" applyBorder="1" applyAlignment="1">
      <alignment horizontal="center" vertical="center"/>
    </xf>
    <xf numFmtId="49" fontId="6" fillId="13" borderId="41" xfId="0" applyNumberFormat="1" applyFont="1" applyFill="1" applyBorder="1" applyAlignment="1">
      <alignment horizontal="center" vertical="center"/>
    </xf>
    <xf numFmtId="49" fontId="6" fillId="13" borderId="40" xfId="0" applyNumberFormat="1" applyFont="1" applyFill="1" applyBorder="1" applyAlignment="1">
      <alignment horizontal="center" vertical="center"/>
    </xf>
    <xf numFmtId="0" fontId="55" fillId="0" borderId="42" xfId="0" applyFont="1" applyFill="1" applyBorder="1" applyAlignment="1">
      <alignment horizontal="center"/>
    </xf>
    <xf numFmtId="0" fontId="8" fillId="13" borderId="29" xfId="2" applyFont="1" applyFill="1" applyBorder="1" applyAlignment="1">
      <alignment horizontal="center" wrapText="1"/>
    </xf>
    <xf numFmtId="0" fontId="8" fillId="13" borderId="41" xfId="2" applyFont="1" applyFill="1" applyBorder="1" applyAlignment="1">
      <alignment horizontal="center" wrapText="1"/>
    </xf>
    <xf numFmtId="0" fontId="6" fillId="13" borderId="45" xfId="2" applyFont="1" applyFill="1" applyBorder="1" applyAlignment="1">
      <alignment horizontal="center" vertical="center" wrapText="1"/>
    </xf>
    <xf numFmtId="0" fontId="6" fillId="13" borderId="16" xfId="2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horizontal="center"/>
    </xf>
    <xf numFmtId="0" fontId="52" fillId="0" borderId="0" xfId="0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9" fillId="13" borderId="45" xfId="2" applyFont="1" applyFill="1" applyBorder="1" applyAlignment="1" applyProtection="1">
      <alignment horizontal="center" vertical="center" textRotation="90" wrapText="1"/>
      <protection locked="0" hidden="1"/>
    </xf>
    <xf numFmtId="0" fontId="9" fillId="13" borderId="16" xfId="2" applyFont="1" applyFill="1" applyBorder="1" applyAlignment="1" applyProtection="1">
      <alignment horizontal="center" vertical="center" textRotation="90" wrapText="1"/>
      <protection locked="0" hidden="1"/>
    </xf>
    <xf numFmtId="0" fontId="51" fillId="14" borderId="0" xfId="0" applyFont="1" applyFill="1" applyBorder="1" applyAlignment="1">
      <alignment horizontal="center" vertical="center"/>
    </xf>
    <xf numFmtId="0" fontId="54" fillId="0" borderId="0" xfId="0" applyFont="1" applyFill="1" applyAlignment="1">
      <alignment horizontal="left"/>
    </xf>
    <xf numFmtId="0" fontId="55" fillId="0" borderId="0" xfId="0" applyFont="1" applyFill="1" applyBorder="1" applyAlignment="1">
      <alignment horizontal="center"/>
    </xf>
    <xf numFmtId="0" fontId="6" fillId="13" borderId="45" xfId="2" applyFont="1" applyFill="1" applyBorder="1" applyAlignment="1" applyProtection="1">
      <alignment horizontal="center" vertical="center" textRotation="90" wrapText="1"/>
      <protection locked="0" hidden="1"/>
    </xf>
    <xf numFmtId="0" fontId="6" fillId="13" borderId="16" xfId="2" applyFont="1" applyFill="1" applyBorder="1" applyAlignment="1" applyProtection="1">
      <alignment horizontal="center" vertical="center" textRotation="90" wrapText="1"/>
      <protection locked="0" hidden="1"/>
    </xf>
    <xf numFmtId="0" fontId="49" fillId="0" borderId="0" xfId="0" applyFont="1" applyFill="1" applyAlignment="1">
      <alignment horizontal="center" vertical="center"/>
    </xf>
    <xf numFmtId="0" fontId="50" fillId="0" borderId="0" xfId="0" applyFont="1" applyFill="1" applyBorder="1" applyAlignment="1">
      <alignment horizontal="center"/>
    </xf>
    <xf numFmtId="49" fontId="79" fillId="2" borderId="0" xfId="0" applyNumberFormat="1" applyFont="1" applyFill="1" applyBorder="1" applyAlignment="1">
      <alignment horizontal="justify"/>
    </xf>
    <xf numFmtId="0" fontId="35" fillId="0" borderId="0" xfId="0" applyFont="1" applyFill="1" applyBorder="1" applyAlignment="1">
      <alignment horizontal="center"/>
    </xf>
    <xf numFmtId="0" fontId="35" fillId="0" borderId="42" xfId="0" applyFont="1" applyFill="1" applyBorder="1" applyAlignment="1">
      <alignment horizontal="center"/>
    </xf>
    <xf numFmtId="0" fontId="34" fillId="13" borderId="29" xfId="2" applyFont="1" applyFill="1" applyBorder="1" applyAlignment="1">
      <alignment horizontal="center"/>
    </xf>
    <xf numFmtId="0" fontId="34" fillId="13" borderId="41" xfId="2" applyFont="1" applyFill="1" applyBorder="1" applyAlignment="1">
      <alignment horizontal="center"/>
    </xf>
    <xf numFmtId="0" fontId="34" fillId="13" borderId="45" xfId="2" applyFont="1" applyFill="1" applyBorder="1" applyAlignment="1">
      <alignment horizontal="center" vertical="center" wrapText="1"/>
    </xf>
    <xf numFmtId="0" fontId="34" fillId="13" borderId="16" xfId="2" applyFont="1" applyFill="1" applyBorder="1" applyAlignment="1">
      <alignment horizontal="center" vertical="center" wrapText="1"/>
    </xf>
    <xf numFmtId="0" fontId="34" fillId="13" borderId="45" xfId="2" applyFont="1" applyFill="1" applyBorder="1" applyAlignment="1" applyProtection="1">
      <alignment horizontal="center" vertical="center" textRotation="90" wrapText="1"/>
      <protection locked="0" hidden="1"/>
    </xf>
    <xf numFmtId="0" fontId="34" fillId="13" borderId="16" xfId="2" applyFont="1" applyFill="1" applyBorder="1" applyAlignment="1" applyProtection="1">
      <alignment horizontal="center" vertical="center" textRotation="90" wrapText="1"/>
      <protection locked="0" hidden="1"/>
    </xf>
    <xf numFmtId="49" fontId="95" fillId="2" borderId="0" xfId="0" applyNumberFormat="1" applyFont="1" applyFill="1" applyBorder="1" applyAlignment="1">
      <alignment horizontal="left"/>
    </xf>
    <xf numFmtId="0" fontId="23" fillId="13" borderId="29" xfId="2" applyFont="1" applyFill="1" applyBorder="1" applyAlignment="1">
      <alignment horizontal="center" vertical="center"/>
    </xf>
    <xf numFmtId="0" fontId="23" fillId="13" borderId="41" xfId="2" applyFont="1" applyFill="1" applyBorder="1" applyAlignment="1">
      <alignment horizontal="center" vertical="center"/>
    </xf>
    <xf numFmtId="0" fontId="23" fillId="13" borderId="40" xfId="2" applyFont="1" applyFill="1" applyBorder="1" applyAlignment="1">
      <alignment horizontal="center" vertical="center"/>
    </xf>
    <xf numFmtId="49" fontId="95" fillId="2" borderId="0" xfId="0" applyNumberFormat="1" applyFont="1" applyFill="1" applyBorder="1" applyAlignment="1">
      <alignment horizontal="left" vertical="center"/>
    </xf>
    <xf numFmtId="0" fontId="23" fillId="13" borderId="29" xfId="1" applyFont="1" applyFill="1" applyBorder="1" applyAlignment="1">
      <alignment horizontal="center" vertical="center"/>
    </xf>
    <xf numFmtId="0" fontId="23" fillId="13" borderId="41" xfId="1" applyFont="1" applyFill="1" applyBorder="1" applyAlignment="1">
      <alignment horizontal="center" vertical="center"/>
    </xf>
    <xf numFmtId="0" fontId="23" fillId="13" borderId="40" xfId="1" applyFont="1" applyFill="1" applyBorder="1" applyAlignment="1">
      <alignment horizontal="center" vertical="center"/>
    </xf>
    <xf numFmtId="0" fontId="23" fillId="13" borderId="45" xfId="1" applyFont="1" applyFill="1" applyBorder="1" applyAlignment="1">
      <alignment horizontal="center" vertical="center" wrapText="1"/>
    </xf>
    <xf numFmtId="0" fontId="23" fillId="13" borderId="16" xfId="1" applyFont="1" applyFill="1" applyBorder="1" applyAlignment="1">
      <alignment horizontal="center" vertical="center" wrapText="1"/>
    </xf>
    <xf numFmtId="0" fontId="23" fillId="13" borderId="45" xfId="1" applyFont="1" applyFill="1" applyBorder="1" applyAlignment="1" applyProtection="1">
      <alignment horizontal="center" vertical="center" textRotation="90" wrapText="1"/>
      <protection locked="0" hidden="1"/>
    </xf>
    <xf numFmtId="0" fontId="23" fillId="13" borderId="16" xfId="1" applyFont="1" applyFill="1" applyBorder="1" applyAlignment="1" applyProtection="1">
      <alignment horizontal="center" vertical="center" textRotation="90" wrapText="1"/>
      <protection locked="0" hidden="1"/>
    </xf>
    <xf numFmtId="0" fontId="50" fillId="0" borderId="0" xfId="0" applyFont="1" applyFill="1" applyBorder="1" applyAlignment="1">
      <alignment horizontal="center" vertical="center"/>
    </xf>
    <xf numFmtId="0" fontId="22" fillId="13" borderId="64" xfId="1" applyFont="1" applyFill="1" applyBorder="1" applyAlignment="1">
      <alignment horizontal="center" vertical="center" wrapText="1"/>
    </xf>
    <xf numFmtId="0" fontId="22" fillId="13" borderId="65" xfId="1" applyFont="1" applyFill="1" applyBorder="1" applyAlignment="1">
      <alignment horizontal="center" vertical="center" wrapText="1"/>
    </xf>
    <xf numFmtId="0" fontId="22" fillId="13" borderId="66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42" xfId="0" applyFont="1" applyFill="1" applyBorder="1" applyAlignment="1">
      <alignment horizontal="left"/>
    </xf>
    <xf numFmtId="0" fontId="96" fillId="12" borderId="29" xfId="2" applyFont="1" applyFill="1" applyBorder="1" applyAlignment="1">
      <alignment horizontal="center"/>
    </xf>
    <xf numFmtId="0" fontId="96" fillId="12" borderId="41" xfId="2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6" fillId="12" borderId="45" xfId="2" applyFont="1" applyFill="1" applyBorder="1" applyAlignment="1">
      <alignment horizontal="center" vertical="center" wrapText="1"/>
    </xf>
    <xf numFmtId="0" fontId="96" fillId="12" borderId="15" xfId="2" applyFont="1" applyFill="1" applyBorder="1" applyAlignment="1">
      <alignment horizontal="center" vertical="center" wrapText="1"/>
    </xf>
    <xf numFmtId="0" fontId="96" fillId="12" borderId="45" xfId="2" applyFont="1" applyFill="1" applyBorder="1" applyAlignment="1" applyProtection="1">
      <alignment horizontal="center" vertical="center" textRotation="90" wrapText="1"/>
      <protection locked="0" hidden="1"/>
    </xf>
    <xf numFmtId="0" fontId="96" fillId="12" borderId="16" xfId="2" applyFont="1" applyFill="1" applyBorder="1" applyAlignment="1" applyProtection="1">
      <alignment horizontal="center" vertical="center" textRotation="90" wrapText="1"/>
      <protection locked="0" hidden="1"/>
    </xf>
    <xf numFmtId="0" fontId="9" fillId="12" borderId="29" xfId="2" applyFont="1" applyFill="1" applyBorder="1" applyAlignment="1">
      <alignment horizontal="center" vertical="center"/>
    </xf>
    <xf numFmtId="0" fontId="9" fillId="12" borderId="41" xfId="2" applyFont="1" applyFill="1" applyBorder="1" applyAlignment="1">
      <alignment horizontal="center" vertical="center"/>
    </xf>
    <xf numFmtId="0" fontId="9" fillId="12" borderId="40" xfId="2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4" fontId="20" fillId="0" borderId="33" xfId="0" applyNumberFormat="1" applyFont="1" applyBorder="1" applyAlignment="1">
      <alignment horizontal="center" vertical="center"/>
    </xf>
    <xf numFmtId="4" fontId="20" fillId="0" borderId="47" xfId="0" applyNumberFormat="1" applyFont="1" applyBorder="1" applyAlignment="1">
      <alignment horizontal="center" vertical="center"/>
    </xf>
    <xf numFmtId="4" fontId="20" fillId="0" borderId="48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center"/>
    </xf>
    <xf numFmtId="4" fontId="18" fillId="0" borderId="49" xfId="0" applyNumberFormat="1" applyFont="1" applyBorder="1" applyAlignment="1">
      <alignment horizontal="center"/>
    </xf>
    <xf numFmtId="4" fontId="18" fillId="0" borderId="50" xfId="0" applyNumberFormat="1" applyFont="1" applyBorder="1" applyAlignment="1">
      <alignment horizontal="center"/>
    </xf>
    <xf numFmtId="4" fontId="18" fillId="0" borderId="5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" fontId="18" fillId="0" borderId="33" xfId="0" applyNumberFormat="1" applyFont="1" applyBorder="1" applyAlignment="1">
      <alignment horizontal="center"/>
    </xf>
    <xf numFmtId="4" fontId="18" fillId="0" borderId="48" xfId="0" applyNumberFormat="1" applyFont="1" applyBorder="1" applyAlignment="1">
      <alignment horizont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8" xfId="0" applyNumberFormat="1" applyFont="1" applyBorder="1" applyAlignment="1">
      <alignment horizontal="center" vertical="center"/>
    </xf>
    <xf numFmtId="0" fontId="6" fillId="12" borderId="42" xfId="0" applyFont="1" applyFill="1" applyBorder="1" applyAlignment="1">
      <alignment horizontal="center"/>
    </xf>
    <xf numFmtId="0" fontId="11" fillId="12" borderId="42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8" fillId="0" borderId="29" xfId="2" applyFont="1" applyFill="1" applyBorder="1" applyAlignment="1">
      <alignment horizontal="center"/>
    </xf>
    <xf numFmtId="0" fontId="8" fillId="0" borderId="41" xfId="2" applyFont="1" applyFill="1" applyBorder="1" applyAlignment="1">
      <alignment horizontal="center"/>
    </xf>
    <xf numFmtId="0" fontId="11" fillId="0" borderId="45" xfId="2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center" vertical="center" wrapText="1"/>
    </xf>
    <xf numFmtId="0" fontId="11" fillId="0" borderId="45" xfId="2" applyFont="1" applyFill="1" applyBorder="1" applyAlignment="1" applyProtection="1">
      <alignment horizontal="center" vertical="center" textRotation="90" wrapText="1"/>
      <protection locked="0" hidden="1"/>
    </xf>
    <xf numFmtId="0" fontId="11" fillId="0" borderId="15" xfId="2" applyFont="1" applyFill="1" applyBorder="1" applyAlignment="1" applyProtection="1">
      <alignment horizontal="center" vertical="center" textRotation="90" wrapText="1"/>
      <protection locked="0" hidden="1"/>
    </xf>
    <xf numFmtId="49" fontId="4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justify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12" borderId="29" xfId="2" applyFont="1" applyFill="1" applyBorder="1" applyAlignment="1">
      <alignment horizontal="center"/>
    </xf>
    <xf numFmtId="0" fontId="8" fillId="12" borderId="41" xfId="2" applyFont="1" applyFill="1" applyBorder="1" applyAlignment="1">
      <alignment horizontal="center"/>
    </xf>
    <xf numFmtId="0" fontId="11" fillId="12" borderId="45" xfId="2" applyFont="1" applyFill="1" applyBorder="1" applyAlignment="1">
      <alignment horizontal="center" vertical="center" wrapText="1"/>
    </xf>
    <xf numFmtId="0" fontId="11" fillId="12" borderId="16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center" vertical="center"/>
    </xf>
    <xf numFmtId="0" fontId="9" fillId="0" borderId="41" xfId="2" applyFont="1" applyFill="1" applyBorder="1" applyAlignment="1">
      <alignment horizontal="center" vertical="center"/>
    </xf>
    <xf numFmtId="0" fontId="9" fillId="0" borderId="40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42" xfId="0" applyFont="1" applyFill="1" applyBorder="1" applyAlignment="1">
      <alignment horizontal="left"/>
    </xf>
    <xf numFmtId="0" fontId="11" fillId="12" borderId="45" xfId="2" applyFont="1" applyFill="1" applyBorder="1" applyAlignment="1" applyProtection="1">
      <alignment horizontal="center" vertical="center" textRotation="90" wrapText="1"/>
      <protection locked="0" hidden="1"/>
    </xf>
    <xf numFmtId="0" fontId="11" fillId="12" borderId="16" xfId="2" applyFont="1" applyFill="1" applyBorder="1" applyAlignment="1" applyProtection="1">
      <alignment horizontal="center" vertical="center" textRotation="90" wrapText="1"/>
      <protection locked="0" hidden="1"/>
    </xf>
    <xf numFmtId="0" fontId="6" fillId="12" borderId="4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1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8" fillId="12" borderId="17" xfId="2" applyFont="1" applyFill="1" applyBorder="1" applyAlignment="1">
      <alignment horizontal="center"/>
    </xf>
    <xf numFmtId="0" fontId="8" fillId="12" borderId="42" xfId="2" applyFont="1" applyFill="1" applyBorder="1" applyAlignment="1">
      <alignment horizontal="center"/>
    </xf>
    <xf numFmtId="0" fontId="11" fillId="12" borderId="15" xfId="2" applyFont="1" applyFill="1" applyBorder="1" applyAlignment="1">
      <alignment horizontal="center" vertical="center" wrapText="1"/>
    </xf>
    <xf numFmtId="0" fontId="11" fillId="12" borderId="15" xfId="2" applyFont="1" applyFill="1" applyBorder="1" applyAlignment="1" applyProtection="1">
      <alignment horizontal="center" vertical="center" textRotation="90" wrapText="1"/>
      <protection locked="0" hidden="1"/>
    </xf>
    <xf numFmtId="0" fontId="9" fillId="12" borderId="17" xfId="2" applyFont="1" applyFill="1" applyBorder="1" applyAlignment="1">
      <alignment horizontal="center" vertical="center"/>
    </xf>
    <xf numFmtId="0" fontId="9" fillId="12" borderId="42" xfId="2" applyFont="1" applyFill="1" applyBorder="1" applyAlignment="1">
      <alignment horizontal="center" vertical="center"/>
    </xf>
    <xf numFmtId="0" fontId="9" fillId="12" borderId="44" xfId="2" applyFont="1" applyFill="1" applyBorder="1" applyAlignment="1">
      <alignment horizontal="center" vertical="center"/>
    </xf>
    <xf numFmtId="0" fontId="8" fillId="12" borderId="1" xfId="2" applyFont="1" applyFill="1" applyBorder="1" applyAlignment="1">
      <alignment horizontal="center"/>
    </xf>
    <xf numFmtId="0" fontId="11" fillId="12" borderId="1" xfId="2" applyFont="1" applyFill="1" applyBorder="1" applyAlignment="1">
      <alignment horizontal="center" vertical="center" wrapText="1"/>
    </xf>
    <xf numFmtId="0" fontId="11" fillId="12" borderId="1" xfId="2" applyFont="1" applyFill="1" applyBorder="1" applyAlignment="1" applyProtection="1">
      <alignment horizontal="center" vertical="center" textRotation="90" wrapText="1"/>
      <protection locked="0" hidden="1"/>
    </xf>
    <xf numFmtId="0" fontId="11" fillId="0" borderId="0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4" fillId="12" borderId="42" xfId="0" applyFont="1" applyFill="1" applyBorder="1" applyAlignment="1">
      <alignment horizontal="center"/>
    </xf>
    <xf numFmtId="0" fontId="10" fillId="12" borderId="42" xfId="0" applyFont="1" applyFill="1" applyBorder="1" applyAlignment="1">
      <alignment horizontal="center"/>
    </xf>
    <xf numFmtId="170" fontId="20" fillId="0" borderId="29" xfId="0" applyNumberFormat="1" applyFont="1" applyBorder="1"/>
    <xf numFmtId="0" fontId="20" fillId="0" borderId="40" xfId="0" applyFont="1" applyBorder="1"/>
    <xf numFmtId="49" fontId="32" fillId="0" borderId="0" xfId="0" applyNumberFormat="1" applyFont="1" applyAlignment="1">
      <alignment horizontal="center" vertical="center" wrapText="1"/>
    </xf>
    <xf numFmtId="49" fontId="22" fillId="14" borderId="0" xfId="0" applyNumberFormat="1" applyFont="1" applyFill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49" fontId="23" fillId="0" borderId="42" xfId="0" applyNumberFormat="1" applyFont="1" applyBorder="1" applyAlignment="1">
      <alignment horizontal="center" vertical="center" wrapText="1"/>
    </xf>
    <xf numFmtId="0" fontId="69" fillId="13" borderId="29" xfId="0" applyFont="1" applyFill="1" applyBorder="1" applyAlignment="1">
      <alignment horizontal="left" wrapText="1"/>
    </xf>
    <xf numFmtId="0" fontId="69" fillId="13" borderId="41" xfId="0" applyFont="1" applyFill="1" applyBorder="1" applyAlignment="1">
      <alignment horizontal="left" wrapText="1"/>
    </xf>
    <xf numFmtId="0" fontId="33" fillId="13" borderId="25" xfId="0" applyFont="1" applyFill="1" applyBorder="1" applyAlignment="1">
      <alignment horizontal="center" vertical="center" wrapText="1"/>
    </xf>
    <xf numFmtId="0" fontId="33" fillId="13" borderId="23" xfId="0" applyFont="1" applyFill="1" applyBorder="1" applyAlignment="1">
      <alignment horizontal="center" vertical="center" wrapText="1"/>
    </xf>
    <xf numFmtId="0" fontId="23" fillId="13" borderId="26" xfId="0" applyFont="1" applyFill="1" applyBorder="1" applyAlignment="1">
      <alignment horizontal="center" vertical="center" wrapText="1"/>
    </xf>
    <xf numFmtId="0" fontId="23" fillId="13" borderId="13" xfId="0" applyFont="1" applyFill="1" applyBorder="1" applyAlignment="1">
      <alignment horizontal="center" vertical="center" wrapText="1"/>
    </xf>
    <xf numFmtId="0" fontId="34" fillId="13" borderId="26" xfId="0" applyFont="1" applyFill="1" applyBorder="1" applyAlignment="1">
      <alignment horizontal="center" vertical="center" wrapText="1"/>
    </xf>
    <xf numFmtId="0" fontId="20" fillId="13" borderId="27" xfId="0" applyFont="1" applyFill="1" applyBorder="1" applyAlignment="1">
      <alignment horizontal="center" vertical="center" wrapText="1"/>
    </xf>
    <xf numFmtId="0" fontId="20" fillId="13" borderId="24" xfId="0" applyFont="1" applyFill="1" applyBorder="1" applyAlignment="1">
      <alignment horizontal="center" vertical="center" wrapText="1"/>
    </xf>
    <xf numFmtId="0" fontId="8" fillId="13" borderId="45" xfId="0" applyFont="1" applyFill="1" applyBorder="1" applyAlignment="1">
      <alignment horizontal="center" wrapText="1"/>
    </xf>
    <xf numFmtId="0" fontId="8" fillId="13" borderId="16" xfId="0" applyFont="1" applyFill="1" applyBorder="1" applyAlignment="1">
      <alignment horizontal="center" wrapText="1"/>
    </xf>
    <xf numFmtId="4" fontId="18" fillId="0" borderId="49" xfId="0" applyNumberFormat="1" applyFont="1" applyFill="1" applyBorder="1" applyAlignment="1">
      <alignment horizontal="center"/>
    </xf>
    <xf numFmtId="4" fontId="18" fillId="0" borderId="50" xfId="0" applyNumberFormat="1" applyFont="1" applyFill="1" applyBorder="1" applyAlignment="1">
      <alignment horizontal="center"/>
    </xf>
    <xf numFmtId="4" fontId="18" fillId="0" borderId="51" xfId="0" applyNumberFormat="1" applyFont="1" applyFill="1" applyBorder="1" applyAlignment="1">
      <alignment horizontal="center"/>
    </xf>
    <xf numFmtId="4" fontId="18" fillId="0" borderId="33" xfId="0" applyNumberFormat="1" applyFont="1" applyFill="1" applyBorder="1" applyAlignment="1">
      <alignment horizontal="center"/>
    </xf>
    <xf numFmtId="4" fontId="18" fillId="0" borderId="48" xfId="0" applyNumberFormat="1" applyFont="1" applyFill="1" applyBorder="1" applyAlignment="1">
      <alignment horizontal="center"/>
    </xf>
    <xf numFmtId="4" fontId="19" fillId="0" borderId="11" xfId="0" applyNumberFormat="1" applyFont="1" applyFill="1" applyBorder="1" applyAlignment="1">
      <alignment horizontal="center" vertical="center"/>
    </xf>
    <xf numFmtId="4" fontId="19" fillId="0" borderId="55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49" fontId="49" fillId="14" borderId="0" xfId="0" applyNumberFormat="1" applyFont="1" applyFill="1" applyBorder="1" applyAlignment="1">
      <alignment horizontal="center"/>
    </xf>
    <xf numFmtId="49" fontId="49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12" borderId="0" xfId="0" applyFont="1" applyFill="1" applyBorder="1" applyAlignment="1">
      <alignment horizontal="center"/>
    </xf>
    <xf numFmtId="49" fontId="49" fillId="0" borderId="0" xfId="0" applyNumberFormat="1" applyFont="1" applyFill="1" applyAlignment="1">
      <alignment horizontal="center"/>
    </xf>
    <xf numFmtId="4" fontId="20" fillId="12" borderId="0" xfId="0" applyNumberFormat="1" applyFont="1" applyFill="1" applyBorder="1" applyAlignment="1">
      <alignment horizontal="center"/>
    </xf>
    <xf numFmtId="4" fontId="77" fillId="0" borderId="33" xfId="0" applyNumberFormat="1" applyFont="1" applyFill="1" applyBorder="1"/>
    <xf numFmtId="4" fontId="77" fillId="0" borderId="48" xfId="0" applyNumberFormat="1" applyFont="1" applyFill="1" applyBorder="1"/>
    <xf numFmtId="0" fontId="83" fillId="0" borderId="0" xfId="0" applyFont="1" applyFill="1" applyBorder="1" applyAlignment="1"/>
    <xf numFmtId="0" fontId="83" fillId="0" borderId="0" xfId="0" applyFont="1" applyFill="1" applyBorder="1" applyAlignment="1">
      <alignment horizontal="center" textRotation="90"/>
    </xf>
    <xf numFmtId="0" fontId="36" fillId="12" borderId="0" xfId="0" applyFont="1" applyFill="1" applyAlignment="1">
      <alignment horizontal="center" vertical="center"/>
    </xf>
    <xf numFmtId="0" fontId="19" fillId="0" borderId="46" xfId="0" applyFont="1" applyBorder="1" applyAlignment="1">
      <alignment horizontal="center"/>
    </xf>
  </cellXfs>
  <cellStyles count="9">
    <cellStyle name="60% - Énfasis2" xfId="1" builtinId="36"/>
    <cellStyle name="Énfasis1" xfId="2" builtinId="29"/>
    <cellStyle name="Euro" xfId="3" xr:uid="{00000000-0005-0000-0000-000002000000}"/>
    <cellStyle name="Millares" xfId="8" builtinId="3"/>
    <cellStyle name="Millares 4" xfId="4" xr:uid="{00000000-0005-0000-0000-000004000000}"/>
    <cellStyle name="Moneda" xfId="5" builtinId="4"/>
    <cellStyle name="Normal" xfId="0" builtinId="0"/>
    <cellStyle name="Normal 2" xfId="6" xr:uid="{00000000-0005-0000-0000-000007000000}"/>
    <cellStyle name="Normal 4" xfId="7" xr:uid="{00000000-0005-0000-0000-000008000000}"/>
  </cellStyles>
  <dxfs count="0"/>
  <tableStyles count="0" defaultTableStyle="TableStyleMedium9" defaultPivotStyle="PivotStyleLight16"/>
  <colors>
    <mruColors>
      <color rgb="FFCCCCFF"/>
      <color rgb="FF87C15F"/>
      <color rgb="FF00CC00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68037</xdr:colOff>
      <xdr:row>0</xdr:row>
      <xdr:rowOff>59531</xdr:rowOff>
    </xdr:from>
    <xdr:to>
      <xdr:col>1</xdr:col>
      <xdr:colOff>42523</xdr:colOff>
      <xdr:row>2</xdr:row>
      <xdr:rowOff>221115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CF9B37-0D02-439F-BCC4-94BBF3620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7" y="59531"/>
          <a:ext cx="620825" cy="6208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76200</xdr:rowOff>
    </xdr:from>
    <xdr:to>
      <xdr:col>1</xdr:col>
      <xdr:colOff>704850</xdr:colOff>
      <xdr:row>3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9A5003-53A8-4E97-B8C8-E4DF0B459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76200"/>
          <a:ext cx="714374" cy="7810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253</xdr:row>
      <xdr:rowOff>276225</xdr:rowOff>
    </xdr:from>
    <xdr:to>
      <xdr:col>6</xdr:col>
      <xdr:colOff>800100</xdr:colOff>
      <xdr:row>253</xdr:row>
      <xdr:rowOff>276225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 bwMode="auto">
        <a:xfrm>
          <a:off x="4838700" y="43100625"/>
          <a:ext cx="704850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6</xdr:col>
      <xdr:colOff>476250</xdr:colOff>
      <xdr:row>255</xdr:row>
      <xdr:rowOff>247650</xdr:rowOff>
    </xdr:from>
    <xdr:to>
      <xdr:col>6</xdr:col>
      <xdr:colOff>771525</xdr:colOff>
      <xdr:row>255</xdr:row>
      <xdr:rowOff>247650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 bwMode="auto">
        <a:xfrm>
          <a:off x="5219700" y="43776900"/>
          <a:ext cx="29527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 editAs="oneCell">
    <xdr:from>
      <xdr:col>0</xdr:col>
      <xdr:colOff>514350</xdr:colOff>
      <xdr:row>0</xdr:row>
      <xdr:rowOff>171450</xdr:rowOff>
    </xdr:from>
    <xdr:to>
      <xdr:col>2</xdr:col>
      <xdr:colOff>38100</xdr:colOff>
      <xdr:row>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9F19C0-A284-4560-BD97-05F16D22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71450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55</xdr:row>
      <xdr:rowOff>66675</xdr:rowOff>
    </xdr:from>
    <xdr:to>
      <xdr:col>2</xdr:col>
      <xdr:colOff>85725</xdr:colOff>
      <xdr:row>58</xdr:row>
      <xdr:rowOff>82550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2457B4-7AF1-4A2C-BE44-DC3E3E34E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9426575"/>
          <a:ext cx="6413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110</xdr:row>
      <xdr:rowOff>15875</xdr:rowOff>
    </xdr:from>
    <xdr:to>
      <xdr:col>2</xdr:col>
      <xdr:colOff>133350</xdr:colOff>
      <xdr:row>113</xdr:row>
      <xdr:rowOff>31750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7D14E9-5AF4-4834-B254-D8FFE11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773775"/>
          <a:ext cx="6413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711200</xdr:colOff>
      <xdr:row>164</xdr:row>
      <xdr:rowOff>3175</xdr:rowOff>
    </xdr:from>
    <xdr:to>
      <xdr:col>2</xdr:col>
      <xdr:colOff>234950</xdr:colOff>
      <xdr:row>167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F86A0D1-BD0A-43AC-85EF-F551860AD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7993975"/>
          <a:ext cx="6413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221</xdr:row>
      <xdr:rowOff>19050</xdr:rowOff>
    </xdr:from>
    <xdr:to>
      <xdr:col>2</xdr:col>
      <xdr:colOff>158750</xdr:colOff>
      <xdr:row>224</xdr:row>
      <xdr:rowOff>34925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F09F1B8-2B2A-4750-9A62-FF9640018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7738050"/>
          <a:ext cx="64135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0</xdr:col>
      <xdr:colOff>809624</xdr:colOff>
      <xdr:row>2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BB4A14-C9B6-4E12-A5E4-B12CB0905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609599" cy="609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37" name="Rectangle 3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1634290</xdr:colOff>
      <xdr:row>0</xdr:row>
      <xdr:rowOff>30079</xdr:rowOff>
    </xdr:from>
    <xdr:to>
      <xdr:col>2</xdr:col>
      <xdr:colOff>310816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5FE7E5-5C2C-472C-B1B1-E7853649A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5711" y="30079"/>
          <a:ext cx="892342" cy="8923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4309" name="Rectangle 3">
          <a:extLst>
            <a:ext uri="{FF2B5EF4-FFF2-40B4-BE49-F238E27FC236}">
              <a16:creationId xmlns:a16="http://schemas.microsoft.com/office/drawing/2014/main" id="{00000000-0008-0000-0300-0000D5100000}"/>
            </a:ext>
          </a:extLst>
        </xdr:cNvPr>
        <xdr:cNvSpPr>
          <a:spLocks noChangeArrowheads="1"/>
        </xdr:cNvSpPr>
      </xdr:nvSpPr>
      <xdr:spPr bwMode="auto">
        <a:xfrm>
          <a:off x="72199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647700</xdr:colOff>
      <xdr:row>0</xdr:row>
      <xdr:rowOff>57150</xdr:rowOff>
    </xdr:from>
    <xdr:to>
      <xdr:col>4</xdr:col>
      <xdr:colOff>1590675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51902F-5608-409E-AF60-DEC336D51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57150"/>
          <a:ext cx="942975" cy="942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1162844</xdr:colOff>
      <xdr:row>0</xdr:row>
      <xdr:rowOff>0</xdr:rowOff>
    </xdr:from>
    <xdr:to>
      <xdr:col>4</xdr:col>
      <xdr:colOff>2127249</xdr:colOff>
      <xdr:row>4</xdr:row>
      <xdr:rowOff>107155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71A9BD-6488-476A-B111-1679ED073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344" y="0"/>
          <a:ext cx="964405" cy="9644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359617</xdr:colOff>
      <xdr:row>0</xdr:row>
      <xdr:rowOff>58316</xdr:rowOff>
    </xdr:from>
    <xdr:to>
      <xdr:col>4</xdr:col>
      <xdr:colOff>1292679</xdr:colOff>
      <xdr:row>4</xdr:row>
      <xdr:rowOff>116633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19D97F-17E2-4EC8-B05C-B946F6EB3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510" y="58316"/>
          <a:ext cx="933062" cy="9330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6597" name="Rectangle 3">
          <a:extLst>
            <a:ext uri="{FF2B5EF4-FFF2-40B4-BE49-F238E27FC236}">
              <a16:creationId xmlns:a16="http://schemas.microsoft.com/office/drawing/2014/main" id="{00000000-0008-0000-0600-0000D5400000}"/>
            </a:ext>
          </a:extLst>
        </xdr:cNvPr>
        <xdr:cNvSpPr>
          <a:spLocks noChangeArrowheads="1"/>
        </xdr:cNvSpPr>
      </xdr:nvSpPr>
      <xdr:spPr bwMode="auto">
        <a:xfrm>
          <a:off x="83439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292100</xdr:colOff>
      <xdr:row>0</xdr:row>
      <xdr:rowOff>177800</xdr:rowOff>
    </xdr:from>
    <xdr:to>
      <xdr:col>2</xdr:col>
      <xdr:colOff>279400</xdr:colOff>
      <xdr:row>5</xdr:row>
      <xdr:rowOff>12700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8D328D-F5D9-40E7-881C-32BDCA059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77800"/>
          <a:ext cx="901700" cy="901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133146</xdr:rowOff>
    </xdr:from>
    <xdr:to>
      <xdr:col>3</xdr:col>
      <xdr:colOff>297016</xdr:colOff>
      <xdr:row>4</xdr:row>
      <xdr:rowOff>174113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34FE8-6F73-40D7-9AEE-789E4F8D6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58" y="133146"/>
          <a:ext cx="901290" cy="9012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4</xdr:col>
      <xdr:colOff>142875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4FB91D-D389-4360-8A4D-C4BF6BC20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238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26</xdr:row>
      <xdr:rowOff>19050</xdr:rowOff>
    </xdr:from>
    <xdr:to>
      <xdr:col>4</xdr:col>
      <xdr:colOff>133350</xdr:colOff>
      <xdr:row>30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6B4751-C437-4AFE-926F-864868E1D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82486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51</xdr:row>
      <xdr:rowOff>19050</xdr:rowOff>
    </xdr:from>
    <xdr:to>
      <xdr:col>4</xdr:col>
      <xdr:colOff>200025</xdr:colOff>
      <xdr:row>55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EADBFD-FFCA-49F4-ACD0-C2A4A9C5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60591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75</xdr:row>
      <xdr:rowOff>0</xdr:rowOff>
    </xdr:from>
    <xdr:to>
      <xdr:col>4</xdr:col>
      <xdr:colOff>209550</xdr:colOff>
      <xdr:row>79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60A0880-907D-484D-AA73-B21F7D01F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36601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100</xdr:row>
      <xdr:rowOff>19050</xdr:rowOff>
    </xdr:from>
    <xdr:to>
      <xdr:col>4</xdr:col>
      <xdr:colOff>228600</xdr:colOff>
      <xdr:row>104</xdr:row>
      <xdr:rowOff>66675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2A21126-C217-4982-9D02-352A71A9B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14134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123</xdr:row>
      <xdr:rowOff>0</xdr:rowOff>
    </xdr:from>
    <xdr:to>
      <xdr:col>4</xdr:col>
      <xdr:colOff>285750</xdr:colOff>
      <xdr:row>127</xdr:row>
      <xdr:rowOff>47625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06AA62D-C508-44F9-9238-59C65D59E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88715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149</xdr:row>
      <xdr:rowOff>133350</xdr:rowOff>
    </xdr:from>
    <xdr:to>
      <xdr:col>4</xdr:col>
      <xdr:colOff>276225</xdr:colOff>
      <xdr:row>154</xdr:row>
      <xdr:rowOff>19050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C8FEB74-5B16-499B-91A3-83EE6E5A0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69392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171</xdr:row>
      <xdr:rowOff>9525</xdr:rowOff>
    </xdr:from>
    <xdr:to>
      <xdr:col>4</xdr:col>
      <xdr:colOff>257175</xdr:colOff>
      <xdr:row>175</xdr:row>
      <xdr:rowOff>57150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F7D785C-EF15-4A40-A1A5-4243FE8CF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539496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194</xdr:row>
      <xdr:rowOff>9525</xdr:rowOff>
    </xdr:from>
    <xdr:to>
      <xdr:col>4</xdr:col>
      <xdr:colOff>266700</xdr:colOff>
      <xdr:row>198</xdr:row>
      <xdr:rowOff>57150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E40852D-0421-44B2-97E1-16350AA9C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612171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215</xdr:row>
      <xdr:rowOff>9525</xdr:rowOff>
    </xdr:from>
    <xdr:to>
      <xdr:col>4</xdr:col>
      <xdr:colOff>295275</xdr:colOff>
      <xdr:row>219</xdr:row>
      <xdr:rowOff>57150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D727118-BD23-493A-95E2-1CCC324BD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81513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235</xdr:row>
      <xdr:rowOff>123825</xdr:rowOff>
    </xdr:from>
    <xdr:to>
      <xdr:col>4</xdr:col>
      <xdr:colOff>257175</xdr:colOff>
      <xdr:row>240</xdr:row>
      <xdr:rowOff>9525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740B661-1DF0-4D5F-8078-1AC23D3C2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750760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260</xdr:row>
      <xdr:rowOff>142875</xdr:rowOff>
    </xdr:from>
    <xdr:to>
      <xdr:col>4</xdr:col>
      <xdr:colOff>323850</xdr:colOff>
      <xdr:row>265</xdr:row>
      <xdr:rowOff>28575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5AF536F-1082-4FC9-84F4-8EA763DC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828294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288</xdr:row>
      <xdr:rowOff>142875</xdr:rowOff>
    </xdr:from>
    <xdr:to>
      <xdr:col>4</xdr:col>
      <xdr:colOff>342900</xdr:colOff>
      <xdr:row>293</xdr:row>
      <xdr:rowOff>28575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3CADCD1-C43B-4E29-9540-382595EB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910590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325</xdr:row>
      <xdr:rowOff>142875</xdr:rowOff>
    </xdr:from>
    <xdr:to>
      <xdr:col>4</xdr:col>
      <xdr:colOff>266700</xdr:colOff>
      <xdr:row>330</xdr:row>
      <xdr:rowOff>28575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0DB09E-C017-4053-B495-3AA06D324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010126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348</xdr:row>
      <xdr:rowOff>142875</xdr:rowOff>
    </xdr:from>
    <xdr:to>
      <xdr:col>4</xdr:col>
      <xdr:colOff>314325</xdr:colOff>
      <xdr:row>353</xdr:row>
      <xdr:rowOff>28575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042DEE6-EA26-482F-B28A-59B955003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083468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376</xdr:row>
      <xdr:rowOff>19050</xdr:rowOff>
    </xdr:from>
    <xdr:to>
      <xdr:col>4</xdr:col>
      <xdr:colOff>276225</xdr:colOff>
      <xdr:row>380</xdr:row>
      <xdr:rowOff>66675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9F4B6B1-534E-4328-8E7C-F88FD35F2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6471700"/>
          <a:ext cx="904875" cy="904875"/>
        </a:xfrm>
        <a:prstGeom prst="rect">
          <a:avLst/>
        </a:prstGeom>
      </xdr:spPr>
    </xdr:pic>
    <xdr:clientData/>
  </xdr:twoCellAnchor>
  <xdr:oneCellAnchor>
    <xdr:from>
      <xdr:col>1</xdr:col>
      <xdr:colOff>238125</xdr:colOff>
      <xdr:row>402</xdr:row>
      <xdr:rowOff>19050</xdr:rowOff>
    </xdr:from>
    <xdr:ext cx="904875" cy="904875"/>
    <xdr:pic>
      <xdr:nvPicPr>
        <xdr:cNvPr id="20" name="Imagen 19">
          <a:extLst>
            <a:ext uri="{FF2B5EF4-FFF2-40B4-BE49-F238E27FC236}">
              <a16:creationId xmlns:a16="http://schemas.microsoft.com/office/drawing/2014/main" id="{A72EE7C3-3636-4EE0-BCF8-A20203055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6471700"/>
          <a:ext cx="904875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Equida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50"/>
  <sheetViews>
    <sheetView tabSelected="1" view="pageBreakPreview" zoomScaleSheetLayoutView="100" workbookViewId="0">
      <selection activeCell="C11" sqref="C11"/>
    </sheetView>
  </sheetViews>
  <sheetFormatPr baseColWidth="10" defaultColWidth="11.42578125" defaultRowHeight="12.75" x14ac:dyDescent="0.2"/>
  <cols>
    <col min="1" max="1" width="9.7109375" style="36" customWidth="1"/>
    <col min="2" max="2" width="10.5703125" style="36" customWidth="1"/>
    <col min="3" max="3" width="39.5703125" style="36" customWidth="1"/>
    <col min="4" max="4" width="23" style="36" customWidth="1"/>
    <col min="5" max="16384" width="11.42578125" style="36"/>
  </cols>
  <sheetData>
    <row r="1" spans="1:7" ht="18.75" customHeight="1" x14ac:dyDescent="0.2">
      <c r="A1" s="635" t="s">
        <v>427</v>
      </c>
      <c r="B1" s="635"/>
      <c r="C1" s="635"/>
      <c r="D1" s="635"/>
      <c r="E1" s="367"/>
      <c r="F1" s="367"/>
    </row>
    <row r="2" spans="1:7" ht="17.25" customHeight="1" x14ac:dyDescent="0.2">
      <c r="A2" s="636" t="s">
        <v>426</v>
      </c>
      <c r="B2" s="636"/>
      <c r="C2" s="636"/>
      <c r="D2" s="636"/>
      <c r="E2" s="367"/>
      <c r="F2" s="367"/>
    </row>
    <row r="3" spans="1:7" ht="20.25" customHeight="1" thickBot="1" x14ac:dyDescent="0.25">
      <c r="A3" s="637" t="s">
        <v>560</v>
      </c>
      <c r="B3" s="637"/>
      <c r="C3" s="637"/>
      <c r="D3" s="637"/>
      <c r="E3" s="367"/>
      <c r="F3" s="367"/>
    </row>
    <row r="4" spans="1:7" s="35" customFormat="1" ht="45" customHeight="1" thickBot="1" x14ac:dyDescent="0.25">
      <c r="A4" s="396" t="s">
        <v>562</v>
      </c>
      <c r="B4" s="397" t="s">
        <v>144</v>
      </c>
      <c r="C4" s="397" t="s">
        <v>110</v>
      </c>
      <c r="D4" s="398" t="s">
        <v>145</v>
      </c>
      <c r="E4" s="368"/>
      <c r="F4" s="368"/>
      <c r="G4"/>
    </row>
    <row r="5" spans="1:7" ht="33" customHeight="1" x14ac:dyDescent="0.2">
      <c r="A5" s="642" t="s">
        <v>49</v>
      </c>
      <c r="B5" s="373"/>
      <c r="C5" s="369" t="s">
        <v>332</v>
      </c>
      <c r="D5" s="638" t="s">
        <v>146</v>
      </c>
      <c r="E5" s="367"/>
      <c r="F5" s="367"/>
    </row>
    <row r="6" spans="1:7" ht="27.75" customHeight="1" x14ac:dyDescent="0.2">
      <c r="A6" s="642"/>
      <c r="B6" s="370" t="s">
        <v>101</v>
      </c>
      <c r="C6" s="371" t="s">
        <v>358</v>
      </c>
      <c r="D6" s="638"/>
      <c r="E6" s="367"/>
      <c r="F6" s="367"/>
    </row>
    <row r="7" spans="1:7" ht="27" customHeight="1" thickBot="1" x14ac:dyDescent="0.25">
      <c r="A7" s="642"/>
      <c r="B7" s="370" t="s">
        <v>352</v>
      </c>
      <c r="C7" s="371" t="s">
        <v>341</v>
      </c>
      <c r="D7" s="638"/>
      <c r="E7" s="367"/>
      <c r="F7" s="372"/>
    </row>
    <row r="8" spans="1:7" ht="22.5" customHeight="1" thickTop="1" x14ac:dyDescent="0.2">
      <c r="A8" s="373"/>
      <c r="B8" s="370" t="s">
        <v>433</v>
      </c>
      <c r="C8" s="371" t="s">
        <v>434</v>
      </c>
      <c r="D8" s="638"/>
      <c r="E8" s="367"/>
      <c r="F8" s="367"/>
    </row>
    <row r="9" spans="1:7" ht="18" customHeight="1" x14ac:dyDescent="0.2">
      <c r="A9" s="642" t="s">
        <v>321</v>
      </c>
      <c r="B9" s="370"/>
      <c r="C9" s="369" t="s">
        <v>357</v>
      </c>
      <c r="D9" s="638"/>
      <c r="E9" s="367"/>
      <c r="F9" s="367"/>
    </row>
    <row r="10" spans="1:7" ht="18" customHeight="1" x14ac:dyDescent="0.2">
      <c r="A10" s="642"/>
      <c r="B10" s="370" t="s">
        <v>353</v>
      </c>
      <c r="C10" s="371" t="s">
        <v>436</v>
      </c>
      <c r="D10" s="638"/>
      <c r="E10" s="367"/>
      <c r="F10" s="367"/>
    </row>
    <row r="11" spans="1:7" ht="18" customHeight="1" x14ac:dyDescent="0.2">
      <c r="A11" s="642"/>
      <c r="B11" s="370" t="s">
        <v>354</v>
      </c>
      <c r="C11" s="371" t="s">
        <v>437</v>
      </c>
      <c r="D11" s="638"/>
      <c r="E11" s="367"/>
      <c r="F11" s="367"/>
    </row>
    <row r="12" spans="1:7" ht="18" customHeight="1" x14ac:dyDescent="0.2">
      <c r="A12" s="643"/>
      <c r="B12" s="374" t="s">
        <v>435</v>
      </c>
      <c r="C12" s="375" t="s">
        <v>438</v>
      </c>
      <c r="D12" s="639"/>
      <c r="E12" s="367"/>
      <c r="F12" s="367"/>
    </row>
    <row r="13" spans="1:7" ht="45" customHeight="1" x14ac:dyDescent="0.2">
      <c r="A13" s="644" t="s">
        <v>53</v>
      </c>
      <c r="B13" s="376"/>
      <c r="C13" s="377" t="s">
        <v>359</v>
      </c>
      <c r="D13" s="640" t="s">
        <v>147</v>
      </c>
      <c r="E13" s="367"/>
      <c r="F13" s="367"/>
    </row>
    <row r="14" spans="1:7" ht="18" customHeight="1" x14ac:dyDescent="0.2">
      <c r="A14" s="642"/>
      <c r="B14" s="370" t="s">
        <v>92</v>
      </c>
      <c r="C14" s="371" t="s">
        <v>356</v>
      </c>
      <c r="D14" s="633"/>
      <c r="E14" s="367"/>
      <c r="F14" s="367"/>
    </row>
    <row r="15" spans="1:7" ht="18" customHeight="1" x14ac:dyDescent="0.2">
      <c r="A15" s="642"/>
      <c r="B15" s="370" t="s">
        <v>109</v>
      </c>
      <c r="C15" s="371" t="s">
        <v>360</v>
      </c>
      <c r="D15" s="633"/>
      <c r="E15" s="367"/>
      <c r="F15" s="367"/>
    </row>
    <row r="16" spans="1:7" ht="18" customHeight="1" x14ac:dyDescent="0.2">
      <c r="A16" s="643"/>
      <c r="B16" s="374"/>
      <c r="C16" s="375"/>
      <c r="D16" s="641"/>
      <c r="E16" s="367"/>
      <c r="F16" s="367"/>
    </row>
    <row r="17" spans="1:6" ht="21.75" customHeight="1" x14ac:dyDescent="0.2">
      <c r="A17" s="644" t="s">
        <v>57</v>
      </c>
      <c r="B17" s="378"/>
      <c r="C17" s="377" t="s">
        <v>148</v>
      </c>
      <c r="D17" s="646" t="s">
        <v>149</v>
      </c>
      <c r="E17" s="367"/>
      <c r="F17" s="367"/>
    </row>
    <row r="18" spans="1:6" ht="25.5" customHeight="1" x14ac:dyDescent="0.2">
      <c r="A18" s="642"/>
      <c r="B18" s="370" t="s">
        <v>93</v>
      </c>
      <c r="C18" s="371" t="s">
        <v>355</v>
      </c>
      <c r="D18" s="638"/>
      <c r="E18" s="367"/>
      <c r="F18" s="367"/>
    </row>
    <row r="19" spans="1:6" ht="19.5" customHeight="1" x14ac:dyDescent="0.2">
      <c r="A19" s="643"/>
      <c r="B19" s="374"/>
      <c r="C19" s="375"/>
      <c r="D19" s="639"/>
      <c r="E19" s="367"/>
      <c r="F19" s="367"/>
    </row>
    <row r="20" spans="1:6" s="37" customFormat="1" ht="34.5" hidden="1" customHeight="1" x14ac:dyDescent="0.2">
      <c r="A20" s="644"/>
      <c r="B20" s="376"/>
      <c r="C20" s="377"/>
      <c r="D20" s="640"/>
      <c r="E20" s="379"/>
      <c r="F20" s="379"/>
    </row>
    <row r="21" spans="1:6" ht="29.25" hidden="1" customHeight="1" x14ac:dyDescent="0.2">
      <c r="A21" s="643"/>
      <c r="B21" s="374"/>
      <c r="C21" s="375"/>
      <c r="D21" s="641"/>
      <c r="E21" s="367"/>
      <c r="F21" s="367"/>
    </row>
    <row r="22" spans="1:6" s="37" customFormat="1" ht="30" hidden="1" customHeight="1" x14ac:dyDescent="0.2">
      <c r="A22" s="642"/>
      <c r="B22" s="373"/>
      <c r="C22" s="369"/>
      <c r="D22" s="633"/>
      <c r="E22" s="379"/>
      <c r="F22" s="379"/>
    </row>
    <row r="23" spans="1:6" s="37" customFormat="1" ht="18" hidden="1" customHeight="1" x14ac:dyDescent="0.2">
      <c r="A23" s="642"/>
      <c r="B23" s="370"/>
      <c r="C23" s="371"/>
      <c r="D23" s="633"/>
      <c r="E23" s="379"/>
      <c r="F23" s="379"/>
    </row>
    <row r="24" spans="1:6" ht="10.5" hidden="1" customHeight="1" thickBot="1" x14ac:dyDescent="0.25">
      <c r="A24" s="645"/>
      <c r="B24" s="380"/>
      <c r="C24" s="381"/>
      <c r="D24" s="634"/>
      <c r="E24" s="367"/>
      <c r="F24" s="367"/>
    </row>
    <row r="25" spans="1:6" ht="6.75" customHeight="1" x14ac:dyDescent="0.2">
      <c r="A25" s="382"/>
      <c r="B25" s="382"/>
      <c r="C25" s="383"/>
      <c r="D25" s="384"/>
      <c r="E25" s="367"/>
      <c r="F25" s="367"/>
    </row>
    <row r="26" spans="1:6" s="37" customFormat="1" ht="15" customHeight="1" x14ac:dyDescent="0.2">
      <c r="A26" s="631" t="s">
        <v>150</v>
      </c>
      <c r="B26" s="631"/>
      <c r="C26" s="631"/>
      <c r="D26" s="385" t="s">
        <v>151</v>
      </c>
      <c r="E26" s="379"/>
      <c r="F26" s="379"/>
    </row>
    <row r="27" spans="1:6" ht="15" customHeight="1" x14ac:dyDescent="0.2">
      <c r="A27" s="383"/>
      <c r="B27" s="383"/>
      <c r="C27" s="383"/>
      <c r="D27" s="384"/>
      <c r="E27" s="367"/>
      <c r="F27" s="367"/>
    </row>
    <row r="28" spans="1:6" ht="15" customHeight="1" x14ac:dyDescent="0.2">
      <c r="A28" s="386" t="s">
        <v>111</v>
      </c>
      <c r="B28" s="632" t="s">
        <v>112</v>
      </c>
      <c r="C28" s="632"/>
      <c r="D28" s="384" t="s">
        <v>152</v>
      </c>
      <c r="E28" s="367"/>
      <c r="F28" s="367"/>
    </row>
    <row r="29" spans="1:6" ht="15" customHeight="1" x14ac:dyDescent="0.2">
      <c r="A29" s="386" t="s">
        <v>113</v>
      </c>
      <c r="B29" s="632" t="s">
        <v>114</v>
      </c>
      <c r="C29" s="632"/>
      <c r="D29" s="384" t="s">
        <v>153</v>
      </c>
      <c r="E29" s="367"/>
      <c r="F29" s="367"/>
    </row>
    <row r="30" spans="1:6" ht="15" customHeight="1" x14ac:dyDescent="0.2">
      <c r="A30" s="386" t="s">
        <v>115</v>
      </c>
      <c r="B30" s="632" t="s">
        <v>116</v>
      </c>
      <c r="C30" s="632"/>
      <c r="D30" s="384" t="s">
        <v>320</v>
      </c>
      <c r="E30" s="367"/>
      <c r="F30" s="367"/>
    </row>
    <row r="31" spans="1:6" ht="15" customHeight="1" x14ac:dyDescent="0.2">
      <c r="A31" s="383"/>
      <c r="B31" s="383"/>
      <c r="C31" s="383"/>
      <c r="D31" s="384" t="s">
        <v>154</v>
      </c>
      <c r="E31" s="367"/>
      <c r="F31" s="367"/>
    </row>
    <row r="32" spans="1:6" ht="15" customHeight="1" x14ac:dyDescent="0.2">
      <c r="A32" s="38"/>
      <c r="B32" s="38"/>
      <c r="C32" s="38"/>
      <c r="D32" s="38"/>
    </row>
    <row r="33" spans="1:4" ht="15" customHeight="1" x14ac:dyDescent="0.2">
      <c r="A33" s="38"/>
      <c r="B33" s="38"/>
      <c r="C33" s="38"/>
      <c r="D33" s="38"/>
    </row>
    <row r="34" spans="1:4" ht="15" customHeight="1" x14ac:dyDescent="0.2">
      <c r="A34" s="38"/>
      <c r="B34" s="38"/>
      <c r="C34" s="38"/>
      <c r="D34" s="38"/>
    </row>
    <row r="35" spans="1:4" ht="15" customHeight="1" x14ac:dyDescent="0.2">
      <c r="A35" s="38"/>
      <c r="B35" s="38"/>
      <c r="C35" s="38"/>
      <c r="D35" s="38"/>
    </row>
    <row r="36" spans="1:4" ht="15" customHeight="1" x14ac:dyDescent="0.2">
      <c r="A36" s="38"/>
      <c r="B36" s="38"/>
      <c r="C36" s="38"/>
      <c r="D36" s="38"/>
    </row>
    <row r="37" spans="1:4" ht="15" customHeight="1" x14ac:dyDescent="0.2">
      <c r="A37" s="38"/>
      <c r="B37" s="38"/>
      <c r="C37" s="38"/>
      <c r="D37" s="38"/>
    </row>
    <row r="38" spans="1:4" ht="15" customHeight="1" x14ac:dyDescent="0.2">
      <c r="A38" s="38"/>
      <c r="B38" s="38"/>
      <c r="C38" s="38"/>
      <c r="D38" s="38"/>
    </row>
    <row r="39" spans="1:4" ht="15" customHeight="1" x14ac:dyDescent="0.2">
      <c r="A39" s="38"/>
      <c r="B39" s="38"/>
      <c r="C39" s="38"/>
      <c r="D39" s="38"/>
    </row>
    <row r="40" spans="1:4" ht="15" customHeight="1" x14ac:dyDescent="0.2">
      <c r="A40" s="38"/>
      <c r="B40" s="38"/>
      <c r="C40" s="38"/>
      <c r="D40" s="38"/>
    </row>
    <row r="41" spans="1:4" ht="15" customHeight="1" x14ac:dyDescent="0.2">
      <c r="A41" s="38"/>
      <c r="B41" s="38"/>
      <c r="C41" s="38"/>
      <c r="D41" s="38"/>
    </row>
    <row r="42" spans="1:4" ht="15" customHeight="1" x14ac:dyDescent="0.2">
      <c r="A42" s="38"/>
      <c r="B42" s="38"/>
      <c r="C42" s="38"/>
      <c r="D42" s="38"/>
    </row>
    <row r="43" spans="1:4" ht="15" customHeight="1" x14ac:dyDescent="0.2">
      <c r="A43" s="38"/>
      <c r="B43" s="38"/>
      <c r="C43" s="38"/>
      <c r="D43" s="38"/>
    </row>
    <row r="44" spans="1:4" ht="15" customHeight="1" x14ac:dyDescent="0.2">
      <c r="A44" s="38"/>
      <c r="B44" s="38"/>
      <c r="C44" s="38"/>
      <c r="D44" s="38"/>
    </row>
    <row r="45" spans="1:4" ht="15" customHeight="1" x14ac:dyDescent="0.2">
      <c r="A45" s="38"/>
      <c r="B45" s="38"/>
      <c r="C45" s="38"/>
      <c r="D45" s="38"/>
    </row>
    <row r="46" spans="1:4" ht="15" customHeight="1" x14ac:dyDescent="0.2">
      <c r="A46" s="38"/>
      <c r="B46" s="38"/>
      <c r="C46" s="38"/>
      <c r="D46" s="38"/>
    </row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</sheetData>
  <sheetProtection sheet="1" objects="1" scenarios="1" formatCells="0" formatColumns="0" formatRows="0" insertColumns="0" insertRows="0" insertHyperlinks="0"/>
  <mergeCells count="18">
    <mergeCell ref="D20:D21"/>
    <mergeCell ref="A20:A21"/>
    <mergeCell ref="A22:A24"/>
    <mergeCell ref="A13:A16"/>
    <mergeCell ref="A17:A19"/>
    <mergeCell ref="D17:D19"/>
    <mergeCell ref="A1:D1"/>
    <mergeCell ref="A2:D2"/>
    <mergeCell ref="A3:D3"/>
    <mergeCell ref="D5:D12"/>
    <mergeCell ref="D13:D16"/>
    <mergeCell ref="A5:A7"/>
    <mergeCell ref="A9:A12"/>
    <mergeCell ref="A26:C26"/>
    <mergeCell ref="B28:C28"/>
    <mergeCell ref="B29:C29"/>
    <mergeCell ref="B30:C30"/>
    <mergeCell ref="D22:D24"/>
  </mergeCells>
  <printOptions horizontalCentered="1"/>
  <pageMargins left="0.27559055118110237" right="0.27559055118110237" top="0.78740157480314965" bottom="0.74803149606299213" header="0.31496062992125984" footer="0.31496062992125984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R36"/>
  <sheetViews>
    <sheetView topLeftCell="A10" workbookViewId="0">
      <selection activeCell="K39" sqref="K39"/>
    </sheetView>
  </sheetViews>
  <sheetFormatPr baseColWidth="10" defaultColWidth="11.42578125" defaultRowHeight="12.75" x14ac:dyDescent="0.2"/>
  <cols>
    <col min="1" max="1" width="10.7109375" style="39" customWidth="1"/>
    <col min="2" max="2" width="5.140625" style="39" customWidth="1"/>
    <col min="3" max="3" width="12.7109375" style="40" customWidth="1"/>
    <col min="4" max="4" width="14.140625" style="40" customWidth="1"/>
    <col min="5" max="5" width="14.5703125" style="40" customWidth="1"/>
    <col min="6" max="6" width="12" style="40" customWidth="1"/>
    <col min="7" max="7" width="8" style="40" customWidth="1"/>
    <col min="8" max="8" width="13.7109375" style="40" customWidth="1"/>
    <col min="9" max="9" width="12.7109375" style="40" customWidth="1"/>
    <col min="10" max="10" width="10.85546875" style="39" customWidth="1"/>
    <col min="11" max="11" width="21.140625" style="39" customWidth="1"/>
    <col min="12" max="12" width="12.28515625" style="39" customWidth="1"/>
    <col min="13" max="13" width="11.5703125" style="39" customWidth="1"/>
    <col min="14" max="14" width="14.5703125" style="39" customWidth="1"/>
    <col min="15" max="15" width="11.7109375" style="39" customWidth="1"/>
    <col min="16" max="17" width="12.5703125" style="39" customWidth="1"/>
    <col min="18" max="16384" width="11.42578125" style="39"/>
  </cols>
  <sheetData>
    <row r="1" spans="1:18" ht="18" x14ac:dyDescent="0.25">
      <c r="A1" s="760" t="s">
        <v>253</v>
      </c>
      <c r="B1" s="760"/>
      <c r="C1" s="760"/>
      <c r="D1" s="760"/>
      <c r="E1" s="760"/>
      <c r="F1" s="760"/>
      <c r="G1" s="760"/>
      <c r="H1" s="760"/>
      <c r="I1" s="760"/>
      <c r="J1" s="765" t="s">
        <v>253</v>
      </c>
      <c r="K1" s="765"/>
      <c r="L1" s="765"/>
      <c r="M1" s="765"/>
      <c r="N1" s="765"/>
      <c r="O1" s="765"/>
      <c r="P1" s="765"/>
      <c r="Q1" s="87"/>
      <c r="R1" s="87"/>
    </row>
    <row r="2" spans="1:18" ht="18" x14ac:dyDescent="0.25">
      <c r="A2" s="760" t="s">
        <v>206</v>
      </c>
      <c r="B2" s="760"/>
      <c r="C2" s="760"/>
      <c r="D2" s="760"/>
      <c r="E2" s="760"/>
      <c r="F2" s="760"/>
      <c r="G2" s="760"/>
      <c r="H2" s="760"/>
      <c r="I2" s="760"/>
      <c r="J2" s="765" t="s">
        <v>206</v>
      </c>
      <c r="K2" s="765"/>
      <c r="L2" s="765"/>
      <c r="M2" s="765"/>
      <c r="N2" s="765"/>
      <c r="O2" s="765"/>
      <c r="P2" s="765"/>
      <c r="Q2" s="87"/>
      <c r="R2" s="87"/>
    </row>
    <row r="3" spans="1:18" ht="18" x14ac:dyDescent="0.25">
      <c r="A3" s="760" t="s">
        <v>279</v>
      </c>
      <c r="B3" s="760"/>
      <c r="C3" s="760"/>
      <c r="D3" s="760"/>
      <c r="E3" s="760"/>
      <c r="F3" s="760"/>
      <c r="G3" s="760"/>
      <c r="H3" s="760"/>
      <c r="I3" s="760"/>
      <c r="J3" s="765" t="s">
        <v>279</v>
      </c>
      <c r="K3" s="765"/>
      <c r="L3" s="765"/>
      <c r="M3" s="765"/>
      <c r="N3" s="765"/>
      <c r="O3" s="765"/>
      <c r="P3" s="765"/>
      <c r="Q3" s="87"/>
      <c r="R3" s="87"/>
    </row>
    <row r="4" spans="1:18" ht="13.5" thickBot="1" x14ac:dyDescent="0.25">
      <c r="J4" s="89" t="s">
        <v>284</v>
      </c>
      <c r="K4" s="14"/>
      <c r="L4" s="14"/>
      <c r="M4" s="14"/>
      <c r="N4" s="14"/>
      <c r="O4" s="14"/>
      <c r="P4" s="14"/>
      <c r="Q4" s="14"/>
      <c r="R4" s="14"/>
    </row>
    <row r="5" spans="1:18" ht="16.5" thickBot="1" x14ac:dyDescent="0.3">
      <c r="A5" s="761" t="s">
        <v>184</v>
      </c>
      <c r="B5" s="761"/>
      <c r="C5" s="761"/>
      <c r="D5" s="761"/>
      <c r="E5" s="761"/>
      <c r="F5" s="761"/>
      <c r="G5" s="761"/>
      <c r="H5" s="761"/>
      <c r="I5" s="761"/>
      <c r="J5" s="95" t="s">
        <v>285</v>
      </c>
      <c r="K5" s="96" t="s">
        <v>110</v>
      </c>
      <c r="L5" s="97" t="s">
        <v>123</v>
      </c>
      <c r="M5" s="96" t="s">
        <v>247</v>
      </c>
      <c r="N5" s="96" t="s">
        <v>248</v>
      </c>
      <c r="O5" s="96" t="s">
        <v>286</v>
      </c>
      <c r="P5" s="96" t="s">
        <v>73</v>
      </c>
      <c r="Q5" s="98" t="s">
        <v>192</v>
      </c>
      <c r="R5" s="14"/>
    </row>
    <row r="6" spans="1:18" x14ac:dyDescent="0.2">
      <c r="A6" s="58"/>
      <c r="B6" s="58"/>
      <c r="C6" s="59"/>
      <c r="D6" s="59"/>
      <c r="E6" s="59"/>
      <c r="F6" s="59"/>
      <c r="G6" s="59"/>
      <c r="H6" s="59"/>
      <c r="I6" s="59"/>
      <c r="J6" s="14"/>
      <c r="K6" s="14"/>
      <c r="L6" s="14"/>
      <c r="M6" s="14"/>
      <c r="N6" s="14"/>
      <c r="O6" s="14"/>
      <c r="P6" s="14"/>
      <c r="Q6" s="88"/>
      <c r="R6" s="14"/>
    </row>
    <row r="7" spans="1:18" x14ac:dyDescent="0.2">
      <c r="A7" s="64" t="s">
        <v>185</v>
      </c>
      <c r="B7" s="60" t="s">
        <v>186</v>
      </c>
      <c r="C7" s="65">
        <v>497124.78</v>
      </c>
      <c r="D7" s="59" t="s">
        <v>187</v>
      </c>
      <c r="E7" s="59"/>
      <c r="F7" s="59" t="s">
        <v>282</v>
      </c>
      <c r="G7" s="59"/>
      <c r="H7" s="86">
        <v>40845</v>
      </c>
      <c r="I7" s="59"/>
      <c r="J7" s="91">
        <v>21109001</v>
      </c>
      <c r="K7" s="92" t="s">
        <v>287</v>
      </c>
      <c r="L7" s="93">
        <v>919.17</v>
      </c>
      <c r="M7" s="93"/>
      <c r="N7" s="93"/>
      <c r="O7" s="93"/>
      <c r="P7" s="93"/>
      <c r="Q7" s="93"/>
      <c r="R7" s="14"/>
    </row>
    <row r="8" spans="1:18" x14ac:dyDescent="0.2">
      <c r="A8" s="65" t="s">
        <v>188</v>
      </c>
      <c r="B8" s="58"/>
      <c r="C8" s="66">
        <v>0.1</v>
      </c>
      <c r="D8" s="59" t="s">
        <v>100</v>
      </c>
      <c r="E8" s="59"/>
      <c r="F8" s="59" t="s">
        <v>281</v>
      </c>
      <c r="G8" s="59"/>
      <c r="H8" s="86">
        <v>46326</v>
      </c>
      <c r="I8" s="59"/>
      <c r="J8" s="91">
        <v>21109002</v>
      </c>
      <c r="K8" s="92" t="s">
        <v>247</v>
      </c>
      <c r="L8" s="93"/>
      <c r="M8" s="93">
        <v>2363.0100000000002</v>
      </c>
      <c r="N8" s="93"/>
      <c r="O8" s="93"/>
      <c r="P8" s="93"/>
      <c r="Q8" s="93"/>
      <c r="R8" s="14"/>
    </row>
    <row r="9" spans="1:18" x14ac:dyDescent="0.2">
      <c r="A9" s="65" t="s">
        <v>189</v>
      </c>
      <c r="B9" s="58"/>
      <c r="C9" s="65">
        <v>46.25</v>
      </c>
      <c r="D9" s="59" t="s">
        <v>190</v>
      </c>
      <c r="E9" s="59"/>
      <c r="F9" s="59"/>
      <c r="G9" s="59"/>
      <c r="H9" s="59"/>
      <c r="I9" s="59"/>
      <c r="J9" s="91">
        <v>21109003</v>
      </c>
      <c r="K9" s="94" t="s">
        <v>288</v>
      </c>
      <c r="L9" s="93"/>
      <c r="M9" s="93"/>
      <c r="N9" s="93">
        <v>761.8</v>
      </c>
      <c r="O9" s="93"/>
      <c r="P9" s="93"/>
      <c r="Q9" s="93"/>
      <c r="R9" s="14"/>
    </row>
    <row r="10" spans="1:18" x14ac:dyDescent="0.2">
      <c r="A10" s="65" t="s">
        <v>191</v>
      </c>
      <c r="B10" s="60" t="s">
        <v>186</v>
      </c>
      <c r="C10" s="65">
        <v>6023.33</v>
      </c>
      <c r="D10" s="59" t="s">
        <v>190</v>
      </c>
      <c r="E10" s="59"/>
      <c r="F10" s="59"/>
      <c r="G10" s="59"/>
      <c r="H10" s="59"/>
      <c r="I10" s="59"/>
      <c r="J10" s="91">
        <v>21109004</v>
      </c>
      <c r="K10" s="94" t="s">
        <v>289</v>
      </c>
      <c r="L10" s="93"/>
      <c r="M10" s="93"/>
      <c r="N10" s="93">
        <v>39359.339999999997</v>
      </c>
      <c r="O10" s="93"/>
      <c r="P10" s="93"/>
      <c r="Q10" s="93"/>
      <c r="R10" s="14"/>
    </row>
    <row r="11" spans="1:18" ht="13.5" thickBot="1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91">
        <v>21109068</v>
      </c>
      <c r="K11" s="94" t="s">
        <v>290</v>
      </c>
      <c r="L11" s="93"/>
      <c r="M11" s="93"/>
      <c r="N11" s="93"/>
      <c r="O11" s="93">
        <v>28.05</v>
      </c>
      <c r="P11" s="93"/>
      <c r="Q11" s="93"/>
      <c r="R11" s="14"/>
    </row>
    <row r="12" spans="1:18" x14ac:dyDescent="0.2">
      <c r="A12" s="61"/>
      <c r="B12" s="62"/>
      <c r="C12" s="762" t="s">
        <v>192</v>
      </c>
      <c r="D12" s="763"/>
      <c r="E12" s="762" t="s">
        <v>193</v>
      </c>
      <c r="F12" s="764"/>
      <c r="G12" s="764"/>
      <c r="H12" s="763"/>
      <c r="I12" s="63"/>
      <c r="J12" s="104">
        <v>21109084</v>
      </c>
      <c r="K12" s="94" t="s">
        <v>291</v>
      </c>
      <c r="L12" s="93"/>
      <c r="M12" s="93"/>
      <c r="N12" s="93"/>
      <c r="O12" s="93"/>
      <c r="P12" s="93"/>
      <c r="Q12" s="93">
        <v>67099.22</v>
      </c>
      <c r="R12" s="14"/>
    </row>
    <row r="13" spans="1:18" x14ac:dyDescent="0.2">
      <c r="A13" s="41"/>
      <c r="B13" s="42"/>
      <c r="C13" s="766" t="s">
        <v>194</v>
      </c>
      <c r="D13" s="767"/>
      <c r="E13" s="45" t="s">
        <v>195</v>
      </c>
      <c r="F13" s="45" t="s">
        <v>196</v>
      </c>
      <c r="G13" s="45" t="s">
        <v>197</v>
      </c>
      <c r="H13" s="768" t="s">
        <v>283</v>
      </c>
      <c r="I13" s="46" t="s">
        <v>198</v>
      </c>
      <c r="J13" s="104">
        <v>21109101</v>
      </c>
      <c r="K13" s="94" t="s">
        <v>292</v>
      </c>
      <c r="L13" s="93"/>
      <c r="M13" s="93"/>
      <c r="N13" s="93">
        <v>2.2599999999999998</v>
      </c>
      <c r="O13" s="93"/>
      <c r="P13" s="93"/>
      <c r="Q13" s="93"/>
      <c r="R13" s="14"/>
    </row>
    <row r="14" spans="1:18" x14ac:dyDescent="0.2">
      <c r="A14" s="43" t="s">
        <v>199</v>
      </c>
      <c r="B14" s="44" t="s">
        <v>200</v>
      </c>
      <c r="C14" s="47" t="s">
        <v>207</v>
      </c>
      <c r="D14" s="47" t="s">
        <v>201</v>
      </c>
      <c r="E14" s="48" t="s">
        <v>202</v>
      </c>
      <c r="F14" s="47" t="s">
        <v>203</v>
      </c>
      <c r="G14" s="48" t="s">
        <v>204</v>
      </c>
      <c r="H14" s="769"/>
      <c r="I14" s="49" t="s">
        <v>205</v>
      </c>
      <c r="J14" s="104">
        <v>21109111</v>
      </c>
      <c r="K14" s="94" t="s">
        <v>293</v>
      </c>
      <c r="L14" s="93"/>
      <c r="M14" s="93"/>
      <c r="N14" s="93">
        <v>24.91</v>
      </c>
      <c r="O14" s="93"/>
      <c r="P14" s="93"/>
      <c r="Q14" s="93"/>
      <c r="R14" s="14"/>
    </row>
    <row r="15" spans="1:18" x14ac:dyDescent="0.2">
      <c r="A15" s="85">
        <v>39814</v>
      </c>
      <c r="B15" s="44">
        <v>0</v>
      </c>
      <c r="C15" s="51">
        <v>0</v>
      </c>
      <c r="D15" s="51">
        <v>0</v>
      </c>
      <c r="E15" s="51">
        <v>0</v>
      </c>
      <c r="F15" s="51">
        <v>0</v>
      </c>
      <c r="G15" s="51"/>
      <c r="H15" s="51"/>
      <c r="I15" s="52">
        <v>497124.78</v>
      </c>
      <c r="J15" s="104">
        <v>21109112</v>
      </c>
      <c r="K15" s="94" t="s">
        <v>294</v>
      </c>
      <c r="L15" s="93"/>
      <c r="M15" s="93"/>
      <c r="N15" s="93">
        <v>59.84</v>
      </c>
      <c r="O15" s="93"/>
      <c r="P15" s="93"/>
      <c r="Q15" s="93"/>
      <c r="R15" s="14"/>
    </row>
    <row r="16" spans="1:18" x14ac:dyDescent="0.2">
      <c r="A16" s="85">
        <v>39844</v>
      </c>
      <c r="B16" s="44">
        <v>31</v>
      </c>
      <c r="C16" s="51">
        <f>SUM(I15*31/3600)</f>
        <v>4280.7967166666667</v>
      </c>
      <c r="D16" s="51">
        <f>SUM(C10-C16)</f>
        <v>1742.5332833333332</v>
      </c>
      <c r="E16" s="53">
        <f>SUM(C16:D16)</f>
        <v>6023.33</v>
      </c>
      <c r="F16" s="51">
        <v>46.25</v>
      </c>
      <c r="G16" s="51">
        <v>0</v>
      </c>
      <c r="H16" s="51">
        <f>SUM(E16:G16)</f>
        <v>6069.58</v>
      </c>
      <c r="I16" s="52">
        <f>+I15-D16</f>
        <v>495382.24671666668</v>
      </c>
      <c r="J16" s="104">
        <v>21109114</v>
      </c>
      <c r="K16" s="94" t="s">
        <v>295</v>
      </c>
      <c r="L16" s="93"/>
      <c r="M16" s="93"/>
      <c r="N16" s="93">
        <v>2021.02</v>
      </c>
      <c r="O16" s="93"/>
      <c r="P16" s="93"/>
      <c r="Q16" s="93"/>
      <c r="R16" s="14"/>
    </row>
    <row r="17" spans="1:18" x14ac:dyDescent="0.2">
      <c r="A17" s="85">
        <v>39872</v>
      </c>
      <c r="B17" s="44">
        <v>28</v>
      </c>
      <c r="C17" s="51">
        <f>SUM(I16*28/3600)</f>
        <v>3852.9730300185188</v>
      </c>
      <c r="D17" s="51">
        <f>SUM(C10-C17)</f>
        <v>2170.3569699814811</v>
      </c>
      <c r="E17" s="53">
        <f>SUM(C17:D17)</f>
        <v>6023.33</v>
      </c>
      <c r="F17" s="51">
        <v>46.25</v>
      </c>
      <c r="G17" s="51"/>
      <c r="H17" s="51">
        <f>SUM(E17:G17)</f>
        <v>6069.58</v>
      </c>
      <c r="I17" s="52">
        <f t="shared" ref="I17:I27" si="0">+I16-D17</f>
        <v>493211.88974668522</v>
      </c>
      <c r="J17" s="104">
        <v>21109116</v>
      </c>
      <c r="K17" s="94" t="s">
        <v>296</v>
      </c>
      <c r="L17" s="93"/>
      <c r="M17" s="93"/>
      <c r="N17" s="93">
        <v>14997.17</v>
      </c>
      <c r="O17" s="93"/>
      <c r="P17" s="93"/>
      <c r="Q17" s="93"/>
      <c r="R17" s="14"/>
    </row>
    <row r="18" spans="1:18" x14ac:dyDescent="0.2">
      <c r="A18" s="85">
        <v>39903</v>
      </c>
      <c r="B18" s="44">
        <v>31</v>
      </c>
      <c r="C18" s="51">
        <f>SUM(I17*31/3600)</f>
        <v>4247.1023839297895</v>
      </c>
      <c r="D18" s="51">
        <f>SUM(C10-C18)</f>
        <v>1776.2276160702104</v>
      </c>
      <c r="E18" s="53">
        <f t="shared" ref="E18:E27" si="1">SUM(C18:D18)</f>
        <v>6023.33</v>
      </c>
      <c r="F18" s="51">
        <v>46.25</v>
      </c>
      <c r="G18" s="51"/>
      <c r="H18" s="51">
        <f t="shared" ref="H18:H27" si="2">SUM(E18:G18)</f>
        <v>6069.58</v>
      </c>
      <c r="I18" s="52">
        <f t="shared" si="0"/>
        <v>491435.66213061503</v>
      </c>
      <c r="J18" s="104">
        <v>21109117</v>
      </c>
      <c r="K18" s="94" t="s">
        <v>297</v>
      </c>
      <c r="L18" s="93"/>
      <c r="M18" s="93"/>
      <c r="N18" s="93">
        <v>2191.12</v>
      </c>
      <c r="O18" s="93"/>
      <c r="P18" s="93"/>
      <c r="Q18" s="93"/>
      <c r="R18" s="14"/>
    </row>
    <row r="19" spans="1:18" x14ac:dyDescent="0.2">
      <c r="A19" s="85">
        <v>39933</v>
      </c>
      <c r="B19" s="44">
        <v>30</v>
      </c>
      <c r="C19" s="51">
        <f>SUM(I18*30/3600)</f>
        <v>4095.2971844217923</v>
      </c>
      <c r="D19" s="51">
        <f>SUM(C10-C19)</f>
        <v>1928.0328155782076</v>
      </c>
      <c r="E19" s="53">
        <f t="shared" si="1"/>
        <v>6023.33</v>
      </c>
      <c r="F19" s="51">
        <v>46.25</v>
      </c>
      <c r="G19" s="51"/>
      <c r="H19" s="51">
        <f t="shared" si="2"/>
        <v>6069.58</v>
      </c>
      <c r="I19" s="52">
        <f t="shared" si="0"/>
        <v>489507.62931503681</v>
      </c>
      <c r="J19" s="104">
        <v>21109121</v>
      </c>
      <c r="K19" s="94" t="s">
        <v>298</v>
      </c>
      <c r="L19" s="93"/>
      <c r="M19" s="93"/>
      <c r="N19" s="93"/>
      <c r="O19" s="93">
        <v>2344.64</v>
      </c>
      <c r="P19" s="93"/>
      <c r="Q19" s="93"/>
      <c r="R19" s="14"/>
    </row>
    <row r="20" spans="1:18" x14ac:dyDescent="0.2">
      <c r="A20" s="85">
        <v>39964</v>
      </c>
      <c r="B20" s="44">
        <v>31</v>
      </c>
      <c r="C20" s="51">
        <f>SUM(I19*31/3600)</f>
        <v>4215.2045857683725</v>
      </c>
      <c r="D20" s="51">
        <f>SUM(C10-C20)</f>
        <v>1808.1254142316275</v>
      </c>
      <c r="E20" s="53">
        <f t="shared" si="1"/>
        <v>6023.33</v>
      </c>
      <c r="F20" s="51">
        <v>46.25</v>
      </c>
      <c r="G20" s="51"/>
      <c r="H20" s="51">
        <f t="shared" si="2"/>
        <v>6069.58</v>
      </c>
      <c r="I20" s="52">
        <f t="shared" si="0"/>
        <v>487699.5039008052</v>
      </c>
      <c r="J20" s="104">
        <v>21109123</v>
      </c>
      <c r="K20" s="94" t="s">
        <v>299</v>
      </c>
      <c r="L20" s="93"/>
      <c r="M20" s="93"/>
      <c r="N20" s="93">
        <v>4118.5600000000004</v>
      </c>
      <c r="O20" s="93"/>
      <c r="P20" s="93"/>
      <c r="Q20" s="93"/>
      <c r="R20" s="14"/>
    </row>
    <row r="21" spans="1:18" x14ac:dyDescent="0.2">
      <c r="A21" s="85">
        <v>39994</v>
      </c>
      <c r="B21" s="44">
        <v>30</v>
      </c>
      <c r="C21" s="51">
        <f>SUM(I20*30/3600)</f>
        <v>4064.1625325067098</v>
      </c>
      <c r="D21" s="51">
        <f>SUM(C10-C21)</f>
        <v>1959.1674674932901</v>
      </c>
      <c r="E21" s="53">
        <f t="shared" si="1"/>
        <v>6023.33</v>
      </c>
      <c r="F21" s="51">
        <v>46.25</v>
      </c>
      <c r="G21" s="51"/>
      <c r="H21" s="51">
        <f t="shared" si="2"/>
        <v>6069.58</v>
      </c>
      <c r="I21" s="52">
        <f t="shared" si="0"/>
        <v>485740.33643331192</v>
      </c>
      <c r="J21" s="104">
        <v>21109124</v>
      </c>
      <c r="K21" s="94" t="s">
        <v>300</v>
      </c>
      <c r="L21" s="93"/>
      <c r="M21" s="93"/>
      <c r="N21" s="93">
        <v>24692.04</v>
      </c>
      <c r="O21" s="93"/>
      <c r="P21" s="93"/>
      <c r="Q21" s="93"/>
      <c r="R21" s="14"/>
    </row>
    <row r="22" spans="1:18" x14ac:dyDescent="0.2">
      <c r="A22" s="85">
        <v>40025</v>
      </c>
      <c r="B22" s="44">
        <v>31</v>
      </c>
      <c r="C22" s="51">
        <f>SUM(I21*31/3600)</f>
        <v>4182.7640081757418</v>
      </c>
      <c r="D22" s="51">
        <f>SUM(C10-C22)</f>
        <v>1840.5659918242582</v>
      </c>
      <c r="E22" s="53">
        <f t="shared" si="1"/>
        <v>6023.33</v>
      </c>
      <c r="F22" s="51">
        <v>46.25</v>
      </c>
      <c r="G22" s="51"/>
      <c r="H22" s="51">
        <f t="shared" si="2"/>
        <v>6069.58</v>
      </c>
      <c r="I22" s="52">
        <f t="shared" si="0"/>
        <v>483899.77044148766</v>
      </c>
      <c r="J22" s="104">
        <v>21109125</v>
      </c>
      <c r="K22" s="94" t="s">
        <v>301</v>
      </c>
      <c r="L22" s="93"/>
      <c r="M22" s="93"/>
      <c r="N22" s="93">
        <v>1350</v>
      </c>
      <c r="O22" s="93"/>
      <c r="P22" s="93"/>
      <c r="Q22" s="93"/>
      <c r="R22" s="14"/>
    </row>
    <row r="23" spans="1:18" x14ac:dyDescent="0.2">
      <c r="A23" s="85">
        <v>40056</v>
      </c>
      <c r="B23" s="44">
        <v>31</v>
      </c>
      <c r="C23" s="51">
        <f>SUM(I22*31/3600)</f>
        <v>4166.9146899128109</v>
      </c>
      <c r="D23" s="51">
        <f>SUM(C10-C23)</f>
        <v>1856.415310087189</v>
      </c>
      <c r="E23" s="53">
        <f t="shared" si="1"/>
        <v>6023.33</v>
      </c>
      <c r="F23" s="51">
        <v>46.25</v>
      </c>
      <c r="G23" s="51"/>
      <c r="H23" s="51">
        <f t="shared" si="2"/>
        <v>6069.58</v>
      </c>
      <c r="I23" s="52">
        <f t="shared" si="0"/>
        <v>482043.35513140046</v>
      </c>
      <c r="J23" s="104">
        <v>21109127</v>
      </c>
      <c r="K23" s="94" t="s">
        <v>302</v>
      </c>
      <c r="L23" s="93"/>
      <c r="M23" s="93"/>
      <c r="N23" s="93">
        <v>5497.17</v>
      </c>
      <c r="O23" s="93"/>
      <c r="P23" s="93"/>
      <c r="Q23" s="93"/>
      <c r="R23" s="14"/>
    </row>
    <row r="24" spans="1:18" x14ac:dyDescent="0.2">
      <c r="A24" s="85">
        <v>40086</v>
      </c>
      <c r="B24" s="44">
        <v>30</v>
      </c>
      <c r="C24" s="51">
        <f>SUM(I23*30/3600)</f>
        <v>4017.027959428337</v>
      </c>
      <c r="D24" s="51">
        <f>SUM(C10-C24)</f>
        <v>2006.3020405716629</v>
      </c>
      <c r="E24" s="53">
        <f t="shared" si="1"/>
        <v>6023.33</v>
      </c>
      <c r="F24" s="51">
        <v>46.25</v>
      </c>
      <c r="G24" s="51"/>
      <c r="H24" s="51">
        <f t="shared" si="2"/>
        <v>6069.58</v>
      </c>
      <c r="I24" s="52">
        <f t="shared" si="0"/>
        <v>480037.05309082882</v>
      </c>
      <c r="J24" s="104">
        <v>21109128</v>
      </c>
      <c r="K24" s="94" t="s">
        <v>303</v>
      </c>
      <c r="L24" s="93"/>
      <c r="M24" s="93"/>
      <c r="N24" s="93">
        <v>440.91</v>
      </c>
      <c r="O24" s="93"/>
      <c r="P24" s="93"/>
      <c r="Q24" s="93"/>
      <c r="R24" s="14"/>
    </row>
    <row r="25" spans="1:18" x14ac:dyDescent="0.2">
      <c r="A25" s="85">
        <v>40117</v>
      </c>
      <c r="B25" s="44">
        <v>31</v>
      </c>
      <c r="C25" s="51">
        <f>SUM(I24*31/3600)</f>
        <v>4133.6524016154699</v>
      </c>
      <c r="D25" s="51">
        <f>SUM(C10-C25)</f>
        <v>1889.67759838453</v>
      </c>
      <c r="E25" s="53">
        <f t="shared" si="1"/>
        <v>6023.33</v>
      </c>
      <c r="F25" s="51">
        <v>46.25</v>
      </c>
      <c r="G25" s="51"/>
      <c r="H25" s="51">
        <f t="shared" si="2"/>
        <v>6069.58</v>
      </c>
      <c r="I25" s="52">
        <f t="shared" si="0"/>
        <v>478147.37549244426</v>
      </c>
      <c r="J25" s="104">
        <v>21109129</v>
      </c>
      <c r="K25" s="94" t="s">
        <v>304</v>
      </c>
      <c r="L25" s="93"/>
      <c r="M25" s="93"/>
      <c r="N25" s="93"/>
      <c r="O25" s="93">
        <v>1</v>
      </c>
      <c r="P25" s="93"/>
      <c r="Q25" s="93"/>
      <c r="R25" s="14"/>
    </row>
    <row r="26" spans="1:18" x14ac:dyDescent="0.2">
      <c r="A26" s="85">
        <v>40147</v>
      </c>
      <c r="B26" s="44">
        <v>30</v>
      </c>
      <c r="C26" s="51">
        <f>SUM(I25*30/3600)</f>
        <v>3984.5614624370355</v>
      </c>
      <c r="D26" s="51">
        <f>SUM(C10-C26)</f>
        <v>2038.7685375629644</v>
      </c>
      <c r="E26" s="53">
        <f t="shared" si="1"/>
        <v>6023.33</v>
      </c>
      <c r="F26" s="51">
        <v>46.25</v>
      </c>
      <c r="G26" s="51"/>
      <c r="H26" s="51">
        <f t="shared" si="2"/>
        <v>6069.58</v>
      </c>
      <c r="I26" s="52">
        <f t="shared" si="0"/>
        <v>476108.60695488128</v>
      </c>
      <c r="J26" s="104">
        <v>21109130</v>
      </c>
      <c r="K26" s="94" t="s">
        <v>305</v>
      </c>
      <c r="L26" s="93"/>
      <c r="M26" s="93"/>
      <c r="N26" s="93"/>
      <c r="O26" s="93">
        <v>1</v>
      </c>
      <c r="P26" s="93"/>
      <c r="Q26" s="93"/>
      <c r="R26" s="14"/>
    </row>
    <row r="27" spans="1:18" x14ac:dyDescent="0.2">
      <c r="A27" s="85">
        <v>40178</v>
      </c>
      <c r="B27" s="44">
        <v>31</v>
      </c>
      <c r="C27" s="51">
        <f>SUM(I26*31/3600)</f>
        <v>4099.8241154448106</v>
      </c>
      <c r="D27" s="51">
        <f>SUM(C10-C27)</f>
        <v>1923.5058845551894</v>
      </c>
      <c r="E27" s="53">
        <f t="shared" si="1"/>
        <v>6023.33</v>
      </c>
      <c r="F27" s="51">
        <v>46.25</v>
      </c>
      <c r="G27" s="51"/>
      <c r="H27" s="51">
        <f t="shared" si="2"/>
        <v>6069.58</v>
      </c>
      <c r="I27" s="52">
        <f t="shared" si="0"/>
        <v>474185.10107032611</v>
      </c>
      <c r="J27" s="104">
        <v>21109131</v>
      </c>
      <c r="K27" s="94" t="s">
        <v>306</v>
      </c>
      <c r="L27" s="93"/>
      <c r="M27" s="93"/>
      <c r="N27" s="93">
        <v>658.72</v>
      </c>
      <c r="O27" s="93"/>
      <c r="P27" s="93"/>
      <c r="Q27" s="93"/>
      <c r="R27" s="14"/>
    </row>
    <row r="28" spans="1:18" x14ac:dyDescent="0.2">
      <c r="A28" s="50"/>
      <c r="B28" s="44"/>
      <c r="C28" s="51"/>
      <c r="D28" s="51"/>
      <c r="E28" s="53"/>
      <c r="F28" s="51"/>
      <c r="G28" s="51"/>
      <c r="H28" s="51"/>
      <c r="I28" s="52"/>
      <c r="J28" s="104">
        <v>21109132</v>
      </c>
      <c r="K28" s="94" t="s">
        <v>307</v>
      </c>
      <c r="L28" s="93"/>
      <c r="M28" s="93"/>
      <c r="N28" s="93">
        <v>26711.17</v>
      </c>
      <c r="O28" s="93"/>
      <c r="P28" s="93"/>
      <c r="Q28" s="93"/>
      <c r="R28" s="14"/>
    </row>
    <row r="29" spans="1:18" ht="15.75" thickBot="1" x14ac:dyDescent="0.4">
      <c r="A29" s="54"/>
      <c r="B29" s="55">
        <f t="shared" ref="B29:H29" si="3">SUM(B15:B28)</f>
        <v>365</v>
      </c>
      <c r="C29" s="56">
        <f t="shared" si="3"/>
        <v>49340.281070326062</v>
      </c>
      <c r="D29" s="56">
        <f t="shared" si="3"/>
        <v>22939.678929673944</v>
      </c>
      <c r="E29" s="56">
        <f t="shared" si="3"/>
        <v>72279.960000000006</v>
      </c>
      <c r="F29" s="56">
        <f t="shared" si="3"/>
        <v>555</v>
      </c>
      <c r="G29" s="56">
        <f t="shared" si="3"/>
        <v>0</v>
      </c>
      <c r="H29" s="56">
        <f t="shared" si="3"/>
        <v>72834.960000000006</v>
      </c>
      <c r="I29" s="57"/>
      <c r="J29" s="104">
        <v>21117001</v>
      </c>
      <c r="K29" s="94" t="s">
        <v>308</v>
      </c>
      <c r="L29" s="92"/>
      <c r="M29" s="92"/>
      <c r="N29" s="92"/>
      <c r="O29" s="92"/>
      <c r="P29" s="92">
        <v>270.88</v>
      </c>
      <c r="Q29" s="93"/>
      <c r="R29" s="14"/>
    </row>
    <row r="30" spans="1:18" x14ac:dyDescent="0.2">
      <c r="J30" s="91">
        <v>21117002</v>
      </c>
      <c r="K30" s="94" t="s">
        <v>309</v>
      </c>
      <c r="L30" s="93"/>
      <c r="M30" s="93"/>
      <c r="N30" s="93"/>
      <c r="O30" s="93"/>
      <c r="P30" s="93">
        <v>15646.03</v>
      </c>
      <c r="Q30" s="93"/>
    </row>
    <row r="31" spans="1:18" x14ac:dyDescent="0.2">
      <c r="J31" s="91">
        <v>21117003</v>
      </c>
      <c r="K31" s="94" t="s">
        <v>310</v>
      </c>
      <c r="L31" s="93"/>
      <c r="M31" s="93"/>
      <c r="N31" s="93"/>
      <c r="O31" s="93"/>
      <c r="P31" s="93">
        <v>1</v>
      </c>
      <c r="Q31" s="93"/>
    </row>
    <row r="32" spans="1:18" ht="13.5" thickBot="1" x14ac:dyDescent="0.25">
      <c r="D32" s="757" t="s">
        <v>280</v>
      </c>
      <c r="E32" s="758"/>
      <c r="F32" s="759"/>
      <c r="J32" s="99"/>
      <c r="K32" s="100"/>
      <c r="L32" s="100"/>
      <c r="M32" s="100"/>
      <c r="N32" s="100"/>
      <c r="O32" s="100"/>
      <c r="P32" s="100"/>
      <c r="Q32" s="101"/>
    </row>
    <row r="33" spans="10:17" ht="13.5" thickBot="1" x14ac:dyDescent="0.25">
      <c r="J33" s="755" t="s">
        <v>249</v>
      </c>
      <c r="K33" s="756"/>
      <c r="L33" s="102">
        <f>SUM(L7:L32)</f>
        <v>919.17</v>
      </c>
      <c r="M33" s="102">
        <f t="shared" ref="M33:Q33" si="4">SUM(M7:M32)</f>
        <v>2363.0100000000002</v>
      </c>
      <c r="N33" s="102">
        <f t="shared" si="4"/>
        <v>122886.03</v>
      </c>
      <c r="O33" s="102">
        <f t="shared" si="4"/>
        <v>2374.69</v>
      </c>
      <c r="P33" s="102">
        <f t="shared" si="4"/>
        <v>15917.91</v>
      </c>
      <c r="Q33" s="103">
        <f t="shared" si="4"/>
        <v>67099.22</v>
      </c>
    </row>
    <row r="34" spans="10:17" x14ac:dyDescent="0.2">
      <c r="Q34" s="90"/>
    </row>
    <row r="35" spans="10:17" x14ac:dyDescent="0.2">
      <c r="Q35" s="90"/>
    </row>
    <row r="36" spans="10:17" x14ac:dyDescent="0.2">
      <c r="Q36" s="90"/>
    </row>
  </sheetData>
  <mergeCells count="13">
    <mergeCell ref="J33:K33"/>
    <mergeCell ref="D32:F32"/>
    <mergeCell ref="A1:I1"/>
    <mergeCell ref="A2:I2"/>
    <mergeCell ref="A3:I3"/>
    <mergeCell ref="A5:I5"/>
    <mergeCell ref="C12:D12"/>
    <mergeCell ref="E12:H12"/>
    <mergeCell ref="J1:P1"/>
    <mergeCell ref="J2:P2"/>
    <mergeCell ref="J3:P3"/>
    <mergeCell ref="C13:D13"/>
    <mergeCell ref="H13:H14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738"/>
  <sheetViews>
    <sheetView topLeftCell="A187" zoomScaleNormal="100" workbookViewId="0">
      <selection activeCell="K319" sqref="K319"/>
    </sheetView>
  </sheetViews>
  <sheetFormatPr baseColWidth="10" defaultColWidth="11.42578125" defaultRowHeight="12.75" x14ac:dyDescent="0.2"/>
  <cols>
    <col min="1" max="1" width="3.85546875" style="17" customWidth="1"/>
    <col min="2" max="2" width="4.42578125" style="17" customWidth="1"/>
    <col min="3" max="3" width="4.5703125" style="17" customWidth="1"/>
    <col min="4" max="4" width="4" style="17" customWidth="1"/>
    <col min="5" max="5" width="5.7109375" style="17" customWidth="1"/>
    <col min="6" max="6" width="8.140625" style="17" customWidth="1"/>
    <col min="7" max="7" width="47.140625" style="12" customWidth="1"/>
    <col min="8" max="8" width="15.42578125" style="3" customWidth="1"/>
    <col min="9" max="9" width="15.7109375" style="14" customWidth="1"/>
    <col min="10" max="10" width="7.28515625" style="14" customWidth="1"/>
    <col min="11" max="11" width="20" style="14" customWidth="1"/>
    <col min="12" max="12" width="13.42578125" style="14" customWidth="1"/>
    <col min="13" max="16384" width="11.42578125" style="14"/>
  </cols>
  <sheetData>
    <row r="1" spans="1:11" ht="18" x14ac:dyDescent="0.2">
      <c r="A1" s="732" t="s">
        <v>427</v>
      </c>
      <c r="B1" s="733"/>
      <c r="C1" s="733"/>
      <c r="D1" s="733"/>
      <c r="E1" s="733"/>
      <c r="F1" s="733"/>
      <c r="G1" s="733"/>
      <c r="H1" s="733"/>
      <c r="I1" s="132"/>
    </row>
    <row r="2" spans="1:11" ht="18" x14ac:dyDescent="0.2">
      <c r="A2" s="732" t="s">
        <v>426</v>
      </c>
      <c r="B2" s="733"/>
      <c r="C2" s="733"/>
      <c r="D2" s="733"/>
      <c r="E2" s="733"/>
      <c r="F2" s="733"/>
      <c r="G2" s="733"/>
      <c r="H2" s="733"/>
      <c r="I2" s="132"/>
    </row>
    <row r="3" spans="1:11" ht="15.75" x14ac:dyDescent="0.2">
      <c r="A3" s="735" t="s">
        <v>228</v>
      </c>
      <c r="B3" s="736"/>
      <c r="C3" s="736"/>
      <c r="D3" s="736"/>
      <c r="E3" s="736"/>
      <c r="F3" s="736"/>
      <c r="G3" s="736"/>
      <c r="H3" s="736"/>
    </row>
    <row r="4" spans="1:11" ht="15.75" x14ac:dyDescent="0.2">
      <c r="A4" s="735" t="s">
        <v>532</v>
      </c>
      <c r="B4" s="736"/>
      <c r="C4" s="736"/>
      <c r="D4" s="736"/>
      <c r="E4" s="736"/>
      <c r="F4" s="736"/>
      <c r="G4" s="736"/>
      <c r="H4" s="736"/>
    </row>
    <row r="5" spans="1:11" ht="15" x14ac:dyDescent="0.2">
      <c r="A5" s="737" t="s">
        <v>13</v>
      </c>
      <c r="B5" s="738"/>
      <c r="C5" s="738"/>
      <c r="D5" s="738"/>
      <c r="E5" s="738"/>
      <c r="F5" s="738"/>
      <c r="G5" s="738"/>
      <c r="H5" s="738"/>
      <c r="J5" s="129"/>
    </row>
    <row r="6" spans="1:11" ht="15.75" x14ac:dyDescent="0.25">
      <c r="A6" s="799" t="s">
        <v>372</v>
      </c>
      <c r="B6" s="799"/>
      <c r="C6" s="799"/>
      <c r="D6" s="799"/>
      <c r="E6" s="799"/>
      <c r="F6" s="799"/>
      <c r="G6" s="799"/>
      <c r="H6" s="799"/>
    </row>
    <row r="7" spans="1:11" ht="15.75" x14ac:dyDescent="0.25">
      <c r="A7" s="799" t="str">
        <f>proyectos!B5</f>
        <v>PROGRAMA DE FOMENTO Y APOYO AL DEPORTE ZARAGOZA  2019</v>
      </c>
      <c r="B7" s="799"/>
      <c r="C7" s="799"/>
      <c r="D7" s="799"/>
      <c r="E7" s="799"/>
      <c r="F7" s="799"/>
      <c r="G7" s="799"/>
      <c r="H7" s="799"/>
    </row>
    <row r="8" spans="1:11" ht="15.75" x14ac:dyDescent="0.25">
      <c r="A8" s="799" t="s">
        <v>367</v>
      </c>
      <c r="B8" s="799"/>
      <c r="C8" s="799"/>
      <c r="D8" s="799"/>
      <c r="E8" s="799"/>
      <c r="F8" s="799"/>
      <c r="G8" s="799"/>
      <c r="H8" s="799"/>
    </row>
    <row r="9" spans="1:11" ht="15.75" x14ac:dyDescent="0.25">
      <c r="A9" s="774" t="s">
        <v>604</v>
      </c>
      <c r="B9" s="774"/>
      <c r="C9" s="774"/>
      <c r="D9" s="774"/>
      <c r="E9" s="774"/>
      <c r="F9" s="774"/>
      <c r="G9" s="774"/>
      <c r="H9" s="774"/>
    </row>
    <row r="10" spans="1:11" ht="16.5" thickBot="1" x14ac:dyDescent="0.3">
      <c r="A10" s="770" t="str">
        <f>proyectos!B5</f>
        <v>PROGRAMA DE FOMENTO Y APOYO AL DEPORTE ZARAGOZA  2019</v>
      </c>
      <c r="B10" s="770"/>
      <c r="C10" s="770"/>
      <c r="D10" s="770"/>
      <c r="E10" s="770"/>
      <c r="F10" s="770"/>
      <c r="G10" s="770"/>
      <c r="H10" s="770"/>
    </row>
    <row r="11" spans="1:11" s="15" customFormat="1" ht="90.75" thickBot="1" x14ac:dyDescent="0.25">
      <c r="A11" s="786" t="s">
        <v>0</v>
      </c>
      <c r="B11" s="787"/>
      <c r="C11" s="787"/>
      <c r="D11" s="787"/>
      <c r="E11" s="787"/>
      <c r="F11" s="787"/>
      <c r="G11" s="788" t="s">
        <v>181</v>
      </c>
      <c r="H11" s="796" t="s">
        <v>182</v>
      </c>
      <c r="K11" s="401">
        <v>1</v>
      </c>
    </row>
    <row r="12" spans="1:11" ht="166.5" thickBot="1" x14ac:dyDescent="0.25">
      <c r="A12" s="407" t="s">
        <v>172</v>
      </c>
      <c r="B12" s="408" t="s">
        <v>173</v>
      </c>
      <c r="C12" s="408" t="s">
        <v>144</v>
      </c>
      <c r="D12" s="408" t="s">
        <v>175</v>
      </c>
      <c r="E12" s="409" t="s">
        <v>183</v>
      </c>
      <c r="F12" s="410" t="s">
        <v>118</v>
      </c>
      <c r="G12" s="789"/>
      <c r="H12" s="797"/>
    </row>
    <row r="13" spans="1:11" ht="15" x14ac:dyDescent="0.2">
      <c r="A13" s="207">
        <v>3</v>
      </c>
      <c r="B13" s="208" t="s">
        <v>53</v>
      </c>
      <c r="C13" s="208" t="s">
        <v>49</v>
      </c>
      <c r="D13" s="208" t="s">
        <v>51</v>
      </c>
      <c r="E13" s="208" t="s">
        <v>54</v>
      </c>
      <c r="F13" s="209" t="s">
        <v>273</v>
      </c>
      <c r="G13" s="210" t="s">
        <v>274</v>
      </c>
      <c r="H13" s="211">
        <f>proyectos!M5</f>
        <v>7200</v>
      </c>
    </row>
    <row r="14" spans="1:11" ht="15" x14ac:dyDescent="0.2">
      <c r="A14" s="207">
        <v>3</v>
      </c>
      <c r="B14" s="208" t="s">
        <v>53</v>
      </c>
      <c r="C14" s="208" t="s">
        <v>49</v>
      </c>
      <c r="D14" s="208" t="s">
        <v>51</v>
      </c>
      <c r="E14" s="208" t="s">
        <v>54</v>
      </c>
      <c r="F14" s="209" t="s">
        <v>592</v>
      </c>
      <c r="G14" s="210" t="s">
        <v>593</v>
      </c>
      <c r="H14" s="211">
        <f>proyectos!AW5</f>
        <v>40000</v>
      </c>
    </row>
    <row r="15" spans="1:11" ht="15" x14ac:dyDescent="0.2">
      <c r="A15" s="207">
        <v>3</v>
      </c>
      <c r="B15" s="208" t="s">
        <v>53</v>
      </c>
      <c r="C15" s="208" t="s">
        <v>49</v>
      </c>
      <c r="D15" s="208" t="s">
        <v>51</v>
      </c>
      <c r="E15" s="208" t="s">
        <v>54</v>
      </c>
      <c r="F15" s="209" t="s">
        <v>424</v>
      </c>
      <c r="G15" s="210" t="s">
        <v>39</v>
      </c>
      <c r="H15" s="211">
        <f>proyectos!K5</f>
        <v>0</v>
      </c>
    </row>
    <row r="16" spans="1:11" ht="15" x14ac:dyDescent="0.2">
      <c r="A16" s="207">
        <v>3</v>
      </c>
      <c r="B16" s="208" t="s">
        <v>53</v>
      </c>
      <c r="C16" s="208" t="s">
        <v>49</v>
      </c>
      <c r="D16" s="208" t="s">
        <v>51</v>
      </c>
      <c r="E16" s="208" t="s">
        <v>54</v>
      </c>
      <c r="F16" s="209" t="s">
        <v>227</v>
      </c>
      <c r="G16" s="210" t="s">
        <v>209</v>
      </c>
      <c r="H16" s="211">
        <f>proyectos!L5</f>
        <v>0</v>
      </c>
    </row>
    <row r="17" spans="1:9" ht="15" x14ac:dyDescent="0.2">
      <c r="A17" s="207">
        <v>3</v>
      </c>
      <c r="B17" s="208" t="s">
        <v>53</v>
      </c>
      <c r="C17" s="208" t="s">
        <v>49</v>
      </c>
      <c r="D17" s="208" t="s">
        <v>51</v>
      </c>
      <c r="E17" s="208" t="s">
        <v>54</v>
      </c>
      <c r="F17" s="209" t="s">
        <v>386</v>
      </c>
      <c r="G17" s="210" t="s">
        <v>42</v>
      </c>
      <c r="H17" s="211">
        <f>proyectos!R5</f>
        <v>0</v>
      </c>
    </row>
    <row r="18" spans="1:9" ht="15" x14ac:dyDescent="0.2">
      <c r="A18" s="212">
        <v>3</v>
      </c>
      <c r="B18" s="208" t="s">
        <v>53</v>
      </c>
      <c r="C18" s="213" t="s">
        <v>49</v>
      </c>
      <c r="D18" s="213" t="s">
        <v>51</v>
      </c>
      <c r="E18" s="208" t="s">
        <v>54</v>
      </c>
      <c r="F18" s="2">
        <v>54111</v>
      </c>
      <c r="G18" s="214" t="s">
        <v>48</v>
      </c>
      <c r="H18" s="215">
        <f>proyectos!S5</f>
        <v>0</v>
      </c>
    </row>
    <row r="19" spans="1:9" ht="15" x14ac:dyDescent="0.2">
      <c r="A19" s="212">
        <v>3</v>
      </c>
      <c r="B19" s="208" t="s">
        <v>53</v>
      </c>
      <c r="C19" s="213" t="s">
        <v>49</v>
      </c>
      <c r="D19" s="213" t="s">
        <v>51</v>
      </c>
      <c r="E19" s="208" t="s">
        <v>54</v>
      </c>
      <c r="F19" s="2">
        <v>54304</v>
      </c>
      <c r="G19" s="214" t="s">
        <v>387</v>
      </c>
      <c r="H19" s="215">
        <f>proyectos!AE5</f>
        <v>0</v>
      </c>
    </row>
    <row r="20" spans="1:9" ht="15.75" customHeight="1" x14ac:dyDescent="0.2">
      <c r="A20" s="212">
        <v>3</v>
      </c>
      <c r="B20" s="208" t="s">
        <v>53</v>
      </c>
      <c r="C20" s="213" t="s">
        <v>49</v>
      </c>
      <c r="D20" s="213" t="s">
        <v>51</v>
      </c>
      <c r="E20" s="208" t="s">
        <v>54</v>
      </c>
      <c r="F20" s="2">
        <v>54316</v>
      </c>
      <c r="G20" s="214" t="s">
        <v>234</v>
      </c>
      <c r="H20" s="215"/>
    </row>
    <row r="21" spans="1:9" ht="29.25" customHeight="1" thickBot="1" x14ac:dyDescent="0.25">
      <c r="A21" s="216"/>
      <c r="B21" s="217"/>
      <c r="C21" s="217"/>
      <c r="D21" s="217"/>
      <c r="E21" s="217"/>
      <c r="F21" s="218"/>
      <c r="G21" s="219"/>
      <c r="H21" s="220"/>
      <c r="I21" s="128">
        <f>SUM(H13:H21)</f>
        <v>47200</v>
      </c>
    </row>
    <row r="22" spans="1:9" ht="18.75" thickBot="1" x14ac:dyDescent="0.25">
      <c r="A22" s="743" t="s">
        <v>368</v>
      </c>
      <c r="B22" s="744"/>
      <c r="C22" s="744"/>
      <c r="D22" s="744"/>
      <c r="E22" s="744"/>
      <c r="F22" s="744"/>
      <c r="G22" s="745"/>
      <c r="H22" s="411">
        <f>SUM(H13:H20)</f>
        <v>47200</v>
      </c>
    </row>
    <row r="23" spans="1:9" ht="19.5" customHeight="1" x14ac:dyDescent="0.2">
      <c r="A23" s="222"/>
      <c r="B23" s="222"/>
      <c r="C23" s="222"/>
      <c r="D23" s="222"/>
      <c r="E23" s="222"/>
      <c r="F23" s="222"/>
      <c r="G23" s="15"/>
      <c r="H23" s="223"/>
    </row>
    <row r="24" spans="1:9" ht="15" x14ac:dyDescent="0.2">
      <c r="A24" s="782"/>
      <c r="B24" s="782"/>
      <c r="C24" s="782"/>
      <c r="D24" s="782"/>
      <c r="E24" s="782"/>
      <c r="F24" s="782"/>
      <c r="G24" s="15"/>
      <c r="H24" s="224">
        <f>SUM(H13:H21)</f>
        <v>47200</v>
      </c>
    </row>
    <row r="25" spans="1:9" x14ac:dyDescent="0.2">
      <c r="A25" s="783"/>
      <c r="B25" s="783"/>
      <c r="C25" s="783"/>
      <c r="D25" s="783"/>
      <c r="E25" s="783"/>
      <c r="F25" s="783"/>
      <c r="G25" s="783"/>
      <c r="H25" s="149"/>
    </row>
    <row r="26" spans="1:9" x14ac:dyDescent="0.2">
      <c r="A26" s="783"/>
      <c r="B26" s="783"/>
      <c r="C26" s="783"/>
      <c r="D26" s="783"/>
      <c r="E26" s="783"/>
      <c r="F26" s="783"/>
      <c r="G26" s="783"/>
      <c r="H26" s="148"/>
    </row>
    <row r="27" spans="1:9" ht="18" x14ac:dyDescent="0.2">
      <c r="A27" s="784" t="s">
        <v>427</v>
      </c>
      <c r="B27" s="784"/>
      <c r="C27" s="784"/>
      <c r="D27" s="784"/>
      <c r="E27" s="784"/>
      <c r="F27" s="784"/>
      <c r="G27" s="784"/>
      <c r="H27" s="784"/>
    </row>
    <row r="28" spans="1:9" ht="18" x14ac:dyDescent="0.2">
      <c r="A28" s="784" t="s">
        <v>426</v>
      </c>
      <c r="B28" s="784"/>
      <c r="C28" s="784"/>
      <c r="D28" s="784"/>
      <c r="E28" s="784"/>
      <c r="F28" s="784"/>
      <c r="G28" s="784"/>
      <c r="H28" s="784"/>
    </row>
    <row r="29" spans="1:9" ht="15.75" x14ac:dyDescent="0.2">
      <c r="A29" s="785" t="s">
        <v>228</v>
      </c>
      <c r="B29" s="785"/>
      <c r="C29" s="785"/>
      <c r="D29" s="785"/>
      <c r="E29" s="785"/>
      <c r="F29" s="785"/>
      <c r="G29" s="785"/>
      <c r="H29" s="785"/>
    </row>
    <row r="30" spans="1:9" ht="15.75" x14ac:dyDescent="0.2">
      <c r="A30" s="785" t="s">
        <v>532</v>
      </c>
      <c r="B30" s="785"/>
      <c r="C30" s="785"/>
      <c r="D30" s="785"/>
      <c r="E30" s="785"/>
      <c r="F30" s="785"/>
      <c r="G30" s="785"/>
      <c r="H30" s="785"/>
    </row>
    <row r="31" spans="1:9" ht="15" x14ac:dyDescent="0.2">
      <c r="A31" s="793" t="s">
        <v>13</v>
      </c>
      <c r="B31" s="793"/>
      <c r="C31" s="793"/>
      <c r="D31" s="793"/>
      <c r="E31" s="793"/>
      <c r="F31" s="793"/>
      <c r="G31" s="793"/>
      <c r="H31" s="793"/>
    </row>
    <row r="32" spans="1:9" ht="15.75" x14ac:dyDescent="0.25">
      <c r="A32" s="774" t="s">
        <v>372</v>
      </c>
      <c r="B32" s="774"/>
      <c r="C32" s="774"/>
      <c r="D32" s="774"/>
      <c r="E32" s="774"/>
      <c r="F32" s="774"/>
      <c r="G32" s="774"/>
      <c r="H32" s="774"/>
    </row>
    <row r="33" spans="1:11" ht="15.75" x14ac:dyDescent="0.25">
      <c r="A33" s="774" t="str">
        <f>A36</f>
        <v>PROGRAMA DE FOMENTO A LA EDUCACION EN EL MUN.DE ZAR.(40X60)</v>
      </c>
      <c r="B33" s="774"/>
      <c r="C33" s="774"/>
      <c r="D33" s="774"/>
      <c r="E33" s="774"/>
      <c r="F33" s="774"/>
      <c r="G33" s="774"/>
      <c r="H33" s="774"/>
    </row>
    <row r="34" spans="1:11" ht="15.75" x14ac:dyDescent="0.25">
      <c r="A34" s="774" t="s">
        <v>367</v>
      </c>
      <c r="B34" s="774"/>
      <c r="C34" s="774"/>
      <c r="D34" s="774"/>
      <c r="E34" s="774"/>
      <c r="F34" s="774"/>
      <c r="G34" s="774"/>
      <c r="H34" s="774"/>
    </row>
    <row r="35" spans="1:11" ht="16.5" thickBot="1" x14ac:dyDescent="0.3">
      <c r="A35" s="774" t="s">
        <v>604</v>
      </c>
      <c r="B35" s="774"/>
      <c r="C35" s="774"/>
      <c r="D35" s="774"/>
      <c r="E35" s="774"/>
      <c r="F35" s="774"/>
      <c r="G35" s="774"/>
      <c r="H35" s="774"/>
    </row>
    <row r="36" spans="1:11" ht="16.5" thickBot="1" x14ac:dyDescent="0.3">
      <c r="A36" s="798" t="str">
        <f>proyectos!B6</f>
        <v>PROGRAMA DE FOMENTO A LA EDUCACION EN EL MUN.DE ZAR.(40X60)</v>
      </c>
      <c r="B36" s="798"/>
      <c r="C36" s="798"/>
      <c r="D36" s="798"/>
      <c r="E36" s="798"/>
      <c r="F36" s="798"/>
      <c r="G36" s="798"/>
      <c r="H36" s="798"/>
    </row>
    <row r="37" spans="1:11" ht="90.75" thickBot="1" x14ac:dyDescent="0.25">
      <c r="A37" s="786" t="s">
        <v>0</v>
      </c>
      <c r="B37" s="787"/>
      <c r="C37" s="787"/>
      <c r="D37" s="787"/>
      <c r="E37" s="787"/>
      <c r="F37" s="787"/>
      <c r="G37" s="788" t="s">
        <v>181</v>
      </c>
      <c r="H37" s="796" t="s">
        <v>182</v>
      </c>
      <c r="K37" s="401">
        <v>2</v>
      </c>
    </row>
    <row r="38" spans="1:11" ht="166.5" thickBot="1" x14ac:dyDescent="0.25">
      <c r="A38" s="407" t="s">
        <v>172</v>
      </c>
      <c r="B38" s="408" t="s">
        <v>173</v>
      </c>
      <c r="C38" s="408" t="s">
        <v>144</v>
      </c>
      <c r="D38" s="408" t="s">
        <v>175</v>
      </c>
      <c r="E38" s="409" t="s">
        <v>183</v>
      </c>
      <c r="F38" s="410" t="s">
        <v>118</v>
      </c>
      <c r="G38" s="789"/>
      <c r="H38" s="797"/>
    </row>
    <row r="39" spans="1:11" ht="15" x14ac:dyDescent="0.2">
      <c r="A39" s="207">
        <v>3</v>
      </c>
      <c r="B39" s="208" t="s">
        <v>53</v>
      </c>
      <c r="C39" s="208" t="s">
        <v>321</v>
      </c>
      <c r="D39" s="208" t="s">
        <v>51</v>
      </c>
      <c r="E39" s="208" t="s">
        <v>54</v>
      </c>
      <c r="F39" s="209" t="s">
        <v>594</v>
      </c>
      <c r="G39" s="210" t="s">
        <v>319</v>
      </c>
      <c r="H39" s="211">
        <f>proyectos!AI6</f>
        <v>28800</v>
      </c>
    </row>
    <row r="40" spans="1:11" ht="15" x14ac:dyDescent="0.2">
      <c r="A40" s="212">
        <v>3</v>
      </c>
      <c r="B40" s="208" t="s">
        <v>53</v>
      </c>
      <c r="C40" s="208" t="s">
        <v>321</v>
      </c>
      <c r="D40" s="213" t="s">
        <v>51</v>
      </c>
      <c r="E40" s="208" t="s">
        <v>54</v>
      </c>
      <c r="F40" s="2">
        <v>54111</v>
      </c>
      <c r="G40" s="214" t="s">
        <v>48</v>
      </c>
      <c r="H40" s="211">
        <f>proyectos!L7</f>
        <v>0</v>
      </c>
    </row>
    <row r="41" spans="1:11" ht="15" x14ac:dyDescent="0.2">
      <c r="A41" s="212">
        <v>3</v>
      </c>
      <c r="B41" s="208" t="s">
        <v>53</v>
      </c>
      <c r="C41" s="208" t="s">
        <v>321</v>
      </c>
      <c r="D41" s="213" t="s">
        <v>51</v>
      </c>
      <c r="E41" s="208" t="s">
        <v>54</v>
      </c>
      <c r="F41" s="2">
        <v>54112</v>
      </c>
      <c r="G41" s="214" t="s">
        <v>47</v>
      </c>
      <c r="H41" s="211">
        <f>proyectos!L8</f>
        <v>0</v>
      </c>
    </row>
    <row r="42" spans="1:11" ht="15" x14ac:dyDescent="0.2">
      <c r="A42" s="212">
        <v>3</v>
      </c>
      <c r="B42" s="208" t="s">
        <v>53</v>
      </c>
      <c r="C42" s="208" t="s">
        <v>321</v>
      </c>
      <c r="D42" s="213" t="s">
        <v>51</v>
      </c>
      <c r="E42" s="208" t="s">
        <v>54</v>
      </c>
      <c r="F42" s="2">
        <v>54116</v>
      </c>
      <c r="G42" s="214" t="s">
        <v>610</v>
      </c>
      <c r="H42" s="211">
        <v>5000</v>
      </c>
    </row>
    <row r="43" spans="1:11" ht="15" x14ac:dyDescent="0.2">
      <c r="A43" s="212">
        <v>3</v>
      </c>
      <c r="B43" s="208" t="s">
        <v>53</v>
      </c>
      <c r="C43" s="208" t="s">
        <v>321</v>
      </c>
      <c r="D43" s="213" t="s">
        <v>51</v>
      </c>
      <c r="E43" s="208" t="s">
        <v>54</v>
      </c>
      <c r="F43" s="2">
        <v>54107</v>
      </c>
      <c r="G43" s="214" t="s">
        <v>212</v>
      </c>
      <c r="H43" s="211">
        <f>proyectos!L10</f>
        <v>0</v>
      </c>
    </row>
    <row r="44" spans="1:11" ht="15.75" thickBot="1" x14ac:dyDescent="0.25">
      <c r="A44" s="216"/>
      <c r="B44" s="217"/>
      <c r="C44" s="217"/>
      <c r="D44" s="217"/>
      <c r="E44" s="217"/>
      <c r="F44" s="218"/>
      <c r="G44" s="219"/>
      <c r="H44" s="220"/>
      <c r="I44" s="128">
        <f>SUM(H39:H44)</f>
        <v>33800</v>
      </c>
    </row>
    <row r="45" spans="1:11" ht="18.75" thickBot="1" x14ac:dyDescent="0.25">
      <c r="A45" s="743" t="s">
        <v>368</v>
      </c>
      <c r="B45" s="744"/>
      <c r="C45" s="744"/>
      <c r="D45" s="744"/>
      <c r="E45" s="744"/>
      <c r="F45" s="744"/>
      <c r="G45" s="745"/>
      <c r="H45" s="411">
        <f>SUM(H39:H43)</f>
        <v>33800</v>
      </c>
    </row>
    <row r="46" spans="1:11" x14ac:dyDescent="0.2">
      <c r="A46" s="222"/>
      <c r="B46" s="222"/>
      <c r="C46" s="222"/>
      <c r="D46" s="222"/>
      <c r="E46" s="222"/>
      <c r="F46" s="222"/>
      <c r="G46" s="15"/>
      <c r="H46" s="223"/>
    </row>
    <row r="47" spans="1:11" ht="15" x14ac:dyDescent="0.2">
      <c r="A47" s="782"/>
      <c r="B47" s="782"/>
      <c r="C47" s="782"/>
      <c r="D47" s="782"/>
      <c r="E47" s="782"/>
      <c r="F47" s="782"/>
      <c r="G47" s="15"/>
      <c r="H47" s="228"/>
    </row>
    <row r="48" spans="1:11" ht="15" x14ac:dyDescent="0.2">
      <c r="A48" s="243"/>
      <c r="B48" s="243"/>
      <c r="C48" s="243"/>
      <c r="D48" s="243"/>
      <c r="E48" s="243"/>
      <c r="F48" s="243"/>
      <c r="G48" s="15"/>
      <c r="H48" s="228"/>
    </row>
    <row r="49" spans="1:11" ht="15" x14ac:dyDescent="0.2">
      <c r="A49" s="243"/>
      <c r="B49" s="243"/>
      <c r="C49" s="243"/>
      <c r="D49" s="243"/>
      <c r="E49" s="243"/>
      <c r="F49" s="243"/>
      <c r="G49" s="15"/>
      <c r="H49" s="228"/>
    </row>
    <row r="50" spans="1:11" ht="15" x14ac:dyDescent="0.2">
      <c r="A50" s="243"/>
      <c r="B50" s="243"/>
      <c r="C50" s="243"/>
      <c r="D50" s="243"/>
      <c r="E50" s="243"/>
      <c r="F50" s="243"/>
      <c r="G50" s="15"/>
      <c r="H50" s="228"/>
    </row>
    <row r="51" spans="1:11" x14ac:dyDescent="0.2">
      <c r="A51" s="783"/>
      <c r="B51" s="783"/>
      <c r="C51" s="783"/>
      <c r="D51" s="783"/>
      <c r="E51" s="783"/>
      <c r="F51" s="783"/>
      <c r="G51" s="783"/>
      <c r="H51" s="149"/>
    </row>
    <row r="52" spans="1:11" ht="18" x14ac:dyDescent="0.2">
      <c r="A52" s="784" t="s">
        <v>427</v>
      </c>
      <c r="B52" s="784"/>
      <c r="C52" s="784"/>
      <c r="D52" s="784"/>
      <c r="E52" s="784"/>
      <c r="F52" s="784"/>
      <c r="G52" s="784"/>
      <c r="H52" s="784"/>
    </row>
    <row r="53" spans="1:11" ht="18" x14ac:dyDescent="0.2">
      <c r="A53" s="734" t="s">
        <v>426</v>
      </c>
      <c r="B53" s="734"/>
      <c r="C53" s="734"/>
      <c r="D53" s="734"/>
      <c r="E53" s="734"/>
      <c r="F53" s="734"/>
      <c r="G53" s="734"/>
      <c r="H53" s="734"/>
    </row>
    <row r="54" spans="1:11" ht="15.75" x14ac:dyDescent="0.2">
      <c r="A54" s="785" t="s">
        <v>228</v>
      </c>
      <c r="B54" s="785"/>
      <c r="C54" s="785"/>
      <c r="D54" s="785"/>
      <c r="E54" s="785"/>
      <c r="F54" s="785"/>
      <c r="G54" s="785"/>
      <c r="H54" s="785"/>
    </row>
    <row r="55" spans="1:11" ht="15.75" x14ac:dyDescent="0.2">
      <c r="A55" s="785" t="s">
        <v>325</v>
      </c>
      <c r="B55" s="785"/>
      <c r="C55" s="785"/>
      <c r="D55" s="785"/>
      <c r="E55" s="785"/>
      <c r="F55" s="785"/>
      <c r="G55" s="785"/>
      <c r="H55" s="785"/>
    </row>
    <row r="56" spans="1:11" ht="15" x14ac:dyDescent="0.2">
      <c r="A56" s="793" t="s">
        <v>13</v>
      </c>
      <c r="B56" s="793"/>
      <c r="C56" s="793"/>
      <c r="D56" s="793"/>
      <c r="E56" s="793"/>
      <c r="F56" s="793"/>
      <c r="G56" s="793"/>
      <c r="H56" s="793"/>
    </row>
    <row r="57" spans="1:11" ht="15.75" x14ac:dyDescent="0.25">
      <c r="A57" s="774" t="s">
        <v>372</v>
      </c>
      <c r="B57" s="774"/>
      <c r="C57" s="774"/>
      <c r="D57" s="774"/>
      <c r="E57" s="774"/>
      <c r="F57" s="774"/>
      <c r="G57" s="774"/>
      <c r="H57" s="774"/>
    </row>
    <row r="58" spans="1:11" ht="15.75" x14ac:dyDescent="0.25">
      <c r="A58" s="774" t="str">
        <f>A61</f>
        <v>RECOLEC. TRANSPORTE Y DISPOS.FINAL DESECHOS SOLIDOS 2019</v>
      </c>
      <c r="B58" s="774"/>
      <c r="C58" s="774"/>
      <c r="D58" s="774"/>
      <c r="E58" s="774"/>
      <c r="F58" s="774"/>
      <c r="G58" s="774"/>
      <c r="H58" s="774"/>
    </row>
    <row r="59" spans="1:11" ht="15.75" x14ac:dyDescent="0.25">
      <c r="A59" s="774" t="s">
        <v>367</v>
      </c>
      <c r="B59" s="774"/>
      <c r="C59" s="774"/>
      <c r="D59" s="774"/>
      <c r="E59" s="774"/>
      <c r="F59" s="774"/>
      <c r="G59" s="774"/>
      <c r="H59" s="774"/>
    </row>
    <row r="60" spans="1:11" ht="16.5" thickBot="1" x14ac:dyDescent="0.3">
      <c r="A60" s="774" t="s">
        <v>604</v>
      </c>
      <c r="B60" s="774"/>
      <c r="C60" s="774"/>
      <c r="D60" s="774"/>
      <c r="E60" s="774"/>
      <c r="F60" s="774"/>
      <c r="G60" s="774"/>
      <c r="H60" s="774"/>
    </row>
    <row r="61" spans="1:11" ht="16.5" thickBot="1" x14ac:dyDescent="0.3">
      <c r="A61" s="798" t="str">
        <f>proyectos!B7</f>
        <v>RECOLEC. TRANSPORTE Y DISPOS.FINAL DESECHOS SOLIDOS 2019</v>
      </c>
      <c r="B61" s="798"/>
      <c r="C61" s="798"/>
      <c r="D61" s="798"/>
      <c r="E61" s="798"/>
      <c r="F61" s="798"/>
      <c r="G61" s="798"/>
      <c r="H61" s="798"/>
    </row>
    <row r="62" spans="1:11" ht="90.75" thickBot="1" x14ac:dyDescent="1.2">
      <c r="A62" s="786" t="s">
        <v>0</v>
      </c>
      <c r="B62" s="787"/>
      <c r="C62" s="787"/>
      <c r="D62" s="787"/>
      <c r="E62" s="787"/>
      <c r="F62" s="787"/>
      <c r="G62" s="788" t="s">
        <v>181</v>
      </c>
      <c r="H62" s="796" t="s">
        <v>182</v>
      </c>
      <c r="K62" s="130">
        <v>3</v>
      </c>
    </row>
    <row r="63" spans="1:11" ht="166.5" thickBot="1" x14ac:dyDescent="0.25">
      <c r="A63" s="407" t="s">
        <v>172</v>
      </c>
      <c r="B63" s="408" t="s">
        <v>173</v>
      </c>
      <c r="C63" s="408" t="s">
        <v>144</v>
      </c>
      <c r="D63" s="408" t="s">
        <v>175</v>
      </c>
      <c r="E63" s="409" t="s">
        <v>183</v>
      </c>
      <c r="F63" s="410" t="s">
        <v>118</v>
      </c>
      <c r="G63" s="789"/>
      <c r="H63" s="797"/>
    </row>
    <row r="64" spans="1:11" ht="15" x14ac:dyDescent="0.2">
      <c r="A64" s="207">
        <v>3</v>
      </c>
      <c r="B64" s="208" t="s">
        <v>53</v>
      </c>
      <c r="C64" s="208" t="s">
        <v>321</v>
      </c>
      <c r="D64" s="208" t="s">
        <v>51</v>
      </c>
      <c r="E64" s="208" t="s">
        <v>54</v>
      </c>
      <c r="F64" s="209" t="s">
        <v>36</v>
      </c>
      <c r="G64" s="210" t="s">
        <v>37</v>
      </c>
      <c r="H64" s="211">
        <f>proyectos!F7</f>
        <v>42479.64</v>
      </c>
    </row>
    <row r="65" spans="1:9" ht="15" x14ac:dyDescent="0.2">
      <c r="A65" s="207">
        <v>3</v>
      </c>
      <c r="B65" s="208" t="s">
        <v>53</v>
      </c>
      <c r="C65" s="208" t="s">
        <v>321</v>
      </c>
      <c r="D65" s="208" t="s">
        <v>51</v>
      </c>
      <c r="E65" s="208" t="s">
        <v>54</v>
      </c>
      <c r="F65" s="209" t="s">
        <v>420</v>
      </c>
      <c r="G65" s="210" t="s">
        <v>38</v>
      </c>
      <c r="H65" s="211">
        <v>3539.64</v>
      </c>
    </row>
    <row r="66" spans="1:9" ht="15" x14ac:dyDescent="0.2">
      <c r="A66" s="207">
        <v>3</v>
      </c>
      <c r="B66" s="208" t="s">
        <v>53</v>
      </c>
      <c r="C66" s="208" t="s">
        <v>321</v>
      </c>
      <c r="D66" s="208" t="s">
        <v>51</v>
      </c>
      <c r="E66" s="208" t="s">
        <v>54</v>
      </c>
      <c r="F66" s="209" t="s">
        <v>423</v>
      </c>
      <c r="G66" s="210" t="s">
        <v>39</v>
      </c>
      <c r="H66" s="211">
        <v>3185.97</v>
      </c>
    </row>
    <row r="67" spans="1:9" ht="15" x14ac:dyDescent="0.2">
      <c r="A67" s="207">
        <v>3</v>
      </c>
      <c r="B67" s="208" t="s">
        <v>53</v>
      </c>
      <c r="C67" s="208" t="s">
        <v>321</v>
      </c>
      <c r="D67" s="208" t="s">
        <v>51</v>
      </c>
      <c r="E67" s="208" t="s">
        <v>54</v>
      </c>
      <c r="F67" s="209" t="s">
        <v>424</v>
      </c>
      <c r="G67" s="210" t="s">
        <v>39</v>
      </c>
      <c r="H67" s="211">
        <v>3292.17</v>
      </c>
    </row>
    <row r="68" spans="1:9" ht="15" x14ac:dyDescent="0.2">
      <c r="A68" s="207">
        <v>3</v>
      </c>
      <c r="B68" s="208" t="s">
        <v>53</v>
      </c>
      <c r="C68" s="208" t="s">
        <v>321</v>
      </c>
      <c r="D68" s="208" t="s">
        <v>51</v>
      </c>
      <c r="E68" s="208" t="s">
        <v>54</v>
      </c>
      <c r="F68" s="209" t="s">
        <v>595</v>
      </c>
      <c r="G68" s="210" t="s">
        <v>596</v>
      </c>
      <c r="H68" s="211">
        <v>108000</v>
      </c>
    </row>
    <row r="69" spans="1:9" ht="15" x14ac:dyDescent="0.2">
      <c r="A69" s="212">
        <v>3</v>
      </c>
      <c r="B69" s="208" t="s">
        <v>53</v>
      </c>
      <c r="C69" s="208" t="s">
        <v>321</v>
      </c>
      <c r="D69" s="213" t="s">
        <v>51</v>
      </c>
      <c r="E69" s="208" t="s">
        <v>54</v>
      </c>
      <c r="F69" s="2">
        <v>54603</v>
      </c>
      <c r="G69" s="214" t="s">
        <v>597</v>
      </c>
      <c r="H69" s="215">
        <v>61020</v>
      </c>
    </row>
    <row r="70" spans="1:9" ht="15" x14ac:dyDescent="0.2">
      <c r="A70" s="212">
        <v>3</v>
      </c>
      <c r="B70" s="208" t="s">
        <v>53</v>
      </c>
      <c r="C70" s="208" t="s">
        <v>321</v>
      </c>
      <c r="D70" s="213" t="s">
        <v>51</v>
      </c>
      <c r="E70" s="208" t="s">
        <v>54</v>
      </c>
      <c r="F70" s="2">
        <v>54112</v>
      </c>
      <c r="G70" s="214" t="s">
        <v>47</v>
      </c>
      <c r="H70" s="215"/>
    </row>
    <row r="71" spans="1:9" ht="15" x14ac:dyDescent="0.2">
      <c r="A71" s="212">
        <v>3</v>
      </c>
      <c r="B71" s="208" t="s">
        <v>53</v>
      </c>
      <c r="C71" s="208" t="s">
        <v>321</v>
      </c>
      <c r="D71" s="213" t="s">
        <v>51</v>
      </c>
      <c r="E71" s="208" t="s">
        <v>54</v>
      </c>
      <c r="F71" s="2">
        <v>54103</v>
      </c>
      <c r="G71" s="214" t="s">
        <v>230</v>
      </c>
      <c r="H71" s="215"/>
    </row>
    <row r="72" spans="1:9" ht="15.75" thickBot="1" x14ac:dyDescent="0.25">
      <c r="A72" s="216"/>
      <c r="B72" s="217"/>
      <c r="C72" s="217"/>
      <c r="D72" s="217"/>
      <c r="E72" s="217"/>
      <c r="F72" s="218"/>
      <c r="G72" s="219"/>
      <c r="H72" s="220"/>
      <c r="I72" s="128">
        <f>SUM(H64:H72)</f>
        <v>221517.41999999998</v>
      </c>
    </row>
    <row r="73" spans="1:9" ht="18.75" thickBot="1" x14ac:dyDescent="0.25">
      <c r="A73" s="743" t="s">
        <v>368</v>
      </c>
      <c r="B73" s="744"/>
      <c r="C73" s="744"/>
      <c r="D73" s="744"/>
      <c r="E73" s="744"/>
      <c r="F73" s="744"/>
      <c r="G73" s="745"/>
      <c r="H73" s="411">
        <f>SUM(H64:H72)</f>
        <v>221517.41999999998</v>
      </c>
    </row>
    <row r="74" spans="1:9" x14ac:dyDescent="0.2">
      <c r="A74" s="222"/>
      <c r="B74" s="222"/>
      <c r="C74" s="222"/>
      <c r="D74" s="222"/>
      <c r="E74" s="222"/>
      <c r="F74" s="222"/>
      <c r="G74" s="15"/>
      <c r="H74" s="223"/>
    </row>
    <row r="75" spans="1:9" x14ac:dyDescent="0.2">
      <c r="A75" s="229"/>
      <c r="B75" s="229"/>
      <c r="C75" s="229"/>
      <c r="D75" s="229"/>
      <c r="E75" s="229"/>
      <c r="F75" s="229"/>
      <c r="G75" s="15"/>
      <c r="H75" s="148"/>
    </row>
    <row r="76" spans="1:9" ht="18" x14ac:dyDescent="0.2">
      <c r="A76" s="784" t="s">
        <v>427</v>
      </c>
      <c r="B76" s="784"/>
      <c r="C76" s="784"/>
      <c r="D76" s="784"/>
      <c r="E76" s="784"/>
      <c r="F76" s="784"/>
      <c r="G76" s="784"/>
      <c r="H76" s="784"/>
    </row>
    <row r="77" spans="1:9" ht="18" x14ac:dyDescent="0.2">
      <c r="A77" s="734" t="s">
        <v>426</v>
      </c>
      <c r="B77" s="734"/>
      <c r="C77" s="734"/>
      <c r="D77" s="734"/>
      <c r="E77" s="734"/>
      <c r="F77" s="734"/>
      <c r="G77" s="734"/>
      <c r="H77" s="734"/>
    </row>
    <row r="78" spans="1:9" ht="15.75" x14ac:dyDescent="0.2">
      <c r="A78" s="785" t="s">
        <v>228</v>
      </c>
      <c r="B78" s="785"/>
      <c r="C78" s="785"/>
      <c r="D78" s="785"/>
      <c r="E78" s="785"/>
      <c r="F78" s="785"/>
      <c r="G78" s="785"/>
      <c r="H78" s="785"/>
    </row>
    <row r="79" spans="1:9" ht="15.75" x14ac:dyDescent="0.2">
      <c r="A79" s="785" t="s">
        <v>532</v>
      </c>
      <c r="B79" s="785"/>
      <c r="C79" s="785"/>
      <c r="D79" s="785"/>
      <c r="E79" s="785"/>
      <c r="F79" s="785"/>
      <c r="G79" s="785"/>
      <c r="H79" s="785"/>
    </row>
    <row r="80" spans="1:9" ht="15" x14ac:dyDescent="0.2">
      <c r="A80" s="793" t="s">
        <v>13</v>
      </c>
      <c r="B80" s="793"/>
      <c r="C80" s="793"/>
      <c r="D80" s="793"/>
      <c r="E80" s="793"/>
      <c r="F80" s="793"/>
      <c r="G80" s="793"/>
      <c r="H80" s="793"/>
    </row>
    <row r="81" spans="1:11" ht="15.75" x14ac:dyDescent="0.25">
      <c r="A81" s="774" t="s">
        <v>372</v>
      </c>
      <c r="B81" s="774"/>
      <c r="C81" s="774"/>
      <c r="D81" s="774"/>
      <c r="E81" s="774"/>
      <c r="F81" s="774"/>
      <c r="G81" s="774"/>
      <c r="H81" s="774"/>
    </row>
    <row r="82" spans="1:11" ht="16.5" thickBot="1" x14ac:dyDescent="0.3">
      <c r="A82" s="800" t="str">
        <f>proyectos!B8</f>
        <v>FIESTAS PATRONALES 2019</v>
      </c>
      <c r="B82" s="800"/>
      <c r="C82" s="800"/>
      <c r="D82" s="800"/>
      <c r="E82" s="800"/>
      <c r="F82" s="800"/>
      <c r="G82" s="800"/>
      <c r="H82" s="800"/>
    </row>
    <row r="83" spans="1:11" ht="15.75" x14ac:dyDescent="0.25">
      <c r="A83" s="774" t="s">
        <v>367</v>
      </c>
      <c r="B83" s="774"/>
      <c r="C83" s="774"/>
      <c r="D83" s="774"/>
      <c r="E83" s="774"/>
      <c r="F83" s="774"/>
      <c r="G83" s="774"/>
      <c r="H83" s="774"/>
    </row>
    <row r="84" spans="1:11" ht="16.5" thickBot="1" x14ac:dyDescent="0.3">
      <c r="A84" s="774" t="s">
        <v>604</v>
      </c>
      <c r="B84" s="774"/>
      <c r="C84" s="774"/>
      <c r="D84" s="774"/>
      <c r="E84" s="774"/>
      <c r="F84" s="774"/>
      <c r="G84" s="774"/>
      <c r="H84" s="774"/>
    </row>
    <row r="85" spans="1:11" ht="16.5" thickBot="1" x14ac:dyDescent="0.3">
      <c r="A85" s="798" t="str">
        <f>A82</f>
        <v>FIESTAS PATRONALES 2019</v>
      </c>
      <c r="B85" s="798"/>
      <c r="C85" s="798"/>
      <c r="D85" s="798"/>
      <c r="E85" s="798"/>
      <c r="F85" s="798"/>
      <c r="G85" s="798"/>
      <c r="H85" s="412"/>
    </row>
    <row r="86" spans="1:11" ht="90.75" thickBot="1" x14ac:dyDescent="1.2">
      <c r="A86" s="786" t="s">
        <v>0</v>
      </c>
      <c r="B86" s="787"/>
      <c r="C86" s="787"/>
      <c r="D86" s="787"/>
      <c r="E86" s="787"/>
      <c r="F86" s="787"/>
      <c r="G86" s="788" t="s">
        <v>181</v>
      </c>
      <c r="H86" s="796" t="s">
        <v>182</v>
      </c>
      <c r="K86" s="131">
        <v>4</v>
      </c>
    </row>
    <row r="87" spans="1:11" ht="166.5" thickBot="1" x14ac:dyDescent="0.25">
      <c r="A87" s="407" t="s">
        <v>172</v>
      </c>
      <c r="B87" s="408" t="s">
        <v>173</v>
      </c>
      <c r="C87" s="408" t="s">
        <v>144</v>
      </c>
      <c r="D87" s="408" t="s">
        <v>175</v>
      </c>
      <c r="E87" s="409" t="s">
        <v>183</v>
      </c>
      <c r="F87" s="410" t="s">
        <v>118</v>
      </c>
      <c r="G87" s="789"/>
      <c r="H87" s="797"/>
    </row>
    <row r="88" spans="1:11" ht="15" x14ac:dyDescent="0.2">
      <c r="A88" s="207">
        <v>3</v>
      </c>
      <c r="B88" s="208" t="s">
        <v>53</v>
      </c>
      <c r="C88" s="208" t="s">
        <v>321</v>
      </c>
      <c r="D88" s="208" t="s">
        <v>51</v>
      </c>
      <c r="E88" s="208" t="s">
        <v>54</v>
      </c>
      <c r="F88" s="209" t="s">
        <v>598</v>
      </c>
      <c r="G88" s="210" t="s">
        <v>84</v>
      </c>
      <c r="H88" s="211">
        <v>40000</v>
      </c>
    </row>
    <row r="89" spans="1:11" ht="15" x14ac:dyDescent="0.2">
      <c r="A89" s="212">
        <v>3</v>
      </c>
      <c r="B89" s="208" t="s">
        <v>53</v>
      </c>
      <c r="C89" s="208" t="s">
        <v>321</v>
      </c>
      <c r="D89" s="213" t="s">
        <v>51</v>
      </c>
      <c r="E89" s="208" t="s">
        <v>54</v>
      </c>
      <c r="F89" s="2">
        <v>54104</v>
      </c>
      <c r="G89" s="214" t="s">
        <v>210</v>
      </c>
      <c r="H89" s="406"/>
    </row>
    <row r="90" spans="1:11" ht="15" x14ac:dyDescent="0.2">
      <c r="A90" s="212">
        <v>3</v>
      </c>
      <c r="B90" s="208" t="s">
        <v>53</v>
      </c>
      <c r="C90" s="208" t="s">
        <v>321</v>
      </c>
      <c r="D90" s="213" t="s">
        <v>51</v>
      </c>
      <c r="E90" s="208" t="s">
        <v>54</v>
      </c>
      <c r="F90" s="2">
        <v>54112</v>
      </c>
      <c r="G90" s="214" t="s">
        <v>47</v>
      </c>
      <c r="H90" s="406"/>
    </row>
    <row r="91" spans="1:11" ht="15" x14ac:dyDescent="0.2">
      <c r="A91" s="212">
        <v>3</v>
      </c>
      <c r="B91" s="208" t="s">
        <v>53</v>
      </c>
      <c r="C91" s="208" t="s">
        <v>321</v>
      </c>
      <c r="D91" s="213" t="s">
        <v>51</v>
      </c>
      <c r="E91" s="208" t="s">
        <v>54</v>
      </c>
      <c r="F91" s="2">
        <v>54103</v>
      </c>
      <c r="G91" s="214" t="s">
        <v>230</v>
      </c>
      <c r="H91" s="406"/>
    </row>
    <row r="92" spans="1:11" ht="15" x14ac:dyDescent="0.2">
      <c r="A92" s="212">
        <v>3</v>
      </c>
      <c r="B92" s="208" t="s">
        <v>53</v>
      </c>
      <c r="C92" s="208" t="s">
        <v>321</v>
      </c>
      <c r="D92" s="213" t="s">
        <v>51</v>
      </c>
      <c r="E92" s="208" t="s">
        <v>54</v>
      </c>
      <c r="F92" s="2">
        <v>54110</v>
      </c>
      <c r="G92" s="214" t="s">
        <v>42</v>
      </c>
      <c r="H92" s="406"/>
    </row>
    <row r="93" spans="1:11" ht="15.75" thickBot="1" x14ac:dyDescent="0.25">
      <c r="A93" s="212">
        <v>3</v>
      </c>
      <c r="B93" s="208" t="s">
        <v>53</v>
      </c>
      <c r="C93" s="208" t="s">
        <v>321</v>
      </c>
      <c r="D93" s="213" t="s">
        <v>51</v>
      </c>
      <c r="E93" s="208" t="s">
        <v>54</v>
      </c>
      <c r="F93" s="2">
        <v>54118</v>
      </c>
      <c r="G93" s="214" t="s">
        <v>371</v>
      </c>
      <c r="H93" s="406"/>
      <c r="I93" s="128">
        <f>SUM(H88:H93)</f>
        <v>40000</v>
      </c>
    </row>
    <row r="94" spans="1:11" ht="18.75" thickBot="1" x14ac:dyDescent="0.25">
      <c r="A94" s="743" t="s">
        <v>368</v>
      </c>
      <c r="B94" s="744"/>
      <c r="C94" s="744"/>
      <c r="D94" s="744"/>
      <c r="E94" s="744"/>
      <c r="F94" s="744"/>
      <c r="G94" s="745"/>
      <c r="H94" s="411">
        <f>SUM(H88:H93)</f>
        <v>40000</v>
      </c>
    </row>
    <row r="95" spans="1:11" x14ac:dyDescent="0.2">
      <c r="A95" s="222"/>
      <c r="B95" s="222"/>
      <c r="C95" s="222"/>
      <c r="D95" s="222"/>
      <c r="E95" s="222"/>
      <c r="F95" s="222"/>
      <c r="G95" s="15"/>
      <c r="H95" s="223"/>
    </row>
    <row r="96" spans="1:11" ht="15" x14ac:dyDescent="0.2">
      <c r="A96" s="782"/>
      <c r="B96" s="782"/>
      <c r="C96" s="782"/>
      <c r="D96" s="782"/>
      <c r="E96" s="782"/>
      <c r="F96" s="782"/>
      <c r="G96" s="15"/>
      <c r="H96" s="228"/>
    </row>
    <row r="97" spans="1:11" x14ac:dyDescent="0.2">
      <c r="A97" s="783"/>
      <c r="B97" s="783"/>
      <c r="C97" s="783"/>
      <c r="D97" s="783"/>
      <c r="E97" s="783"/>
      <c r="F97" s="783"/>
      <c r="G97" s="783"/>
      <c r="H97" s="149"/>
    </row>
    <row r="98" spans="1:11" x14ac:dyDescent="0.2">
      <c r="A98" s="783"/>
      <c r="B98" s="783"/>
      <c r="C98" s="783"/>
      <c r="D98" s="783"/>
      <c r="E98" s="783"/>
      <c r="F98" s="783"/>
      <c r="G98" s="783"/>
      <c r="H98" s="149"/>
    </row>
    <row r="99" spans="1:11" x14ac:dyDescent="0.2">
      <c r="A99" s="783"/>
      <c r="B99" s="783"/>
      <c r="C99" s="783"/>
      <c r="D99" s="783"/>
      <c r="E99" s="783"/>
      <c r="F99" s="783"/>
      <c r="G99" s="783"/>
      <c r="H99" s="148"/>
    </row>
    <row r="100" spans="1:11" x14ac:dyDescent="0.2">
      <c r="A100" s="229"/>
      <c r="B100" s="229"/>
      <c r="C100" s="229"/>
      <c r="D100" s="229"/>
      <c r="E100" s="229"/>
      <c r="F100" s="229"/>
      <c r="G100" s="15"/>
      <c r="H100" s="148"/>
    </row>
    <row r="101" spans="1:11" ht="18" x14ac:dyDescent="0.2">
      <c r="A101" s="801" t="s">
        <v>427</v>
      </c>
      <c r="B101" s="801"/>
      <c r="C101" s="801"/>
      <c r="D101" s="801"/>
      <c r="E101" s="801"/>
      <c r="F101" s="801"/>
      <c r="G101" s="801"/>
      <c r="H101" s="801"/>
    </row>
    <row r="102" spans="1:11" ht="18" x14ac:dyDescent="0.2">
      <c r="A102" s="802" t="s">
        <v>426</v>
      </c>
      <c r="B102" s="802"/>
      <c r="C102" s="802"/>
      <c r="D102" s="802"/>
      <c r="E102" s="802"/>
      <c r="F102" s="802"/>
      <c r="G102" s="802"/>
      <c r="H102" s="802"/>
    </row>
    <row r="103" spans="1:11" ht="15.75" x14ac:dyDescent="0.2">
      <c r="A103" s="803" t="s">
        <v>228</v>
      </c>
      <c r="B103" s="803"/>
      <c r="C103" s="803"/>
      <c r="D103" s="803"/>
      <c r="E103" s="803"/>
      <c r="F103" s="803"/>
      <c r="G103" s="803"/>
      <c r="H103" s="803"/>
    </row>
    <row r="104" spans="1:11" ht="15.75" x14ac:dyDescent="0.2">
      <c r="A104" s="803" t="s">
        <v>532</v>
      </c>
      <c r="B104" s="803"/>
      <c r="C104" s="803"/>
      <c r="D104" s="803"/>
      <c r="E104" s="803"/>
      <c r="F104" s="803"/>
      <c r="G104" s="803"/>
      <c r="H104" s="803"/>
    </row>
    <row r="105" spans="1:11" ht="15" x14ac:dyDescent="0.2">
      <c r="A105" s="804" t="s">
        <v>13</v>
      </c>
      <c r="B105" s="804"/>
      <c r="C105" s="804"/>
      <c r="D105" s="804"/>
      <c r="E105" s="804"/>
      <c r="F105" s="804"/>
      <c r="G105" s="804"/>
      <c r="H105" s="804"/>
    </row>
    <row r="106" spans="1:11" ht="15.75" x14ac:dyDescent="0.25">
      <c r="A106" s="774" t="s">
        <v>372</v>
      </c>
      <c r="B106" s="774"/>
      <c r="C106" s="774"/>
      <c r="D106" s="774"/>
      <c r="E106" s="774"/>
      <c r="F106" s="774"/>
      <c r="G106" s="774"/>
      <c r="H106" s="774"/>
    </row>
    <row r="107" spans="1:11" ht="15.75" x14ac:dyDescent="0.25">
      <c r="A107" s="774" t="str">
        <f>proyectos!B9</f>
        <v>PROGRAMA DE APOYO A LA CULTURA Y EL ARTE DEL MUNICIPIO DE ZARAGOZA</v>
      </c>
      <c r="B107" s="774"/>
      <c r="C107" s="774"/>
      <c r="D107" s="774"/>
      <c r="E107" s="774"/>
      <c r="F107" s="774"/>
      <c r="G107" s="774"/>
      <c r="H107" s="774"/>
    </row>
    <row r="108" spans="1:11" ht="15.75" x14ac:dyDescent="0.25">
      <c r="A108" s="774" t="s">
        <v>367</v>
      </c>
      <c r="B108" s="774"/>
      <c r="C108" s="774"/>
      <c r="D108" s="774"/>
      <c r="E108" s="774"/>
      <c r="F108" s="774"/>
      <c r="G108" s="774"/>
      <c r="H108" s="774"/>
    </row>
    <row r="109" spans="1:11" ht="15.75" x14ac:dyDescent="0.25">
      <c r="A109" s="774" t="s">
        <v>604</v>
      </c>
      <c r="B109" s="774"/>
      <c r="C109" s="774"/>
      <c r="D109" s="774"/>
      <c r="E109" s="774"/>
      <c r="F109" s="774"/>
      <c r="G109" s="774"/>
      <c r="H109" s="774"/>
    </row>
    <row r="110" spans="1:11" ht="16.5" thickBot="1" x14ac:dyDescent="0.3">
      <c r="A110" s="770" t="str">
        <f>A107</f>
        <v>PROGRAMA DE APOYO A LA CULTURA Y EL ARTE DEL MUNICIPIO DE ZARAGOZA</v>
      </c>
      <c r="B110" s="770"/>
      <c r="C110" s="770"/>
      <c r="D110" s="770"/>
      <c r="E110" s="770"/>
      <c r="F110" s="770"/>
      <c r="G110" s="770"/>
      <c r="H110" s="770"/>
    </row>
    <row r="111" spans="1:11" ht="90.75" thickBot="1" x14ac:dyDescent="1.2">
      <c r="A111" s="786" t="s">
        <v>0</v>
      </c>
      <c r="B111" s="787"/>
      <c r="C111" s="787"/>
      <c r="D111" s="787"/>
      <c r="E111" s="787"/>
      <c r="F111" s="787"/>
      <c r="G111" s="788" t="s">
        <v>181</v>
      </c>
      <c r="H111" s="796" t="s">
        <v>182</v>
      </c>
      <c r="K111" s="131">
        <v>5</v>
      </c>
    </row>
    <row r="112" spans="1:11" ht="166.5" thickBot="1" x14ac:dyDescent="0.25">
      <c r="A112" s="407" t="s">
        <v>172</v>
      </c>
      <c r="B112" s="408" t="s">
        <v>173</v>
      </c>
      <c r="C112" s="408" t="s">
        <v>144</v>
      </c>
      <c r="D112" s="408" t="s">
        <v>175</v>
      </c>
      <c r="E112" s="409" t="s">
        <v>183</v>
      </c>
      <c r="F112" s="410" t="s">
        <v>118</v>
      </c>
      <c r="G112" s="789"/>
      <c r="H112" s="797"/>
    </row>
    <row r="113" spans="1:9" ht="15" x14ac:dyDescent="0.2">
      <c r="A113" s="207">
        <v>3</v>
      </c>
      <c r="B113" s="208" t="s">
        <v>53</v>
      </c>
      <c r="C113" s="208" t="s">
        <v>321</v>
      </c>
      <c r="D113" s="208" t="s">
        <v>51</v>
      </c>
      <c r="E113" s="208" t="s">
        <v>54</v>
      </c>
      <c r="F113" s="209" t="s">
        <v>273</v>
      </c>
      <c r="G113" s="210" t="s">
        <v>274</v>
      </c>
      <c r="H113" s="211">
        <v>2000</v>
      </c>
    </row>
    <row r="114" spans="1:9" ht="15" x14ac:dyDescent="0.2">
      <c r="A114" s="212">
        <v>3</v>
      </c>
      <c r="B114" s="208" t="s">
        <v>53</v>
      </c>
      <c r="C114" s="208" t="s">
        <v>321</v>
      </c>
      <c r="D114" s="213" t="s">
        <v>51</v>
      </c>
      <c r="E114" s="208" t="s">
        <v>54</v>
      </c>
      <c r="F114" s="2">
        <v>54111</v>
      </c>
      <c r="G114" s="214" t="s">
        <v>48</v>
      </c>
      <c r="H114" s="215"/>
    </row>
    <row r="115" spans="1:9" ht="15" x14ac:dyDescent="0.2">
      <c r="A115" s="212">
        <v>3</v>
      </c>
      <c r="B115" s="208" t="s">
        <v>53</v>
      </c>
      <c r="C115" s="208" t="s">
        <v>321</v>
      </c>
      <c r="D115" s="213" t="s">
        <v>51</v>
      </c>
      <c r="E115" s="208" t="s">
        <v>54</v>
      </c>
      <c r="F115" s="2">
        <v>54114</v>
      </c>
      <c r="G115" s="214" t="s">
        <v>43</v>
      </c>
      <c r="H115" s="215">
        <v>1000</v>
      </c>
    </row>
    <row r="116" spans="1:9" ht="15" x14ac:dyDescent="0.2">
      <c r="A116" s="212">
        <v>3</v>
      </c>
      <c r="B116" s="208" t="s">
        <v>53</v>
      </c>
      <c r="C116" s="208" t="s">
        <v>321</v>
      </c>
      <c r="D116" s="213" t="s">
        <v>51</v>
      </c>
      <c r="E116" s="208" t="s">
        <v>54</v>
      </c>
      <c r="F116" s="2">
        <v>54118</v>
      </c>
      <c r="G116" s="214" t="s">
        <v>371</v>
      </c>
      <c r="H116" s="215"/>
    </row>
    <row r="117" spans="1:9" ht="15" x14ac:dyDescent="0.2">
      <c r="A117" s="212">
        <v>3</v>
      </c>
      <c r="B117" s="208" t="s">
        <v>53</v>
      </c>
      <c r="C117" s="208" t="s">
        <v>321</v>
      </c>
      <c r="D117" s="213" t="s">
        <v>51</v>
      </c>
      <c r="E117" s="208" t="s">
        <v>54</v>
      </c>
      <c r="F117" s="2">
        <v>54199</v>
      </c>
      <c r="G117" s="214" t="s">
        <v>217</v>
      </c>
      <c r="H117" s="215">
        <v>1000</v>
      </c>
    </row>
    <row r="118" spans="1:9" ht="15" x14ac:dyDescent="0.2">
      <c r="A118" s="212">
        <v>3</v>
      </c>
      <c r="B118" s="208" t="s">
        <v>53</v>
      </c>
      <c r="C118" s="208" t="s">
        <v>321</v>
      </c>
      <c r="D118" s="213" t="s">
        <v>51</v>
      </c>
      <c r="E118" s="208" t="s">
        <v>54</v>
      </c>
      <c r="F118" s="2">
        <v>54314</v>
      </c>
      <c r="G118" s="214" t="s">
        <v>84</v>
      </c>
      <c r="H118" s="215">
        <v>1000</v>
      </c>
    </row>
    <row r="119" spans="1:9" ht="15" x14ac:dyDescent="0.2">
      <c r="A119" s="212">
        <v>3</v>
      </c>
      <c r="B119" s="208" t="s">
        <v>53</v>
      </c>
      <c r="C119" s="208" t="s">
        <v>321</v>
      </c>
      <c r="D119" s="213" t="s">
        <v>51</v>
      </c>
      <c r="E119" s="208" t="s">
        <v>54</v>
      </c>
      <c r="F119" s="2">
        <v>54304</v>
      </c>
      <c r="G119" s="214" t="s">
        <v>599</v>
      </c>
      <c r="H119" s="215">
        <v>1000</v>
      </c>
    </row>
    <row r="120" spans="1:9" ht="15.75" thickBot="1" x14ac:dyDescent="0.25">
      <c r="A120" s="212">
        <v>3</v>
      </c>
      <c r="B120" s="208" t="s">
        <v>53</v>
      </c>
      <c r="C120" s="208" t="s">
        <v>321</v>
      </c>
      <c r="D120" s="213" t="s">
        <v>51</v>
      </c>
      <c r="E120" s="208" t="s">
        <v>54</v>
      </c>
      <c r="F120" s="2">
        <v>61699</v>
      </c>
      <c r="G120" s="214" t="s">
        <v>245</v>
      </c>
      <c r="H120" s="215"/>
      <c r="I120" s="128">
        <f>SUM(H113:H120)</f>
        <v>6000</v>
      </c>
    </row>
    <row r="121" spans="1:9" ht="23.25" thickBot="1" x14ac:dyDescent="0.25">
      <c r="A121" s="743" t="s">
        <v>368</v>
      </c>
      <c r="B121" s="744"/>
      <c r="C121" s="744"/>
      <c r="D121" s="744"/>
      <c r="E121" s="744"/>
      <c r="F121" s="744"/>
      <c r="G121" s="745"/>
      <c r="H121" s="413">
        <f>SUM(H113:H120)</f>
        <v>6000</v>
      </c>
    </row>
    <row r="122" spans="1:9" x14ac:dyDescent="0.2">
      <c r="A122" s="222"/>
      <c r="B122" s="222"/>
      <c r="C122" s="222"/>
      <c r="D122" s="222"/>
      <c r="E122" s="222"/>
      <c r="F122" s="222"/>
      <c r="G122" s="15"/>
      <c r="H122" s="223"/>
    </row>
    <row r="123" spans="1:9" x14ac:dyDescent="0.2">
      <c r="A123" s="229"/>
      <c r="B123" s="229"/>
      <c r="C123" s="229"/>
      <c r="D123" s="229"/>
      <c r="E123" s="229"/>
      <c r="F123" s="229"/>
      <c r="G123" s="15"/>
      <c r="H123" s="148"/>
    </row>
    <row r="124" spans="1:9" ht="18" x14ac:dyDescent="0.2">
      <c r="A124" s="801" t="s">
        <v>427</v>
      </c>
      <c r="B124" s="801"/>
      <c r="C124" s="801"/>
      <c r="D124" s="801"/>
      <c r="E124" s="801"/>
      <c r="F124" s="801"/>
      <c r="G124" s="801"/>
      <c r="H124" s="801"/>
    </row>
    <row r="125" spans="1:9" ht="18" x14ac:dyDescent="0.2">
      <c r="A125" s="802" t="s">
        <v>426</v>
      </c>
      <c r="B125" s="802"/>
      <c r="C125" s="802"/>
      <c r="D125" s="802"/>
      <c r="E125" s="802"/>
      <c r="F125" s="802"/>
      <c r="G125" s="802"/>
      <c r="H125" s="802"/>
    </row>
    <row r="126" spans="1:9" ht="15.75" x14ac:dyDescent="0.2">
      <c r="A126" s="803" t="s">
        <v>228</v>
      </c>
      <c r="B126" s="803"/>
      <c r="C126" s="803"/>
      <c r="D126" s="803"/>
      <c r="E126" s="803"/>
      <c r="F126" s="803"/>
      <c r="G126" s="803"/>
      <c r="H126" s="803"/>
    </row>
    <row r="127" spans="1:9" ht="15.75" x14ac:dyDescent="0.2">
      <c r="A127" s="803" t="s">
        <v>532</v>
      </c>
      <c r="B127" s="803"/>
      <c r="C127" s="803"/>
      <c r="D127" s="803"/>
      <c r="E127" s="803"/>
      <c r="F127" s="803"/>
      <c r="G127" s="803"/>
      <c r="H127" s="803"/>
    </row>
    <row r="128" spans="1:9" ht="15" x14ac:dyDescent="0.2">
      <c r="A128" s="804" t="s">
        <v>13</v>
      </c>
      <c r="B128" s="804"/>
      <c r="C128" s="804"/>
      <c r="D128" s="804"/>
      <c r="E128" s="804"/>
      <c r="F128" s="804"/>
      <c r="G128" s="804"/>
      <c r="H128" s="804"/>
    </row>
    <row r="129" spans="1:11" ht="15.75" x14ac:dyDescent="0.25">
      <c r="A129" s="774" t="s">
        <v>372</v>
      </c>
      <c r="B129" s="774"/>
      <c r="C129" s="774"/>
      <c r="D129" s="774"/>
      <c r="E129" s="774"/>
      <c r="F129" s="774"/>
      <c r="G129" s="774"/>
      <c r="H129" s="774"/>
    </row>
    <row r="130" spans="1:11" ht="15.75" x14ac:dyDescent="0.25">
      <c r="A130" s="774" t="str">
        <f>proyectos!B10</f>
        <v>FOMENTO Y PARTICIPACION ACTIVA DE LAS MUJERES DEL MPIO.DE ZARG./2019</v>
      </c>
      <c r="B130" s="774"/>
      <c r="C130" s="774"/>
      <c r="D130" s="774"/>
      <c r="E130" s="774"/>
      <c r="F130" s="774"/>
      <c r="G130" s="774"/>
      <c r="H130" s="774"/>
    </row>
    <row r="131" spans="1:11" ht="15.75" x14ac:dyDescent="0.25">
      <c r="A131" s="774" t="s">
        <v>367</v>
      </c>
      <c r="B131" s="774"/>
      <c r="C131" s="774"/>
      <c r="D131" s="774"/>
      <c r="E131" s="774"/>
      <c r="F131" s="774"/>
      <c r="G131" s="774"/>
      <c r="H131" s="774"/>
    </row>
    <row r="132" spans="1:11" ht="15.75" x14ac:dyDescent="0.25">
      <c r="A132" s="774" t="s">
        <v>604</v>
      </c>
      <c r="B132" s="774"/>
      <c r="C132" s="774"/>
      <c r="D132" s="774"/>
      <c r="E132" s="774"/>
      <c r="F132" s="774"/>
      <c r="G132" s="774"/>
      <c r="H132" s="774"/>
    </row>
    <row r="133" spans="1:11" ht="16.5" thickBot="1" x14ac:dyDescent="0.3">
      <c r="A133" s="770" t="str">
        <f>A130</f>
        <v>FOMENTO Y PARTICIPACION ACTIVA DE LAS MUJERES DEL MPIO.DE ZARG./2019</v>
      </c>
      <c r="B133" s="770"/>
      <c r="C133" s="770"/>
      <c r="D133" s="770"/>
      <c r="E133" s="770"/>
      <c r="F133" s="770"/>
      <c r="G133" s="770"/>
      <c r="H133" s="770"/>
    </row>
    <row r="134" spans="1:11" ht="90.75" thickBot="1" x14ac:dyDescent="1.2">
      <c r="A134" s="786" t="s">
        <v>0</v>
      </c>
      <c r="B134" s="787"/>
      <c r="C134" s="787"/>
      <c r="D134" s="787"/>
      <c r="E134" s="787"/>
      <c r="F134" s="787"/>
      <c r="G134" s="788" t="s">
        <v>181</v>
      </c>
      <c r="H134" s="796" t="s">
        <v>182</v>
      </c>
      <c r="K134" s="131">
        <v>6</v>
      </c>
    </row>
    <row r="135" spans="1:11" ht="166.5" thickBot="1" x14ac:dyDescent="0.25">
      <c r="A135" s="407" t="s">
        <v>172</v>
      </c>
      <c r="B135" s="408" t="s">
        <v>173</v>
      </c>
      <c r="C135" s="408" t="s">
        <v>144</v>
      </c>
      <c r="D135" s="408" t="s">
        <v>175</v>
      </c>
      <c r="E135" s="409" t="s">
        <v>183</v>
      </c>
      <c r="F135" s="410" t="s">
        <v>118</v>
      </c>
      <c r="G135" s="789"/>
      <c r="H135" s="797"/>
    </row>
    <row r="136" spans="1:11" ht="15" x14ac:dyDescent="0.2">
      <c r="A136" s="212">
        <v>3</v>
      </c>
      <c r="B136" s="208" t="s">
        <v>53</v>
      </c>
      <c r="C136" s="208" t="s">
        <v>321</v>
      </c>
      <c r="D136" s="213" t="s">
        <v>51</v>
      </c>
      <c r="E136" s="208" t="s">
        <v>54</v>
      </c>
      <c r="F136" s="2">
        <v>51901</v>
      </c>
      <c r="G136" s="214" t="s">
        <v>274</v>
      </c>
      <c r="H136" s="215">
        <v>2000</v>
      </c>
    </row>
    <row r="137" spans="1:11" ht="15" x14ac:dyDescent="0.2">
      <c r="A137" s="212">
        <v>3</v>
      </c>
      <c r="B137" s="208" t="s">
        <v>53</v>
      </c>
      <c r="C137" s="208" t="s">
        <v>321</v>
      </c>
      <c r="D137" s="213" t="s">
        <v>51</v>
      </c>
      <c r="E137" s="208" t="s">
        <v>54</v>
      </c>
      <c r="F137" s="2">
        <v>54114</v>
      </c>
      <c r="G137" s="214" t="s">
        <v>600</v>
      </c>
      <c r="H137" s="215">
        <v>1500</v>
      </c>
    </row>
    <row r="138" spans="1:11" ht="15" x14ac:dyDescent="0.2">
      <c r="A138" s="212">
        <v>3</v>
      </c>
      <c r="B138" s="208" t="s">
        <v>53</v>
      </c>
      <c r="C138" s="208" t="s">
        <v>321</v>
      </c>
      <c r="D138" s="213" t="s">
        <v>51</v>
      </c>
      <c r="E138" s="208" t="s">
        <v>54</v>
      </c>
      <c r="F138" s="2">
        <v>54199</v>
      </c>
      <c r="G138" s="214" t="s">
        <v>217</v>
      </c>
      <c r="H138" s="215">
        <v>1000</v>
      </c>
    </row>
    <row r="139" spans="1:11" ht="15" x14ac:dyDescent="0.2">
      <c r="A139" s="212">
        <v>3</v>
      </c>
      <c r="B139" s="208" t="s">
        <v>53</v>
      </c>
      <c r="C139" s="208" t="s">
        <v>321</v>
      </c>
      <c r="D139" s="213" t="s">
        <v>51</v>
      </c>
      <c r="E139" s="208" t="s">
        <v>54</v>
      </c>
      <c r="F139" s="2">
        <v>54304</v>
      </c>
      <c r="G139" s="214" t="s">
        <v>387</v>
      </c>
      <c r="H139" s="215">
        <v>1000</v>
      </c>
    </row>
    <row r="140" spans="1:11" ht="15" x14ac:dyDescent="0.2">
      <c r="A140" s="212">
        <v>3</v>
      </c>
      <c r="B140" s="208" t="s">
        <v>53</v>
      </c>
      <c r="C140" s="208" t="s">
        <v>321</v>
      </c>
      <c r="D140" s="213" t="s">
        <v>51</v>
      </c>
      <c r="E140" s="208" t="s">
        <v>54</v>
      </c>
      <c r="F140" s="2">
        <v>54314</v>
      </c>
      <c r="G140" s="214" t="s">
        <v>84</v>
      </c>
      <c r="H140" s="215">
        <v>1500</v>
      </c>
    </row>
    <row r="141" spans="1:11" ht="15.75" thickBot="1" x14ac:dyDescent="0.25">
      <c r="A141" s="212">
        <v>3</v>
      </c>
      <c r="B141" s="208" t="s">
        <v>53</v>
      </c>
      <c r="C141" s="208" t="s">
        <v>321</v>
      </c>
      <c r="D141" s="213" t="s">
        <v>51</v>
      </c>
      <c r="E141" s="208" t="s">
        <v>54</v>
      </c>
      <c r="F141" s="2">
        <v>54399</v>
      </c>
      <c r="G141" s="214" t="s">
        <v>389</v>
      </c>
      <c r="H141" s="215"/>
    </row>
    <row r="142" spans="1:11" ht="23.25" thickBot="1" x14ac:dyDescent="0.25">
      <c r="A142" s="743" t="s">
        <v>368</v>
      </c>
      <c r="B142" s="744"/>
      <c r="C142" s="744"/>
      <c r="D142" s="744"/>
      <c r="E142" s="744"/>
      <c r="F142" s="744"/>
      <c r="G142" s="745"/>
      <c r="H142" s="413">
        <f>SUM(H136:H141)</f>
        <v>7000</v>
      </c>
    </row>
    <row r="143" spans="1:11" x14ac:dyDescent="0.2">
      <c r="A143" s="222"/>
      <c r="B143" s="222"/>
      <c r="C143" s="222"/>
      <c r="D143" s="222"/>
      <c r="E143" s="222"/>
      <c r="F143" s="222"/>
      <c r="G143" s="15"/>
      <c r="H143" s="223"/>
    </row>
    <row r="144" spans="1:11" ht="15" x14ac:dyDescent="0.2">
      <c r="A144" s="782"/>
      <c r="B144" s="782"/>
      <c r="C144" s="782"/>
      <c r="D144" s="782"/>
      <c r="E144" s="782"/>
      <c r="F144" s="782"/>
      <c r="G144" s="15"/>
      <c r="H144" s="228"/>
    </row>
    <row r="145" spans="1:8" x14ac:dyDescent="0.2">
      <c r="A145" s="783"/>
      <c r="B145" s="783"/>
      <c r="C145" s="783"/>
      <c r="D145" s="783"/>
      <c r="E145" s="783"/>
      <c r="F145" s="783"/>
      <c r="G145" s="783"/>
      <c r="H145" s="149"/>
    </row>
    <row r="146" spans="1:8" x14ac:dyDescent="0.2">
      <c r="A146" s="783"/>
      <c r="B146" s="783"/>
      <c r="C146" s="783"/>
      <c r="D146" s="783"/>
      <c r="E146" s="783"/>
      <c r="F146" s="783"/>
      <c r="G146" s="783"/>
      <c r="H146" s="149"/>
    </row>
    <row r="147" spans="1:8" x14ac:dyDescent="0.2">
      <c r="A147" s="783"/>
      <c r="B147" s="783"/>
      <c r="C147" s="783"/>
      <c r="D147" s="783"/>
      <c r="E147" s="783"/>
      <c r="F147" s="783"/>
      <c r="G147" s="783"/>
      <c r="H147" s="148"/>
    </row>
    <row r="148" spans="1:8" x14ac:dyDescent="0.2">
      <c r="A148" s="244"/>
      <c r="B148" s="244"/>
      <c r="C148" s="244"/>
      <c r="D148" s="244"/>
      <c r="E148" s="244"/>
      <c r="F148" s="244"/>
      <c r="G148" s="244"/>
      <c r="H148" s="148"/>
    </row>
    <row r="149" spans="1:8" x14ac:dyDescent="0.2">
      <c r="A149" s="244"/>
      <c r="B149" s="244"/>
      <c r="C149" s="244"/>
      <c r="D149" s="244"/>
      <c r="E149" s="244"/>
      <c r="F149" s="244"/>
      <c r="G149" s="244"/>
      <c r="H149" s="148"/>
    </row>
    <row r="150" spans="1:8" x14ac:dyDescent="0.2">
      <c r="A150" s="229"/>
      <c r="B150" s="229"/>
      <c r="C150" s="229"/>
      <c r="D150" s="229"/>
      <c r="E150" s="229"/>
      <c r="F150" s="229"/>
      <c r="G150" s="15"/>
      <c r="H150" s="148"/>
    </row>
    <row r="151" spans="1:8" ht="18" x14ac:dyDescent="0.2">
      <c r="A151" s="801" t="s">
        <v>427</v>
      </c>
      <c r="B151" s="801"/>
      <c r="C151" s="801"/>
      <c r="D151" s="801"/>
      <c r="E151" s="801"/>
      <c r="F151" s="801"/>
      <c r="G151" s="801"/>
      <c r="H151" s="801"/>
    </row>
    <row r="152" spans="1:8" ht="18" x14ac:dyDescent="0.2">
      <c r="A152" s="802" t="s">
        <v>426</v>
      </c>
      <c r="B152" s="802"/>
      <c r="C152" s="802"/>
      <c r="D152" s="802"/>
      <c r="E152" s="802"/>
      <c r="F152" s="802"/>
      <c r="G152" s="802"/>
      <c r="H152" s="802"/>
    </row>
    <row r="153" spans="1:8" ht="15.75" x14ac:dyDescent="0.2">
      <c r="A153" s="803" t="s">
        <v>228</v>
      </c>
      <c r="B153" s="803"/>
      <c r="C153" s="803"/>
      <c r="D153" s="803"/>
      <c r="E153" s="803"/>
      <c r="F153" s="803"/>
      <c r="G153" s="803"/>
      <c r="H153" s="803"/>
    </row>
    <row r="154" spans="1:8" ht="15.75" x14ac:dyDescent="0.2">
      <c r="A154" s="803" t="s">
        <v>325</v>
      </c>
      <c r="B154" s="803"/>
      <c r="C154" s="803"/>
      <c r="D154" s="803"/>
      <c r="E154" s="803"/>
      <c r="F154" s="803"/>
      <c r="G154" s="803"/>
      <c r="H154" s="803"/>
    </row>
    <row r="155" spans="1:8" ht="15" x14ac:dyDescent="0.2">
      <c r="A155" s="804" t="s">
        <v>13</v>
      </c>
      <c r="B155" s="804"/>
      <c r="C155" s="804"/>
      <c r="D155" s="804"/>
      <c r="E155" s="804"/>
      <c r="F155" s="804"/>
      <c r="G155" s="804"/>
      <c r="H155" s="804"/>
    </row>
    <row r="156" spans="1:8" ht="15.75" x14ac:dyDescent="0.25">
      <c r="A156" s="774" t="s">
        <v>372</v>
      </c>
      <c r="B156" s="774"/>
      <c r="C156" s="774"/>
      <c r="D156" s="774"/>
      <c r="E156" s="774"/>
      <c r="F156" s="774"/>
      <c r="G156" s="774"/>
      <c r="H156" s="774"/>
    </row>
    <row r="157" spans="1:8" ht="15.75" x14ac:dyDescent="0.25">
      <c r="A157" s="774" t="str">
        <f>proyectos!B11</f>
        <v>AYUDA CON LAMINAS A FAMILIAS DE ESCASOS RECURSOS</v>
      </c>
      <c r="B157" s="774"/>
      <c r="C157" s="774"/>
      <c r="D157" s="774"/>
      <c r="E157" s="774"/>
      <c r="F157" s="774"/>
      <c r="G157" s="774"/>
      <c r="H157" s="774"/>
    </row>
    <row r="158" spans="1:8" ht="15.75" x14ac:dyDescent="0.25">
      <c r="A158" s="774" t="s">
        <v>367</v>
      </c>
      <c r="B158" s="774"/>
      <c r="C158" s="774"/>
      <c r="D158" s="774"/>
      <c r="E158" s="774"/>
      <c r="F158" s="774"/>
      <c r="G158" s="774"/>
      <c r="H158" s="774"/>
    </row>
    <row r="159" spans="1:8" ht="15.75" x14ac:dyDescent="0.25">
      <c r="A159" s="774" t="s">
        <v>604</v>
      </c>
      <c r="B159" s="774"/>
      <c r="C159" s="774"/>
      <c r="D159" s="774"/>
      <c r="E159" s="774"/>
      <c r="F159" s="774"/>
      <c r="G159" s="774"/>
      <c r="H159" s="774"/>
    </row>
    <row r="160" spans="1:8" ht="16.5" thickBot="1" x14ac:dyDescent="0.3">
      <c r="A160" s="770" t="str">
        <f>A157</f>
        <v>AYUDA CON LAMINAS A FAMILIAS DE ESCASOS RECURSOS</v>
      </c>
      <c r="B160" s="770"/>
      <c r="C160" s="770"/>
      <c r="D160" s="770"/>
      <c r="E160" s="770"/>
      <c r="F160" s="770"/>
      <c r="G160" s="770"/>
      <c r="H160" s="770"/>
    </row>
    <row r="161" spans="1:11" ht="90.75" thickBot="1" x14ac:dyDescent="1.2">
      <c r="A161" s="786" t="s">
        <v>0</v>
      </c>
      <c r="B161" s="787"/>
      <c r="C161" s="787"/>
      <c r="D161" s="787"/>
      <c r="E161" s="787"/>
      <c r="F161" s="787"/>
      <c r="G161" s="788" t="s">
        <v>181</v>
      </c>
      <c r="H161" s="796" t="s">
        <v>182</v>
      </c>
      <c r="K161" s="131">
        <v>7</v>
      </c>
    </row>
    <row r="162" spans="1:11" ht="166.5" thickBot="1" x14ac:dyDescent="0.25">
      <c r="A162" s="407" t="s">
        <v>172</v>
      </c>
      <c r="B162" s="408" t="s">
        <v>173</v>
      </c>
      <c r="C162" s="408" t="s">
        <v>144</v>
      </c>
      <c r="D162" s="408" t="s">
        <v>175</v>
      </c>
      <c r="E162" s="409" t="s">
        <v>183</v>
      </c>
      <c r="F162" s="410" t="s">
        <v>118</v>
      </c>
      <c r="G162" s="789"/>
      <c r="H162" s="797"/>
    </row>
    <row r="163" spans="1:11" ht="15" x14ac:dyDescent="0.2">
      <c r="A163" s="212">
        <v>3</v>
      </c>
      <c r="B163" s="208" t="s">
        <v>53</v>
      </c>
      <c r="C163" s="208" t="s">
        <v>321</v>
      </c>
      <c r="D163" s="213" t="s">
        <v>51</v>
      </c>
      <c r="E163" s="208" t="s">
        <v>54</v>
      </c>
      <c r="F163" s="2">
        <v>54199</v>
      </c>
      <c r="G163" s="214" t="s">
        <v>217</v>
      </c>
      <c r="H163" s="406"/>
    </row>
    <row r="164" spans="1:11" ht="15.75" thickBot="1" x14ac:dyDescent="0.25">
      <c r="A164" s="212">
        <v>3</v>
      </c>
      <c r="B164" s="208" t="s">
        <v>53</v>
      </c>
      <c r="C164" s="208" t="s">
        <v>321</v>
      </c>
      <c r="D164" s="213" t="s">
        <v>51</v>
      </c>
      <c r="E164" s="208" t="s">
        <v>54</v>
      </c>
      <c r="F164" s="2">
        <v>56304</v>
      </c>
      <c r="G164" s="214" t="s">
        <v>602</v>
      </c>
      <c r="H164" s="406">
        <v>15000</v>
      </c>
    </row>
    <row r="165" spans="1:11" ht="20.25" thickBot="1" x14ac:dyDescent="0.25">
      <c r="A165" s="743" t="s">
        <v>368</v>
      </c>
      <c r="B165" s="744"/>
      <c r="C165" s="744"/>
      <c r="D165" s="744"/>
      <c r="E165" s="744"/>
      <c r="F165" s="744"/>
      <c r="G165" s="745"/>
      <c r="H165" s="414">
        <f>SUM(H163:H164)</f>
        <v>15000</v>
      </c>
    </row>
    <row r="166" spans="1:11" x14ac:dyDescent="0.2">
      <c r="A166" s="222"/>
      <c r="B166" s="222"/>
      <c r="C166" s="222"/>
      <c r="D166" s="222"/>
      <c r="E166" s="222"/>
      <c r="F166" s="222"/>
      <c r="G166" s="15"/>
      <c r="H166" s="223"/>
    </row>
    <row r="167" spans="1:11" ht="15" x14ac:dyDescent="0.2">
      <c r="A167" s="782"/>
      <c r="B167" s="782"/>
      <c r="C167" s="782"/>
      <c r="D167" s="782"/>
      <c r="E167" s="782"/>
      <c r="F167" s="782"/>
      <c r="G167" s="15"/>
      <c r="H167" s="228"/>
    </row>
    <row r="168" spans="1:11" x14ac:dyDescent="0.2">
      <c r="A168" s="783"/>
      <c r="B168" s="783"/>
      <c r="C168" s="783"/>
      <c r="D168" s="783"/>
      <c r="E168" s="783"/>
      <c r="F168" s="783"/>
      <c r="G168" s="783"/>
      <c r="H168" s="149"/>
    </row>
    <row r="169" spans="1:11" x14ac:dyDescent="0.2">
      <c r="A169" s="783"/>
      <c r="B169" s="783"/>
      <c r="C169" s="783"/>
      <c r="D169" s="783"/>
      <c r="E169" s="783"/>
      <c r="F169" s="783"/>
      <c r="G169" s="783"/>
      <c r="H169" s="149"/>
    </row>
    <row r="170" spans="1:11" x14ac:dyDescent="0.2">
      <c r="A170" s="783"/>
      <c r="B170" s="783"/>
      <c r="C170" s="783"/>
      <c r="D170" s="783"/>
      <c r="E170" s="783"/>
      <c r="F170" s="783"/>
      <c r="G170" s="783"/>
      <c r="H170" s="148"/>
    </row>
    <row r="171" spans="1:11" x14ac:dyDescent="0.2">
      <c r="A171" s="229"/>
      <c r="B171" s="229"/>
      <c r="C171" s="229"/>
      <c r="D171" s="229"/>
      <c r="E171" s="229"/>
      <c r="F171" s="229"/>
      <c r="G171" s="15"/>
      <c r="H171" s="148"/>
    </row>
    <row r="172" spans="1:11" ht="18" x14ac:dyDescent="0.2">
      <c r="A172" s="801" t="s">
        <v>427</v>
      </c>
      <c r="B172" s="801"/>
      <c r="C172" s="801"/>
      <c r="D172" s="801"/>
      <c r="E172" s="801"/>
      <c r="F172" s="801"/>
      <c r="G172" s="801"/>
      <c r="H172" s="801"/>
    </row>
    <row r="173" spans="1:11" ht="18" x14ac:dyDescent="0.2">
      <c r="A173" s="802" t="s">
        <v>426</v>
      </c>
      <c r="B173" s="802"/>
      <c r="C173" s="802"/>
      <c r="D173" s="802"/>
      <c r="E173" s="802"/>
      <c r="F173" s="802"/>
      <c r="G173" s="802"/>
      <c r="H173" s="802"/>
    </row>
    <row r="174" spans="1:11" ht="15.75" x14ac:dyDescent="0.2">
      <c r="A174" s="803" t="s">
        <v>228</v>
      </c>
      <c r="B174" s="803"/>
      <c r="C174" s="803"/>
      <c r="D174" s="803"/>
      <c r="E174" s="803"/>
      <c r="F174" s="803"/>
      <c r="G174" s="803"/>
      <c r="H174" s="803"/>
    </row>
    <row r="175" spans="1:11" ht="15.75" x14ac:dyDescent="0.2">
      <c r="A175" s="803" t="s">
        <v>532</v>
      </c>
      <c r="B175" s="803"/>
      <c r="C175" s="803"/>
      <c r="D175" s="803"/>
      <c r="E175" s="803"/>
      <c r="F175" s="803"/>
      <c r="G175" s="803"/>
      <c r="H175" s="803"/>
    </row>
    <row r="176" spans="1:11" ht="15" x14ac:dyDescent="0.2">
      <c r="A176" s="804" t="s">
        <v>13</v>
      </c>
      <c r="B176" s="804"/>
      <c r="C176" s="804"/>
      <c r="D176" s="804"/>
      <c r="E176" s="804"/>
      <c r="F176" s="804"/>
      <c r="G176" s="804"/>
      <c r="H176" s="804"/>
    </row>
    <row r="177" spans="1:11" ht="15.75" x14ac:dyDescent="0.25">
      <c r="A177" s="774" t="s">
        <v>372</v>
      </c>
      <c r="B177" s="774"/>
      <c r="C177" s="774"/>
      <c r="D177" s="774"/>
      <c r="E177" s="774"/>
      <c r="F177" s="774"/>
      <c r="G177" s="774"/>
      <c r="H177" s="774"/>
    </row>
    <row r="178" spans="1:11" ht="15.75" x14ac:dyDescent="0.25">
      <c r="A178" s="774" t="str">
        <f>proyectos!B12</f>
        <v>COMPRA DE PAQUETES  AGRICOLAS 2019</v>
      </c>
      <c r="B178" s="774"/>
      <c r="C178" s="774"/>
      <c r="D178" s="774"/>
      <c r="E178" s="774"/>
      <c r="F178" s="774"/>
      <c r="G178" s="774"/>
      <c r="H178" s="774"/>
    </row>
    <row r="179" spans="1:11" ht="15.75" x14ac:dyDescent="0.25">
      <c r="A179" s="774" t="s">
        <v>367</v>
      </c>
      <c r="B179" s="774"/>
      <c r="C179" s="774"/>
      <c r="D179" s="774"/>
      <c r="E179" s="774"/>
      <c r="F179" s="774"/>
      <c r="G179" s="774"/>
      <c r="H179" s="774"/>
    </row>
    <row r="180" spans="1:11" ht="15.75" x14ac:dyDescent="0.25">
      <c r="A180" s="774" t="s">
        <v>604</v>
      </c>
      <c r="B180" s="774"/>
      <c r="C180" s="774"/>
      <c r="D180" s="774"/>
      <c r="E180" s="774"/>
      <c r="F180" s="774"/>
      <c r="G180" s="774"/>
      <c r="H180" s="774"/>
    </row>
    <row r="181" spans="1:11" ht="15.75" thickBot="1" x14ac:dyDescent="0.3">
      <c r="A181" s="771" t="str">
        <f>A178</f>
        <v>COMPRA DE PAQUETES  AGRICOLAS 2019</v>
      </c>
      <c r="B181" s="771"/>
      <c r="C181" s="771"/>
      <c r="D181" s="771"/>
      <c r="E181" s="771"/>
      <c r="F181" s="771"/>
      <c r="G181" s="771"/>
      <c r="H181" s="771"/>
    </row>
    <row r="182" spans="1:11" ht="90.75" thickBot="1" x14ac:dyDescent="1.2">
      <c r="A182" s="786" t="s">
        <v>0</v>
      </c>
      <c r="B182" s="787"/>
      <c r="C182" s="787"/>
      <c r="D182" s="787"/>
      <c r="E182" s="787"/>
      <c r="F182" s="787"/>
      <c r="G182" s="788" t="s">
        <v>181</v>
      </c>
      <c r="H182" s="796" t="s">
        <v>182</v>
      </c>
      <c r="K182" s="131">
        <v>8</v>
      </c>
    </row>
    <row r="183" spans="1:11" ht="166.5" thickBot="1" x14ac:dyDescent="0.25">
      <c r="A183" s="407" t="s">
        <v>172</v>
      </c>
      <c r="B183" s="408" t="s">
        <v>173</v>
      </c>
      <c r="C183" s="408" t="s">
        <v>144</v>
      </c>
      <c r="D183" s="408" t="s">
        <v>175</v>
      </c>
      <c r="E183" s="409" t="s">
        <v>183</v>
      </c>
      <c r="F183" s="410" t="s">
        <v>118</v>
      </c>
      <c r="G183" s="789"/>
      <c r="H183" s="797"/>
    </row>
    <row r="184" spans="1:11" ht="15" x14ac:dyDescent="0.2">
      <c r="A184" s="212">
        <v>3</v>
      </c>
      <c r="B184" s="208" t="s">
        <v>53</v>
      </c>
      <c r="C184" s="208" t="s">
        <v>321</v>
      </c>
      <c r="D184" s="213" t="s">
        <v>51</v>
      </c>
      <c r="E184" s="208" t="s">
        <v>54</v>
      </c>
      <c r="F184" s="2">
        <v>54107</v>
      </c>
      <c r="G184" s="214" t="s">
        <v>601</v>
      </c>
      <c r="H184" s="215">
        <v>15000</v>
      </c>
    </row>
    <row r="185" spans="1:11" ht="15.75" thickBot="1" x14ac:dyDescent="0.25">
      <c r="A185" s="212">
        <v>3</v>
      </c>
      <c r="B185" s="208" t="s">
        <v>53</v>
      </c>
      <c r="C185" s="208" t="s">
        <v>321</v>
      </c>
      <c r="D185" s="213" t="s">
        <v>51</v>
      </c>
      <c r="E185" s="208" t="s">
        <v>54</v>
      </c>
      <c r="F185" s="2">
        <v>54103</v>
      </c>
      <c r="G185" s="214" t="s">
        <v>230</v>
      </c>
      <c r="H185" s="215"/>
    </row>
    <row r="186" spans="1:11" ht="18.75" thickBot="1" x14ac:dyDescent="0.25">
      <c r="A186" s="790" t="s">
        <v>368</v>
      </c>
      <c r="B186" s="791"/>
      <c r="C186" s="791"/>
      <c r="D186" s="791"/>
      <c r="E186" s="791"/>
      <c r="F186" s="791"/>
      <c r="G186" s="792"/>
      <c r="H186" s="405">
        <f>SUM(H184:H185)</f>
        <v>15000</v>
      </c>
    </row>
    <row r="187" spans="1:11" x14ac:dyDescent="0.2">
      <c r="A187" s="222"/>
      <c r="B187" s="222"/>
      <c r="C187" s="222"/>
      <c r="D187" s="222"/>
      <c r="E187" s="222"/>
      <c r="F187" s="222"/>
      <c r="G187" s="15"/>
      <c r="H187" s="223"/>
    </row>
    <row r="188" spans="1:11" ht="15" x14ac:dyDescent="0.2">
      <c r="A188" s="782"/>
      <c r="B188" s="782"/>
      <c r="C188" s="782"/>
      <c r="D188" s="782"/>
      <c r="E188" s="782"/>
      <c r="F188" s="782"/>
      <c r="G188" s="15"/>
      <c r="H188" s="228"/>
    </row>
    <row r="189" spans="1:11" x14ac:dyDescent="0.2">
      <c r="A189" s="783"/>
      <c r="B189" s="783"/>
      <c r="C189" s="783"/>
      <c r="D189" s="783"/>
      <c r="E189" s="783"/>
      <c r="F189" s="783"/>
      <c r="G189" s="783"/>
      <c r="H189" s="149"/>
    </row>
    <row r="190" spans="1:11" x14ac:dyDescent="0.2">
      <c r="A190" s="783"/>
      <c r="B190" s="783"/>
      <c r="C190" s="783"/>
      <c r="D190" s="783"/>
      <c r="E190" s="783"/>
      <c r="F190" s="783"/>
      <c r="G190" s="783"/>
      <c r="H190" s="149"/>
    </row>
    <row r="191" spans="1:11" x14ac:dyDescent="0.2">
      <c r="A191" s="783"/>
      <c r="B191" s="783"/>
      <c r="C191" s="783"/>
      <c r="D191" s="783"/>
      <c r="E191" s="783"/>
      <c r="F191" s="783"/>
      <c r="G191" s="783"/>
      <c r="H191" s="148"/>
    </row>
    <row r="192" spans="1:11" x14ac:dyDescent="0.2">
      <c r="A192" s="244"/>
      <c r="B192" s="244"/>
      <c r="C192" s="244"/>
      <c r="D192" s="244"/>
      <c r="E192" s="244"/>
      <c r="F192" s="244"/>
      <c r="G192" s="244"/>
      <c r="H192" s="148"/>
    </row>
    <row r="193" spans="1:11" x14ac:dyDescent="0.2">
      <c r="A193" s="244"/>
      <c r="B193" s="244"/>
      <c r="C193" s="244"/>
      <c r="D193" s="244"/>
      <c r="E193" s="244"/>
      <c r="F193" s="244"/>
      <c r="G193" s="244"/>
      <c r="H193" s="148"/>
    </row>
    <row r="194" spans="1:11" x14ac:dyDescent="0.2">
      <c r="A194" s="229"/>
      <c r="B194" s="229"/>
      <c r="C194" s="229"/>
      <c r="D194" s="229"/>
      <c r="E194" s="229"/>
      <c r="F194" s="229"/>
      <c r="G194" s="15"/>
      <c r="H194" s="148"/>
    </row>
    <row r="195" spans="1:11" ht="18" x14ac:dyDescent="0.2">
      <c r="A195" s="801" t="s">
        <v>427</v>
      </c>
      <c r="B195" s="801"/>
      <c r="C195" s="801"/>
      <c r="D195" s="801"/>
      <c r="E195" s="801"/>
      <c r="F195" s="801"/>
      <c r="G195" s="801"/>
      <c r="H195" s="801"/>
    </row>
    <row r="196" spans="1:11" ht="18" x14ac:dyDescent="0.2">
      <c r="A196" s="802" t="s">
        <v>426</v>
      </c>
      <c r="B196" s="802"/>
      <c r="C196" s="802"/>
      <c r="D196" s="802"/>
      <c r="E196" s="802"/>
      <c r="F196" s="802"/>
      <c r="G196" s="802"/>
      <c r="H196" s="802"/>
    </row>
    <row r="197" spans="1:11" ht="15.75" x14ac:dyDescent="0.2">
      <c r="A197" s="803" t="s">
        <v>228</v>
      </c>
      <c r="B197" s="803"/>
      <c r="C197" s="803"/>
      <c r="D197" s="803"/>
      <c r="E197" s="803"/>
      <c r="F197" s="803"/>
      <c r="G197" s="803"/>
      <c r="H197" s="803"/>
    </row>
    <row r="198" spans="1:11" ht="15.75" x14ac:dyDescent="0.2">
      <c r="A198" s="803" t="s">
        <v>532</v>
      </c>
      <c r="B198" s="803"/>
      <c r="C198" s="803"/>
      <c r="D198" s="803"/>
      <c r="E198" s="803"/>
      <c r="F198" s="803"/>
      <c r="G198" s="803"/>
      <c r="H198" s="803"/>
    </row>
    <row r="199" spans="1:11" ht="15" x14ac:dyDescent="0.2">
      <c r="A199" s="804" t="s">
        <v>13</v>
      </c>
      <c r="B199" s="804"/>
      <c r="C199" s="804"/>
      <c r="D199" s="804"/>
      <c r="E199" s="804"/>
      <c r="F199" s="804"/>
      <c r="G199" s="804"/>
      <c r="H199" s="804"/>
    </row>
    <row r="200" spans="1:11" ht="15.75" x14ac:dyDescent="0.25">
      <c r="A200" s="774" t="s">
        <v>372</v>
      </c>
      <c r="B200" s="774"/>
      <c r="C200" s="774"/>
      <c r="D200" s="774"/>
      <c r="E200" s="774"/>
      <c r="F200" s="774"/>
      <c r="G200" s="774"/>
      <c r="H200" s="774"/>
    </row>
    <row r="201" spans="1:11" ht="15.75" x14ac:dyDescent="0.25">
      <c r="A201" s="774" t="str">
        <f>proyectos!B13</f>
        <v>ASISTENCIA ALIMENTICIA PARA ADULTOS MAYORES DEL MUNICIPIO ZGZA. (500X$20)</v>
      </c>
      <c r="B201" s="774"/>
      <c r="C201" s="774"/>
      <c r="D201" s="774"/>
      <c r="E201" s="774"/>
      <c r="F201" s="774"/>
      <c r="G201" s="774"/>
      <c r="H201" s="774"/>
    </row>
    <row r="202" spans="1:11" ht="15.75" x14ac:dyDescent="0.25">
      <c r="A202" s="774" t="s">
        <v>367</v>
      </c>
      <c r="B202" s="774"/>
      <c r="C202" s="774"/>
      <c r="D202" s="774"/>
      <c r="E202" s="774"/>
      <c r="F202" s="774"/>
      <c r="G202" s="774"/>
      <c r="H202" s="774"/>
    </row>
    <row r="203" spans="1:11" ht="15.75" x14ac:dyDescent="0.25">
      <c r="A203" s="774" t="s">
        <v>604</v>
      </c>
      <c r="B203" s="774"/>
      <c r="C203" s="774"/>
      <c r="D203" s="774"/>
      <c r="E203" s="774"/>
      <c r="F203" s="774"/>
      <c r="G203" s="774"/>
      <c r="H203" s="774"/>
    </row>
    <row r="204" spans="1:11" ht="15" x14ac:dyDescent="0.25">
      <c r="A204" s="772" t="str">
        <f>A201</f>
        <v>ASISTENCIA ALIMENTICIA PARA ADULTOS MAYORES DEL MUNICIPIO ZGZA. (500X$20)</v>
      </c>
      <c r="B204" s="772"/>
      <c r="C204" s="772"/>
      <c r="D204" s="772"/>
      <c r="E204" s="772"/>
      <c r="F204" s="772"/>
      <c r="G204" s="772"/>
      <c r="H204" s="772"/>
    </row>
    <row r="205" spans="1:11" ht="90.75" thickBot="1" x14ac:dyDescent="1.2">
      <c r="A205" s="805" t="s">
        <v>0</v>
      </c>
      <c r="B205" s="806"/>
      <c r="C205" s="806"/>
      <c r="D205" s="806"/>
      <c r="E205" s="806"/>
      <c r="F205" s="806"/>
      <c r="G205" s="807" t="s">
        <v>181</v>
      </c>
      <c r="H205" s="808" t="s">
        <v>182</v>
      </c>
      <c r="K205" s="131">
        <v>9</v>
      </c>
    </row>
    <row r="206" spans="1:11" ht="166.5" thickBot="1" x14ac:dyDescent="0.25">
      <c r="A206" s="407" t="s">
        <v>172</v>
      </c>
      <c r="B206" s="408" t="s">
        <v>173</v>
      </c>
      <c r="C206" s="408" t="s">
        <v>144</v>
      </c>
      <c r="D206" s="408" t="s">
        <v>175</v>
      </c>
      <c r="E206" s="409" t="s">
        <v>183</v>
      </c>
      <c r="F206" s="410" t="s">
        <v>118</v>
      </c>
      <c r="G206" s="789"/>
      <c r="H206" s="797"/>
    </row>
    <row r="207" spans="1:11" ht="15" x14ac:dyDescent="0.2">
      <c r="A207" s="212">
        <v>3</v>
      </c>
      <c r="B207" s="208" t="s">
        <v>53</v>
      </c>
      <c r="C207" s="208" t="s">
        <v>321</v>
      </c>
      <c r="D207" s="213" t="s">
        <v>51</v>
      </c>
      <c r="E207" s="208" t="s">
        <v>54</v>
      </c>
      <c r="F207" s="2">
        <v>56304</v>
      </c>
      <c r="G207" s="214" t="s">
        <v>603</v>
      </c>
      <c r="H207" s="215">
        <v>30000</v>
      </c>
    </row>
    <row r="208" spans="1:11" ht="15.75" thickBot="1" x14ac:dyDescent="0.25">
      <c r="A208" s="417"/>
      <c r="B208" s="213"/>
      <c r="C208" s="213"/>
      <c r="D208" s="213"/>
      <c r="E208" s="213"/>
      <c r="F208" s="418"/>
      <c r="G208" s="419"/>
      <c r="H208" s="421"/>
    </row>
    <row r="209" spans="1:8" ht="18.75" thickBot="1" x14ac:dyDescent="0.25">
      <c r="A209" s="809" t="s">
        <v>368</v>
      </c>
      <c r="B209" s="810"/>
      <c r="C209" s="810"/>
      <c r="D209" s="810"/>
      <c r="E209" s="810"/>
      <c r="F209" s="810"/>
      <c r="G209" s="811"/>
      <c r="H209" s="411">
        <f>SUM(H207:H207)</f>
        <v>30000</v>
      </c>
    </row>
    <row r="210" spans="1:8" x14ac:dyDescent="0.2">
      <c r="A210" s="222"/>
      <c r="B210" s="222"/>
      <c r="C210" s="222"/>
      <c r="D210" s="222"/>
      <c r="E210" s="222"/>
      <c r="F210" s="222"/>
      <c r="G210" s="15"/>
      <c r="H210" s="223"/>
    </row>
    <row r="211" spans="1:8" ht="15" x14ac:dyDescent="0.2">
      <c r="A211" s="782"/>
      <c r="B211" s="782"/>
      <c r="C211" s="782"/>
      <c r="D211" s="782"/>
      <c r="E211" s="782"/>
      <c r="F211" s="782"/>
      <c r="G211" s="15"/>
      <c r="H211" s="228"/>
    </row>
    <row r="212" spans="1:8" x14ac:dyDescent="0.2">
      <c r="A212" s="783"/>
      <c r="B212" s="783"/>
      <c r="C212" s="783"/>
      <c r="D212" s="783"/>
      <c r="E212" s="783"/>
      <c r="F212" s="783"/>
      <c r="G212" s="783"/>
      <c r="H212" s="149"/>
    </row>
    <row r="213" spans="1:8" x14ac:dyDescent="0.2">
      <c r="A213" s="783"/>
      <c r="B213" s="783"/>
      <c r="C213" s="783"/>
      <c r="D213" s="783"/>
      <c r="E213" s="783"/>
      <c r="F213" s="783"/>
      <c r="G213" s="783"/>
      <c r="H213" s="149"/>
    </row>
    <row r="214" spans="1:8" x14ac:dyDescent="0.2">
      <c r="A214" s="783"/>
      <c r="B214" s="783"/>
      <c r="C214" s="783"/>
      <c r="D214" s="783"/>
      <c r="E214" s="783"/>
      <c r="F214" s="783"/>
      <c r="G214" s="783"/>
      <c r="H214" s="148"/>
    </row>
    <row r="215" spans="1:8" x14ac:dyDescent="0.2">
      <c r="A215" s="229"/>
      <c r="B215" s="229"/>
      <c r="C215" s="229"/>
      <c r="D215" s="229"/>
      <c r="E215" s="229"/>
      <c r="F215" s="229"/>
      <c r="G215" s="15"/>
      <c r="H215" s="148"/>
    </row>
    <row r="216" spans="1:8" ht="18" x14ac:dyDescent="0.2">
      <c r="A216" s="801" t="s">
        <v>427</v>
      </c>
      <c r="B216" s="801"/>
      <c r="C216" s="801"/>
      <c r="D216" s="801"/>
      <c r="E216" s="801"/>
      <c r="F216" s="801"/>
      <c r="G216" s="801"/>
      <c r="H216" s="801"/>
    </row>
    <row r="217" spans="1:8" ht="18" x14ac:dyDescent="0.2">
      <c r="A217" s="802" t="s">
        <v>426</v>
      </c>
      <c r="B217" s="802"/>
      <c r="C217" s="802"/>
      <c r="D217" s="802"/>
      <c r="E217" s="802"/>
      <c r="F217" s="802"/>
      <c r="G217" s="802"/>
      <c r="H217" s="802"/>
    </row>
    <row r="218" spans="1:8" ht="15.75" x14ac:dyDescent="0.2">
      <c r="A218" s="803" t="s">
        <v>228</v>
      </c>
      <c r="B218" s="803"/>
      <c r="C218" s="803"/>
      <c r="D218" s="803"/>
      <c r="E218" s="803"/>
      <c r="F218" s="803"/>
      <c r="G218" s="803"/>
      <c r="H218" s="803"/>
    </row>
    <row r="219" spans="1:8" ht="15.75" x14ac:dyDescent="0.2">
      <c r="A219" s="803" t="s">
        <v>532</v>
      </c>
      <c r="B219" s="803"/>
      <c r="C219" s="803"/>
      <c r="D219" s="803"/>
      <c r="E219" s="803"/>
      <c r="F219" s="803"/>
      <c r="G219" s="803"/>
      <c r="H219" s="803"/>
    </row>
    <row r="220" spans="1:8" ht="15" x14ac:dyDescent="0.2">
      <c r="A220" s="804" t="s">
        <v>13</v>
      </c>
      <c r="B220" s="804"/>
      <c r="C220" s="804"/>
      <c r="D220" s="804"/>
      <c r="E220" s="804"/>
      <c r="F220" s="804"/>
      <c r="G220" s="804"/>
      <c r="H220" s="804"/>
    </row>
    <row r="221" spans="1:8" ht="15.75" x14ac:dyDescent="0.25">
      <c r="A221" s="774" t="s">
        <v>372</v>
      </c>
      <c r="B221" s="774"/>
      <c r="C221" s="774"/>
      <c r="D221" s="774"/>
      <c r="E221" s="774"/>
      <c r="F221" s="774"/>
      <c r="G221" s="774"/>
      <c r="H221" s="774"/>
    </row>
    <row r="222" spans="1:8" ht="15.75" x14ac:dyDescent="0.25">
      <c r="A222" s="774" t="str">
        <f>proyectos!B14</f>
        <v>CELEBRACION DE FIESTAS NACIONALES, CIVICAS Y NAVIDEÑAS 2019</v>
      </c>
      <c r="B222" s="774"/>
      <c r="C222" s="774"/>
      <c r="D222" s="774"/>
      <c r="E222" s="774"/>
      <c r="F222" s="774"/>
      <c r="G222" s="774"/>
      <c r="H222" s="774"/>
    </row>
    <row r="223" spans="1:8" ht="15.75" x14ac:dyDescent="0.25">
      <c r="A223" s="774" t="s">
        <v>367</v>
      </c>
      <c r="B223" s="774"/>
      <c r="C223" s="774"/>
      <c r="D223" s="774"/>
      <c r="E223" s="774"/>
      <c r="F223" s="774"/>
      <c r="G223" s="774"/>
      <c r="H223" s="774"/>
    </row>
    <row r="224" spans="1:8" ht="15.75" customHeight="1" x14ac:dyDescent="0.25">
      <c r="A224" s="774" t="s">
        <v>604</v>
      </c>
      <c r="B224" s="774"/>
      <c r="C224" s="774"/>
      <c r="D224" s="774"/>
      <c r="E224" s="774"/>
      <c r="F224" s="774"/>
      <c r="G224" s="774"/>
      <c r="H224" s="774"/>
    </row>
    <row r="225" spans="1:11" ht="15.75" x14ac:dyDescent="0.25">
      <c r="A225" s="773" t="str">
        <f>A222</f>
        <v>CELEBRACION DE FIESTAS NACIONALES, CIVICAS Y NAVIDEÑAS 2019</v>
      </c>
      <c r="B225" s="773"/>
      <c r="C225" s="773"/>
      <c r="D225" s="773"/>
      <c r="E225" s="773"/>
      <c r="F225" s="773"/>
      <c r="G225" s="773"/>
      <c r="H225" s="773"/>
    </row>
    <row r="226" spans="1:11" ht="90" x14ac:dyDescent="1.1499999999999999">
      <c r="A226" s="812" t="s">
        <v>0</v>
      </c>
      <c r="B226" s="812"/>
      <c r="C226" s="812"/>
      <c r="D226" s="812"/>
      <c r="E226" s="812"/>
      <c r="F226" s="812"/>
      <c r="G226" s="813" t="s">
        <v>181</v>
      </c>
      <c r="H226" s="814" t="s">
        <v>182</v>
      </c>
      <c r="K226" s="131">
        <v>10</v>
      </c>
    </row>
    <row r="227" spans="1:11" ht="165.75" x14ac:dyDescent="0.2">
      <c r="A227" s="415" t="s">
        <v>172</v>
      </c>
      <c r="B227" s="415" t="s">
        <v>173</v>
      </c>
      <c r="C227" s="415" t="s">
        <v>144</v>
      </c>
      <c r="D227" s="415" t="s">
        <v>175</v>
      </c>
      <c r="E227" s="415" t="s">
        <v>183</v>
      </c>
      <c r="F227" s="415" t="s">
        <v>118</v>
      </c>
      <c r="G227" s="813"/>
      <c r="H227" s="814"/>
    </row>
    <row r="228" spans="1:11" ht="15" x14ac:dyDescent="0.2">
      <c r="A228" s="212">
        <v>3</v>
      </c>
      <c r="B228" s="208" t="s">
        <v>53</v>
      </c>
      <c r="C228" s="208" t="s">
        <v>321</v>
      </c>
      <c r="D228" s="213" t="s">
        <v>51</v>
      </c>
      <c r="E228" s="208" t="s">
        <v>54</v>
      </c>
      <c r="F228" s="2">
        <v>54199</v>
      </c>
      <c r="G228" s="214" t="s">
        <v>217</v>
      </c>
      <c r="H228" s="215"/>
    </row>
    <row r="229" spans="1:11" ht="15" x14ac:dyDescent="0.2">
      <c r="A229" s="212">
        <v>3</v>
      </c>
      <c r="B229" s="208" t="s">
        <v>53</v>
      </c>
      <c r="C229" s="208" t="s">
        <v>321</v>
      </c>
      <c r="D229" s="213" t="s">
        <v>51</v>
      </c>
      <c r="E229" s="208" t="s">
        <v>54</v>
      </c>
      <c r="F229" s="2">
        <v>54314</v>
      </c>
      <c r="G229" s="214" t="s">
        <v>81</v>
      </c>
      <c r="H229" s="215">
        <v>30000</v>
      </c>
    </row>
    <row r="230" spans="1:11" ht="15" x14ac:dyDescent="0.2">
      <c r="A230" s="212">
        <v>3</v>
      </c>
      <c r="B230" s="208" t="s">
        <v>53</v>
      </c>
      <c r="C230" s="208" t="s">
        <v>321</v>
      </c>
      <c r="D230" s="213" t="s">
        <v>51</v>
      </c>
      <c r="E230" s="208" t="s">
        <v>54</v>
      </c>
      <c r="F230" s="418">
        <v>54118</v>
      </c>
      <c r="G230" s="419" t="s">
        <v>606</v>
      </c>
      <c r="H230" s="420"/>
    </row>
    <row r="231" spans="1:11" ht="15" x14ac:dyDescent="0.2">
      <c r="A231" s="212">
        <v>3</v>
      </c>
      <c r="B231" s="208" t="s">
        <v>53</v>
      </c>
      <c r="C231" s="208" t="s">
        <v>321</v>
      </c>
      <c r="D231" s="213" t="s">
        <v>51</v>
      </c>
      <c r="E231" s="208" t="s">
        <v>54</v>
      </c>
      <c r="F231" s="418">
        <v>51901</v>
      </c>
      <c r="G231" s="419" t="s">
        <v>274</v>
      </c>
      <c r="H231" s="420"/>
    </row>
    <row r="232" spans="1:11" ht="18.75" thickBot="1" x14ac:dyDescent="0.25">
      <c r="A232" s="809" t="s">
        <v>368</v>
      </c>
      <c r="B232" s="810"/>
      <c r="C232" s="810"/>
      <c r="D232" s="810"/>
      <c r="E232" s="810"/>
      <c r="F232" s="810"/>
      <c r="G232" s="811"/>
      <c r="H232" s="416">
        <f>SUM(H228:H229)</f>
        <v>30000</v>
      </c>
    </row>
    <row r="233" spans="1:11" x14ac:dyDescent="0.2">
      <c r="A233" s="222"/>
      <c r="B233" s="222"/>
      <c r="C233" s="222"/>
      <c r="D233" s="222"/>
      <c r="E233" s="222"/>
      <c r="F233" s="222"/>
      <c r="G233" s="15"/>
      <c r="H233" s="223"/>
    </row>
    <row r="234" spans="1:11" ht="15" x14ac:dyDescent="0.2">
      <c r="A234" s="782"/>
      <c r="B234" s="782"/>
      <c r="C234" s="782"/>
      <c r="D234" s="782"/>
      <c r="E234" s="782"/>
      <c r="F234" s="782"/>
      <c r="G234" s="15"/>
      <c r="H234" s="228"/>
    </row>
    <row r="235" spans="1:11" x14ac:dyDescent="0.2">
      <c r="A235" s="244"/>
      <c r="B235" s="244"/>
      <c r="C235" s="244"/>
      <c r="D235" s="244"/>
      <c r="E235" s="244"/>
      <c r="F235" s="244"/>
      <c r="G235" s="244"/>
      <c r="H235" s="148"/>
    </row>
    <row r="236" spans="1:11" x14ac:dyDescent="0.2">
      <c r="A236" s="229"/>
      <c r="B236" s="229"/>
      <c r="C236" s="229"/>
      <c r="D236" s="229"/>
      <c r="E236" s="229"/>
      <c r="F236" s="229"/>
      <c r="G236" s="15"/>
      <c r="H236" s="148"/>
    </row>
    <row r="237" spans="1:11" ht="18" x14ac:dyDescent="0.2">
      <c r="A237" s="801" t="s">
        <v>427</v>
      </c>
      <c r="B237" s="801"/>
      <c r="C237" s="801"/>
      <c r="D237" s="801"/>
      <c r="E237" s="801"/>
      <c r="F237" s="801"/>
      <c r="G237" s="801"/>
      <c r="H237" s="801"/>
    </row>
    <row r="238" spans="1:11" ht="18" x14ac:dyDescent="0.2">
      <c r="A238" s="802" t="s">
        <v>426</v>
      </c>
      <c r="B238" s="802"/>
      <c r="C238" s="802"/>
      <c r="D238" s="802"/>
      <c r="E238" s="802"/>
      <c r="F238" s="802"/>
      <c r="G238" s="802"/>
      <c r="H238" s="802"/>
    </row>
    <row r="239" spans="1:11" ht="15.75" x14ac:dyDescent="0.2">
      <c r="A239" s="803" t="s">
        <v>228</v>
      </c>
      <c r="B239" s="803"/>
      <c r="C239" s="803"/>
      <c r="D239" s="803"/>
      <c r="E239" s="803"/>
      <c r="F239" s="803"/>
      <c r="G239" s="803"/>
      <c r="H239" s="803"/>
    </row>
    <row r="240" spans="1:11" ht="15.75" x14ac:dyDescent="0.2">
      <c r="A240" s="803" t="s">
        <v>532</v>
      </c>
      <c r="B240" s="803"/>
      <c r="C240" s="803"/>
      <c r="D240" s="803"/>
      <c r="E240" s="803"/>
      <c r="F240" s="803"/>
      <c r="G240" s="803"/>
      <c r="H240" s="803"/>
    </row>
    <row r="241" spans="1:11" ht="15" x14ac:dyDescent="0.2">
      <c r="A241" s="804" t="s">
        <v>13</v>
      </c>
      <c r="B241" s="804"/>
      <c r="C241" s="804"/>
      <c r="D241" s="804"/>
      <c r="E241" s="804"/>
      <c r="F241" s="804"/>
      <c r="G241" s="804"/>
      <c r="H241" s="804"/>
    </row>
    <row r="242" spans="1:11" ht="15.75" x14ac:dyDescent="0.25">
      <c r="A242" s="774" t="s">
        <v>372</v>
      </c>
      <c r="B242" s="774"/>
      <c r="C242" s="774"/>
      <c r="D242" s="774"/>
      <c r="E242" s="774"/>
      <c r="F242" s="774"/>
      <c r="G242" s="774"/>
      <c r="H242" s="774"/>
    </row>
    <row r="243" spans="1:11" ht="15.75" x14ac:dyDescent="0.25">
      <c r="A243" s="774" t="str">
        <f>proyectos!B15</f>
        <v>PROGRAMA DE APOYO A LA NIÑEZ Y LA ADOLESCENCIA</v>
      </c>
      <c r="B243" s="774"/>
      <c r="C243" s="774"/>
      <c r="D243" s="774"/>
      <c r="E243" s="774"/>
      <c r="F243" s="774"/>
      <c r="G243" s="774"/>
      <c r="H243" s="774"/>
    </row>
    <row r="244" spans="1:11" ht="15.75" x14ac:dyDescent="0.25">
      <c r="A244" s="774" t="s">
        <v>367</v>
      </c>
      <c r="B244" s="774"/>
      <c r="C244" s="774"/>
      <c r="D244" s="774"/>
      <c r="E244" s="774"/>
      <c r="F244" s="774"/>
      <c r="G244" s="774"/>
      <c r="H244" s="774"/>
    </row>
    <row r="245" spans="1:11" ht="15.75" x14ac:dyDescent="0.25">
      <c r="A245" s="774" t="s">
        <v>370</v>
      </c>
      <c r="B245" s="774"/>
      <c r="C245" s="774"/>
      <c r="D245" s="774"/>
      <c r="E245" s="774"/>
      <c r="F245" s="774"/>
      <c r="G245" s="774"/>
      <c r="H245" s="774"/>
    </row>
    <row r="246" spans="1:11" ht="15" x14ac:dyDescent="0.2">
      <c r="A246" s="775" t="str">
        <f>A243</f>
        <v>PROGRAMA DE APOYO A LA NIÑEZ Y LA ADOLESCENCIA</v>
      </c>
      <c r="B246" s="775"/>
      <c r="C246" s="775"/>
      <c r="D246" s="775"/>
      <c r="E246" s="775"/>
      <c r="F246" s="775"/>
      <c r="G246" s="775"/>
      <c r="H246" s="775"/>
    </row>
    <row r="247" spans="1:11" ht="90" x14ac:dyDescent="1.1499999999999999">
      <c r="A247" s="812" t="s">
        <v>0</v>
      </c>
      <c r="B247" s="812"/>
      <c r="C247" s="812"/>
      <c r="D247" s="812"/>
      <c r="E247" s="812"/>
      <c r="F247" s="812"/>
      <c r="G247" s="813" t="s">
        <v>181</v>
      </c>
      <c r="H247" s="814" t="s">
        <v>182</v>
      </c>
      <c r="K247" s="131">
        <v>11</v>
      </c>
    </row>
    <row r="248" spans="1:11" ht="165.75" x14ac:dyDescent="0.2">
      <c r="A248" s="415" t="s">
        <v>172</v>
      </c>
      <c r="B248" s="415" t="s">
        <v>173</v>
      </c>
      <c r="C248" s="415" t="s">
        <v>144</v>
      </c>
      <c r="D248" s="415" t="s">
        <v>175</v>
      </c>
      <c r="E248" s="415" t="s">
        <v>183</v>
      </c>
      <c r="F248" s="415" t="s">
        <v>118</v>
      </c>
      <c r="G248" s="813"/>
      <c r="H248" s="814"/>
    </row>
    <row r="249" spans="1:11" ht="15" x14ac:dyDescent="0.2">
      <c r="A249" s="207">
        <v>3</v>
      </c>
      <c r="B249" s="208" t="s">
        <v>53</v>
      </c>
      <c r="C249" s="208" t="s">
        <v>321</v>
      </c>
      <c r="D249" s="208" t="s">
        <v>51</v>
      </c>
      <c r="E249" s="208" t="s">
        <v>54</v>
      </c>
      <c r="F249" s="209" t="s">
        <v>273</v>
      </c>
      <c r="G249" s="210" t="s">
        <v>274</v>
      </c>
      <c r="H249" s="211">
        <v>1000</v>
      </c>
    </row>
    <row r="250" spans="1:11" ht="15" x14ac:dyDescent="0.2">
      <c r="A250" s="212">
        <v>3</v>
      </c>
      <c r="B250" s="208" t="s">
        <v>53</v>
      </c>
      <c r="C250" s="208" t="s">
        <v>321</v>
      </c>
      <c r="D250" s="213" t="s">
        <v>51</v>
      </c>
      <c r="E250" s="208" t="s">
        <v>54</v>
      </c>
      <c r="F250" s="2">
        <v>54304</v>
      </c>
      <c r="G250" s="214" t="s">
        <v>605</v>
      </c>
      <c r="H250" s="215">
        <v>1000</v>
      </c>
    </row>
    <row r="251" spans="1:11" ht="15" x14ac:dyDescent="0.2">
      <c r="A251" s="212">
        <v>3</v>
      </c>
      <c r="B251" s="208" t="s">
        <v>53</v>
      </c>
      <c r="C251" s="208" t="s">
        <v>321</v>
      </c>
      <c r="D251" s="213" t="s">
        <v>51</v>
      </c>
      <c r="E251" s="208" t="s">
        <v>54</v>
      </c>
      <c r="F251" s="2">
        <v>54314</v>
      </c>
      <c r="G251" s="214" t="s">
        <v>81</v>
      </c>
      <c r="H251" s="215">
        <v>3000</v>
      </c>
    </row>
    <row r="252" spans="1:11" ht="15" x14ac:dyDescent="0.2">
      <c r="A252" s="212">
        <v>3</v>
      </c>
      <c r="B252" s="208" t="s">
        <v>53</v>
      </c>
      <c r="C252" s="208" t="s">
        <v>321</v>
      </c>
      <c r="D252" s="213" t="s">
        <v>51</v>
      </c>
      <c r="E252" s="208" t="s">
        <v>54</v>
      </c>
      <c r="F252" s="2">
        <v>54199</v>
      </c>
      <c r="G252" s="214" t="s">
        <v>217</v>
      </c>
      <c r="H252" s="215"/>
    </row>
    <row r="253" spans="1:11" ht="15" x14ac:dyDescent="0.2">
      <c r="A253" s="212">
        <v>3</v>
      </c>
      <c r="B253" s="208" t="s">
        <v>53</v>
      </c>
      <c r="C253" s="208" t="s">
        <v>321</v>
      </c>
      <c r="D253" s="213" t="s">
        <v>51</v>
      </c>
      <c r="E253" s="208" t="s">
        <v>54</v>
      </c>
      <c r="F253" s="2">
        <v>54301</v>
      </c>
      <c r="G253" s="214" t="s">
        <v>391</v>
      </c>
      <c r="H253" s="215"/>
    </row>
    <row r="254" spans="1:11" ht="15.75" thickBot="1" x14ac:dyDescent="0.25">
      <c r="A254" s="212">
        <v>3</v>
      </c>
      <c r="B254" s="208" t="s">
        <v>53</v>
      </c>
      <c r="C254" s="208" t="s">
        <v>321</v>
      </c>
      <c r="D254" s="213" t="s">
        <v>51</v>
      </c>
      <c r="E254" s="208" t="s">
        <v>54</v>
      </c>
      <c r="F254" s="2">
        <v>54399</v>
      </c>
      <c r="G254" s="214" t="s">
        <v>392</v>
      </c>
      <c r="H254" s="215"/>
    </row>
    <row r="255" spans="1:11" ht="23.25" thickBot="1" x14ac:dyDescent="0.25">
      <c r="A255" s="790" t="s">
        <v>368</v>
      </c>
      <c r="B255" s="791"/>
      <c r="C255" s="791"/>
      <c r="D255" s="791"/>
      <c r="E255" s="791"/>
      <c r="F255" s="791"/>
      <c r="G255" s="792"/>
      <c r="H255" s="221">
        <f>SUM(H249:H254)</f>
        <v>5000</v>
      </c>
    </row>
    <row r="256" spans="1:11" x14ac:dyDescent="0.2">
      <c r="A256" s="222"/>
      <c r="B256" s="222"/>
      <c r="C256" s="222"/>
      <c r="D256" s="222"/>
      <c r="E256" s="222"/>
      <c r="F256" s="222"/>
      <c r="G256" s="15"/>
      <c r="H256" s="223"/>
    </row>
    <row r="257" spans="1:11" ht="15" x14ac:dyDescent="0.2">
      <c r="A257" s="782"/>
      <c r="B257" s="782"/>
      <c r="C257" s="782"/>
      <c r="D257" s="782"/>
      <c r="E257" s="782"/>
      <c r="F257" s="782"/>
      <c r="G257" s="15"/>
      <c r="H257" s="228"/>
    </row>
    <row r="258" spans="1:11" x14ac:dyDescent="0.2">
      <c r="A258" s="783"/>
      <c r="B258" s="783"/>
      <c r="C258" s="783"/>
      <c r="D258" s="783"/>
      <c r="E258" s="783"/>
      <c r="F258" s="783"/>
      <c r="G258" s="783"/>
      <c r="H258" s="149"/>
    </row>
    <row r="259" spans="1:11" x14ac:dyDescent="0.2">
      <c r="A259" s="783"/>
      <c r="B259" s="783"/>
      <c r="C259" s="783"/>
      <c r="D259" s="783"/>
      <c r="E259" s="783"/>
      <c r="F259" s="783"/>
      <c r="G259" s="783"/>
      <c r="H259" s="149"/>
    </row>
    <row r="260" spans="1:11" x14ac:dyDescent="0.2">
      <c r="A260" s="783"/>
      <c r="B260" s="783"/>
      <c r="C260" s="783"/>
      <c r="D260" s="783"/>
      <c r="E260" s="783"/>
      <c r="F260" s="783"/>
      <c r="G260" s="783"/>
      <c r="H260" s="148"/>
    </row>
    <row r="261" spans="1:11" x14ac:dyDescent="0.2">
      <c r="A261" s="229"/>
      <c r="B261" s="229"/>
      <c r="C261" s="229"/>
      <c r="D261" s="229"/>
      <c r="E261" s="229"/>
      <c r="F261" s="229"/>
      <c r="G261" s="15"/>
      <c r="H261" s="148"/>
    </row>
    <row r="262" spans="1:11" ht="18" x14ac:dyDescent="0.2">
      <c r="A262" s="801" t="s">
        <v>427</v>
      </c>
      <c r="B262" s="801"/>
      <c r="C262" s="801"/>
      <c r="D262" s="801"/>
      <c r="E262" s="801"/>
      <c r="F262" s="801"/>
      <c r="G262" s="801"/>
      <c r="H262" s="801"/>
    </row>
    <row r="263" spans="1:11" ht="18" x14ac:dyDescent="0.2">
      <c r="A263" s="802" t="s">
        <v>426</v>
      </c>
      <c r="B263" s="802"/>
      <c r="C263" s="802"/>
      <c r="D263" s="802"/>
      <c r="E263" s="802"/>
      <c r="F263" s="802"/>
      <c r="G263" s="802"/>
      <c r="H263" s="802"/>
    </row>
    <row r="264" spans="1:11" ht="15.75" x14ac:dyDescent="0.2">
      <c r="A264" s="803" t="s">
        <v>228</v>
      </c>
      <c r="B264" s="803"/>
      <c r="C264" s="803"/>
      <c r="D264" s="803"/>
      <c r="E264" s="803"/>
      <c r="F264" s="803"/>
      <c r="G264" s="803"/>
      <c r="H264" s="803"/>
    </row>
    <row r="265" spans="1:11" ht="15.75" x14ac:dyDescent="0.2">
      <c r="A265" s="803" t="s">
        <v>532</v>
      </c>
      <c r="B265" s="803"/>
      <c r="C265" s="803"/>
      <c r="D265" s="803"/>
      <c r="E265" s="803"/>
      <c r="F265" s="803"/>
      <c r="G265" s="803"/>
      <c r="H265" s="803"/>
    </row>
    <row r="266" spans="1:11" ht="15" x14ac:dyDescent="0.2">
      <c r="A266" s="804" t="s">
        <v>13</v>
      </c>
      <c r="B266" s="804"/>
      <c r="C266" s="804"/>
      <c r="D266" s="804"/>
      <c r="E266" s="804"/>
      <c r="F266" s="804"/>
      <c r="G266" s="804"/>
      <c r="H266" s="804"/>
    </row>
    <row r="267" spans="1:11" ht="15.75" x14ac:dyDescent="0.25">
      <c r="A267" s="774" t="s">
        <v>372</v>
      </c>
      <c r="B267" s="774"/>
      <c r="C267" s="774"/>
      <c r="D267" s="774"/>
      <c r="E267" s="774"/>
      <c r="F267" s="774"/>
      <c r="G267" s="774"/>
      <c r="H267" s="774"/>
    </row>
    <row r="268" spans="1:11" ht="15" x14ac:dyDescent="0.25">
      <c r="A268" s="815" t="str">
        <f>proyectos!B26</f>
        <v>MANTTO. Y REP. DE CALLES Y PJES. EN ZONAS URB. Y RURALES DE ZARAGOZA 2019</v>
      </c>
      <c r="B268" s="815"/>
      <c r="C268" s="815"/>
      <c r="D268" s="815"/>
      <c r="E268" s="815"/>
      <c r="F268" s="815"/>
      <c r="G268" s="815"/>
      <c r="H268" s="815"/>
    </row>
    <row r="269" spans="1:11" ht="15.75" x14ac:dyDescent="0.25">
      <c r="A269" s="774" t="s">
        <v>367</v>
      </c>
      <c r="B269" s="774"/>
      <c r="C269" s="774"/>
      <c r="D269" s="774"/>
      <c r="E269" s="774"/>
      <c r="F269" s="774"/>
      <c r="G269" s="774"/>
      <c r="H269" s="774"/>
    </row>
    <row r="270" spans="1:11" ht="15.75" x14ac:dyDescent="0.25">
      <c r="A270" s="774" t="s">
        <v>370</v>
      </c>
      <c r="B270" s="774"/>
      <c r="C270" s="774"/>
      <c r="D270" s="774"/>
      <c r="E270" s="774"/>
      <c r="F270" s="774"/>
      <c r="G270" s="774"/>
      <c r="H270" s="774"/>
    </row>
    <row r="271" spans="1:11" ht="14.25" x14ac:dyDescent="0.2">
      <c r="A271" s="816" t="str">
        <f>A268</f>
        <v>MANTTO. Y REP. DE CALLES Y PJES. EN ZONAS URB. Y RURALES DE ZARAGOZA 2019</v>
      </c>
      <c r="B271" s="816"/>
      <c r="C271" s="816"/>
      <c r="D271" s="816"/>
      <c r="E271" s="816"/>
      <c r="F271" s="816"/>
      <c r="G271" s="816"/>
      <c r="H271" s="816"/>
    </row>
    <row r="272" spans="1:11" ht="90" x14ac:dyDescent="1.1499999999999999">
      <c r="A272" s="812" t="s">
        <v>0</v>
      </c>
      <c r="B272" s="812"/>
      <c r="C272" s="812"/>
      <c r="D272" s="812"/>
      <c r="E272" s="812"/>
      <c r="F272" s="812"/>
      <c r="G272" s="813" t="s">
        <v>181</v>
      </c>
      <c r="H272" s="814" t="s">
        <v>182</v>
      </c>
      <c r="K272" s="131">
        <v>12</v>
      </c>
    </row>
    <row r="273" spans="1:8" ht="165.75" x14ac:dyDescent="0.2">
      <c r="A273" s="415" t="s">
        <v>172</v>
      </c>
      <c r="B273" s="415" t="s">
        <v>173</v>
      </c>
      <c r="C273" s="415" t="s">
        <v>144</v>
      </c>
      <c r="D273" s="415" t="s">
        <v>175</v>
      </c>
      <c r="E273" s="415" t="s">
        <v>183</v>
      </c>
      <c r="F273" s="415" t="s">
        <v>118</v>
      </c>
      <c r="G273" s="813"/>
      <c r="H273" s="814"/>
    </row>
    <row r="274" spans="1:8" ht="15" x14ac:dyDescent="0.2">
      <c r="A274" s="207">
        <v>3</v>
      </c>
      <c r="B274" s="208" t="s">
        <v>53</v>
      </c>
      <c r="C274" s="208" t="s">
        <v>321</v>
      </c>
      <c r="D274" s="208" t="s">
        <v>51</v>
      </c>
      <c r="E274" s="208" t="s">
        <v>54</v>
      </c>
      <c r="F274" s="209" t="s">
        <v>227</v>
      </c>
      <c r="G274" s="210" t="s">
        <v>209</v>
      </c>
      <c r="H274" s="211">
        <v>6000</v>
      </c>
    </row>
    <row r="275" spans="1:8" ht="15" x14ac:dyDescent="0.2">
      <c r="A275" s="212">
        <v>3</v>
      </c>
      <c r="B275" s="208" t="s">
        <v>53</v>
      </c>
      <c r="C275" s="208" t="s">
        <v>321</v>
      </c>
      <c r="D275" s="213" t="s">
        <v>51</v>
      </c>
      <c r="E275" s="208" t="s">
        <v>54</v>
      </c>
      <c r="F275" s="2">
        <v>54111</v>
      </c>
      <c r="G275" s="214" t="s">
        <v>48</v>
      </c>
      <c r="H275" s="215">
        <v>20000</v>
      </c>
    </row>
    <row r="276" spans="1:8" ht="15" x14ac:dyDescent="0.2">
      <c r="A276" s="212">
        <v>3</v>
      </c>
      <c r="B276" s="208" t="s">
        <v>53</v>
      </c>
      <c r="C276" s="208" t="s">
        <v>321</v>
      </c>
      <c r="D276" s="213" t="s">
        <v>51</v>
      </c>
      <c r="E276" s="208" t="s">
        <v>54</v>
      </c>
      <c r="F276" s="2">
        <v>54112</v>
      </c>
      <c r="G276" s="214" t="s">
        <v>47</v>
      </c>
      <c r="H276" s="215">
        <v>3000</v>
      </c>
    </row>
    <row r="277" spans="1:8" ht="15" x14ac:dyDescent="0.2">
      <c r="A277" s="212">
        <v>3</v>
      </c>
      <c r="B277" s="208" t="s">
        <v>53</v>
      </c>
      <c r="C277" s="208" t="s">
        <v>321</v>
      </c>
      <c r="D277" s="213" t="s">
        <v>51</v>
      </c>
      <c r="E277" s="208" t="s">
        <v>54</v>
      </c>
      <c r="F277" s="2">
        <v>54103</v>
      </c>
      <c r="G277" s="214" t="s">
        <v>230</v>
      </c>
      <c r="H277" s="215"/>
    </row>
    <row r="278" spans="1:8" ht="15" x14ac:dyDescent="0.2">
      <c r="A278" s="212">
        <v>3</v>
      </c>
      <c r="B278" s="208" t="s">
        <v>53</v>
      </c>
      <c r="C278" s="208" t="s">
        <v>321</v>
      </c>
      <c r="D278" s="213" t="s">
        <v>51</v>
      </c>
      <c r="E278" s="208" t="s">
        <v>54</v>
      </c>
      <c r="F278" s="2">
        <v>54110</v>
      </c>
      <c r="G278" s="214" t="s">
        <v>42</v>
      </c>
      <c r="H278" s="215">
        <v>900</v>
      </c>
    </row>
    <row r="279" spans="1:8" ht="15" x14ac:dyDescent="0.2">
      <c r="A279" s="212">
        <v>3</v>
      </c>
      <c r="B279" s="208" t="s">
        <v>53</v>
      </c>
      <c r="C279" s="208" t="s">
        <v>321</v>
      </c>
      <c r="D279" s="213" t="s">
        <v>51</v>
      </c>
      <c r="E279" s="208" t="s">
        <v>54</v>
      </c>
      <c r="F279" s="2">
        <v>54118</v>
      </c>
      <c r="G279" s="214" t="s">
        <v>371</v>
      </c>
      <c r="H279" s="215">
        <v>300</v>
      </c>
    </row>
    <row r="280" spans="1:8" ht="15" x14ac:dyDescent="0.2">
      <c r="A280" s="212">
        <v>3</v>
      </c>
      <c r="B280" s="208" t="s">
        <v>53</v>
      </c>
      <c r="C280" s="208" t="s">
        <v>321</v>
      </c>
      <c r="D280" s="213" t="s">
        <v>51</v>
      </c>
      <c r="E280" s="208" t="s">
        <v>54</v>
      </c>
      <c r="F280" s="2">
        <v>54199</v>
      </c>
      <c r="G280" s="214" t="s">
        <v>217</v>
      </c>
      <c r="H280" s="215"/>
    </row>
    <row r="281" spans="1:8" ht="15" x14ac:dyDescent="0.2">
      <c r="A281" s="212">
        <v>3</v>
      </c>
      <c r="B281" s="208" t="s">
        <v>53</v>
      </c>
      <c r="C281" s="208" t="s">
        <v>321</v>
      </c>
      <c r="D281" s="213" t="s">
        <v>51</v>
      </c>
      <c r="E281" s="208" t="s">
        <v>54</v>
      </c>
      <c r="F281" s="2">
        <v>54301</v>
      </c>
      <c r="G281" s="214" t="s">
        <v>391</v>
      </c>
      <c r="H281" s="215"/>
    </row>
    <row r="282" spans="1:8" ht="15.75" thickBot="1" x14ac:dyDescent="0.25">
      <c r="A282" s="212">
        <v>3</v>
      </c>
      <c r="B282" s="208" t="s">
        <v>53</v>
      </c>
      <c r="C282" s="208" t="s">
        <v>321</v>
      </c>
      <c r="D282" s="213" t="s">
        <v>51</v>
      </c>
      <c r="E282" s="208" t="s">
        <v>54</v>
      </c>
      <c r="F282" s="2">
        <v>54399</v>
      </c>
      <c r="G282" s="214" t="s">
        <v>607</v>
      </c>
      <c r="H282" s="215">
        <v>1596.02</v>
      </c>
    </row>
    <row r="283" spans="1:8" ht="18.75" thickBot="1" x14ac:dyDescent="0.25">
      <c r="A283" s="790" t="s">
        <v>368</v>
      </c>
      <c r="B283" s="791"/>
      <c r="C283" s="791"/>
      <c r="D283" s="791"/>
      <c r="E283" s="791"/>
      <c r="F283" s="791"/>
      <c r="G283" s="792"/>
      <c r="H283" s="405">
        <f>SUM(H274:H282)</f>
        <v>31796.02</v>
      </c>
    </row>
    <row r="284" spans="1:8" x14ac:dyDescent="0.2">
      <c r="A284" s="222"/>
      <c r="B284" s="222"/>
      <c r="C284" s="222"/>
      <c r="D284" s="222"/>
      <c r="E284" s="222"/>
      <c r="F284" s="222"/>
      <c r="G284" s="15"/>
      <c r="H284" s="223"/>
    </row>
    <row r="285" spans="1:8" ht="15" x14ac:dyDescent="0.2">
      <c r="A285" s="782"/>
      <c r="B285" s="782"/>
      <c r="C285" s="782"/>
      <c r="D285" s="782"/>
      <c r="E285" s="782"/>
      <c r="F285" s="782"/>
      <c r="G285" s="15"/>
      <c r="H285" s="228"/>
    </row>
    <row r="286" spans="1:8" x14ac:dyDescent="0.2">
      <c r="A286" s="783"/>
      <c r="B286" s="783"/>
      <c r="C286" s="783"/>
      <c r="D286" s="783"/>
      <c r="E286" s="783"/>
      <c r="F286" s="783"/>
      <c r="G286" s="783"/>
      <c r="H286" s="149"/>
    </row>
    <row r="287" spans="1:8" x14ac:dyDescent="0.2">
      <c r="A287" s="783"/>
      <c r="B287" s="783"/>
      <c r="C287" s="783"/>
      <c r="D287" s="783"/>
      <c r="E287" s="783"/>
      <c r="F287" s="783"/>
      <c r="G287" s="783"/>
      <c r="H287" s="149"/>
    </row>
    <row r="288" spans="1:8" x14ac:dyDescent="0.2">
      <c r="A288" s="783"/>
      <c r="B288" s="783"/>
      <c r="C288" s="783"/>
      <c r="D288" s="783"/>
      <c r="E288" s="783"/>
      <c r="F288" s="783"/>
      <c r="G288" s="783"/>
      <c r="H288" s="148"/>
    </row>
    <row r="289" spans="1:11" x14ac:dyDescent="0.2">
      <c r="A289" s="229"/>
      <c r="B289" s="229"/>
      <c r="C289" s="229"/>
      <c r="D289" s="229"/>
      <c r="E289" s="229"/>
      <c r="F289" s="229"/>
      <c r="G289" s="15"/>
      <c r="H289" s="148"/>
    </row>
    <row r="290" spans="1:11" ht="18" x14ac:dyDescent="0.2">
      <c r="A290" s="784" t="s">
        <v>427</v>
      </c>
      <c r="B290" s="784"/>
      <c r="C290" s="784"/>
      <c r="D290" s="784"/>
      <c r="E290" s="784"/>
      <c r="F290" s="784"/>
      <c r="G290" s="784"/>
      <c r="H290" s="784"/>
    </row>
    <row r="291" spans="1:11" ht="18" x14ac:dyDescent="0.2">
      <c r="A291" s="734" t="s">
        <v>426</v>
      </c>
      <c r="B291" s="734"/>
      <c r="C291" s="734"/>
      <c r="D291" s="734"/>
      <c r="E291" s="734"/>
      <c r="F291" s="734"/>
      <c r="G291" s="734"/>
      <c r="H291" s="734"/>
    </row>
    <row r="292" spans="1:11" ht="15.75" x14ac:dyDescent="0.2">
      <c r="A292" s="785" t="s">
        <v>228</v>
      </c>
      <c r="B292" s="785"/>
      <c r="C292" s="785"/>
      <c r="D292" s="785"/>
      <c r="E292" s="785"/>
      <c r="F292" s="785"/>
      <c r="G292" s="785"/>
      <c r="H292" s="785"/>
    </row>
    <row r="293" spans="1:11" ht="15.75" x14ac:dyDescent="0.2">
      <c r="A293" s="785" t="s">
        <v>532</v>
      </c>
      <c r="B293" s="785"/>
      <c r="C293" s="785"/>
      <c r="D293" s="785"/>
      <c r="E293" s="785"/>
      <c r="F293" s="785"/>
      <c r="G293" s="785"/>
      <c r="H293" s="785"/>
    </row>
    <row r="294" spans="1:11" ht="15" x14ac:dyDescent="0.2">
      <c r="A294" s="793" t="s">
        <v>13</v>
      </c>
      <c r="B294" s="793"/>
      <c r="C294" s="793"/>
      <c r="D294" s="793"/>
      <c r="E294" s="793"/>
      <c r="F294" s="793"/>
      <c r="G294" s="793"/>
      <c r="H294" s="793"/>
    </row>
    <row r="295" spans="1:11" ht="15.75" x14ac:dyDescent="0.25">
      <c r="A295" s="774" t="s">
        <v>372</v>
      </c>
      <c r="B295" s="774"/>
      <c r="C295" s="774"/>
      <c r="D295" s="774"/>
      <c r="E295" s="774"/>
      <c r="F295" s="774"/>
      <c r="G295" s="774"/>
      <c r="H295" s="774"/>
    </row>
    <row r="296" spans="1:11" ht="15.75" x14ac:dyDescent="0.25">
      <c r="A296" s="774" t="str">
        <f>proyectos!B28</f>
        <v xml:space="preserve">RECARPETEO 2º CALLE PTE. Y 4º CALLE OTE.  ZARAGOZA </v>
      </c>
      <c r="B296" s="774"/>
      <c r="C296" s="774"/>
      <c r="D296" s="774"/>
      <c r="E296" s="774"/>
      <c r="F296" s="774"/>
      <c r="G296" s="774"/>
      <c r="H296" s="774"/>
    </row>
    <row r="297" spans="1:11" ht="15.75" x14ac:dyDescent="0.25">
      <c r="A297" s="774" t="s">
        <v>367</v>
      </c>
      <c r="B297" s="774"/>
      <c r="C297" s="774"/>
      <c r="D297" s="774"/>
      <c r="E297" s="774"/>
      <c r="F297" s="774"/>
      <c r="G297" s="774"/>
      <c r="H297" s="774"/>
    </row>
    <row r="298" spans="1:11" ht="15.75" x14ac:dyDescent="0.25">
      <c r="A298" s="774" t="s">
        <v>370</v>
      </c>
      <c r="B298" s="774"/>
      <c r="C298" s="774"/>
      <c r="D298" s="774"/>
      <c r="E298" s="774"/>
      <c r="F298" s="774"/>
      <c r="G298" s="774"/>
      <c r="H298" s="774"/>
    </row>
    <row r="299" spans="1:11" ht="15.75" thickBot="1" x14ac:dyDescent="0.25">
      <c r="A299" s="817" t="str">
        <f>A296</f>
        <v xml:space="preserve">RECARPETEO 2º CALLE PTE. Y 4º CALLE OTE.  ZARAGOZA </v>
      </c>
      <c r="B299" s="817"/>
      <c r="C299" s="817"/>
      <c r="D299" s="817"/>
      <c r="E299" s="817"/>
      <c r="F299" s="817"/>
      <c r="G299" s="817"/>
      <c r="H299" s="817"/>
    </row>
    <row r="300" spans="1:11" ht="90.75" thickBot="1" x14ac:dyDescent="1.2">
      <c r="A300" s="786" t="s">
        <v>0</v>
      </c>
      <c r="B300" s="787"/>
      <c r="C300" s="787"/>
      <c r="D300" s="787"/>
      <c r="E300" s="787"/>
      <c r="F300" s="787"/>
      <c r="G300" s="788" t="s">
        <v>181</v>
      </c>
      <c r="H300" s="796" t="s">
        <v>182</v>
      </c>
      <c r="K300" s="131">
        <v>13</v>
      </c>
    </row>
    <row r="301" spans="1:11" ht="166.5" thickBot="1" x14ac:dyDescent="0.25">
      <c r="A301" s="407" t="s">
        <v>172</v>
      </c>
      <c r="B301" s="408" t="s">
        <v>173</v>
      </c>
      <c r="C301" s="408" t="s">
        <v>144</v>
      </c>
      <c r="D301" s="408" t="s">
        <v>175</v>
      </c>
      <c r="E301" s="409" t="s">
        <v>183</v>
      </c>
      <c r="F301" s="410" t="s">
        <v>118</v>
      </c>
      <c r="G301" s="789"/>
      <c r="H301" s="797"/>
    </row>
    <row r="302" spans="1:11" ht="15" x14ac:dyDescent="0.2">
      <c r="A302" s="207">
        <v>3</v>
      </c>
      <c r="B302" s="208" t="s">
        <v>53</v>
      </c>
      <c r="C302" s="208" t="s">
        <v>321</v>
      </c>
      <c r="D302" s="208" t="s">
        <v>51</v>
      </c>
      <c r="E302" s="208" t="s">
        <v>54</v>
      </c>
      <c r="F302" s="209" t="s">
        <v>227</v>
      </c>
      <c r="G302" s="210" t="s">
        <v>209</v>
      </c>
      <c r="H302" s="211">
        <v>0</v>
      </c>
    </row>
    <row r="303" spans="1:11" ht="15" x14ac:dyDescent="0.2">
      <c r="A303" s="212">
        <v>3</v>
      </c>
      <c r="B303" s="208" t="s">
        <v>53</v>
      </c>
      <c r="C303" s="208" t="s">
        <v>321</v>
      </c>
      <c r="D303" s="213" t="s">
        <v>51</v>
      </c>
      <c r="E303" s="208" t="s">
        <v>54</v>
      </c>
      <c r="F303" s="2">
        <v>54111</v>
      </c>
      <c r="G303" s="214" t="s">
        <v>48</v>
      </c>
      <c r="H303" s="406"/>
    </row>
    <row r="304" spans="1:11" ht="15" x14ac:dyDescent="0.2">
      <c r="A304" s="212">
        <v>3</v>
      </c>
      <c r="B304" s="208" t="s">
        <v>53</v>
      </c>
      <c r="C304" s="208" t="s">
        <v>321</v>
      </c>
      <c r="D304" s="213" t="s">
        <v>51</v>
      </c>
      <c r="E304" s="208" t="s">
        <v>54</v>
      </c>
      <c r="F304" s="2">
        <v>54112</v>
      </c>
      <c r="G304" s="214" t="s">
        <v>47</v>
      </c>
      <c r="H304" s="406"/>
    </row>
    <row r="305" spans="1:9" ht="15" x14ac:dyDescent="0.2">
      <c r="A305" s="212">
        <v>3</v>
      </c>
      <c r="B305" s="208" t="s">
        <v>53</v>
      </c>
      <c r="C305" s="208" t="s">
        <v>321</v>
      </c>
      <c r="D305" s="213" t="s">
        <v>51</v>
      </c>
      <c r="E305" s="208" t="s">
        <v>54</v>
      </c>
      <c r="F305" s="2">
        <v>54103</v>
      </c>
      <c r="G305" s="214" t="s">
        <v>230</v>
      </c>
      <c r="H305" s="406"/>
    </row>
    <row r="306" spans="1:9" ht="15" x14ac:dyDescent="0.2">
      <c r="A306" s="212">
        <v>3</v>
      </c>
      <c r="B306" s="208" t="s">
        <v>53</v>
      </c>
      <c r="C306" s="208" t="s">
        <v>321</v>
      </c>
      <c r="D306" s="213" t="s">
        <v>51</v>
      </c>
      <c r="E306" s="208" t="s">
        <v>54</v>
      </c>
      <c r="F306" s="2">
        <v>54110</v>
      </c>
      <c r="G306" s="214" t="s">
        <v>42</v>
      </c>
      <c r="H306" s="406"/>
    </row>
    <row r="307" spans="1:9" ht="15" x14ac:dyDescent="0.2">
      <c r="A307" s="212">
        <v>3</v>
      </c>
      <c r="B307" s="208" t="s">
        <v>53</v>
      </c>
      <c r="C307" s="208" t="s">
        <v>321</v>
      </c>
      <c r="D307" s="213" t="s">
        <v>51</v>
      </c>
      <c r="E307" s="208" t="s">
        <v>54</v>
      </c>
      <c r="F307" s="2">
        <v>54118</v>
      </c>
      <c r="G307" s="214" t="s">
        <v>371</v>
      </c>
      <c r="H307" s="406"/>
    </row>
    <row r="308" spans="1:9" ht="15" x14ac:dyDescent="0.2">
      <c r="A308" s="212">
        <v>3</v>
      </c>
      <c r="B308" s="208" t="s">
        <v>53</v>
      </c>
      <c r="C308" s="208" t="s">
        <v>321</v>
      </c>
      <c r="D308" s="213" t="s">
        <v>51</v>
      </c>
      <c r="E308" s="208" t="s">
        <v>54</v>
      </c>
      <c r="F308" s="2">
        <v>54199</v>
      </c>
      <c r="G308" s="214" t="s">
        <v>217</v>
      </c>
      <c r="H308" s="406"/>
    </row>
    <row r="309" spans="1:9" ht="15" x14ac:dyDescent="0.2">
      <c r="A309" s="212">
        <v>3</v>
      </c>
      <c r="B309" s="208" t="s">
        <v>53</v>
      </c>
      <c r="C309" s="208" t="s">
        <v>321</v>
      </c>
      <c r="D309" s="213" t="s">
        <v>51</v>
      </c>
      <c r="E309" s="208" t="s">
        <v>54</v>
      </c>
      <c r="F309" s="2">
        <v>54303</v>
      </c>
      <c r="G309" s="214" t="s">
        <v>390</v>
      </c>
      <c r="H309" s="406"/>
    </row>
    <row r="310" spans="1:9" ht="15" x14ac:dyDescent="0.2">
      <c r="A310" s="212">
        <v>3</v>
      </c>
      <c r="B310" s="208" t="s">
        <v>53</v>
      </c>
      <c r="C310" s="208" t="s">
        <v>321</v>
      </c>
      <c r="D310" s="213" t="s">
        <v>51</v>
      </c>
      <c r="E310" s="208" t="s">
        <v>54</v>
      </c>
      <c r="F310" s="2">
        <v>55601</v>
      </c>
      <c r="G310" s="214" t="s">
        <v>107</v>
      </c>
      <c r="H310" s="406"/>
    </row>
    <row r="311" spans="1:9" ht="15" x14ac:dyDescent="0.2">
      <c r="A311" s="212">
        <v>3</v>
      </c>
      <c r="B311" s="208" t="s">
        <v>53</v>
      </c>
      <c r="C311" s="208" t="s">
        <v>321</v>
      </c>
      <c r="D311" s="213" t="s">
        <v>51</v>
      </c>
      <c r="E311" s="208" t="s">
        <v>54</v>
      </c>
      <c r="F311" s="2">
        <v>55603</v>
      </c>
      <c r="G311" s="214" t="s">
        <v>222</v>
      </c>
      <c r="H311" s="406"/>
    </row>
    <row r="312" spans="1:9" ht="15" x14ac:dyDescent="0.2">
      <c r="A312" s="212">
        <v>3</v>
      </c>
      <c r="B312" s="208" t="s">
        <v>53</v>
      </c>
      <c r="C312" s="208" t="s">
        <v>321</v>
      </c>
      <c r="D312" s="213" t="s">
        <v>51</v>
      </c>
      <c r="E312" s="208" t="s">
        <v>54</v>
      </c>
      <c r="F312" s="2">
        <v>61101</v>
      </c>
      <c r="G312" s="214" t="s">
        <v>240</v>
      </c>
      <c r="H312" s="406"/>
    </row>
    <row r="313" spans="1:9" ht="15" x14ac:dyDescent="0.2">
      <c r="A313" s="212">
        <v>3</v>
      </c>
      <c r="B313" s="208" t="s">
        <v>53</v>
      </c>
      <c r="C313" s="208" t="s">
        <v>321</v>
      </c>
      <c r="D313" s="213" t="s">
        <v>51</v>
      </c>
      <c r="E313" s="208" t="s">
        <v>54</v>
      </c>
      <c r="F313" s="2">
        <v>61102</v>
      </c>
      <c r="G313" s="214" t="s">
        <v>241</v>
      </c>
      <c r="H313" s="406"/>
    </row>
    <row r="314" spans="1:9" ht="15" x14ac:dyDescent="0.2">
      <c r="A314" s="212">
        <v>3</v>
      </c>
      <c r="B314" s="208" t="s">
        <v>53</v>
      </c>
      <c r="C314" s="208" t="s">
        <v>321</v>
      </c>
      <c r="D314" s="213" t="s">
        <v>51</v>
      </c>
      <c r="E314" s="208" t="s">
        <v>54</v>
      </c>
      <c r="F314" s="2">
        <v>61599</v>
      </c>
      <c r="G314" s="214" t="s">
        <v>242</v>
      </c>
      <c r="H314" s="406"/>
    </row>
    <row r="315" spans="1:9" ht="15" x14ac:dyDescent="0.2">
      <c r="A315" s="212">
        <v>3</v>
      </c>
      <c r="B315" s="208" t="s">
        <v>53</v>
      </c>
      <c r="C315" s="208" t="s">
        <v>321</v>
      </c>
      <c r="D315" s="213" t="s">
        <v>51</v>
      </c>
      <c r="E315" s="208" t="s">
        <v>54</v>
      </c>
      <c r="F315" s="2">
        <v>61601</v>
      </c>
      <c r="G315" s="214" t="s">
        <v>243</v>
      </c>
      <c r="H315" s="406">
        <v>46761.62</v>
      </c>
    </row>
    <row r="316" spans="1:9" ht="15" x14ac:dyDescent="0.2">
      <c r="A316" s="212">
        <v>3</v>
      </c>
      <c r="B316" s="208" t="s">
        <v>53</v>
      </c>
      <c r="C316" s="208" t="s">
        <v>321</v>
      </c>
      <c r="D316" s="213" t="s">
        <v>51</v>
      </c>
      <c r="E316" s="208" t="s">
        <v>54</v>
      </c>
      <c r="F316" s="2">
        <v>61608</v>
      </c>
      <c r="G316" s="214" t="s">
        <v>244</v>
      </c>
      <c r="H316" s="406"/>
    </row>
    <row r="317" spans="1:9" ht="15.75" thickBot="1" x14ac:dyDescent="0.25">
      <c r="A317" s="212">
        <v>3</v>
      </c>
      <c r="B317" s="208" t="s">
        <v>53</v>
      </c>
      <c r="C317" s="208" t="s">
        <v>321</v>
      </c>
      <c r="D317" s="213" t="s">
        <v>51</v>
      </c>
      <c r="E317" s="208" t="s">
        <v>54</v>
      </c>
      <c r="F317" s="2">
        <v>61699</v>
      </c>
      <c r="G317" s="214" t="s">
        <v>245</v>
      </c>
      <c r="H317" s="406"/>
      <c r="I317" s="589">
        <f>SUM(H302:H317)</f>
        <v>46761.62</v>
      </c>
    </row>
    <row r="318" spans="1:9" ht="20.25" thickBot="1" x14ac:dyDescent="0.25">
      <c r="A318" s="743" t="s">
        <v>368</v>
      </c>
      <c r="B318" s="744"/>
      <c r="C318" s="744"/>
      <c r="D318" s="744"/>
      <c r="E318" s="744"/>
      <c r="F318" s="744"/>
      <c r="G318" s="745"/>
      <c r="H318" s="414">
        <f>SUM(H302:H317)</f>
        <v>46761.62</v>
      </c>
    </row>
    <row r="319" spans="1:9" x14ac:dyDescent="0.2">
      <c r="A319" s="222"/>
      <c r="B319" s="222"/>
      <c r="C319" s="222"/>
      <c r="D319" s="222"/>
      <c r="E319" s="222"/>
      <c r="F319" s="222"/>
      <c r="G319" s="15"/>
      <c r="H319" s="223"/>
    </row>
    <row r="320" spans="1:9" ht="15" x14ac:dyDescent="0.2">
      <c r="A320" s="782"/>
      <c r="B320" s="782"/>
      <c r="C320" s="782"/>
      <c r="D320" s="782"/>
      <c r="E320" s="782"/>
      <c r="F320" s="782"/>
      <c r="G320" s="15"/>
      <c r="H320" s="228"/>
    </row>
    <row r="321" spans="1:8" x14ac:dyDescent="0.2">
      <c r="A321" s="783"/>
      <c r="B321" s="783"/>
      <c r="C321" s="783"/>
      <c r="D321" s="783"/>
      <c r="E321" s="783"/>
      <c r="F321" s="783"/>
      <c r="G321" s="783"/>
      <c r="H321" s="149"/>
    </row>
    <row r="322" spans="1:8" x14ac:dyDescent="0.2">
      <c r="A322" s="783"/>
      <c r="B322" s="783"/>
      <c r="C322" s="783"/>
      <c r="D322" s="783"/>
      <c r="E322" s="783"/>
      <c r="F322" s="783"/>
      <c r="G322" s="783"/>
      <c r="H322" s="149"/>
    </row>
    <row r="323" spans="1:8" x14ac:dyDescent="0.2">
      <c r="A323" s="783"/>
      <c r="B323" s="783"/>
      <c r="C323" s="783"/>
      <c r="D323" s="783"/>
      <c r="E323" s="783"/>
      <c r="F323" s="783"/>
      <c r="G323" s="783"/>
      <c r="H323" s="148"/>
    </row>
    <row r="324" spans="1:8" x14ac:dyDescent="0.2">
      <c r="A324" s="244"/>
      <c r="B324" s="244"/>
      <c r="C324" s="244"/>
      <c r="D324" s="244"/>
      <c r="E324" s="244"/>
      <c r="F324" s="244"/>
      <c r="G324" s="244"/>
      <c r="H324" s="148"/>
    </row>
    <row r="325" spans="1:8" x14ac:dyDescent="0.2">
      <c r="A325" s="244"/>
      <c r="B325" s="244"/>
      <c r="C325" s="244"/>
      <c r="D325" s="244"/>
      <c r="E325" s="244"/>
      <c r="F325" s="244"/>
      <c r="G325" s="244"/>
      <c r="H325" s="148"/>
    </row>
    <row r="326" spans="1:8" x14ac:dyDescent="0.2">
      <c r="A326" s="229"/>
      <c r="B326" s="229"/>
      <c r="C326" s="229"/>
      <c r="D326" s="229"/>
      <c r="E326" s="229"/>
      <c r="F326" s="229"/>
      <c r="G326" s="15"/>
      <c r="H326" s="148"/>
    </row>
    <row r="327" spans="1:8" ht="18" x14ac:dyDescent="0.2">
      <c r="A327" s="784" t="s">
        <v>427</v>
      </c>
      <c r="B327" s="784"/>
      <c r="C327" s="784"/>
      <c r="D327" s="784"/>
      <c r="E327" s="784"/>
      <c r="F327" s="784"/>
      <c r="G327" s="784"/>
      <c r="H327" s="784"/>
    </row>
    <row r="328" spans="1:8" ht="18" x14ac:dyDescent="0.2">
      <c r="A328" s="734" t="s">
        <v>426</v>
      </c>
      <c r="B328" s="734"/>
      <c r="C328" s="734"/>
      <c r="D328" s="734"/>
      <c r="E328" s="734"/>
      <c r="F328" s="734"/>
      <c r="G328" s="734"/>
      <c r="H328" s="734"/>
    </row>
    <row r="329" spans="1:8" ht="15.75" x14ac:dyDescent="0.2">
      <c r="A329" s="803" t="s">
        <v>228</v>
      </c>
      <c r="B329" s="803"/>
      <c r="C329" s="803"/>
      <c r="D329" s="803"/>
      <c r="E329" s="803"/>
      <c r="F329" s="803"/>
      <c r="G329" s="803"/>
      <c r="H329" s="803"/>
    </row>
    <row r="330" spans="1:8" ht="15.75" x14ac:dyDescent="0.2">
      <c r="A330" s="803" t="s">
        <v>532</v>
      </c>
      <c r="B330" s="803"/>
      <c r="C330" s="803"/>
      <c r="D330" s="803"/>
      <c r="E330" s="803"/>
      <c r="F330" s="803"/>
      <c r="G330" s="803"/>
      <c r="H330" s="803"/>
    </row>
    <row r="331" spans="1:8" ht="15" x14ac:dyDescent="0.2">
      <c r="A331" s="804" t="s">
        <v>13</v>
      </c>
      <c r="B331" s="804"/>
      <c r="C331" s="804"/>
      <c r="D331" s="804"/>
      <c r="E331" s="804"/>
      <c r="F331" s="804"/>
      <c r="G331" s="804"/>
      <c r="H331" s="804"/>
    </row>
    <row r="332" spans="1:8" ht="15.75" x14ac:dyDescent="0.25">
      <c r="A332" s="774" t="s">
        <v>372</v>
      </c>
      <c r="B332" s="774"/>
      <c r="C332" s="774"/>
      <c r="D332" s="774"/>
      <c r="E332" s="774"/>
      <c r="F332" s="774"/>
      <c r="G332" s="774"/>
      <c r="H332" s="774"/>
    </row>
    <row r="333" spans="1:8" ht="15.75" x14ac:dyDescent="0.25">
      <c r="A333" s="774" t="str">
        <f>proyectos!B29</f>
        <v>CAMBIO DE CERCA DE NYLON POR MAYA CICLON EN C.POLIDEPORTIVO</v>
      </c>
      <c r="B333" s="774"/>
      <c r="C333" s="774"/>
      <c r="D333" s="774"/>
      <c r="E333" s="774"/>
      <c r="F333" s="774"/>
      <c r="G333" s="774"/>
      <c r="H333" s="774"/>
    </row>
    <row r="334" spans="1:8" ht="15.75" x14ac:dyDescent="0.25">
      <c r="A334" s="774" t="s">
        <v>367</v>
      </c>
      <c r="B334" s="774"/>
      <c r="C334" s="774"/>
      <c r="D334" s="774"/>
      <c r="E334" s="774"/>
      <c r="F334" s="774"/>
      <c r="G334" s="774"/>
      <c r="H334" s="774"/>
    </row>
    <row r="335" spans="1:8" ht="15.75" x14ac:dyDescent="0.25">
      <c r="A335" s="774" t="s">
        <v>370</v>
      </c>
      <c r="B335" s="774"/>
      <c r="C335" s="774"/>
      <c r="D335" s="774"/>
      <c r="E335" s="774"/>
      <c r="F335" s="774"/>
      <c r="G335" s="774"/>
      <c r="H335" s="774"/>
    </row>
    <row r="336" spans="1:8" ht="15" x14ac:dyDescent="0.2">
      <c r="A336" s="775" t="str">
        <f>A333</f>
        <v>CAMBIO DE CERCA DE NYLON POR MAYA CICLON EN C.POLIDEPORTIVO</v>
      </c>
      <c r="B336" s="775"/>
      <c r="C336" s="775"/>
      <c r="D336" s="775"/>
      <c r="E336" s="775"/>
      <c r="F336" s="775"/>
      <c r="G336" s="775"/>
      <c r="H336" s="775"/>
    </row>
    <row r="337" spans="1:11" ht="90.75" thickBot="1" x14ac:dyDescent="1.2">
      <c r="A337" s="805" t="s">
        <v>0</v>
      </c>
      <c r="B337" s="806"/>
      <c r="C337" s="806"/>
      <c r="D337" s="806"/>
      <c r="E337" s="806"/>
      <c r="F337" s="806"/>
      <c r="G337" s="807" t="s">
        <v>181</v>
      </c>
      <c r="H337" s="808" t="s">
        <v>182</v>
      </c>
      <c r="K337" s="131">
        <v>14</v>
      </c>
    </row>
    <row r="338" spans="1:11" ht="166.5" thickBot="1" x14ac:dyDescent="0.25">
      <c r="A338" s="407" t="s">
        <v>172</v>
      </c>
      <c r="B338" s="408" t="s">
        <v>173</v>
      </c>
      <c r="C338" s="408" t="s">
        <v>144</v>
      </c>
      <c r="D338" s="408" t="s">
        <v>175</v>
      </c>
      <c r="E338" s="409" t="s">
        <v>183</v>
      </c>
      <c r="F338" s="410" t="s">
        <v>118</v>
      </c>
      <c r="G338" s="789"/>
      <c r="H338" s="797"/>
    </row>
    <row r="339" spans="1:11" ht="15" x14ac:dyDescent="0.2">
      <c r="A339" s="212">
        <v>3</v>
      </c>
      <c r="B339" s="208" t="s">
        <v>53</v>
      </c>
      <c r="C339" s="208" t="s">
        <v>321</v>
      </c>
      <c r="D339" s="213" t="s">
        <v>51</v>
      </c>
      <c r="E339" s="208" t="s">
        <v>54</v>
      </c>
      <c r="F339" s="2">
        <v>54109</v>
      </c>
      <c r="G339" s="214" t="s">
        <v>393</v>
      </c>
      <c r="H339" s="215"/>
    </row>
    <row r="340" spans="1:11" ht="15" x14ac:dyDescent="0.2">
      <c r="A340" s="212">
        <v>3</v>
      </c>
      <c r="B340" s="208" t="s">
        <v>53</v>
      </c>
      <c r="C340" s="208" t="s">
        <v>321</v>
      </c>
      <c r="D340" s="213" t="s">
        <v>51</v>
      </c>
      <c r="E340" s="208" t="s">
        <v>54</v>
      </c>
      <c r="F340" s="2">
        <v>54112</v>
      </c>
      <c r="G340" s="214" t="s">
        <v>608</v>
      </c>
      <c r="H340" s="215">
        <v>1399.36</v>
      </c>
    </row>
    <row r="341" spans="1:11" ht="15" x14ac:dyDescent="0.2">
      <c r="A341" s="212">
        <v>3</v>
      </c>
      <c r="B341" s="208" t="s">
        <v>53</v>
      </c>
      <c r="C341" s="208" t="s">
        <v>321</v>
      </c>
      <c r="D341" s="213" t="s">
        <v>51</v>
      </c>
      <c r="E341" s="208" t="s">
        <v>54</v>
      </c>
      <c r="F341" s="2">
        <v>54118</v>
      </c>
      <c r="G341" s="214" t="s">
        <v>371</v>
      </c>
      <c r="H341" s="215"/>
    </row>
    <row r="342" spans="1:11" ht="15.75" thickBot="1" x14ac:dyDescent="0.25">
      <c r="A342" s="212">
        <v>3</v>
      </c>
      <c r="B342" s="208" t="s">
        <v>53</v>
      </c>
      <c r="C342" s="208" t="s">
        <v>321</v>
      </c>
      <c r="D342" s="213" t="s">
        <v>51</v>
      </c>
      <c r="E342" s="208" t="s">
        <v>54</v>
      </c>
      <c r="F342" s="2">
        <v>54199</v>
      </c>
      <c r="G342" s="214" t="s">
        <v>217</v>
      </c>
      <c r="H342" s="215"/>
    </row>
    <row r="343" spans="1:11" ht="20.25" thickBot="1" x14ac:dyDescent="0.25">
      <c r="A343" s="743" t="s">
        <v>368</v>
      </c>
      <c r="B343" s="744"/>
      <c r="C343" s="744"/>
      <c r="D343" s="744"/>
      <c r="E343" s="744"/>
      <c r="F343" s="744"/>
      <c r="G343" s="745"/>
      <c r="H343" s="414">
        <f>SUM(H339:H342)</f>
        <v>1399.36</v>
      </c>
    </row>
    <row r="344" spans="1:11" x14ac:dyDescent="0.2">
      <c r="A344" s="222"/>
      <c r="B344" s="222"/>
      <c r="C344" s="222"/>
      <c r="D344" s="222"/>
      <c r="E344" s="222"/>
      <c r="F344" s="222"/>
      <c r="G344" s="15"/>
      <c r="H344" s="223"/>
    </row>
    <row r="345" spans="1:11" ht="15" x14ac:dyDescent="0.2">
      <c r="A345" s="782"/>
      <c r="B345" s="782"/>
      <c r="C345" s="782"/>
      <c r="D345" s="782"/>
      <c r="E345" s="782"/>
      <c r="F345" s="782"/>
      <c r="G345" s="15"/>
      <c r="H345" s="228"/>
    </row>
    <row r="346" spans="1:11" x14ac:dyDescent="0.2">
      <c r="A346" s="783"/>
      <c r="B346" s="783"/>
      <c r="C346" s="783"/>
      <c r="D346" s="783"/>
      <c r="E346" s="783"/>
      <c r="F346" s="783"/>
      <c r="G346" s="783"/>
      <c r="H346" s="149"/>
    </row>
    <row r="347" spans="1:11" x14ac:dyDescent="0.2">
      <c r="A347" s="783"/>
      <c r="B347" s="783"/>
      <c r="C347" s="783"/>
      <c r="D347" s="783"/>
      <c r="E347" s="783"/>
      <c r="F347" s="783"/>
      <c r="G347" s="783"/>
      <c r="H347" s="149"/>
    </row>
    <row r="348" spans="1:11" x14ac:dyDescent="0.2">
      <c r="A348" s="783"/>
      <c r="B348" s="783"/>
      <c r="C348" s="783"/>
      <c r="D348" s="783"/>
      <c r="E348" s="783"/>
      <c r="F348" s="783"/>
      <c r="G348" s="783"/>
      <c r="H348" s="148"/>
    </row>
    <row r="349" spans="1:11" x14ac:dyDescent="0.2">
      <c r="A349" s="229"/>
      <c r="B349" s="229"/>
      <c r="C349" s="229"/>
      <c r="D349" s="229"/>
      <c r="E349" s="229"/>
      <c r="F349" s="229"/>
      <c r="G349" s="15"/>
      <c r="H349" s="148"/>
    </row>
    <row r="350" spans="1:11" ht="18" x14ac:dyDescent="0.2">
      <c r="A350" s="784" t="s">
        <v>427</v>
      </c>
      <c r="B350" s="784"/>
      <c r="C350" s="784"/>
      <c r="D350" s="784"/>
      <c r="E350" s="784"/>
      <c r="F350" s="784"/>
      <c r="G350" s="784"/>
      <c r="H350" s="784"/>
    </row>
    <row r="351" spans="1:11" ht="18" x14ac:dyDescent="0.2">
      <c r="A351" s="734" t="s">
        <v>426</v>
      </c>
      <c r="B351" s="734"/>
      <c r="C351" s="734"/>
      <c r="D351" s="734"/>
      <c r="E351" s="734"/>
      <c r="F351" s="734"/>
      <c r="G351" s="734"/>
      <c r="H351" s="734"/>
    </row>
    <row r="352" spans="1:11" ht="15.75" x14ac:dyDescent="0.2">
      <c r="A352" s="785" t="s">
        <v>228</v>
      </c>
      <c r="B352" s="785"/>
      <c r="C352" s="785"/>
      <c r="D352" s="785"/>
      <c r="E352" s="785"/>
      <c r="F352" s="785"/>
      <c r="G352" s="785"/>
      <c r="H352" s="785"/>
    </row>
    <row r="353" spans="1:11" ht="15.75" x14ac:dyDescent="0.2">
      <c r="A353" s="785" t="s">
        <v>532</v>
      </c>
      <c r="B353" s="785"/>
      <c r="C353" s="785"/>
      <c r="D353" s="785"/>
      <c r="E353" s="785"/>
      <c r="F353" s="785"/>
      <c r="G353" s="785"/>
      <c r="H353" s="785"/>
    </row>
    <row r="354" spans="1:11" ht="15" x14ac:dyDescent="0.2">
      <c r="A354" s="804" t="s">
        <v>13</v>
      </c>
      <c r="B354" s="804"/>
      <c r="C354" s="804"/>
      <c r="D354" s="804"/>
      <c r="E354" s="804"/>
      <c r="F354" s="804"/>
      <c r="G354" s="804"/>
      <c r="H354" s="804"/>
    </row>
    <row r="355" spans="1:11" ht="15.75" x14ac:dyDescent="0.25">
      <c r="A355" s="774" t="s">
        <v>372</v>
      </c>
      <c r="B355" s="774"/>
      <c r="C355" s="774"/>
      <c r="D355" s="774"/>
      <c r="E355" s="774"/>
      <c r="F355" s="774"/>
      <c r="G355" s="774"/>
      <c r="H355" s="774"/>
    </row>
    <row r="356" spans="1:11" ht="15" x14ac:dyDescent="0.25">
      <c r="A356" s="815" t="str">
        <f>proyectos!B30</f>
        <v>PAVIMENTACION DE 170 MTS DE LA CALLE EL COCAL, CTN SAN SEBASTIAN ASUCHIO</v>
      </c>
      <c r="B356" s="815"/>
      <c r="C356" s="815"/>
      <c r="D356" s="815"/>
      <c r="E356" s="815"/>
      <c r="F356" s="815"/>
      <c r="G356" s="815"/>
      <c r="H356" s="815"/>
    </row>
    <row r="357" spans="1:11" ht="15.75" x14ac:dyDescent="0.25">
      <c r="A357" s="774" t="s">
        <v>367</v>
      </c>
      <c r="B357" s="774"/>
      <c r="C357" s="774"/>
      <c r="D357" s="774"/>
      <c r="E357" s="774"/>
      <c r="F357" s="774"/>
      <c r="G357" s="774"/>
      <c r="H357" s="774"/>
    </row>
    <row r="358" spans="1:11" ht="15.75" x14ac:dyDescent="0.25">
      <c r="A358" s="774" t="s">
        <v>370</v>
      </c>
      <c r="B358" s="774"/>
      <c r="C358" s="774"/>
      <c r="D358" s="774"/>
      <c r="E358" s="774"/>
      <c r="F358" s="774"/>
      <c r="G358" s="774"/>
      <c r="H358" s="774"/>
    </row>
    <row r="359" spans="1:11" ht="15" thickBot="1" x14ac:dyDescent="0.25">
      <c r="A359" s="818" t="str">
        <f>A356</f>
        <v>PAVIMENTACION DE 170 MTS DE LA CALLE EL COCAL, CTN SAN SEBASTIAN ASUCHIO</v>
      </c>
      <c r="B359" s="818"/>
      <c r="C359" s="818"/>
      <c r="D359" s="818"/>
      <c r="E359" s="818"/>
      <c r="F359" s="818"/>
      <c r="G359" s="818"/>
      <c r="H359" s="818"/>
    </row>
    <row r="360" spans="1:11" ht="90.75" thickBot="1" x14ac:dyDescent="1.2">
      <c r="A360" s="786" t="s">
        <v>0</v>
      </c>
      <c r="B360" s="787"/>
      <c r="C360" s="787"/>
      <c r="D360" s="787"/>
      <c r="E360" s="787"/>
      <c r="F360" s="787"/>
      <c r="G360" s="788" t="s">
        <v>181</v>
      </c>
      <c r="H360" s="796" t="s">
        <v>182</v>
      </c>
      <c r="K360" s="131">
        <v>15</v>
      </c>
    </row>
    <row r="361" spans="1:11" ht="166.5" thickBot="1" x14ac:dyDescent="0.25">
      <c r="A361" s="407" t="s">
        <v>172</v>
      </c>
      <c r="B361" s="408" t="s">
        <v>173</v>
      </c>
      <c r="C361" s="408" t="s">
        <v>144</v>
      </c>
      <c r="D361" s="408" t="s">
        <v>175</v>
      </c>
      <c r="E361" s="409" t="s">
        <v>183</v>
      </c>
      <c r="F361" s="410" t="s">
        <v>118</v>
      </c>
      <c r="G361" s="789"/>
      <c r="H361" s="797"/>
    </row>
    <row r="362" spans="1:11" ht="15" x14ac:dyDescent="0.2">
      <c r="A362" s="207">
        <v>3</v>
      </c>
      <c r="B362" s="208" t="s">
        <v>53</v>
      </c>
      <c r="C362" s="208" t="s">
        <v>321</v>
      </c>
      <c r="D362" s="208" t="s">
        <v>51</v>
      </c>
      <c r="E362" s="208" t="s">
        <v>54</v>
      </c>
      <c r="F362" s="209" t="s">
        <v>227</v>
      </c>
      <c r="G362" s="210" t="s">
        <v>209</v>
      </c>
      <c r="H362" s="211">
        <v>5000</v>
      </c>
    </row>
    <row r="363" spans="1:11" ht="15" x14ac:dyDescent="0.2">
      <c r="A363" s="212">
        <v>3</v>
      </c>
      <c r="B363" s="208" t="s">
        <v>53</v>
      </c>
      <c r="C363" s="208" t="s">
        <v>321</v>
      </c>
      <c r="D363" s="213" t="s">
        <v>51</v>
      </c>
      <c r="E363" s="208" t="s">
        <v>54</v>
      </c>
      <c r="F363" s="2">
        <v>54111</v>
      </c>
      <c r="G363" s="214" t="s">
        <v>48</v>
      </c>
      <c r="H363" s="215">
        <v>25000</v>
      </c>
    </row>
    <row r="364" spans="1:11" ht="15" x14ac:dyDescent="0.2">
      <c r="A364" s="212">
        <v>3</v>
      </c>
      <c r="B364" s="208" t="s">
        <v>53</v>
      </c>
      <c r="C364" s="208" t="s">
        <v>321</v>
      </c>
      <c r="D364" s="213" t="s">
        <v>51</v>
      </c>
      <c r="E364" s="208" t="s">
        <v>54</v>
      </c>
      <c r="F364" s="2">
        <v>54112</v>
      </c>
      <c r="G364" s="214" t="s">
        <v>47</v>
      </c>
      <c r="H364" s="215"/>
    </row>
    <row r="365" spans="1:11" ht="15" x14ac:dyDescent="0.2">
      <c r="A365" s="212">
        <v>3</v>
      </c>
      <c r="B365" s="208" t="s">
        <v>53</v>
      </c>
      <c r="C365" s="208" t="s">
        <v>321</v>
      </c>
      <c r="D365" s="213" t="s">
        <v>51</v>
      </c>
      <c r="E365" s="208" t="s">
        <v>54</v>
      </c>
      <c r="F365" s="2">
        <v>54103</v>
      </c>
      <c r="G365" s="214" t="s">
        <v>230</v>
      </c>
      <c r="H365" s="215"/>
    </row>
    <row r="366" spans="1:11" ht="15" x14ac:dyDescent="0.2">
      <c r="A366" s="212">
        <v>3</v>
      </c>
      <c r="B366" s="208" t="s">
        <v>53</v>
      </c>
      <c r="C366" s="208" t="s">
        <v>321</v>
      </c>
      <c r="D366" s="213" t="s">
        <v>51</v>
      </c>
      <c r="E366" s="208" t="s">
        <v>54</v>
      </c>
      <c r="F366" s="2">
        <v>54110</v>
      </c>
      <c r="G366" s="214" t="s">
        <v>42</v>
      </c>
      <c r="H366" s="215"/>
    </row>
    <row r="367" spans="1:11" ht="15" x14ac:dyDescent="0.2">
      <c r="A367" s="212">
        <v>3</v>
      </c>
      <c r="B367" s="208" t="s">
        <v>53</v>
      </c>
      <c r="C367" s="208" t="s">
        <v>321</v>
      </c>
      <c r="D367" s="213" t="s">
        <v>51</v>
      </c>
      <c r="E367" s="208" t="s">
        <v>54</v>
      </c>
      <c r="F367" s="2">
        <v>54118</v>
      </c>
      <c r="G367" s="214" t="s">
        <v>371</v>
      </c>
      <c r="H367" s="215"/>
    </row>
    <row r="368" spans="1:11" ht="15" x14ac:dyDescent="0.2">
      <c r="A368" s="212">
        <v>3</v>
      </c>
      <c r="B368" s="208" t="s">
        <v>53</v>
      </c>
      <c r="C368" s="208" t="s">
        <v>321</v>
      </c>
      <c r="D368" s="213" t="s">
        <v>51</v>
      </c>
      <c r="E368" s="208" t="s">
        <v>54</v>
      </c>
      <c r="F368" s="2">
        <v>54399</v>
      </c>
      <c r="G368" s="214" t="s">
        <v>607</v>
      </c>
      <c r="H368" s="215">
        <v>5000</v>
      </c>
    </row>
    <row r="369" spans="1:8" ht="15.75" thickBot="1" x14ac:dyDescent="0.25">
      <c r="A369" s="212">
        <v>3</v>
      </c>
      <c r="B369" s="208" t="s">
        <v>53</v>
      </c>
      <c r="C369" s="208" t="s">
        <v>321</v>
      </c>
      <c r="D369" s="213" t="s">
        <v>51</v>
      </c>
      <c r="E369" s="208" t="s">
        <v>54</v>
      </c>
      <c r="F369" s="2">
        <v>54301</v>
      </c>
      <c r="G369" s="214" t="s">
        <v>391</v>
      </c>
      <c r="H369" s="215"/>
    </row>
    <row r="370" spans="1:8" ht="20.25" thickBot="1" x14ac:dyDescent="0.25">
      <c r="A370" s="790" t="s">
        <v>368</v>
      </c>
      <c r="B370" s="791"/>
      <c r="C370" s="791"/>
      <c r="D370" s="791"/>
      <c r="E370" s="791"/>
      <c r="F370" s="791"/>
      <c r="G370" s="792"/>
      <c r="H370" s="422">
        <f>SUM(H362:H369)</f>
        <v>35000</v>
      </c>
    </row>
    <row r="371" spans="1:8" x14ac:dyDescent="0.2">
      <c r="A371" s="222"/>
      <c r="B371" s="222"/>
      <c r="C371" s="222"/>
      <c r="D371" s="222"/>
      <c r="E371" s="222"/>
      <c r="F371" s="222"/>
      <c r="G371" s="15"/>
      <c r="H371" s="223"/>
    </row>
    <row r="372" spans="1:8" ht="15" x14ac:dyDescent="0.2">
      <c r="A372" s="782"/>
      <c r="B372" s="782"/>
      <c r="C372" s="782"/>
      <c r="D372" s="782"/>
      <c r="E372" s="782"/>
      <c r="F372" s="782"/>
      <c r="G372" s="15"/>
      <c r="H372" s="228"/>
    </row>
    <row r="373" spans="1:8" x14ac:dyDescent="0.2">
      <c r="A373" s="783"/>
      <c r="B373" s="783"/>
      <c r="C373" s="783"/>
      <c r="D373" s="783"/>
      <c r="E373" s="783"/>
      <c r="F373" s="783"/>
      <c r="G373" s="783"/>
      <c r="H373" s="149"/>
    </row>
    <row r="374" spans="1:8" x14ac:dyDescent="0.2">
      <c r="A374" s="783"/>
      <c r="B374" s="783"/>
      <c r="C374" s="783"/>
      <c r="D374" s="783"/>
      <c r="E374" s="783"/>
      <c r="F374" s="783"/>
      <c r="G374" s="783"/>
      <c r="H374" s="149"/>
    </row>
    <row r="375" spans="1:8" x14ac:dyDescent="0.2">
      <c r="A375" s="783"/>
      <c r="B375" s="783"/>
      <c r="C375" s="783"/>
      <c r="D375" s="783"/>
      <c r="E375" s="783"/>
      <c r="F375" s="783"/>
      <c r="G375" s="783"/>
      <c r="H375" s="148"/>
    </row>
    <row r="376" spans="1:8" x14ac:dyDescent="0.2">
      <c r="A376" s="229"/>
      <c r="B376" s="229"/>
      <c r="C376" s="229"/>
      <c r="D376" s="229"/>
      <c r="E376" s="229"/>
      <c r="F376" s="229"/>
      <c r="G376" s="15"/>
      <c r="H376" s="148"/>
    </row>
    <row r="377" spans="1:8" ht="18" x14ac:dyDescent="0.2">
      <c r="A377" s="784" t="s">
        <v>427</v>
      </c>
      <c r="B377" s="784"/>
      <c r="C377" s="784"/>
      <c r="D377" s="784"/>
      <c r="E377" s="784"/>
      <c r="F377" s="784"/>
      <c r="G377" s="784"/>
      <c r="H377" s="784"/>
    </row>
    <row r="378" spans="1:8" ht="18" x14ac:dyDescent="0.2">
      <c r="A378" s="734" t="s">
        <v>426</v>
      </c>
      <c r="B378" s="734"/>
      <c r="C378" s="734"/>
      <c r="D378" s="734"/>
      <c r="E378" s="734"/>
      <c r="F378" s="734"/>
      <c r="G378" s="734"/>
      <c r="H378" s="734"/>
    </row>
    <row r="379" spans="1:8" ht="15.75" x14ac:dyDescent="0.2">
      <c r="A379" s="785" t="s">
        <v>228</v>
      </c>
      <c r="B379" s="785"/>
      <c r="C379" s="785"/>
      <c r="D379" s="785"/>
      <c r="E379" s="785"/>
      <c r="F379" s="785"/>
      <c r="G379" s="785"/>
      <c r="H379" s="785"/>
    </row>
    <row r="380" spans="1:8" ht="15.75" x14ac:dyDescent="0.2">
      <c r="A380" s="785" t="s">
        <v>532</v>
      </c>
      <c r="B380" s="785"/>
      <c r="C380" s="785"/>
      <c r="D380" s="785"/>
      <c r="E380" s="785"/>
      <c r="F380" s="785"/>
      <c r="G380" s="785"/>
      <c r="H380" s="785"/>
    </row>
    <row r="381" spans="1:8" ht="15" x14ac:dyDescent="0.2">
      <c r="A381" s="804" t="s">
        <v>13</v>
      </c>
      <c r="B381" s="804"/>
      <c r="C381" s="804"/>
      <c r="D381" s="804"/>
      <c r="E381" s="804"/>
      <c r="F381" s="804"/>
      <c r="G381" s="804"/>
      <c r="H381" s="804"/>
    </row>
    <row r="382" spans="1:8" ht="15.75" x14ac:dyDescent="0.25">
      <c r="A382" s="774" t="s">
        <v>372</v>
      </c>
      <c r="B382" s="774"/>
      <c r="C382" s="774"/>
      <c r="D382" s="774"/>
      <c r="E382" s="774"/>
      <c r="F382" s="774"/>
      <c r="G382" s="774"/>
      <c r="H382" s="774"/>
    </row>
    <row r="383" spans="1:8" ht="15" x14ac:dyDescent="0.25">
      <c r="A383" s="815" t="str">
        <f>A386</f>
        <v>PAVIMENTACION DE 170 MTS DE LA CALLE PPAL DE LA COMUNIDAD LA VEGA #2</v>
      </c>
      <c r="B383" s="815"/>
      <c r="C383" s="815"/>
      <c r="D383" s="815"/>
      <c r="E383" s="815"/>
      <c r="F383" s="815"/>
      <c r="G383" s="815"/>
      <c r="H383" s="815"/>
    </row>
    <row r="384" spans="1:8" ht="15.75" x14ac:dyDescent="0.25">
      <c r="A384" s="774" t="s">
        <v>367</v>
      </c>
      <c r="B384" s="774"/>
      <c r="C384" s="774"/>
      <c r="D384" s="774"/>
      <c r="E384" s="774"/>
      <c r="F384" s="774"/>
      <c r="G384" s="774"/>
      <c r="H384" s="774"/>
    </row>
    <row r="385" spans="1:11" ht="15.75" x14ac:dyDescent="0.25">
      <c r="A385" s="774" t="s">
        <v>370</v>
      </c>
      <c r="B385" s="774"/>
      <c r="C385" s="774"/>
      <c r="D385" s="774"/>
      <c r="E385" s="774"/>
      <c r="F385" s="774"/>
      <c r="G385" s="774"/>
      <c r="H385" s="774"/>
    </row>
    <row r="386" spans="1:11" ht="14.25" x14ac:dyDescent="0.2">
      <c r="A386" s="816" t="str">
        <f>proyectos!B31</f>
        <v>PAVIMENTACION DE 170 MTS DE LA CALLE PPAL DE LA COMUNIDAD LA VEGA #2</v>
      </c>
      <c r="B386" s="816"/>
      <c r="C386" s="816"/>
      <c r="D386" s="816"/>
      <c r="E386" s="816"/>
      <c r="F386" s="816"/>
      <c r="G386" s="816"/>
      <c r="H386" s="816"/>
    </row>
    <row r="387" spans="1:11" ht="60.75" customHeight="1" thickBot="1" x14ac:dyDescent="0.25">
      <c r="A387" s="805" t="s">
        <v>0</v>
      </c>
      <c r="B387" s="806"/>
      <c r="C387" s="806"/>
      <c r="D387" s="806"/>
      <c r="E387" s="806"/>
      <c r="F387" s="806"/>
      <c r="G387" s="807" t="s">
        <v>181</v>
      </c>
      <c r="H387" s="808" t="s">
        <v>182</v>
      </c>
      <c r="K387" s="423">
        <v>16</v>
      </c>
    </row>
    <row r="388" spans="1:11" ht="162" customHeight="1" thickBot="1" x14ac:dyDescent="0.25">
      <c r="A388" s="407" t="s">
        <v>172</v>
      </c>
      <c r="B388" s="408" t="s">
        <v>173</v>
      </c>
      <c r="C388" s="408" t="s">
        <v>144</v>
      </c>
      <c r="D388" s="408" t="s">
        <v>175</v>
      </c>
      <c r="E388" s="409" t="s">
        <v>183</v>
      </c>
      <c r="F388" s="410" t="s">
        <v>118</v>
      </c>
      <c r="G388" s="789"/>
      <c r="H388" s="797"/>
    </row>
    <row r="389" spans="1:11" ht="15" x14ac:dyDescent="0.2">
      <c r="A389" s="207">
        <v>3</v>
      </c>
      <c r="B389" s="208" t="s">
        <v>53</v>
      </c>
      <c r="C389" s="208" t="s">
        <v>321</v>
      </c>
      <c r="D389" s="208" t="s">
        <v>51</v>
      </c>
      <c r="E389" s="208" t="s">
        <v>54</v>
      </c>
      <c r="F389" s="209" t="s">
        <v>227</v>
      </c>
      <c r="G389" s="210" t="s">
        <v>209</v>
      </c>
      <c r="H389" s="211">
        <v>6000</v>
      </c>
    </row>
    <row r="390" spans="1:11" ht="15" x14ac:dyDescent="0.2">
      <c r="A390" s="212">
        <v>3</v>
      </c>
      <c r="B390" s="208" t="s">
        <v>53</v>
      </c>
      <c r="C390" s="208" t="s">
        <v>321</v>
      </c>
      <c r="D390" s="213" t="s">
        <v>51</v>
      </c>
      <c r="E390" s="208" t="s">
        <v>54</v>
      </c>
      <c r="F390" s="2">
        <v>54111</v>
      </c>
      <c r="G390" s="214" t="s">
        <v>48</v>
      </c>
      <c r="H390" s="215">
        <v>25000</v>
      </c>
    </row>
    <row r="391" spans="1:11" ht="15" x14ac:dyDescent="0.2">
      <c r="A391" s="212">
        <v>3</v>
      </c>
      <c r="B391" s="208" t="s">
        <v>53</v>
      </c>
      <c r="C391" s="208" t="s">
        <v>321</v>
      </c>
      <c r="D391" s="213" t="s">
        <v>51</v>
      </c>
      <c r="E391" s="208" t="s">
        <v>54</v>
      </c>
      <c r="F391" s="2">
        <v>54112</v>
      </c>
      <c r="G391" s="214" t="s">
        <v>47</v>
      </c>
      <c r="H391" s="215"/>
    </row>
    <row r="392" spans="1:11" ht="15" x14ac:dyDescent="0.2">
      <c r="A392" s="212">
        <v>3</v>
      </c>
      <c r="B392" s="208" t="s">
        <v>53</v>
      </c>
      <c r="C392" s="208" t="s">
        <v>321</v>
      </c>
      <c r="D392" s="213" t="s">
        <v>51</v>
      </c>
      <c r="E392" s="208" t="s">
        <v>54</v>
      </c>
      <c r="F392" s="2">
        <v>54103</v>
      </c>
      <c r="G392" s="214" t="s">
        <v>230</v>
      </c>
      <c r="H392" s="215"/>
    </row>
    <row r="393" spans="1:11" ht="15" x14ac:dyDescent="0.2">
      <c r="A393" s="212">
        <v>3</v>
      </c>
      <c r="B393" s="208" t="s">
        <v>53</v>
      </c>
      <c r="C393" s="208" t="s">
        <v>321</v>
      </c>
      <c r="D393" s="213" t="s">
        <v>51</v>
      </c>
      <c r="E393" s="208" t="s">
        <v>54</v>
      </c>
      <c r="F393" s="2">
        <v>54110</v>
      </c>
      <c r="G393" s="214" t="s">
        <v>42</v>
      </c>
      <c r="H393" s="215"/>
    </row>
    <row r="394" spans="1:11" ht="15" x14ac:dyDescent="0.2">
      <c r="A394" s="212">
        <v>3</v>
      </c>
      <c r="B394" s="208" t="s">
        <v>53</v>
      </c>
      <c r="C394" s="208" t="s">
        <v>321</v>
      </c>
      <c r="D394" s="213" t="s">
        <v>51</v>
      </c>
      <c r="E394" s="208" t="s">
        <v>54</v>
      </c>
      <c r="F394" s="2">
        <v>54114</v>
      </c>
      <c r="G394" s="214" t="s">
        <v>43</v>
      </c>
      <c r="H394" s="215"/>
    </row>
    <row r="395" spans="1:11" ht="15" x14ac:dyDescent="0.2">
      <c r="A395" s="212">
        <v>3</v>
      </c>
      <c r="B395" s="208" t="s">
        <v>53</v>
      </c>
      <c r="C395" s="208" t="s">
        <v>321</v>
      </c>
      <c r="D395" s="213" t="s">
        <v>51</v>
      </c>
      <c r="E395" s="208" t="s">
        <v>54</v>
      </c>
      <c r="F395" s="2">
        <v>54399</v>
      </c>
      <c r="G395" s="214" t="s">
        <v>607</v>
      </c>
      <c r="H395" s="215">
        <v>4000</v>
      </c>
    </row>
    <row r="396" spans="1:11" ht="15.75" thickBot="1" x14ac:dyDescent="0.25">
      <c r="A396" s="212">
        <v>3</v>
      </c>
      <c r="B396" s="208" t="s">
        <v>53</v>
      </c>
      <c r="C396" s="208" t="s">
        <v>321</v>
      </c>
      <c r="D396" s="213" t="s">
        <v>51</v>
      </c>
      <c r="E396" s="208" t="s">
        <v>54</v>
      </c>
      <c r="F396" s="2">
        <v>54316</v>
      </c>
      <c r="G396" s="214" t="s">
        <v>234</v>
      </c>
      <c r="H396" s="215"/>
    </row>
    <row r="397" spans="1:11" ht="18.75" thickBot="1" x14ac:dyDescent="0.25">
      <c r="A397" s="743" t="s">
        <v>368</v>
      </c>
      <c r="B397" s="744"/>
      <c r="C397" s="744"/>
      <c r="D397" s="744"/>
      <c r="E397" s="744"/>
      <c r="F397" s="744"/>
      <c r="G397" s="745"/>
      <c r="H397" s="411">
        <f>SUM(H389:H396)</f>
        <v>35000</v>
      </c>
    </row>
    <row r="398" spans="1:11" x14ac:dyDescent="0.2">
      <c r="A398" s="222"/>
      <c r="B398" s="222"/>
      <c r="C398" s="222"/>
      <c r="D398" s="222"/>
      <c r="E398" s="222"/>
      <c r="F398" s="222"/>
      <c r="G398" s="15"/>
      <c r="H398" s="223"/>
    </row>
    <row r="399" spans="1:11" ht="15" x14ac:dyDescent="0.2">
      <c r="A399" s="782"/>
      <c r="B399" s="782"/>
      <c r="C399" s="782"/>
      <c r="D399" s="782"/>
      <c r="E399" s="782"/>
      <c r="F399" s="782"/>
      <c r="G399" s="15"/>
      <c r="H399" s="228"/>
    </row>
    <row r="400" spans="1:11" x14ac:dyDescent="0.2">
      <c r="A400" s="783"/>
      <c r="B400" s="783"/>
      <c r="C400" s="783"/>
      <c r="D400" s="783"/>
      <c r="E400" s="783"/>
      <c r="F400" s="783"/>
      <c r="G400" s="783"/>
      <c r="H400" s="149"/>
    </row>
    <row r="401" spans="1:9" x14ac:dyDescent="0.2">
      <c r="A401" s="783"/>
      <c r="B401" s="783"/>
      <c r="C401" s="783"/>
      <c r="D401" s="783"/>
      <c r="E401" s="783"/>
      <c r="F401" s="783"/>
      <c r="G401" s="783"/>
      <c r="H401" s="149"/>
    </row>
    <row r="402" spans="1:9" x14ac:dyDescent="0.2">
      <c r="A402" s="783"/>
      <c r="B402" s="783"/>
      <c r="C402" s="783"/>
      <c r="D402" s="783"/>
      <c r="E402" s="783"/>
      <c r="F402" s="783"/>
      <c r="G402" s="783"/>
      <c r="H402" s="148"/>
    </row>
    <row r="403" spans="1:9" ht="18" x14ac:dyDescent="0.2">
      <c r="A403" s="784" t="s">
        <v>427</v>
      </c>
      <c r="B403" s="784"/>
      <c r="C403" s="784"/>
      <c r="D403" s="784"/>
      <c r="E403" s="784"/>
      <c r="F403" s="784"/>
      <c r="G403" s="784"/>
      <c r="H403" s="784"/>
    </row>
    <row r="404" spans="1:9" ht="18" x14ac:dyDescent="0.2">
      <c r="A404" s="734" t="s">
        <v>426</v>
      </c>
      <c r="B404" s="734"/>
      <c r="C404" s="734"/>
      <c r="D404" s="734"/>
      <c r="E404" s="734"/>
      <c r="F404" s="734"/>
      <c r="G404" s="734"/>
      <c r="H404" s="734"/>
    </row>
    <row r="405" spans="1:9" ht="15.75" x14ac:dyDescent="0.2">
      <c r="A405" s="785" t="s">
        <v>228</v>
      </c>
      <c r="B405" s="785"/>
      <c r="C405" s="785"/>
      <c r="D405" s="785"/>
      <c r="E405" s="785"/>
      <c r="F405" s="785"/>
      <c r="G405" s="785"/>
      <c r="H405" s="785"/>
      <c r="I405" s="245"/>
    </row>
    <row r="406" spans="1:9" ht="15.75" x14ac:dyDescent="0.2">
      <c r="A406" s="785" t="s">
        <v>532</v>
      </c>
      <c r="B406" s="785"/>
      <c r="C406" s="785"/>
      <c r="D406" s="785"/>
      <c r="E406" s="785"/>
      <c r="F406" s="785"/>
      <c r="G406" s="785"/>
      <c r="H406" s="785"/>
      <c r="I406" s="245"/>
    </row>
    <row r="407" spans="1:9" ht="15" x14ac:dyDescent="0.2">
      <c r="A407" s="804" t="s">
        <v>13</v>
      </c>
      <c r="B407" s="804"/>
      <c r="C407" s="804"/>
      <c r="D407" s="804"/>
      <c r="E407" s="804"/>
      <c r="F407" s="804"/>
      <c r="G407" s="804"/>
      <c r="H407" s="804"/>
      <c r="I407" s="245"/>
    </row>
    <row r="408" spans="1:9" ht="15.75" x14ac:dyDescent="0.25">
      <c r="A408" s="774" t="s">
        <v>372</v>
      </c>
      <c r="B408" s="774"/>
      <c r="C408" s="774"/>
      <c r="D408" s="774"/>
      <c r="E408" s="774"/>
      <c r="F408" s="774"/>
      <c r="G408" s="774"/>
      <c r="H408" s="774"/>
      <c r="I408" s="245"/>
    </row>
    <row r="409" spans="1:9" ht="15" x14ac:dyDescent="0.25">
      <c r="A409" s="815" t="s">
        <v>611</v>
      </c>
      <c r="B409" s="815"/>
      <c r="C409" s="815"/>
      <c r="D409" s="815"/>
      <c r="E409" s="815"/>
      <c r="F409" s="815"/>
      <c r="G409" s="815"/>
      <c r="H409" s="815"/>
      <c r="I409" s="245"/>
    </row>
    <row r="410" spans="1:9" ht="15.75" x14ac:dyDescent="0.25">
      <c r="A410" s="774" t="s">
        <v>367</v>
      </c>
      <c r="B410" s="774"/>
      <c r="C410" s="774"/>
      <c r="D410" s="774"/>
      <c r="E410" s="774"/>
      <c r="F410" s="774"/>
      <c r="G410" s="774"/>
      <c r="H410" s="774"/>
      <c r="I410" s="245"/>
    </row>
    <row r="411" spans="1:9" ht="15.75" x14ac:dyDescent="0.25">
      <c r="A411" s="774" t="s">
        <v>370</v>
      </c>
      <c r="B411" s="774"/>
      <c r="C411" s="774"/>
      <c r="D411" s="774"/>
      <c r="E411" s="774"/>
      <c r="F411" s="774"/>
      <c r="G411" s="774"/>
      <c r="H411" s="774"/>
      <c r="I411" s="245"/>
    </row>
    <row r="412" spans="1:9" ht="14.25" x14ac:dyDescent="0.2">
      <c r="A412" s="816" t="str">
        <f>A409</f>
        <v>PROYECTO DE ALUMBRADO  PUBLICO ELECTRICO 2018</v>
      </c>
      <c r="B412" s="816"/>
      <c r="C412" s="816"/>
      <c r="D412" s="816"/>
      <c r="E412" s="816"/>
      <c r="F412" s="816"/>
      <c r="G412" s="816"/>
      <c r="H412" s="816"/>
      <c r="I412" s="245"/>
    </row>
    <row r="413" spans="1:9" ht="13.5" thickBot="1" x14ac:dyDescent="0.25">
      <c r="A413" s="805" t="s">
        <v>0</v>
      </c>
      <c r="B413" s="806"/>
      <c r="C413" s="806"/>
      <c r="D413" s="806"/>
      <c r="E413" s="806"/>
      <c r="F413" s="806"/>
      <c r="G413" s="807" t="s">
        <v>181</v>
      </c>
      <c r="H413" s="808" t="s">
        <v>182</v>
      </c>
      <c r="I413" s="245"/>
    </row>
    <row r="414" spans="1:9" ht="166.5" thickBot="1" x14ac:dyDescent="0.25">
      <c r="A414" s="407" t="s">
        <v>172</v>
      </c>
      <c r="B414" s="408" t="s">
        <v>173</v>
      </c>
      <c r="C414" s="408" t="s">
        <v>144</v>
      </c>
      <c r="D414" s="408" t="s">
        <v>175</v>
      </c>
      <c r="E414" s="409" t="s">
        <v>183</v>
      </c>
      <c r="F414" s="410" t="s">
        <v>118</v>
      </c>
      <c r="G414" s="789"/>
      <c r="H414" s="797"/>
      <c r="I414" s="245"/>
    </row>
    <row r="415" spans="1:9" ht="15" x14ac:dyDescent="0.2">
      <c r="A415" s="207">
        <v>3</v>
      </c>
      <c r="B415" s="208" t="s">
        <v>53</v>
      </c>
      <c r="C415" s="208" t="s">
        <v>321</v>
      </c>
      <c r="D415" s="208" t="s">
        <v>51</v>
      </c>
      <c r="E415" s="208" t="s">
        <v>54</v>
      </c>
      <c r="F415" s="209" t="s">
        <v>227</v>
      </c>
      <c r="G415" s="210" t="s">
        <v>209</v>
      </c>
      <c r="H415" s="211"/>
      <c r="I415" s="245"/>
    </row>
    <row r="416" spans="1:9" ht="15" x14ac:dyDescent="0.2">
      <c r="A416" s="212">
        <v>3</v>
      </c>
      <c r="B416" s="208" t="s">
        <v>53</v>
      </c>
      <c r="C416" s="208" t="s">
        <v>321</v>
      </c>
      <c r="D416" s="213" t="s">
        <v>51</v>
      </c>
      <c r="E416" s="208" t="s">
        <v>54</v>
      </c>
      <c r="F416" s="2">
        <v>54111</v>
      </c>
      <c r="G416" s="214" t="s">
        <v>48</v>
      </c>
      <c r="H416" s="215"/>
      <c r="I416" s="245"/>
    </row>
    <row r="417" spans="1:9" ht="15" x14ac:dyDescent="0.2">
      <c r="A417" s="212">
        <v>3</v>
      </c>
      <c r="B417" s="208" t="s">
        <v>53</v>
      </c>
      <c r="C417" s="208" t="s">
        <v>321</v>
      </c>
      <c r="D417" s="213" t="s">
        <v>51</v>
      </c>
      <c r="E417" s="208" t="s">
        <v>54</v>
      </c>
      <c r="F417" s="2">
        <v>54112</v>
      </c>
      <c r="G417" s="214" t="s">
        <v>47</v>
      </c>
      <c r="H417" s="215"/>
      <c r="I417" s="245"/>
    </row>
    <row r="418" spans="1:9" ht="15" x14ac:dyDescent="0.2">
      <c r="A418" s="212">
        <v>3</v>
      </c>
      <c r="B418" s="208" t="s">
        <v>53</v>
      </c>
      <c r="C418" s="208" t="s">
        <v>321</v>
      </c>
      <c r="D418" s="213" t="s">
        <v>51</v>
      </c>
      <c r="E418" s="208" t="s">
        <v>54</v>
      </c>
      <c r="F418" s="2">
        <v>54103</v>
      </c>
      <c r="G418" s="214" t="s">
        <v>230</v>
      </c>
      <c r="H418" s="215"/>
      <c r="I418" s="245"/>
    </row>
    <row r="419" spans="1:9" ht="15" x14ac:dyDescent="0.2">
      <c r="A419" s="212">
        <v>3</v>
      </c>
      <c r="B419" s="208" t="s">
        <v>53</v>
      </c>
      <c r="C419" s="208" t="s">
        <v>321</v>
      </c>
      <c r="D419" s="213" t="s">
        <v>51</v>
      </c>
      <c r="E419" s="208" t="s">
        <v>54</v>
      </c>
      <c r="F419" s="2">
        <v>54110</v>
      </c>
      <c r="G419" s="214" t="s">
        <v>42</v>
      </c>
      <c r="H419" s="215"/>
      <c r="I419" s="245"/>
    </row>
    <row r="420" spans="1:9" ht="15" x14ac:dyDescent="0.2">
      <c r="A420" s="212">
        <v>3</v>
      </c>
      <c r="B420" s="208" t="s">
        <v>53</v>
      </c>
      <c r="C420" s="208" t="s">
        <v>321</v>
      </c>
      <c r="D420" s="213" t="s">
        <v>51</v>
      </c>
      <c r="E420" s="208" t="s">
        <v>54</v>
      </c>
      <c r="F420" s="2">
        <v>54119</v>
      </c>
      <c r="G420" s="214" t="s">
        <v>104</v>
      </c>
      <c r="H420" s="215">
        <v>5667.1</v>
      </c>
      <c r="I420" s="245"/>
    </row>
    <row r="421" spans="1:9" ht="15" x14ac:dyDescent="0.2">
      <c r="A421" s="212">
        <v>3</v>
      </c>
      <c r="B421" s="208" t="s">
        <v>53</v>
      </c>
      <c r="C421" s="208" t="s">
        <v>321</v>
      </c>
      <c r="D421" s="213" t="s">
        <v>51</v>
      </c>
      <c r="E421" s="208" t="s">
        <v>54</v>
      </c>
      <c r="F421" s="2">
        <v>54399</v>
      </c>
      <c r="G421" s="214" t="s">
        <v>607</v>
      </c>
      <c r="H421" s="215"/>
      <c r="I421" s="245"/>
    </row>
    <row r="422" spans="1:9" ht="15.75" thickBot="1" x14ac:dyDescent="0.25">
      <c r="A422" s="212">
        <v>3</v>
      </c>
      <c r="B422" s="208" t="s">
        <v>53</v>
      </c>
      <c r="C422" s="208" t="s">
        <v>321</v>
      </c>
      <c r="D422" s="213" t="s">
        <v>51</v>
      </c>
      <c r="E422" s="208" t="s">
        <v>54</v>
      </c>
      <c r="F422" s="2">
        <v>54316</v>
      </c>
      <c r="G422" s="214" t="s">
        <v>234</v>
      </c>
      <c r="H422" s="215"/>
      <c r="I422" s="245"/>
    </row>
    <row r="423" spans="1:9" ht="18.75" thickBot="1" x14ac:dyDescent="0.25">
      <c r="A423" s="743" t="s">
        <v>368</v>
      </c>
      <c r="B423" s="744"/>
      <c r="C423" s="744"/>
      <c r="D423" s="744"/>
      <c r="E423" s="744"/>
      <c r="F423" s="744"/>
      <c r="G423" s="745"/>
      <c r="H423" s="411">
        <f>SUM(H415:H422)</f>
        <v>5667.1</v>
      </c>
      <c r="I423" s="245"/>
    </row>
    <row r="424" spans="1:9" x14ac:dyDescent="0.2">
      <c r="A424" s="247"/>
      <c r="B424" s="247"/>
      <c r="C424" s="247"/>
      <c r="D424" s="247"/>
      <c r="E424" s="247"/>
      <c r="F424" s="247"/>
      <c r="G424" s="247"/>
      <c r="H424" s="148"/>
      <c r="I424" s="245"/>
    </row>
    <row r="425" spans="1:9" x14ac:dyDescent="0.2">
      <c r="A425" s="247"/>
      <c r="B425" s="247"/>
      <c r="C425" s="247"/>
      <c r="D425" s="247"/>
      <c r="E425" s="247"/>
      <c r="F425" s="247"/>
      <c r="G425" s="247"/>
      <c r="H425" s="148"/>
      <c r="I425" s="245"/>
    </row>
    <row r="426" spans="1:9" x14ac:dyDescent="0.2">
      <c r="A426" s="247"/>
      <c r="B426" s="247"/>
      <c r="C426" s="247"/>
      <c r="D426" s="247"/>
      <c r="E426" s="247"/>
      <c r="F426" s="247"/>
      <c r="G426" s="247"/>
      <c r="H426" s="148"/>
      <c r="I426" s="245"/>
    </row>
    <row r="427" spans="1:9" x14ac:dyDescent="0.2">
      <c r="A427" s="247"/>
      <c r="B427" s="247"/>
      <c r="C427" s="247"/>
      <c r="D427" s="247"/>
      <c r="E427" s="247"/>
      <c r="F427" s="247"/>
      <c r="G427" s="247"/>
      <c r="H427" s="148"/>
      <c r="I427" s="245"/>
    </row>
    <row r="428" spans="1:9" x14ac:dyDescent="0.2">
      <c r="A428" s="247"/>
      <c r="B428" s="247"/>
      <c r="C428" s="247"/>
      <c r="D428" s="247"/>
      <c r="E428" s="247"/>
      <c r="F428" s="247"/>
      <c r="G428" s="247"/>
      <c r="H428" s="148"/>
      <c r="I428" s="245"/>
    </row>
    <row r="429" spans="1:9" x14ac:dyDescent="0.2">
      <c r="A429" s="247"/>
      <c r="B429" s="247"/>
      <c r="C429" s="247"/>
      <c r="D429" s="247"/>
      <c r="E429" s="247"/>
      <c r="F429" s="247"/>
      <c r="G429" s="247"/>
      <c r="H429" s="148"/>
      <c r="I429" s="245"/>
    </row>
    <row r="430" spans="1:9" x14ac:dyDescent="0.2">
      <c r="A430" s="247"/>
      <c r="B430" s="247"/>
      <c r="C430" s="247"/>
      <c r="D430" s="247"/>
      <c r="E430" s="247"/>
      <c r="F430" s="247"/>
      <c r="G430" s="247"/>
      <c r="H430" s="148"/>
      <c r="I430" s="245"/>
    </row>
    <row r="431" spans="1:9" x14ac:dyDescent="0.2">
      <c r="A431" s="247"/>
      <c r="B431" s="247"/>
      <c r="C431" s="247"/>
      <c r="D431" s="247"/>
      <c r="E431" s="247"/>
      <c r="F431" s="247"/>
      <c r="G431" s="247"/>
      <c r="H431" s="148"/>
      <c r="I431" s="245"/>
    </row>
    <row r="432" spans="1:9" x14ac:dyDescent="0.2">
      <c r="A432" s="247"/>
      <c r="B432" s="247"/>
      <c r="C432" s="247"/>
      <c r="D432" s="247"/>
      <c r="E432" s="247"/>
      <c r="F432" s="247"/>
      <c r="G432" s="247"/>
      <c r="H432" s="148"/>
      <c r="I432" s="245"/>
    </row>
    <row r="433" spans="1:9" x14ac:dyDescent="0.2">
      <c r="A433" s="247"/>
      <c r="B433" s="247"/>
      <c r="C433" s="247"/>
      <c r="D433" s="247"/>
      <c r="E433" s="247"/>
      <c r="F433" s="247"/>
      <c r="G433" s="247"/>
      <c r="H433" s="148"/>
      <c r="I433" s="245"/>
    </row>
    <row r="434" spans="1:9" x14ac:dyDescent="0.2">
      <c r="A434" s="247"/>
      <c r="B434" s="247"/>
      <c r="C434" s="247"/>
      <c r="D434" s="247"/>
      <c r="E434" s="247"/>
      <c r="F434" s="247"/>
      <c r="G434" s="247"/>
      <c r="H434" s="148"/>
      <c r="I434" s="245"/>
    </row>
    <row r="435" spans="1:9" x14ac:dyDescent="0.2">
      <c r="A435" s="247"/>
      <c r="B435" s="247"/>
      <c r="C435" s="247"/>
      <c r="D435" s="247"/>
      <c r="E435" s="247"/>
      <c r="F435" s="247"/>
      <c r="G435" s="247"/>
      <c r="H435" s="148"/>
      <c r="I435" s="245"/>
    </row>
    <row r="436" spans="1:9" x14ac:dyDescent="0.2">
      <c r="A436" s="247"/>
      <c r="B436" s="247"/>
      <c r="C436" s="247"/>
      <c r="D436" s="247"/>
      <c r="E436" s="247"/>
      <c r="F436" s="247"/>
      <c r="G436" s="247"/>
      <c r="H436" s="148"/>
      <c r="I436" s="245"/>
    </row>
    <row r="437" spans="1:9" x14ac:dyDescent="0.2">
      <c r="A437" s="247"/>
      <c r="B437" s="247"/>
      <c r="C437" s="247"/>
      <c r="D437" s="247"/>
      <c r="E437" s="247"/>
      <c r="F437" s="247"/>
      <c r="G437" s="247"/>
      <c r="H437" s="148"/>
      <c r="I437" s="245"/>
    </row>
    <row r="438" spans="1:9" x14ac:dyDescent="0.2">
      <c r="A438" s="247"/>
      <c r="B438" s="247"/>
      <c r="C438" s="247"/>
      <c r="D438" s="247"/>
      <c r="E438" s="247"/>
      <c r="F438" s="247"/>
      <c r="G438" s="247"/>
      <c r="H438" s="148"/>
      <c r="I438" s="245"/>
    </row>
    <row r="439" spans="1:9" x14ac:dyDescent="0.2">
      <c r="A439" s="247"/>
      <c r="B439" s="247"/>
      <c r="C439" s="247"/>
      <c r="D439" s="247"/>
      <c r="E439" s="247"/>
      <c r="F439" s="247"/>
      <c r="G439" s="247"/>
      <c r="H439" s="148"/>
      <c r="I439" s="245"/>
    </row>
    <row r="440" spans="1:9" x14ac:dyDescent="0.2">
      <c r="A440" s="247"/>
      <c r="B440" s="247"/>
      <c r="C440" s="247"/>
      <c r="D440" s="247"/>
      <c r="E440" s="247"/>
      <c r="F440" s="247"/>
      <c r="G440" s="247"/>
      <c r="H440" s="148"/>
      <c r="I440" s="245"/>
    </row>
    <row r="441" spans="1:9" x14ac:dyDescent="0.2">
      <c r="A441" s="247"/>
      <c r="B441" s="247"/>
      <c r="C441" s="247"/>
      <c r="D441" s="247"/>
      <c r="E441" s="247"/>
      <c r="F441" s="247"/>
      <c r="G441" s="247"/>
      <c r="H441" s="148"/>
      <c r="I441" s="245"/>
    </row>
    <row r="442" spans="1:9" x14ac:dyDescent="0.2">
      <c r="A442" s="247"/>
      <c r="B442" s="247"/>
      <c r="C442" s="247"/>
      <c r="D442" s="247"/>
      <c r="E442" s="247"/>
      <c r="F442" s="247"/>
      <c r="G442" s="247"/>
      <c r="H442" s="148"/>
      <c r="I442" s="245"/>
    </row>
    <row r="443" spans="1:9" x14ac:dyDescent="0.2">
      <c r="A443" s="247"/>
      <c r="B443" s="247"/>
      <c r="C443" s="247"/>
      <c r="D443" s="247"/>
      <c r="E443" s="247"/>
      <c r="F443" s="247"/>
      <c r="G443" s="247"/>
      <c r="H443" s="148"/>
      <c r="I443" s="245"/>
    </row>
    <row r="444" spans="1:9" x14ac:dyDescent="0.2">
      <c r="A444" s="247"/>
      <c r="B444" s="247"/>
      <c r="C444" s="247"/>
      <c r="D444" s="247"/>
      <c r="E444" s="247"/>
      <c r="F444" s="247"/>
      <c r="G444" s="247"/>
      <c r="H444" s="148"/>
      <c r="I444" s="245"/>
    </row>
    <row r="445" spans="1:9" x14ac:dyDescent="0.2">
      <c r="A445" s="247"/>
      <c r="B445" s="247"/>
      <c r="C445" s="247"/>
      <c r="D445" s="247"/>
      <c r="E445" s="247"/>
      <c r="F445" s="247"/>
      <c r="G445" s="247"/>
      <c r="H445" s="148"/>
      <c r="I445" s="245"/>
    </row>
    <row r="446" spans="1:9" x14ac:dyDescent="0.2">
      <c r="A446" s="247"/>
      <c r="B446" s="247"/>
      <c r="C446" s="247"/>
      <c r="D446" s="247"/>
      <c r="E446" s="247"/>
      <c r="F446" s="247"/>
      <c r="G446" s="247"/>
      <c r="H446" s="148"/>
      <c r="I446" s="245"/>
    </row>
    <row r="447" spans="1:9" x14ac:dyDescent="0.2">
      <c r="A447" s="247"/>
      <c r="B447" s="247"/>
      <c r="C447" s="247"/>
      <c r="D447" s="247"/>
      <c r="E447" s="247"/>
      <c r="F447" s="247"/>
      <c r="G447" s="247"/>
      <c r="H447" s="148"/>
      <c r="I447" s="245"/>
    </row>
    <row r="448" spans="1:9" x14ac:dyDescent="0.2">
      <c r="A448" s="247"/>
      <c r="B448" s="247"/>
      <c r="C448" s="247"/>
      <c r="D448" s="247"/>
      <c r="E448" s="247"/>
      <c r="F448" s="247"/>
      <c r="G448" s="247"/>
      <c r="H448" s="148"/>
      <c r="I448" s="245"/>
    </row>
    <row r="449" spans="1:9" x14ac:dyDescent="0.2">
      <c r="A449" s="247"/>
      <c r="B449" s="247"/>
      <c r="C449" s="247"/>
      <c r="D449" s="247"/>
      <c r="E449" s="247"/>
      <c r="F449" s="247"/>
      <c r="G449" s="247"/>
      <c r="H449" s="148"/>
      <c r="I449" s="245"/>
    </row>
    <row r="450" spans="1:9" x14ac:dyDescent="0.2">
      <c r="A450" s="247"/>
      <c r="B450" s="247"/>
      <c r="C450" s="247"/>
      <c r="D450" s="247"/>
      <c r="E450" s="247"/>
      <c r="F450" s="247"/>
      <c r="G450" s="247"/>
      <c r="H450" s="148"/>
      <c r="I450" s="245"/>
    </row>
    <row r="451" spans="1:9" x14ac:dyDescent="0.2">
      <c r="A451" s="247"/>
      <c r="B451" s="247"/>
      <c r="C451" s="247"/>
      <c r="D451" s="247"/>
      <c r="E451" s="247"/>
      <c r="F451" s="247"/>
      <c r="G451" s="247"/>
      <c r="H451" s="148"/>
      <c r="I451" s="245"/>
    </row>
    <row r="452" spans="1:9" x14ac:dyDescent="0.2">
      <c r="A452" s="247"/>
      <c r="B452" s="247"/>
      <c r="C452" s="247"/>
      <c r="D452" s="247"/>
      <c r="E452" s="247"/>
      <c r="F452" s="247"/>
      <c r="G452" s="247"/>
      <c r="H452" s="148"/>
      <c r="I452" s="245"/>
    </row>
    <row r="453" spans="1:9" x14ac:dyDescent="0.2">
      <c r="A453" s="247"/>
      <c r="B453" s="247"/>
      <c r="C453" s="247"/>
      <c r="D453" s="247"/>
      <c r="E453" s="247"/>
      <c r="F453" s="247"/>
      <c r="G453" s="247"/>
      <c r="H453" s="148"/>
      <c r="I453" s="245"/>
    </row>
    <row r="454" spans="1:9" x14ac:dyDescent="0.2">
      <c r="A454" s="247"/>
      <c r="B454" s="247"/>
      <c r="C454" s="247"/>
      <c r="D454" s="247"/>
      <c r="E454" s="247"/>
      <c r="F454" s="247"/>
      <c r="G454" s="247"/>
      <c r="H454" s="148"/>
      <c r="I454" s="245"/>
    </row>
    <row r="455" spans="1:9" x14ac:dyDescent="0.2">
      <c r="A455" s="247"/>
      <c r="B455" s="247"/>
      <c r="C455" s="247"/>
      <c r="D455" s="247"/>
      <c r="E455" s="247"/>
      <c r="F455" s="247"/>
      <c r="G455" s="247"/>
      <c r="H455" s="148"/>
      <c r="I455" s="245"/>
    </row>
    <row r="456" spans="1:9" x14ac:dyDescent="0.2">
      <c r="A456" s="247"/>
      <c r="B456" s="247"/>
      <c r="C456" s="247"/>
      <c r="D456" s="247"/>
      <c r="E456" s="247"/>
      <c r="F456" s="247"/>
      <c r="G456" s="247"/>
      <c r="H456" s="148"/>
      <c r="I456" s="245"/>
    </row>
    <row r="457" spans="1:9" x14ac:dyDescent="0.2">
      <c r="A457" s="247"/>
      <c r="B457" s="247"/>
      <c r="C457" s="247"/>
      <c r="D457" s="247"/>
      <c r="E457" s="247"/>
      <c r="F457" s="247"/>
      <c r="G457" s="247"/>
      <c r="H457" s="148"/>
      <c r="I457" s="245"/>
    </row>
    <row r="458" spans="1:9" x14ac:dyDescent="0.2">
      <c r="A458" s="247"/>
      <c r="B458" s="247"/>
      <c r="C458" s="247"/>
      <c r="D458" s="247"/>
      <c r="E458" s="247"/>
      <c r="F458" s="247"/>
      <c r="G458" s="247"/>
      <c r="H458" s="148"/>
      <c r="I458" s="245"/>
    </row>
    <row r="459" spans="1:9" x14ac:dyDescent="0.2">
      <c r="A459" s="247"/>
      <c r="B459" s="247"/>
      <c r="C459" s="247"/>
      <c r="D459" s="247"/>
      <c r="E459" s="247"/>
      <c r="F459" s="247"/>
      <c r="G459" s="247"/>
      <c r="H459" s="148"/>
      <c r="I459" s="245"/>
    </row>
    <row r="460" spans="1:9" x14ac:dyDescent="0.2">
      <c r="A460" s="247"/>
      <c r="B460" s="247"/>
      <c r="C460" s="247"/>
      <c r="D460" s="247"/>
      <c r="E460" s="247"/>
      <c r="F460" s="247"/>
      <c r="G460" s="247"/>
      <c r="H460" s="148"/>
      <c r="I460" s="245"/>
    </row>
    <row r="461" spans="1:9" x14ac:dyDescent="0.2">
      <c r="A461" s="247"/>
      <c r="B461" s="247"/>
      <c r="C461" s="247"/>
      <c r="D461" s="247"/>
      <c r="E461" s="247"/>
      <c r="F461" s="247"/>
      <c r="G461" s="247"/>
      <c r="H461" s="148"/>
      <c r="I461" s="245"/>
    </row>
    <row r="462" spans="1:9" x14ac:dyDescent="0.2">
      <c r="A462" s="247"/>
      <c r="B462" s="247"/>
      <c r="C462" s="247"/>
      <c r="D462" s="247"/>
      <c r="E462" s="247"/>
      <c r="F462" s="247"/>
      <c r="G462" s="247"/>
      <c r="H462" s="148"/>
      <c r="I462" s="245"/>
    </row>
    <row r="463" spans="1:9" x14ac:dyDescent="0.2">
      <c r="A463" s="247"/>
      <c r="B463" s="247"/>
      <c r="C463" s="247"/>
      <c r="D463" s="247"/>
      <c r="E463" s="247"/>
      <c r="F463" s="247"/>
      <c r="G463" s="247"/>
      <c r="H463" s="148"/>
      <c r="I463" s="245"/>
    </row>
    <row r="464" spans="1:9" x14ac:dyDescent="0.2">
      <c r="A464" s="247"/>
      <c r="B464" s="247"/>
      <c r="C464" s="247"/>
      <c r="D464" s="247"/>
      <c r="E464" s="247"/>
      <c r="F464" s="247"/>
      <c r="G464" s="247"/>
      <c r="H464" s="148"/>
      <c r="I464" s="245"/>
    </row>
    <row r="465" spans="1:9" x14ac:dyDescent="0.2">
      <c r="A465" s="247"/>
      <c r="B465" s="247"/>
      <c r="C465" s="247"/>
      <c r="D465" s="247"/>
      <c r="E465" s="247"/>
      <c r="F465" s="247"/>
      <c r="G465" s="247"/>
      <c r="H465" s="148"/>
      <c r="I465" s="245"/>
    </row>
    <row r="466" spans="1:9" x14ac:dyDescent="0.2">
      <c r="A466" s="247"/>
      <c r="B466" s="247"/>
      <c r="C466" s="247"/>
      <c r="D466" s="247"/>
      <c r="E466" s="247"/>
      <c r="F466" s="247"/>
      <c r="G466" s="247"/>
      <c r="H466" s="148"/>
      <c r="I466" s="245"/>
    </row>
    <row r="467" spans="1:9" x14ac:dyDescent="0.2">
      <c r="A467" s="247"/>
      <c r="B467" s="247"/>
      <c r="C467" s="247"/>
      <c r="D467" s="247"/>
      <c r="E467" s="247"/>
      <c r="F467" s="247"/>
      <c r="G467" s="247"/>
      <c r="H467" s="148"/>
      <c r="I467" s="245"/>
    </row>
    <row r="468" spans="1:9" x14ac:dyDescent="0.2">
      <c r="A468" s="247"/>
      <c r="B468" s="247"/>
      <c r="C468" s="247"/>
      <c r="D468" s="247"/>
      <c r="E468" s="247"/>
      <c r="F468" s="247"/>
      <c r="G468" s="247"/>
      <c r="H468" s="148"/>
      <c r="I468" s="245"/>
    </row>
    <row r="469" spans="1:9" x14ac:dyDescent="0.2">
      <c r="A469" s="247"/>
      <c r="B469" s="247"/>
      <c r="C469" s="247"/>
      <c r="D469" s="247"/>
      <c r="E469" s="247"/>
      <c r="F469" s="247"/>
      <c r="G469" s="247"/>
      <c r="H469" s="148"/>
      <c r="I469" s="245"/>
    </row>
    <row r="470" spans="1:9" x14ac:dyDescent="0.2">
      <c r="A470" s="247"/>
      <c r="B470" s="247"/>
      <c r="C470" s="247"/>
      <c r="D470" s="247"/>
      <c r="E470" s="247"/>
      <c r="F470" s="247"/>
      <c r="G470" s="247"/>
      <c r="H470" s="148"/>
      <c r="I470" s="245"/>
    </row>
    <row r="471" spans="1:9" x14ac:dyDescent="0.2">
      <c r="A471" s="247"/>
      <c r="B471" s="247"/>
      <c r="C471" s="247"/>
      <c r="D471" s="247"/>
      <c r="E471" s="247"/>
      <c r="F471" s="247"/>
      <c r="G471" s="247"/>
      <c r="H471" s="148"/>
      <c r="I471" s="245"/>
    </row>
    <row r="472" spans="1:9" x14ac:dyDescent="0.2">
      <c r="A472" s="247"/>
      <c r="B472" s="247"/>
      <c r="C472" s="247"/>
      <c r="D472" s="247"/>
      <c r="E472" s="247"/>
      <c r="F472" s="247"/>
      <c r="G472" s="247"/>
      <c r="H472" s="148"/>
      <c r="I472" s="245"/>
    </row>
    <row r="473" spans="1:9" x14ac:dyDescent="0.2">
      <c r="A473" s="247"/>
      <c r="B473" s="247"/>
      <c r="C473" s="247"/>
      <c r="D473" s="247"/>
      <c r="E473" s="247"/>
      <c r="F473" s="247"/>
      <c r="G473" s="247"/>
      <c r="H473" s="148"/>
      <c r="I473" s="245"/>
    </row>
    <row r="474" spans="1:9" x14ac:dyDescent="0.2">
      <c r="A474" s="247"/>
      <c r="B474" s="247"/>
      <c r="C474" s="247"/>
      <c r="D474" s="247"/>
      <c r="E474" s="247"/>
      <c r="F474" s="247"/>
      <c r="G474" s="247"/>
      <c r="H474" s="148"/>
      <c r="I474" s="245"/>
    </row>
    <row r="475" spans="1:9" x14ac:dyDescent="0.2">
      <c r="A475" s="247"/>
      <c r="B475" s="247"/>
      <c r="C475" s="247"/>
      <c r="D475" s="247"/>
      <c r="E475" s="247"/>
      <c r="F475" s="247"/>
      <c r="G475" s="247"/>
      <c r="H475" s="148"/>
      <c r="I475" s="245"/>
    </row>
    <row r="476" spans="1:9" x14ac:dyDescent="0.2">
      <c r="A476" s="247"/>
      <c r="B476" s="247"/>
      <c r="C476" s="247"/>
      <c r="D476" s="247"/>
      <c r="E476" s="247"/>
      <c r="F476" s="247"/>
      <c r="G476" s="247"/>
      <c r="H476" s="148"/>
      <c r="I476" s="245"/>
    </row>
    <row r="477" spans="1:9" x14ac:dyDescent="0.2">
      <c r="A477" s="247"/>
      <c r="B477" s="247"/>
      <c r="C477" s="247"/>
      <c r="D477" s="247"/>
      <c r="E477" s="247"/>
      <c r="F477" s="247"/>
      <c r="G477" s="247"/>
      <c r="H477" s="148"/>
      <c r="I477" s="245"/>
    </row>
    <row r="478" spans="1:9" x14ac:dyDescent="0.2">
      <c r="A478" s="247"/>
      <c r="B478" s="247"/>
      <c r="C478" s="247"/>
      <c r="D478" s="247"/>
      <c r="E478" s="247"/>
      <c r="F478" s="247"/>
      <c r="G478" s="247"/>
      <c r="H478" s="148"/>
      <c r="I478" s="245"/>
    </row>
    <row r="479" spans="1:9" x14ac:dyDescent="0.2">
      <c r="A479" s="247"/>
      <c r="B479" s="247"/>
      <c r="C479" s="247"/>
      <c r="D479" s="247"/>
      <c r="E479" s="247"/>
      <c r="F479" s="247"/>
      <c r="G479" s="247"/>
      <c r="H479" s="148"/>
      <c r="I479" s="245"/>
    </row>
    <row r="480" spans="1:9" x14ac:dyDescent="0.2">
      <c r="A480" s="247"/>
      <c r="B480" s="247"/>
      <c r="C480" s="247"/>
      <c r="D480" s="247"/>
      <c r="E480" s="247"/>
      <c r="F480" s="247"/>
      <c r="G480" s="247"/>
      <c r="H480" s="148"/>
      <c r="I480" s="245"/>
    </row>
    <row r="481" spans="1:9" x14ac:dyDescent="0.2">
      <c r="A481" s="247"/>
      <c r="B481" s="247"/>
      <c r="C481" s="247"/>
      <c r="D481" s="247"/>
      <c r="E481" s="247"/>
      <c r="F481" s="247"/>
      <c r="G481" s="247"/>
      <c r="H481" s="148"/>
      <c r="I481" s="245"/>
    </row>
    <row r="482" spans="1:9" x14ac:dyDescent="0.2">
      <c r="A482" s="247"/>
      <c r="B482" s="247"/>
      <c r="C482" s="247"/>
      <c r="D482" s="247"/>
      <c r="E482" s="247"/>
      <c r="F482" s="247"/>
      <c r="G482" s="247"/>
      <c r="H482" s="148"/>
      <c r="I482" s="245"/>
    </row>
    <row r="483" spans="1:9" x14ac:dyDescent="0.2">
      <c r="A483" s="247"/>
      <c r="B483" s="247"/>
      <c r="C483" s="247"/>
      <c r="D483" s="247"/>
      <c r="E483" s="247"/>
      <c r="F483" s="247"/>
      <c r="G483" s="247"/>
      <c r="H483" s="148"/>
      <c r="I483" s="245"/>
    </row>
    <row r="484" spans="1:9" x14ac:dyDescent="0.2">
      <c r="A484" s="247"/>
      <c r="B484" s="247"/>
      <c r="C484" s="247"/>
      <c r="D484" s="247"/>
      <c r="E484" s="247"/>
      <c r="F484" s="247"/>
      <c r="G484" s="247"/>
      <c r="H484" s="148"/>
      <c r="I484" s="245"/>
    </row>
    <row r="485" spans="1:9" x14ac:dyDescent="0.2">
      <c r="A485" s="247"/>
      <c r="B485" s="247"/>
      <c r="C485" s="247"/>
      <c r="D485" s="247"/>
      <c r="E485" s="247"/>
      <c r="F485" s="247"/>
      <c r="G485" s="247"/>
      <c r="H485" s="148"/>
      <c r="I485" s="245"/>
    </row>
    <row r="486" spans="1:9" x14ac:dyDescent="0.2">
      <c r="A486" s="247"/>
      <c r="B486" s="247"/>
      <c r="C486" s="247"/>
      <c r="D486" s="247"/>
      <c r="E486" s="247"/>
      <c r="F486" s="247"/>
      <c r="G486" s="247"/>
      <c r="H486" s="148"/>
      <c r="I486" s="245"/>
    </row>
    <row r="487" spans="1:9" x14ac:dyDescent="0.2">
      <c r="A487" s="247"/>
      <c r="B487" s="247"/>
      <c r="C487" s="247"/>
      <c r="D487" s="247"/>
      <c r="E487" s="247"/>
      <c r="F487" s="247"/>
      <c r="G487" s="247"/>
      <c r="H487" s="148"/>
      <c r="I487" s="245"/>
    </row>
    <row r="488" spans="1:9" x14ac:dyDescent="0.2">
      <c r="A488" s="247"/>
      <c r="B488" s="247"/>
      <c r="C488" s="247"/>
      <c r="D488" s="247"/>
      <c r="E488" s="247"/>
      <c r="F488" s="247"/>
      <c r="G488" s="247"/>
      <c r="H488" s="148"/>
      <c r="I488" s="245"/>
    </row>
    <row r="489" spans="1:9" x14ac:dyDescent="0.2">
      <c r="A489" s="247"/>
      <c r="B489" s="247"/>
      <c r="C489" s="247"/>
      <c r="D489" s="247"/>
      <c r="E489" s="247"/>
      <c r="F489" s="247"/>
      <c r="G489" s="247"/>
      <c r="H489" s="148"/>
      <c r="I489" s="245"/>
    </row>
    <row r="490" spans="1:9" x14ac:dyDescent="0.2">
      <c r="A490" s="247"/>
      <c r="B490" s="247"/>
      <c r="C490" s="247"/>
      <c r="D490" s="247"/>
      <c r="E490" s="247"/>
      <c r="F490" s="247"/>
      <c r="G490" s="247"/>
      <c r="H490" s="148"/>
      <c r="I490" s="245"/>
    </row>
    <row r="491" spans="1:9" x14ac:dyDescent="0.2">
      <c r="A491" s="247"/>
      <c r="B491" s="247"/>
      <c r="C491" s="247"/>
      <c r="D491" s="247"/>
      <c r="E491" s="247"/>
      <c r="F491" s="247"/>
      <c r="G491" s="247"/>
      <c r="H491" s="148"/>
      <c r="I491" s="245"/>
    </row>
    <row r="492" spans="1:9" x14ac:dyDescent="0.2">
      <c r="A492" s="247"/>
      <c r="B492" s="247"/>
      <c r="C492" s="247"/>
      <c r="D492" s="247"/>
      <c r="E492" s="247"/>
      <c r="F492" s="247"/>
      <c r="G492" s="247"/>
      <c r="H492" s="148"/>
      <c r="I492" s="245"/>
    </row>
    <row r="493" spans="1:9" x14ac:dyDescent="0.2">
      <c r="A493" s="247"/>
      <c r="B493" s="247"/>
      <c r="C493" s="247"/>
      <c r="D493" s="247"/>
      <c r="E493" s="247"/>
      <c r="F493" s="247"/>
      <c r="G493" s="247"/>
      <c r="H493" s="148"/>
      <c r="I493" s="245"/>
    </row>
    <row r="494" spans="1:9" x14ac:dyDescent="0.2">
      <c r="A494" s="247"/>
      <c r="B494" s="247"/>
      <c r="C494" s="247"/>
      <c r="D494" s="247"/>
      <c r="E494" s="247"/>
      <c r="F494" s="247"/>
      <c r="G494" s="247"/>
      <c r="H494" s="148"/>
      <c r="I494" s="245"/>
    </row>
    <row r="495" spans="1:9" x14ac:dyDescent="0.2">
      <c r="A495" s="247"/>
      <c r="B495" s="247"/>
      <c r="C495" s="247"/>
      <c r="D495" s="247"/>
      <c r="E495" s="247"/>
      <c r="F495" s="247"/>
      <c r="G495" s="247"/>
      <c r="H495" s="148"/>
      <c r="I495" s="245"/>
    </row>
    <row r="496" spans="1:9" x14ac:dyDescent="0.2">
      <c r="A496" s="247"/>
      <c r="B496" s="247"/>
      <c r="C496" s="247"/>
      <c r="D496" s="247"/>
      <c r="E496" s="247"/>
      <c r="F496" s="247"/>
      <c r="G496" s="247"/>
      <c r="H496" s="148"/>
      <c r="I496" s="245"/>
    </row>
    <row r="497" spans="1:9" x14ac:dyDescent="0.2">
      <c r="A497" s="247"/>
      <c r="B497" s="247"/>
      <c r="C497" s="247"/>
      <c r="D497" s="247"/>
      <c r="E497" s="247"/>
      <c r="F497" s="247"/>
      <c r="G497" s="247"/>
      <c r="H497" s="148"/>
      <c r="I497" s="245"/>
    </row>
    <row r="498" spans="1:9" x14ac:dyDescent="0.2">
      <c r="A498" s="247"/>
      <c r="B498" s="247"/>
      <c r="C498" s="247"/>
      <c r="D498" s="247"/>
      <c r="E498" s="247"/>
      <c r="F498" s="247"/>
      <c r="G498" s="247"/>
      <c r="H498" s="148"/>
      <c r="I498" s="245"/>
    </row>
    <row r="499" spans="1:9" x14ac:dyDescent="0.2">
      <c r="A499" s="247"/>
      <c r="B499" s="247"/>
      <c r="C499" s="247"/>
      <c r="D499" s="247"/>
      <c r="E499" s="247"/>
      <c r="F499" s="247"/>
      <c r="G499" s="247"/>
      <c r="H499" s="148"/>
      <c r="I499" s="245"/>
    </row>
    <row r="500" spans="1:9" x14ac:dyDescent="0.2">
      <c r="A500" s="247"/>
      <c r="B500" s="247"/>
      <c r="C500" s="247"/>
      <c r="D500" s="247"/>
      <c r="E500" s="247"/>
      <c r="F500" s="247"/>
      <c r="G500" s="247"/>
      <c r="H500" s="148"/>
      <c r="I500" s="245"/>
    </row>
    <row r="501" spans="1:9" x14ac:dyDescent="0.2">
      <c r="A501" s="247"/>
      <c r="B501" s="247"/>
      <c r="C501" s="247"/>
      <c r="D501" s="247"/>
      <c r="E501" s="247"/>
      <c r="F501" s="247"/>
      <c r="G501" s="247"/>
      <c r="H501" s="148"/>
      <c r="I501" s="245"/>
    </row>
    <row r="502" spans="1:9" x14ac:dyDescent="0.2">
      <c r="A502" s="247"/>
      <c r="B502" s="247"/>
      <c r="C502" s="247"/>
      <c r="D502" s="247"/>
      <c r="E502" s="247"/>
      <c r="F502" s="247"/>
      <c r="G502" s="247"/>
      <c r="H502" s="148"/>
      <c r="I502" s="245"/>
    </row>
    <row r="503" spans="1:9" x14ac:dyDescent="0.2">
      <c r="A503" s="247"/>
      <c r="B503" s="247"/>
      <c r="C503" s="247"/>
      <c r="D503" s="247"/>
      <c r="E503" s="247"/>
      <c r="F503" s="247"/>
      <c r="G503" s="247"/>
      <c r="H503" s="148"/>
      <c r="I503" s="245"/>
    </row>
    <row r="504" spans="1:9" x14ac:dyDescent="0.2">
      <c r="A504" s="247"/>
      <c r="B504" s="247"/>
      <c r="C504" s="247"/>
      <c r="D504" s="247"/>
      <c r="E504" s="247"/>
      <c r="F504" s="247"/>
      <c r="G504" s="247"/>
      <c r="H504" s="148"/>
      <c r="I504" s="245"/>
    </row>
    <row r="505" spans="1:9" x14ac:dyDescent="0.2">
      <c r="A505" s="247"/>
      <c r="B505" s="247"/>
      <c r="C505" s="247"/>
      <c r="D505" s="247"/>
      <c r="E505" s="247"/>
      <c r="F505" s="247"/>
      <c r="G505" s="247"/>
      <c r="H505" s="148"/>
      <c r="I505" s="245"/>
    </row>
    <row r="506" spans="1:9" x14ac:dyDescent="0.2">
      <c r="A506" s="247"/>
      <c r="B506" s="247"/>
      <c r="C506" s="247"/>
      <c r="D506" s="247"/>
      <c r="E506" s="247"/>
      <c r="F506" s="247"/>
      <c r="G506" s="247"/>
      <c r="H506" s="148"/>
      <c r="I506" s="245"/>
    </row>
    <row r="507" spans="1:9" x14ac:dyDescent="0.2">
      <c r="A507" s="247"/>
      <c r="B507" s="247"/>
      <c r="C507" s="247"/>
      <c r="D507" s="247"/>
      <c r="E507" s="247"/>
      <c r="F507" s="247"/>
      <c r="G507" s="247"/>
      <c r="H507" s="148"/>
      <c r="I507" s="245"/>
    </row>
    <row r="508" spans="1:9" x14ac:dyDescent="0.2">
      <c r="A508" s="247"/>
      <c r="B508" s="247"/>
      <c r="C508" s="247"/>
      <c r="D508" s="247"/>
      <c r="E508" s="247"/>
      <c r="F508" s="247"/>
      <c r="G508" s="247"/>
      <c r="H508" s="148"/>
      <c r="I508" s="245"/>
    </row>
    <row r="509" spans="1:9" x14ac:dyDescent="0.2">
      <c r="A509" s="247"/>
      <c r="B509" s="247"/>
      <c r="C509" s="247"/>
      <c r="D509" s="247"/>
      <c r="E509" s="247"/>
      <c r="F509" s="247"/>
      <c r="G509" s="247"/>
      <c r="H509" s="148"/>
      <c r="I509" s="245"/>
    </row>
    <row r="510" spans="1:9" x14ac:dyDescent="0.2">
      <c r="A510" s="247"/>
      <c r="B510" s="247"/>
      <c r="C510" s="247"/>
      <c r="D510" s="247"/>
      <c r="E510" s="247"/>
      <c r="F510" s="247"/>
      <c r="G510" s="247"/>
      <c r="H510" s="148"/>
      <c r="I510" s="245"/>
    </row>
    <row r="511" spans="1:9" x14ac:dyDescent="0.2">
      <c r="A511" s="247"/>
      <c r="B511" s="247"/>
      <c r="C511" s="247"/>
      <c r="D511" s="247"/>
      <c r="E511" s="247"/>
      <c r="F511" s="247"/>
      <c r="G511" s="247"/>
      <c r="H511" s="148"/>
      <c r="I511" s="245"/>
    </row>
    <row r="512" spans="1:9" x14ac:dyDescent="0.2">
      <c r="A512" s="247"/>
      <c r="B512" s="247"/>
      <c r="C512" s="247"/>
      <c r="D512" s="247"/>
      <c r="E512" s="247"/>
      <c r="F512" s="247"/>
      <c r="G512" s="247"/>
      <c r="H512" s="148"/>
      <c r="I512" s="245"/>
    </row>
    <row r="513" spans="1:9" x14ac:dyDescent="0.2">
      <c r="A513" s="247"/>
      <c r="B513" s="247"/>
      <c r="C513" s="247"/>
      <c r="D513" s="247"/>
      <c r="E513" s="247"/>
      <c r="F513" s="247"/>
      <c r="G513" s="247"/>
      <c r="H513" s="148"/>
      <c r="I513" s="245"/>
    </row>
    <row r="514" spans="1:9" x14ac:dyDescent="0.2">
      <c r="A514" s="247"/>
      <c r="B514" s="247"/>
      <c r="C514" s="247"/>
      <c r="D514" s="247"/>
      <c r="E514" s="247"/>
      <c r="F514" s="247"/>
      <c r="G514" s="247"/>
      <c r="H514" s="148"/>
      <c r="I514" s="245"/>
    </row>
    <row r="515" spans="1:9" x14ac:dyDescent="0.2">
      <c r="A515" s="247"/>
      <c r="B515" s="247"/>
      <c r="C515" s="247"/>
      <c r="D515" s="247"/>
      <c r="E515" s="247"/>
      <c r="F515" s="247"/>
      <c r="G515" s="247"/>
      <c r="H515" s="148"/>
      <c r="I515" s="245"/>
    </row>
    <row r="516" spans="1:9" x14ac:dyDescent="0.2">
      <c r="A516" s="247"/>
      <c r="B516" s="247"/>
      <c r="C516" s="247"/>
      <c r="D516" s="247"/>
      <c r="E516" s="247"/>
      <c r="F516" s="247"/>
      <c r="G516" s="247"/>
      <c r="H516" s="148"/>
      <c r="I516" s="245"/>
    </row>
    <row r="517" spans="1:9" x14ac:dyDescent="0.2">
      <c r="A517" s="247"/>
      <c r="B517" s="247"/>
      <c r="C517" s="247"/>
      <c r="D517" s="247"/>
      <c r="E517" s="247"/>
      <c r="F517" s="247"/>
      <c r="G517" s="247"/>
      <c r="H517" s="148"/>
      <c r="I517" s="245"/>
    </row>
    <row r="518" spans="1:9" x14ac:dyDescent="0.2">
      <c r="A518" s="247"/>
      <c r="B518" s="247"/>
      <c r="C518" s="247"/>
      <c r="D518" s="247"/>
      <c r="E518" s="247"/>
      <c r="F518" s="247"/>
      <c r="G518" s="247"/>
      <c r="H518" s="148"/>
      <c r="I518" s="245"/>
    </row>
    <row r="519" spans="1:9" x14ac:dyDescent="0.2">
      <c r="A519" s="247"/>
      <c r="B519" s="247"/>
      <c r="C519" s="247"/>
      <c r="D519" s="247"/>
      <c r="E519" s="247"/>
      <c r="F519" s="247"/>
      <c r="G519" s="247"/>
      <c r="H519" s="148"/>
      <c r="I519" s="245"/>
    </row>
    <row r="520" spans="1:9" x14ac:dyDescent="0.2">
      <c r="A520" s="247"/>
      <c r="B520" s="247"/>
      <c r="C520" s="247"/>
      <c r="D520" s="247"/>
      <c r="E520" s="247"/>
      <c r="F520" s="247"/>
      <c r="G520" s="247"/>
      <c r="H520" s="148"/>
      <c r="I520" s="245"/>
    </row>
    <row r="521" spans="1:9" x14ac:dyDescent="0.2">
      <c r="A521" s="247"/>
      <c r="B521" s="247"/>
      <c r="C521" s="247"/>
      <c r="D521" s="247"/>
      <c r="E521" s="247"/>
      <c r="F521" s="247"/>
      <c r="G521" s="247"/>
      <c r="H521" s="148"/>
      <c r="I521" s="245"/>
    </row>
    <row r="522" spans="1:9" x14ac:dyDescent="0.2">
      <c r="A522" s="247"/>
      <c r="B522" s="247"/>
      <c r="C522" s="247"/>
      <c r="D522" s="247"/>
      <c r="E522" s="247"/>
      <c r="F522" s="247"/>
      <c r="G522" s="247"/>
      <c r="H522" s="148"/>
      <c r="I522" s="245"/>
    </row>
    <row r="523" spans="1:9" x14ac:dyDescent="0.2">
      <c r="A523" s="247"/>
      <c r="B523" s="247"/>
      <c r="C523" s="247"/>
      <c r="D523" s="247"/>
      <c r="E523" s="247"/>
      <c r="F523" s="247"/>
      <c r="G523" s="247"/>
      <c r="H523" s="148"/>
      <c r="I523" s="245"/>
    </row>
    <row r="524" spans="1:9" x14ac:dyDescent="0.2">
      <c r="A524" s="247"/>
      <c r="B524" s="247"/>
      <c r="C524" s="247"/>
      <c r="D524" s="247"/>
      <c r="E524" s="247"/>
      <c r="F524" s="247"/>
      <c r="G524" s="247"/>
      <c r="H524" s="148"/>
      <c r="I524" s="245"/>
    </row>
    <row r="525" spans="1:9" x14ac:dyDescent="0.2">
      <c r="A525" s="247"/>
      <c r="B525" s="247"/>
      <c r="C525" s="247"/>
      <c r="D525" s="247"/>
      <c r="E525" s="247"/>
      <c r="F525" s="247"/>
      <c r="G525" s="247"/>
      <c r="H525" s="148"/>
      <c r="I525" s="245"/>
    </row>
    <row r="526" spans="1:9" x14ac:dyDescent="0.2">
      <c r="A526" s="247"/>
      <c r="B526" s="247"/>
      <c r="C526" s="247"/>
      <c r="D526" s="247"/>
      <c r="E526" s="247"/>
      <c r="F526" s="247"/>
      <c r="G526" s="247"/>
      <c r="H526" s="148"/>
      <c r="I526" s="245"/>
    </row>
    <row r="527" spans="1:9" x14ac:dyDescent="0.2">
      <c r="A527" s="247"/>
      <c r="B527" s="247"/>
      <c r="C527" s="247"/>
      <c r="D527" s="247"/>
      <c r="E527" s="247"/>
      <c r="F527" s="247"/>
      <c r="G527" s="247"/>
      <c r="H527" s="148"/>
      <c r="I527" s="245"/>
    </row>
    <row r="528" spans="1:9" x14ac:dyDescent="0.2">
      <c r="A528" s="247"/>
      <c r="B528" s="247"/>
      <c r="C528" s="247"/>
      <c r="D528" s="247"/>
      <c r="E528" s="247"/>
      <c r="F528" s="247"/>
      <c r="G528" s="247"/>
      <c r="H528" s="148"/>
      <c r="I528" s="245"/>
    </row>
    <row r="529" spans="1:9" x14ac:dyDescent="0.2">
      <c r="A529" s="247"/>
      <c r="B529" s="247"/>
      <c r="C529" s="247"/>
      <c r="D529" s="247"/>
      <c r="E529" s="247"/>
      <c r="F529" s="247"/>
      <c r="G529" s="247"/>
      <c r="H529" s="148"/>
      <c r="I529" s="245"/>
    </row>
    <row r="530" spans="1:9" x14ac:dyDescent="0.2">
      <c r="A530" s="247"/>
      <c r="B530" s="247"/>
      <c r="C530" s="247"/>
      <c r="D530" s="247"/>
      <c r="E530" s="247"/>
      <c r="F530" s="247"/>
      <c r="G530" s="247"/>
      <c r="H530" s="148"/>
      <c r="I530" s="245"/>
    </row>
    <row r="531" spans="1:9" x14ac:dyDescent="0.2">
      <c r="A531" s="247"/>
      <c r="B531" s="247"/>
      <c r="C531" s="247"/>
      <c r="D531" s="247"/>
      <c r="E531" s="247"/>
      <c r="F531" s="247"/>
      <c r="G531" s="247"/>
      <c r="H531" s="148"/>
      <c r="I531" s="245"/>
    </row>
    <row r="532" spans="1:9" x14ac:dyDescent="0.2">
      <c r="A532" s="247"/>
      <c r="B532" s="247"/>
      <c r="C532" s="247"/>
      <c r="D532" s="247"/>
      <c r="E532" s="247"/>
      <c r="F532" s="247"/>
      <c r="G532" s="247"/>
      <c r="H532" s="148"/>
      <c r="I532" s="245"/>
    </row>
    <row r="533" spans="1:9" x14ac:dyDescent="0.2">
      <c r="A533" s="247"/>
      <c r="B533" s="247"/>
      <c r="C533" s="247"/>
      <c r="D533" s="247"/>
      <c r="E533" s="247"/>
      <c r="F533" s="247"/>
      <c r="G533" s="247"/>
      <c r="H533" s="148"/>
      <c r="I533" s="245"/>
    </row>
    <row r="534" spans="1:9" x14ac:dyDescent="0.2">
      <c r="A534" s="247"/>
      <c r="B534" s="247"/>
      <c r="C534" s="247"/>
      <c r="D534" s="247"/>
      <c r="E534" s="247"/>
      <c r="F534" s="247"/>
      <c r="G534" s="247"/>
      <c r="H534" s="148"/>
      <c r="I534" s="245"/>
    </row>
    <row r="535" spans="1:9" x14ac:dyDescent="0.2">
      <c r="A535" s="247"/>
      <c r="B535" s="247"/>
      <c r="C535" s="247"/>
      <c r="D535" s="247"/>
      <c r="E535" s="247"/>
      <c r="F535" s="247"/>
      <c r="G535" s="247"/>
      <c r="H535" s="148"/>
      <c r="I535" s="245"/>
    </row>
    <row r="536" spans="1:9" x14ac:dyDescent="0.2">
      <c r="A536" s="247"/>
      <c r="B536" s="247"/>
      <c r="C536" s="247"/>
      <c r="D536" s="247"/>
      <c r="E536" s="247"/>
      <c r="F536" s="247"/>
      <c r="G536" s="247"/>
      <c r="H536" s="148"/>
      <c r="I536" s="245"/>
    </row>
    <row r="537" spans="1:9" x14ac:dyDescent="0.2">
      <c r="A537" s="247"/>
      <c r="B537" s="247"/>
      <c r="C537" s="247"/>
      <c r="D537" s="247"/>
      <c r="E537" s="247"/>
      <c r="F537" s="247"/>
      <c r="G537" s="247"/>
      <c r="H537" s="148"/>
      <c r="I537" s="245"/>
    </row>
    <row r="538" spans="1:9" x14ac:dyDescent="0.2">
      <c r="A538" s="247"/>
      <c r="B538" s="247"/>
      <c r="C538" s="247"/>
      <c r="D538" s="247"/>
      <c r="E538" s="247"/>
      <c r="F538" s="247"/>
      <c r="G538" s="247"/>
      <c r="H538" s="148"/>
      <c r="I538" s="245"/>
    </row>
    <row r="539" spans="1:9" x14ac:dyDescent="0.2">
      <c r="A539" s="247"/>
      <c r="B539" s="247"/>
      <c r="C539" s="247"/>
      <c r="D539" s="247"/>
      <c r="E539" s="247"/>
      <c r="F539" s="247"/>
      <c r="G539" s="247"/>
      <c r="H539" s="148"/>
      <c r="I539" s="245"/>
    </row>
    <row r="540" spans="1:9" x14ac:dyDescent="0.2">
      <c r="A540" s="247"/>
      <c r="B540" s="247"/>
      <c r="C540" s="247"/>
      <c r="D540" s="247"/>
      <c r="E540" s="247"/>
      <c r="F540" s="247"/>
      <c r="G540" s="247"/>
      <c r="H540" s="148"/>
      <c r="I540" s="245"/>
    </row>
    <row r="541" spans="1:9" x14ac:dyDescent="0.2">
      <c r="A541" s="247"/>
      <c r="B541" s="247"/>
      <c r="C541" s="247"/>
      <c r="D541" s="247"/>
      <c r="E541" s="247"/>
      <c r="F541" s="247"/>
      <c r="G541" s="247"/>
      <c r="H541" s="148"/>
      <c r="I541" s="245"/>
    </row>
    <row r="542" spans="1:9" x14ac:dyDescent="0.2">
      <c r="A542" s="247"/>
      <c r="B542" s="247"/>
      <c r="C542" s="247"/>
      <c r="D542" s="247"/>
      <c r="E542" s="247"/>
      <c r="F542" s="247"/>
      <c r="G542" s="247"/>
      <c r="H542" s="148"/>
      <c r="I542" s="245"/>
    </row>
    <row r="543" spans="1:9" x14ac:dyDescent="0.2">
      <c r="A543" s="247"/>
      <c r="B543" s="247"/>
      <c r="C543" s="247"/>
      <c r="D543" s="247"/>
      <c r="E543" s="247"/>
      <c r="F543" s="247"/>
      <c r="G543" s="247"/>
      <c r="H543" s="148"/>
      <c r="I543" s="245"/>
    </row>
    <row r="544" spans="1:9" x14ac:dyDescent="0.2">
      <c r="A544" s="247"/>
      <c r="B544" s="247"/>
      <c r="C544" s="247"/>
      <c r="D544" s="247"/>
      <c r="E544" s="247"/>
      <c r="F544" s="247"/>
      <c r="G544" s="247"/>
      <c r="H544" s="148"/>
      <c r="I544" s="245"/>
    </row>
    <row r="545" spans="1:9" x14ac:dyDescent="0.2">
      <c r="A545" s="247"/>
      <c r="B545" s="247"/>
      <c r="C545" s="247"/>
      <c r="D545" s="247"/>
      <c r="E545" s="247"/>
      <c r="F545" s="247"/>
      <c r="G545" s="247"/>
      <c r="H545" s="148"/>
      <c r="I545" s="245"/>
    </row>
    <row r="546" spans="1:9" x14ac:dyDescent="0.2">
      <c r="A546" s="247"/>
      <c r="B546" s="247"/>
      <c r="C546" s="247"/>
      <c r="D546" s="247"/>
      <c r="E546" s="247"/>
      <c r="F546" s="247"/>
      <c r="G546" s="247"/>
      <c r="H546" s="148"/>
      <c r="I546" s="245"/>
    </row>
    <row r="547" spans="1:9" x14ac:dyDescent="0.2">
      <c r="A547" s="247"/>
      <c r="B547" s="247"/>
      <c r="C547" s="247"/>
      <c r="D547" s="247"/>
      <c r="E547" s="247"/>
      <c r="F547" s="247"/>
      <c r="G547" s="247"/>
      <c r="H547" s="148"/>
      <c r="I547" s="245"/>
    </row>
    <row r="548" spans="1:9" x14ac:dyDescent="0.2">
      <c r="A548" s="247"/>
      <c r="B548" s="247"/>
      <c r="C548" s="247"/>
      <c r="D548" s="247"/>
      <c r="E548" s="247"/>
      <c r="F548" s="247"/>
      <c r="G548" s="247"/>
      <c r="H548" s="148"/>
      <c r="I548" s="245"/>
    </row>
    <row r="549" spans="1:9" x14ac:dyDescent="0.2">
      <c r="A549" s="247"/>
      <c r="B549" s="247"/>
      <c r="C549" s="247"/>
      <c r="D549" s="247"/>
      <c r="E549" s="247"/>
      <c r="F549" s="247"/>
      <c r="G549" s="247"/>
      <c r="H549" s="148"/>
      <c r="I549" s="245"/>
    </row>
    <row r="550" spans="1:9" x14ac:dyDescent="0.2">
      <c r="A550" s="247"/>
      <c r="B550" s="247"/>
      <c r="C550" s="247"/>
      <c r="D550" s="247"/>
      <c r="E550" s="247"/>
      <c r="F550" s="247"/>
      <c r="G550" s="247"/>
      <c r="H550" s="148"/>
      <c r="I550" s="245"/>
    </row>
    <row r="551" spans="1:9" x14ac:dyDescent="0.2">
      <c r="A551" s="247"/>
      <c r="B551" s="247"/>
      <c r="C551" s="247"/>
      <c r="D551" s="247"/>
      <c r="E551" s="247"/>
      <c r="F551" s="247"/>
      <c r="G551" s="247"/>
      <c r="H551" s="148"/>
      <c r="I551" s="245"/>
    </row>
    <row r="552" spans="1:9" x14ac:dyDescent="0.2">
      <c r="A552" s="247"/>
      <c r="B552" s="247"/>
      <c r="C552" s="247"/>
      <c r="D552" s="247"/>
      <c r="E552" s="247"/>
      <c r="F552" s="247"/>
      <c r="G552" s="247"/>
      <c r="H552" s="148"/>
      <c r="I552" s="245"/>
    </row>
    <row r="553" spans="1:9" x14ac:dyDescent="0.2">
      <c r="A553" s="247"/>
      <c r="B553" s="247"/>
      <c r="C553" s="247"/>
      <c r="D553" s="247"/>
      <c r="E553" s="247"/>
      <c r="F553" s="247"/>
      <c r="G553" s="247"/>
      <c r="H553" s="148"/>
      <c r="I553" s="245"/>
    </row>
    <row r="554" spans="1:9" x14ac:dyDescent="0.2">
      <c r="A554" s="247"/>
      <c r="B554" s="247"/>
      <c r="C554" s="247"/>
      <c r="D554" s="247"/>
      <c r="E554" s="247"/>
      <c r="F554" s="247"/>
      <c r="G554" s="247"/>
      <c r="H554" s="148"/>
      <c r="I554" s="245"/>
    </row>
    <row r="555" spans="1:9" x14ac:dyDescent="0.2">
      <c r="A555" s="247"/>
      <c r="B555" s="247"/>
      <c r="C555" s="247"/>
      <c r="D555" s="247"/>
      <c r="E555" s="247"/>
      <c r="F555" s="247"/>
      <c r="G555" s="247"/>
      <c r="H555" s="148"/>
      <c r="I555" s="245"/>
    </row>
    <row r="556" spans="1:9" x14ac:dyDescent="0.2">
      <c r="A556" s="247"/>
      <c r="B556" s="247"/>
      <c r="C556" s="247"/>
      <c r="D556" s="247"/>
      <c r="E556" s="247"/>
      <c r="F556" s="247"/>
      <c r="G556" s="247"/>
      <c r="H556" s="148"/>
      <c r="I556" s="245"/>
    </row>
    <row r="557" spans="1:9" x14ac:dyDescent="0.2">
      <c r="A557" s="247"/>
      <c r="B557" s="247"/>
      <c r="C557" s="247"/>
      <c r="D557" s="247"/>
      <c r="E557" s="247"/>
      <c r="F557" s="247"/>
      <c r="G557" s="247"/>
      <c r="H557" s="148"/>
      <c r="I557" s="245"/>
    </row>
    <row r="558" spans="1:9" x14ac:dyDescent="0.2">
      <c r="A558" s="247"/>
      <c r="B558" s="247"/>
      <c r="C558" s="247"/>
      <c r="D558" s="247"/>
      <c r="E558" s="247"/>
      <c r="F558" s="247"/>
      <c r="G558" s="247"/>
      <c r="H558" s="148"/>
      <c r="I558" s="245"/>
    </row>
    <row r="559" spans="1:9" x14ac:dyDescent="0.2">
      <c r="A559" s="247"/>
      <c r="B559" s="247"/>
      <c r="C559" s="247"/>
      <c r="D559" s="247"/>
      <c r="E559" s="247"/>
      <c r="F559" s="247"/>
      <c r="G559" s="247"/>
      <c r="H559" s="148"/>
      <c r="I559" s="245"/>
    </row>
    <row r="560" spans="1:9" x14ac:dyDescent="0.2">
      <c r="A560" s="247"/>
      <c r="B560" s="247"/>
      <c r="C560" s="247"/>
      <c r="D560" s="247"/>
      <c r="E560" s="247"/>
      <c r="F560" s="247"/>
      <c r="G560" s="247"/>
      <c r="H560" s="148"/>
      <c r="I560" s="245"/>
    </row>
    <row r="561" spans="1:9" x14ac:dyDescent="0.2">
      <c r="A561" s="247"/>
      <c r="B561" s="247"/>
      <c r="C561" s="247"/>
      <c r="D561" s="247"/>
      <c r="E561" s="247"/>
      <c r="F561" s="247"/>
      <c r="G561" s="247"/>
      <c r="H561" s="148"/>
      <c r="I561" s="245"/>
    </row>
    <row r="562" spans="1:9" x14ac:dyDescent="0.2">
      <c r="A562" s="247"/>
      <c r="B562" s="247"/>
      <c r="C562" s="247"/>
      <c r="D562" s="247"/>
      <c r="E562" s="247"/>
      <c r="F562" s="247"/>
      <c r="G562" s="247"/>
      <c r="H562" s="148"/>
      <c r="I562" s="245"/>
    </row>
    <row r="563" spans="1:9" x14ac:dyDescent="0.2">
      <c r="A563" s="247"/>
      <c r="B563" s="247"/>
      <c r="C563" s="247"/>
      <c r="D563" s="247"/>
      <c r="E563" s="247"/>
      <c r="F563" s="247"/>
      <c r="G563" s="247"/>
      <c r="H563" s="148"/>
      <c r="I563" s="245"/>
    </row>
    <row r="564" spans="1:9" x14ac:dyDescent="0.2">
      <c r="A564" s="247"/>
      <c r="B564" s="247"/>
      <c r="C564" s="247"/>
      <c r="D564" s="247"/>
      <c r="E564" s="247"/>
      <c r="F564" s="247"/>
      <c r="G564" s="247"/>
      <c r="H564" s="148"/>
      <c r="I564" s="245"/>
    </row>
    <row r="565" spans="1:9" x14ac:dyDescent="0.2">
      <c r="A565" s="247"/>
      <c r="B565" s="247"/>
      <c r="C565" s="247"/>
      <c r="D565" s="247"/>
      <c r="E565" s="247"/>
      <c r="F565" s="247"/>
      <c r="G565" s="247"/>
      <c r="H565" s="148"/>
      <c r="I565" s="245"/>
    </row>
    <row r="566" spans="1:9" x14ac:dyDescent="0.2">
      <c r="A566" s="247"/>
      <c r="B566" s="247"/>
      <c r="C566" s="247"/>
      <c r="D566" s="247"/>
      <c r="E566" s="247"/>
      <c r="F566" s="247"/>
      <c r="G566" s="247"/>
      <c r="H566" s="148"/>
      <c r="I566" s="245"/>
    </row>
    <row r="567" spans="1:9" x14ac:dyDescent="0.2">
      <c r="A567" s="247"/>
      <c r="B567" s="247"/>
      <c r="C567" s="247"/>
      <c r="D567" s="247"/>
      <c r="E567" s="247"/>
      <c r="F567" s="247"/>
      <c r="G567" s="247"/>
      <c r="H567" s="148"/>
      <c r="I567" s="245"/>
    </row>
    <row r="568" spans="1:9" x14ac:dyDescent="0.2">
      <c r="A568" s="247"/>
      <c r="B568" s="247"/>
      <c r="C568" s="247"/>
      <c r="D568" s="247"/>
      <c r="E568" s="247"/>
      <c r="F568" s="247"/>
      <c r="G568" s="247"/>
      <c r="H568" s="148"/>
      <c r="I568" s="245"/>
    </row>
    <row r="569" spans="1:9" x14ac:dyDescent="0.2">
      <c r="A569" s="247"/>
      <c r="B569" s="247"/>
      <c r="C569" s="247"/>
      <c r="D569" s="247"/>
      <c r="E569" s="247"/>
      <c r="F569" s="247"/>
      <c r="G569" s="247"/>
      <c r="H569" s="148"/>
      <c r="I569" s="245"/>
    </row>
    <row r="570" spans="1:9" x14ac:dyDescent="0.2">
      <c r="A570" s="247"/>
      <c r="B570" s="247"/>
      <c r="C570" s="247"/>
      <c r="D570" s="247"/>
      <c r="E570" s="247"/>
      <c r="F570" s="247"/>
      <c r="G570" s="247"/>
      <c r="H570" s="148"/>
      <c r="I570" s="245"/>
    </row>
    <row r="571" spans="1:9" x14ac:dyDescent="0.2">
      <c r="A571" s="247"/>
      <c r="B571" s="247"/>
      <c r="C571" s="247"/>
      <c r="D571" s="247"/>
      <c r="E571" s="247"/>
      <c r="F571" s="247"/>
      <c r="G571" s="247"/>
      <c r="H571" s="148"/>
      <c r="I571" s="245"/>
    </row>
    <row r="572" spans="1:9" x14ac:dyDescent="0.2">
      <c r="A572" s="247"/>
      <c r="B572" s="247"/>
      <c r="C572" s="247"/>
      <c r="D572" s="247"/>
      <c r="E572" s="247"/>
      <c r="F572" s="247"/>
      <c r="G572" s="247"/>
      <c r="H572" s="148"/>
      <c r="I572" s="245"/>
    </row>
    <row r="573" spans="1:9" x14ac:dyDescent="0.2">
      <c r="A573" s="247"/>
      <c r="B573" s="247"/>
      <c r="C573" s="247"/>
      <c r="D573" s="247"/>
      <c r="E573" s="247"/>
      <c r="F573" s="247"/>
      <c r="G573" s="247"/>
      <c r="H573" s="148"/>
      <c r="I573" s="245"/>
    </row>
    <row r="574" spans="1:9" x14ac:dyDescent="0.2">
      <c r="A574" s="247"/>
      <c r="B574" s="247"/>
      <c r="C574" s="247"/>
      <c r="D574" s="247"/>
      <c r="E574" s="247"/>
      <c r="F574" s="247"/>
      <c r="G574" s="247"/>
      <c r="H574" s="148"/>
      <c r="I574" s="245"/>
    </row>
    <row r="575" spans="1:9" x14ac:dyDescent="0.2">
      <c r="A575" s="247"/>
      <c r="B575" s="247"/>
      <c r="C575" s="247"/>
      <c r="D575" s="247"/>
      <c r="E575" s="247"/>
      <c r="F575" s="247"/>
      <c r="G575" s="247"/>
      <c r="H575" s="148"/>
      <c r="I575" s="245"/>
    </row>
    <row r="576" spans="1:9" x14ac:dyDescent="0.2">
      <c r="A576" s="247"/>
      <c r="B576" s="247"/>
      <c r="C576" s="247"/>
      <c r="D576" s="247"/>
      <c r="E576" s="247"/>
      <c r="F576" s="247"/>
      <c r="G576" s="247"/>
      <c r="H576" s="148"/>
      <c r="I576" s="245"/>
    </row>
    <row r="577" spans="1:9" x14ac:dyDescent="0.2">
      <c r="A577" s="247"/>
      <c r="B577" s="247"/>
      <c r="C577" s="247"/>
      <c r="D577" s="247"/>
      <c r="E577" s="247"/>
      <c r="F577" s="247"/>
      <c r="G577" s="247"/>
      <c r="H577" s="148"/>
      <c r="I577" s="245"/>
    </row>
    <row r="578" spans="1:9" x14ac:dyDescent="0.2">
      <c r="A578" s="247"/>
      <c r="B578" s="247"/>
      <c r="C578" s="247"/>
      <c r="D578" s="247"/>
      <c r="E578" s="247"/>
      <c r="F578" s="247"/>
      <c r="G578" s="247"/>
      <c r="H578" s="148"/>
      <c r="I578" s="245"/>
    </row>
    <row r="579" spans="1:9" x14ac:dyDescent="0.2">
      <c r="A579" s="247"/>
      <c r="B579" s="247"/>
      <c r="C579" s="247"/>
      <c r="D579" s="247"/>
      <c r="E579" s="247"/>
      <c r="F579" s="247"/>
      <c r="G579" s="247"/>
      <c r="H579" s="148"/>
      <c r="I579" s="245"/>
    </row>
    <row r="580" spans="1:9" x14ac:dyDescent="0.2">
      <c r="A580" s="247"/>
      <c r="B580" s="247"/>
      <c r="C580" s="247"/>
      <c r="D580" s="247"/>
      <c r="E580" s="247"/>
      <c r="F580" s="247"/>
      <c r="G580" s="247"/>
      <c r="H580" s="148"/>
      <c r="I580" s="245"/>
    </row>
    <row r="581" spans="1:9" x14ac:dyDescent="0.2">
      <c r="A581" s="247"/>
      <c r="B581" s="247"/>
      <c r="C581" s="247"/>
      <c r="D581" s="247"/>
      <c r="E581" s="247"/>
      <c r="F581" s="247"/>
      <c r="G581" s="247"/>
      <c r="H581" s="148"/>
      <c r="I581" s="245"/>
    </row>
    <row r="582" spans="1:9" x14ac:dyDescent="0.2">
      <c r="A582" s="247"/>
      <c r="B582" s="247"/>
      <c r="C582" s="247"/>
      <c r="D582" s="247"/>
      <c r="E582" s="247"/>
      <c r="F582" s="247"/>
      <c r="G582" s="247"/>
      <c r="H582" s="148"/>
      <c r="I582" s="245"/>
    </row>
    <row r="583" spans="1:9" x14ac:dyDescent="0.2">
      <c r="A583" s="247"/>
      <c r="B583" s="247"/>
      <c r="C583" s="247"/>
      <c r="D583" s="247"/>
      <c r="E583" s="247"/>
      <c r="F583" s="247"/>
      <c r="G583" s="247"/>
      <c r="H583" s="148"/>
      <c r="I583" s="245"/>
    </row>
    <row r="584" spans="1:9" x14ac:dyDescent="0.2">
      <c r="A584" s="247"/>
      <c r="B584" s="247"/>
      <c r="C584" s="247"/>
      <c r="D584" s="247"/>
      <c r="E584" s="247"/>
      <c r="F584" s="247"/>
      <c r="G584" s="247"/>
      <c r="H584" s="148"/>
      <c r="I584" s="245"/>
    </row>
    <row r="585" spans="1:9" x14ac:dyDescent="0.2">
      <c r="A585" s="247"/>
      <c r="B585" s="247"/>
      <c r="C585" s="247"/>
      <c r="D585" s="247"/>
      <c r="E585" s="247"/>
      <c r="F585" s="247"/>
      <c r="G585" s="247"/>
      <c r="H585" s="148"/>
      <c r="I585" s="245"/>
    </row>
    <row r="586" spans="1:9" x14ac:dyDescent="0.2">
      <c r="A586" s="247"/>
      <c r="B586" s="247"/>
      <c r="C586" s="247"/>
      <c r="D586" s="247"/>
      <c r="E586" s="247"/>
      <c r="F586" s="247"/>
      <c r="G586" s="247"/>
      <c r="H586" s="148"/>
      <c r="I586" s="245"/>
    </row>
    <row r="587" spans="1:9" x14ac:dyDescent="0.2">
      <c r="A587" s="247"/>
      <c r="B587" s="247"/>
      <c r="C587" s="247"/>
      <c r="D587" s="247"/>
      <c r="E587" s="247"/>
      <c r="F587" s="247"/>
      <c r="G587" s="247"/>
      <c r="H587" s="148"/>
      <c r="I587" s="245"/>
    </row>
    <row r="588" spans="1:9" x14ac:dyDescent="0.2">
      <c r="A588" s="247"/>
      <c r="B588" s="247"/>
      <c r="C588" s="247"/>
      <c r="D588" s="247"/>
      <c r="E588" s="247"/>
      <c r="F588" s="247"/>
      <c r="G588" s="247"/>
      <c r="H588" s="148"/>
      <c r="I588" s="245"/>
    </row>
    <row r="589" spans="1:9" x14ac:dyDescent="0.2">
      <c r="A589" s="247"/>
      <c r="B589" s="247"/>
      <c r="C589" s="247"/>
      <c r="D589" s="247"/>
      <c r="E589" s="247"/>
      <c r="F589" s="247"/>
      <c r="G589" s="247"/>
      <c r="H589" s="148"/>
      <c r="I589" s="245"/>
    </row>
    <row r="590" spans="1:9" x14ac:dyDescent="0.2">
      <c r="A590" s="247"/>
      <c r="B590" s="247"/>
      <c r="C590" s="247"/>
      <c r="D590" s="247"/>
      <c r="E590" s="247"/>
      <c r="F590" s="247"/>
      <c r="G590" s="247"/>
      <c r="H590" s="148"/>
      <c r="I590" s="245"/>
    </row>
    <row r="591" spans="1:9" x14ac:dyDescent="0.2">
      <c r="A591" s="247"/>
      <c r="B591" s="247"/>
      <c r="C591" s="247"/>
      <c r="D591" s="247"/>
      <c r="E591" s="247"/>
      <c r="F591" s="247"/>
      <c r="G591" s="247"/>
      <c r="H591" s="148"/>
      <c r="I591" s="245"/>
    </row>
    <row r="592" spans="1:9" x14ac:dyDescent="0.2">
      <c r="A592" s="247"/>
      <c r="B592" s="247"/>
      <c r="C592" s="247"/>
      <c r="D592" s="247"/>
      <c r="E592" s="247"/>
      <c r="F592" s="247"/>
      <c r="G592" s="247"/>
      <c r="H592" s="148"/>
      <c r="I592" s="245"/>
    </row>
    <row r="593" spans="1:9" x14ac:dyDescent="0.2">
      <c r="A593" s="247"/>
      <c r="B593" s="247"/>
      <c r="C593" s="247"/>
      <c r="D593" s="247"/>
      <c r="E593" s="247"/>
      <c r="F593" s="247"/>
      <c r="G593" s="247"/>
      <c r="H593" s="148"/>
      <c r="I593" s="245"/>
    </row>
    <row r="594" spans="1:9" x14ac:dyDescent="0.2">
      <c r="A594" s="247"/>
      <c r="B594" s="247"/>
      <c r="C594" s="247"/>
      <c r="D594" s="247"/>
      <c r="E594" s="247"/>
      <c r="F594" s="247"/>
      <c r="G594" s="247"/>
      <c r="H594" s="148"/>
      <c r="I594" s="245"/>
    </row>
    <row r="595" spans="1:9" x14ac:dyDescent="0.2">
      <c r="A595" s="247"/>
      <c r="B595" s="247"/>
      <c r="C595" s="247"/>
      <c r="D595" s="247"/>
      <c r="E595" s="247"/>
      <c r="F595" s="247"/>
      <c r="G595" s="247"/>
      <c r="H595" s="148"/>
      <c r="I595" s="245"/>
    </row>
    <row r="596" spans="1:9" x14ac:dyDescent="0.2">
      <c r="A596" s="247"/>
      <c r="B596" s="247"/>
      <c r="C596" s="247"/>
      <c r="D596" s="247"/>
      <c r="E596" s="247"/>
      <c r="F596" s="247"/>
      <c r="G596" s="247"/>
      <c r="H596" s="148"/>
      <c r="I596" s="245"/>
    </row>
    <row r="597" spans="1:9" x14ac:dyDescent="0.2">
      <c r="A597" s="247"/>
      <c r="B597" s="247"/>
      <c r="C597" s="247"/>
      <c r="D597" s="247"/>
      <c r="E597" s="247"/>
      <c r="F597" s="247"/>
      <c r="G597" s="247"/>
      <c r="H597" s="148"/>
      <c r="I597" s="245"/>
    </row>
    <row r="598" spans="1:9" x14ac:dyDescent="0.2">
      <c r="A598" s="247"/>
      <c r="B598" s="247"/>
      <c r="C598" s="247"/>
      <c r="D598" s="247"/>
      <c r="E598" s="247"/>
      <c r="F598" s="247"/>
      <c r="G598" s="247"/>
      <c r="H598" s="148"/>
      <c r="I598" s="245"/>
    </row>
    <row r="599" spans="1:9" x14ac:dyDescent="0.2">
      <c r="A599" s="247"/>
      <c r="B599" s="247"/>
      <c r="C599" s="247"/>
      <c r="D599" s="247"/>
      <c r="E599" s="247"/>
      <c r="F599" s="247"/>
      <c r="G599" s="247"/>
      <c r="H599" s="148"/>
      <c r="I599" s="245"/>
    </row>
    <row r="600" spans="1:9" x14ac:dyDescent="0.2">
      <c r="A600" s="247"/>
      <c r="B600" s="247"/>
      <c r="C600" s="247"/>
      <c r="D600" s="247"/>
      <c r="E600" s="247"/>
      <c r="F600" s="247"/>
      <c r="G600" s="247"/>
      <c r="H600" s="148"/>
      <c r="I600" s="245"/>
    </row>
    <row r="601" spans="1:9" x14ac:dyDescent="0.2">
      <c r="A601" s="247"/>
      <c r="B601" s="247"/>
      <c r="C601" s="247"/>
      <c r="D601" s="247"/>
      <c r="E601" s="247"/>
      <c r="F601" s="247"/>
      <c r="G601" s="247"/>
      <c r="H601" s="148"/>
      <c r="I601" s="245"/>
    </row>
    <row r="602" spans="1:9" x14ac:dyDescent="0.2">
      <c r="A602" s="247"/>
      <c r="B602" s="247"/>
      <c r="C602" s="247"/>
      <c r="D602" s="247"/>
      <c r="E602" s="247"/>
      <c r="F602" s="247"/>
      <c r="G602" s="247"/>
      <c r="H602" s="148"/>
      <c r="I602" s="245"/>
    </row>
    <row r="603" spans="1:9" x14ac:dyDescent="0.2">
      <c r="A603" s="247"/>
      <c r="B603" s="247"/>
      <c r="C603" s="247"/>
      <c r="D603" s="247"/>
      <c r="E603" s="247"/>
      <c r="F603" s="247"/>
      <c r="G603" s="247"/>
      <c r="H603" s="148"/>
      <c r="I603" s="245"/>
    </row>
    <row r="604" spans="1:9" x14ac:dyDescent="0.2">
      <c r="A604" s="247"/>
      <c r="B604" s="247"/>
      <c r="C604" s="247"/>
      <c r="D604" s="247"/>
      <c r="E604" s="247"/>
      <c r="F604" s="247"/>
      <c r="G604" s="247"/>
      <c r="H604" s="148"/>
      <c r="I604" s="245"/>
    </row>
    <row r="605" spans="1:9" x14ac:dyDescent="0.2">
      <c r="A605" s="247"/>
      <c r="B605" s="247"/>
      <c r="C605" s="247"/>
      <c r="D605" s="247"/>
      <c r="E605" s="247"/>
      <c r="F605" s="247"/>
      <c r="G605" s="247"/>
      <c r="H605" s="148"/>
      <c r="I605" s="245"/>
    </row>
    <row r="606" spans="1:9" x14ac:dyDescent="0.2">
      <c r="A606" s="247"/>
      <c r="B606" s="247"/>
      <c r="C606" s="247"/>
      <c r="D606" s="247"/>
      <c r="E606" s="247"/>
      <c r="F606" s="247"/>
      <c r="G606" s="247"/>
      <c r="H606" s="148"/>
      <c r="I606" s="245"/>
    </row>
    <row r="607" spans="1:9" x14ac:dyDescent="0.2">
      <c r="A607" s="247"/>
      <c r="B607" s="247"/>
      <c r="C607" s="247"/>
      <c r="D607" s="247"/>
      <c r="E607" s="247"/>
      <c r="F607" s="247"/>
      <c r="G607" s="247"/>
      <c r="H607" s="148"/>
      <c r="I607" s="245"/>
    </row>
    <row r="608" spans="1:9" x14ac:dyDescent="0.2">
      <c r="A608" s="247"/>
      <c r="B608" s="247"/>
      <c r="C608" s="247"/>
      <c r="D608" s="247"/>
      <c r="E608" s="247"/>
      <c r="F608" s="247"/>
      <c r="G608" s="247"/>
      <c r="H608" s="148"/>
      <c r="I608" s="245"/>
    </row>
    <row r="609" spans="1:9" x14ac:dyDescent="0.2">
      <c r="A609" s="247"/>
      <c r="B609" s="247"/>
      <c r="C609" s="247"/>
      <c r="D609" s="247"/>
      <c r="E609" s="247"/>
      <c r="F609" s="247"/>
      <c r="G609" s="247"/>
      <c r="H609" s="148"/>
      <c r="I609" s="245"/>
    </row>
    <row r="610" spans="1:9" x14ac:dyDescent="0.2">
      <c r="A610" s="247"/>
      <c r="B610" s="247"/>
      <c r="C610" s="247"/>
      <c r="D610" s="247"/>
      <c r="E610" s="247"/>
      <c r="F610" s="247"/>
      <c r="G610" s="247"/>
      <c r="H610" s="148"/>
      <c r="I610" s="245"/>
    </row>
    <row r="611" spans="1:9" x14ac:dyDescent="0.2">
      <c r="A611" s="247"/>
      <c r="B611" s="247"/>
      <c r="C611" s="247"/>
      <c r="D611" s="247"/>
      <c r="E611" s="247"/>
      <c r="F611" s="247"/>
      <c r="G611" s="247"/>
      <c r="H611" s="148"/>
      <c r="I611" s="245"/>
    </row>
    <row r="612" spans="1:9" x14ac:dyDescent="0.2">
      <c r="A612" s="247"/>
      <c r="B612" s="247"/>
      <c r="C612" s="247"/>
      <c r="D612" s="247"/>
      <c r="E612" s="247"/>
      <c r="F612" s="247"/>
      <c r="G612" s="247"/>
      <c r="H612" s="148"/>
      <c r="I612" s="245"/>
    </row>
    <row r="613" spans="1:9" x14ac:dyDescent="0.2">
      <c r="A613" s="247"/>
      <c r="B613" s="247"/>
      <c r="C613" s="247"/>
      <c r="D613" s="247"/>
      <c r="E613" s="247"/>
      <c r="F613" s="247"/>
      <c r="G613" s="247"/>
      <c r="H613" s="148"/>
      <c r="I613" s="245"/>
    </row>
    <row r="614" spans="1:9" x14ac:dyDescent="0.2">
      <c r="A614" s="247"/>
      <c r="B614" s="247"/>
      <c r="C614" s="247"/>
      <c r="D614" s="247"/>
      <c r="E614" s="247"/>
      <c r="F614" s="247"/>
      <c r="G614" s="247"/>
      <c r="H614" s="148"/>
      <c r="I614" s="245"/>
    </row>
    <row r="615" spans="1:9" x14ac:dyDescent="0.2">
      <c r="A615" s="247"/>
      <c r="B615" s="247"/>
      <c r="C615" s="247"/>
      <c r="D615" s="247"/>
      <c r="E615" s="247"/>
      <c r="F615" s="247"/>
      <c r="G615" s="247"/>
      <c r="H615" s="148"/>
      <c r="I615" s="245"/>
    </row>
    <row r="616" spans="1:9" x14ac:dyDescent="0.2">
      <c r="A616" s="247"/>
      <c r="B616" s="247"/>
      <c r="C616" s="247"/>
      <c r="D616" s="247"/>
      <c r="E616" s="247"/>
      <c r="F616" s="247"/>
      <c r="G616" s="247"/>
      <c r="H616" s="148"/>
      <c r="I616" s="245"/>
    </row>
    <row r="617" spans="1:9" x14ac:dyDescent="0.2">
      <c r="A617" s="247"/>
      <c r="B617" s="247"/>
      <c r="C617" s="247"/>
      <c r="D617" s="247"/>
      <c r="E617" s="247"/>
      <c r="F617" s="247"/>
      <c r="G617" s="247"/>
      <c r="H617" s="148"/>
      <c r="I617" s="245"/>
    </row>
    <row r="618" spans="1:9" x14ac:dyDescent="0.2">
      <c r="A618" s="247"/>
      <c r="B618" s="247"/>
      <c r="C618" s="247"/>
      <c r="D618" s="247"/>
      <c r="E618" s="247"/>
      <c r="F618" s="247"/>
      <c r="G618" s="247"/>
      <c r="H618" s="148"/>
      <c r="I618" s="245"/>
    </row>
    <row r="619" spans="1:9" x14ac:dyDescent="0.2">
      <c r="A619" s="247"/>
      <c r="B619" s="247"/>
      <c r="C619" s="247"/>
      <c r="D619" s="247"/>
      <c r="E619" s="247"/>
      <c r="F619" s="247"/>
      <c r="G619" s="247"/>
      <c r="H619" s="148"/>
      <c r="I619" s="245"/>
    </row>
    <row r="620" spans="1:9" x14ac:dyDescent="0.2">
      <c r="A620" s="247"/>
      <c r="B620" s="247"/>
      <c r="C620" s="247"/>
      <c r="D620" s="247"/>
      <c r="E620" s="247"/>
      <c r="F620" s="247"/>
      <c r="G620" s="247"/>
      <c r="H620" s="148"/>
      <c r="I620" s="245"/>
    </row>
    <row r="621" spans="1:9" x14ac:dyDescent="0.2">
      <c r="A621" s="247"/>
      <c r="B621" s="247"/>
      <c r="C621" s="247"/>
      <c r="D621" s="247"/>
      <c r="E621" s="247"/>
      <c r="F621" s="247"/>
      <c r="G621" s="247"/>
      <c r="H621" s="148"/>
      <c r="I621" s="245"/>
    </row>
    <row r="622" spans="1:9" x14ac:dyDescent="0.2">
      <c r="A622" s="247"/>
      <c r="B622" s="247"/>
      <c r="C622" s="247"/>
      <c r="D622" s="247"/>
      <c r="E622" s="247"/>
      <c r="F622" s="247"/>
      <c r="G622" s="247"/>
      <c r="H622" s="148"/>
      <c r="I622" s="245"/>
    </row>
    <row r="623" spans="1:9" x14ac:dyDescent="0.2">
      <c r="A623" s="247"/>
      <c r="B623" s="247"/>
      <c r="C623" s="247"/>
      <c r="D623" s="247"/>
      <c r="E623" s="247"/>
      <c r="F623" s="247"/>
      <c r="G623" s="247"/>
      <c r="H623" s="148"/>
      <c r="I623" s="245"/>
    </row>
    <row r="624" spans="1:9" x14ac:dyDescent="0.2">
      <c r="A624" s="247"/>
      <c r="B624" s="247"/>
      <c r="C624" s="247"/>
      <c r="D624" s="247"/>
      <c r="E624" s="247"/>
      <c r="F624" s="247"/>
      <c r="G624" s="247"/>
      <c r="H624" s="148"/>
      <c r="I624" s="245"/>
    </row>
    <row r="625" spans="1:9" x14ac:dyDescent="0.2">
      <c r="A625" s="247"/>
      <c r="B625" s="247"/>
      <c r="C625" s="247"/>
      <c r="D625" s="247"/>
      <c r="E625" s="247"/>
      <c r="F625" s="247"/>
      <c r="G625" s="247"/>
      <c r="H625" s="148"/>
      <c r="I625" s="245"/>
    </row>
    <row r="626" spans="1:9" x14ac:dyDescent="0.2">
      <c r="A626" s="247"/>
      <c r="B626" s="247"/>
      <c r="C626" s="247"/>
      <c r="D626" s="247"/>
      <c r="E626" s="247"/>
      <c r="F626" s="247"/>
      <c r="G626" s="247"/>
      <c r="H626" s="148"/>
      <c r="I626" s="245"/>
    </row>
    <row r="627" spans="1:9" x14ac:dyDescent="0.2">
      <c r="A627" s="247"/>
      <c r="B627" s="247"/>
      <c r="C627" s="247"/>
      <c r="D627" s="247"/>
      <c r="E627" s="247"/>
      <c r="F627" s="247"/>
      <c r="G627" s="247"/>
      <c r="H627" s="148"/>
      <c r="I627" s="245"/>
    </row>
    <row r="628" spans="1:9" x14ac:dyDescent="0.2">
      <c r="A628" s="247"/>
      <c r="B628" s="247"/>
      <c r="C628" s="247"/>
      <c r="D628" s="247"/>
      <c r="E628" s="247"/>
      <c r="F628" s="247"/>
      <c r="G628" s="247"/>
      <c r="H628" s="148"/>
      <c r="I628" s="245"/>
    </row>
    <row r="629" spans="1:9" x14ac:dyDescent="0.2">
      <c r="A629" s="247"/>
      <c r="B629" s="247"/>
      <c r="C629" s="247"/>
      <c r="D629" s="247"/>
      <c r="E629" s="247"/>
      <c r="F629" s="247"/>
      <c r="G629" s="247"/>
      <c r="H629" s="148"/>
      <c r="I629" s="245"/>
    </row>
    <row r="630" spans="1:9" x14ac:dyDescent="0.2">
      <c r="A630" s="247"/>
      <c r="B630" s="247"/>
      <c r="C630" s="247"/>
      <c r="D630" s="247"/>
      <c r="E630" s="247"/>
      <c r="F630" s="247"/>
      <c r="G630" s="247"/>
      <c r="H630" s="148"/>
      <c r="I630" s="245"/>
    </row>
    <row r="631" spans="1:9" x14ac:dyDescent="0.2">
      <c r="A631" s="247"/>
      <c r="B631" s="247"/>
      <c r="C631" s="247"/>
      <c r="D631" s="247"/>
      <c r="E631" s="247"/>
      <c r="F631" s="247"/>
      <c r="G631" s="247"/>
      <c r="H631" s="148"/>
      <c r="I631" s="245"/>
    </row>
    <row r="632" spans="1:9" x14ac:dyDescent="0.2">
      <c r="A632" s="247"/>
      <c r="B632" s="247"/>
      <c r="C632" s="247"/>
      <c r="D632" s="247"/>
      <c r="E632" s="247"/>
      <c r="F632" s="247"/>
      <c r="G632" s="247"/>
      <c r="H632" s="148"/>
      <c r="I632" s="245"/>
    </row>
    <row r="633" spans="1:9" x14ac:dyDescent="0.2">
      <c r="A633" s="247"/>
      <c r="B633" s="247"/>
      <c r="C633" s="247"/>
      <c r="D633" s="247"/>
      <c r="E633" s="247"/>
      <c r="F633" s="247"/>
      <c r="G633" s="247"/>
      <c r="H633" s="148"/>
      <c r="I633" s="245"/>
    </row>
    <row r="634" spans="1:9" x14ac:dyDescent="0.2">
      <c r="A634" s="247"/>
      <c r="B634" s="247"/>
      <c r="C634" s="247"/>
      <c r="D634" s="247"/>
      <c r="E634" s="247"/>
      <c r="F634" s="247"/>
      <c r="G634" s="247"/>
      <c r="H634" s="148"/>
      <c r="I634" s="245"/>
    </row>
    <row r="635" spans="1:9" x14ac:dyDescent="0.2">
      <c r="A635" s="247"/>
      <c r="B635" s="247"/>
      <c r="C635" s="247"/>
      <c r="D635" s="247"/>
      <c r="E635" s="247"/>
      <c r="F635" s="247"/>
      <c r="G635" s="247"/>
      <c r="H635" s="148"/>
      <c r="I635" s="245"/>
    </row>
    <row r="636" spans="1:9" x14ac:dyDescent="0.2">
      <c r="A636" s="247"/>
      <c r="B636" s="247"/>
      <c r="C636" s="247"/>
      <c r="D636" s="247"/>
      <c r="E636" s="247"/>
      <c r="F636" s="247"/>
      <c r="G636" s="247"/>
      <c r="H636" s="148"/>
      <c r="I636" s="245"/>
    </row>
    <row r="637" spans="1:9" x14ac:dyDescent="0.2">
      <c r="A637" s="247"/>
      <c r="B637" s="247"/>
      <c r="C637" s="247"/>
      <c r="D637" s="247"/>
      <c r="E637" s="247"/>
      <c r="F637" s="247"/>
      <c r="G637" s="247"/>
      <c r="H637" s="148"/>
      <c r="I637" s="245"/>
    </row>
    <row r="638" spans="1:9" x14ac:dyDescent="0.2">
      <c r="A638" s="247"/>
      <c r="B638" s="247"/>
      <c r="C638" s="247"/>
      <c r="D638" s="247"/>
      <c r="E638" s="247"/>
      <c r="F638" s="247"/>
      <c r="G638" s="247"/>
      <c r="H638" s="148"/>
      <c r="I638" s="245"/>
    </row>
    <row r="639" spans="1:9" x14ac:dyDescent="0.2">
      <c r="A639" s="247"/>
      <c r="B639" s="247"/>
      <c r="C639" s="247"/>
      <c r="D639" s="247"/>
      <c r="E639" s="247"/>
      <c r="F639" s="247"/>
      <c r="G639" s="247"/>
      <c r="H639" s="148"/>
      <c r="I639" s="245"/>
    </row>
    <row r="640" spans="1:9" x14ac:dyDescent="0.2">
      <c r="A640" s="247"/>
      <c r="B640" s="247"/>
      <c r="C640" s="247"/>
      <c r="D640" s="247"/>
      <c r="E640" s="247"/>
      <c r="F640" s="247"/>
      <c r="G640" s="247"/>
      <c r="H640" s="148"/>
      <c r="I640" s="245"/>
    </row>
    <row r="641" spans="1:9" x14ac:dyDescent="0.2">
      <c r="A641" s="247"/>
      <c r="B641" s="247"/>
      <c r="C641" s="247"/>
      <c r="D641" s="247"/>
      <c r="E641" s="247"/>
      <c r="F641" s="247"/>
      <c r="G641" s="247"/>
      <c r="H641" s="148"/>
      <c r="I641" s="245"/>
    </row>
    <row r="642" spans="1:9" x14ac:dyDescent="0.2">
      <c r="A642" s="247"/>
      <c r="B642" s="247"/>
      <c r="C642" s="247"/>
      <c r="D642" s="247"/>
      <c r="E642" s="247"/>
      <c r="F642" s="247"/>
      <c r="G642" s="247"/>
      <c r="H642" s="148"/>
      <c r="I642" s="245"/>
    </row>
    <row r="643" spans="1:9" x14ac:dyDescent="0.2">
      <c r="A643" s="247"/>
      <c r="B643" s="247"/>
      <c r="C643" s="247"/>
      <c r="D643" s="247"/>
      <c r="E643" s="247"/>
      <c r="F643" s="247"/>
      <c r="G643" s="247"/>
      <c r="H643" s="148"/>
      <c r="I643" s="245"/>
    </row>
    <row r="644" spans="1:9" x14ac:dyDescent="0.2">
      <c r="A644" s="247"/>
      <c r="B644" s="247"/>
      <c r="C644" s="247"/>
      <c r="D644" s="247"/>
      <c r="E644" s="247"/>
      <c r="F644" s="247"/>
      <c r="G644" s="247"/>
      <c r="H644" s="148"/>
      <c r="I644" s="245"/>
    </row>
    <row r="645" spans="1:9" x14ac:dyDescent="0.2">
      <c r="A645" s="247"/>
      <c r="B645" s="247"/>
      <c r="C645" s="247"/>
      <c r="D645" s="247"/>
      <c r="E645" s="247"/>
      <c r="F645" s="247"/>
      <c r="G645" s="247"/>
      <c r="H645" s="148"/>
      <c r="I645" s="245"/>
    </row>
    <row r="646" spans="1:9" x14ac:dyDescent="0.2">
      <c r="A646" s="247"/>
      <c r="B646" s="247"/>
      <c r="C646" s="247"/>
      <c r="D646" s="247"/>
      <c r="E646" s="247"/>
      <c r="F646" s="247"/>
      <c r="G646" s="247"/>
      <c r="H646" s="148"/>
      <c r="I646" s="245"/>
    </row>
    <row r="647" spans="1:9" x14ac:dyDescent="0.2">
      <c r="A647" s="247"/>
      <c r="B647" s="247"/>
      <c r="C647" s="247"/>
      <c r="D647" s="247"/>
      <c r="E647" s="247"/>
      <c r="F647" s="247"/>
      <c r="G647" s="247"/>
      <c r="H647" s="148"/>
      <c r="I647" s="245"/>
    </row>
    <row r="648" spans="1:9" x14ac:dyDescent="0.2">
      <c r="A648" s="247"/>
      <c r="B648" s="247"/>
      <c r="C648" s="247"/>
      <c r="D648" s="247"/>
      <c r="E648" s="247"/>
      <c r="F648" s="247"/>
      <c r="G648" s="247"/>
      <c r="H648" s="148"/>
      <c r="I648" s="245"/>
    </row>
    <row r="649" spans="1:9" x14ac:dyDescent="0.2">
      <c r="A649" s="247"/>
      <c r="B649" s="247"/>
      <c r="C649" s="247"/>
      <c r="D649" s="247"/>
      <c r="E649" s="247"/>
      <c r="F649" s="247"/>
      <c r="G649" s="247"/>
      <c r="H649" s="148"/>
    </row>
    <row r="650" spans="1:9" x14ac:dyDescent="0.2">
      <c r="A650" s="229"/>
      <c r="B650" s="229"/>
      <c r="C650" s="229"/>
      <c r="D650" s="229"/>
      <c r="E650" s="229"/>
      <c r="F650" s="229"/>
      <c r="G650" s="15"/>
      <c r="H650" s="148"/>
      <c r="I650" s="246"/>
    </row>
    <row r="651" spans="1:9" ht="18" x14ac:dyDescent="0.2">
      <c r="A651" s="784" t="s">
        <v>427</v>
      </c>
      <c r="B651" s="784"/>
      <c r="C651" s="784"/>
      <c r="D651" s="784"/>
      <c r="E651" s="784"/>
      <c r="F651" s="784"/>
      <c r="G651" s="784"/>
      <c r="H651" s="784"/>
    </row>
    <row r="652" spans="1:9" ht="18" x14ac:dyDescent="0.2">
      <c r="A652" s="784" t="s">
        <v>426</v>
      </c>
      <c r="B652" s="784"/>
      <c r="C652" s="784"/>
      <c r="D652" s="784"/>
      <c r="E652" s="784"/>
      <c r="F652" s="784"/>
      <c r="G652" s="784"/>
      <c r="H652" s="784"/>
    </row>
    <row r="653" spans="1:9" ht="15.75" x14ac:dyDescent="0.2">
      <c r="A653" s="785" t="s">
        <v>228</v>
      </c>
      <c r="B653" s="785"/>
      <c r="C653" s="785"/>
      <c r="D653" s="785"/>
      <c r="E653" s="785"/>
      <c r="F653" s="785"/>
      <c r="G653" s="785"/>
      <c r="H653" s="785"/>
    </row>
    <row r="654" spans="1:9" ht="15.75" x14ac:dyDescent="0.2">
      <c r="A654" s="785" t="s">
        <v>325</v>
      </c>
      <c r="B654" s="785"/>
      <c r="C654" s="785"/>
      <c r="D654" s="785"/>
      <c r="E654" s="785"/>
      <c r="F654" s="785"/>
      <c r="G654" s="785"/>
      <c r="H654" s="785"/>
    </row>
    <row r="655" spans="1:9" ht="15" x14ac:dyDescent="0.2">
      <c r="A655" s="793" t="s">
        <v>13</v>
      </c>
      <c r="B655" s="793"/>
      <c r="C655" s="793"/>
      <c r="D655" s="793"/>
      <c r="E655" s="793"/>
      <c r="F655" s="793"/>
      <c r="G655" s="793"/>
      <c r="H655" s="793"/>
    </row>
    <row r="656" spans="1:9" ht="15.75" x14ac:dyDescent="0.25">
      <c r="A656" s="794" t="s">
        <v>372</v>
      </c>
      <c r="B656" s="794"/>
      <c r="C656" s="794"/>
      <c r="D656" s="794"/>
      <c r="E656" s="794"/>
      <c r="F656" s="794"/>
      <c r="G656" s="794"/>
      <c r="H656" s="794"/>
    </row>
    <row r="657" spans="1:8" ht="16.5" thickBot="1" x14ac:dyDescent="0.3">
      <c r="A657" s="795"/>
      <c r="B657" s="795"/>
      <c r="C657" s="795"/>
      <c r="D657" s="795"/>
      <c r="E657" s="795"/>
      <c r="F657" s="795"/>
      <c r="G657" s="795"/>
      <c r="H657" s="795"/>
    </row>
    <row r="658" spans="1:8" ht="15.75" x14ac:dyDescent="0.25">
      <c r="A658" s="794" t="s">
        <v>395</v>
      </c>
      <c r="B658" s="794"/>
      <c r="C658" s="794"/>
      <c r="D658" s="794"/>
      <c r="E658" s="794"/>
      <c r="F658" s="794"/>
      <c r="G658" s="794"/>
      <c r="H658" s="794"/>
    </row>
    <row r="659" spans="1:8" ht="16.5" thickBot="1" x14ac:dyDescent="0.3">
      <c r="A659" s="795" t="s">
        <v>396</v>
      </c>
      <c r="B659" s="795"/>
      <c r="C659" s="795"/>
      <c r="D659" s="795"/>
      <c r="E659" s="795"/>
      <c r="F659" s="795"/>
      <c r="G659" s="795"/>
      <c r="H659" s="795"/>
    </row>
    <row r="660" spans="1:8" ht="16.5" thickBot="1" x14ac:dyDescent="0.3">
      <c r="A660" s="225"/>
      <c r="B660" s="226"/>
      <c r="C660" s="226"/>
      <c r="D660" s="226"/>
      <c r="E660" s="226"/>
      <c r="F660" s="226"/>
      <c r="G660" s="227"/>
      <c r="H660" s="227"/>
    </row>
    <row r="661" spans="1:8" ht="13.5" thickBot="1" x14ac:dyDescent="0.25">
      <c r="A661" s="776" t="s">
        <v>0</v>
      </c>
      <c r="B661" s="777"/>
      <c r="C661" s="777"/>
      <c r="D661" s="777"/>
      <c r="E661" s="777"/>
      <c r="F661" s="777"/>
      <c r="G661" s="778" t="s">
        <v>181</v>
      </c>
      <c r="H661" s="780" t="s">
        <v>182</v>
      </c>
    </row>
    <row r="662" spans="1:8" ht="166.5" thickBot="1" x14ac:dyDescent="0.25">
      <c r="A662" s="203" t="s">
        <v>172</v>
      </c>
      <c r="B662" s="204" t="s">
        <v>173</v>
      </c>
      <c r="C662" s="204" t="s">
        <v>144</v>
      </c>
      <c r="D662" s="204" t="s">
        <v>175</v>
      </c>
      <c r="E662" s="205" t="s">
        <v>183</v>
      </c>
      <c r="F662" s="206" t="s">
        <v>118</v>
      </c>
      <c r="G662" s="779"/>
      <c r="H662" s="781"/>
    </row>
    <row r="663" spans="1:8" ht="15" x14ac:dyDescent="0.2">
      <c r="A663" s="207"/>
      <c r="B663" s="208" t="s">
        <v>53</v>
      </c>
      <c r="C663" s="208" t="s">
        <v>321</v>
      </c>
      <c r="D663" s="208" t="s">
        <v>51</v>
      </c>
      <c r="E663" s="230" t="s">
        <v>54</v>
      </c>
      <c r="F663" s="231">
        <v>61102</v>
      </c>
      <c r="G663" s="139" t="s">
        <v>404</v>
      </c>
      <c r="H663" s="232" t="e">
        <f>proyectos!#REF!</f>
        <v>#REF!</v>
      </c>
    </row>
    <row r="664" spans="1:8" ht="15" x14ac:dyDescent="0.2">
      <c r="A664" s="207"/>
      <c r="B664" s="208" t="s">
        <v>53</v>
      </c>
      <c r="C664" s="208" t="s">
        <v>321</v>
      </c>
      <c r="D664" s="208" t="s">
        <v>51</v>
      </c>
      <c r="E664" s="230" t="s">
        <v>54</v>
      </c>
      <c r="F664" s="209" t="s">
        <v>406</v>
      </c>
      <c r="G664" s="143" t="s">
        <v>381</v>
      </c>
      <c r="H664" s="233" t="e">
        <f>proyectos!#REF!</f>
        <v>#REF!</v>
      </c>
    </row>
    <row r="665" spans="1:8" ht="15" x14ac:dyDescent="0.2">
      <c r="A665" s="207"/>
      <c r="B665" s="208" t="s">
        <v>53</v>
      </c>
      <c r="C665" s="208" t="s">
        <v>321</v>
      </c>
      <c r="D665" s="213" t="s">
        <v>51</v>
      </c>
      <c r="E665" s="230" t="s">
        <v>54</v>
      </c>
      <c r="F665" s="209" t="s">
        <v>407</v>
      </c>
      <c r="G665" s="142" t="s">
        <v>405</v>
      </c>
      <c r="H665" s="234" t="e">
        <f>proyectos!#REF!</f>
        <v>#REF!</v>
      </c>
    </row>
    <row r="666" spans="1:8" ht="15" x14ac:dyDescent="0.2">
      <c r="A666" s="207"/>
      <c r="B666" s="208" t="s">
        <v>53</v>
      </c>
      <c r="C666" s="208" t="s">
        <v>321</v>
      </c>
      <c r="D666" s="213" t="s">
        <v>51</v>
      </c>
      <c r="E666" s="230" t="s">
        <v>54</v>
      </c>
      <c r="F666" s="209" t="s">
        <v>417</v>
      </c>
      <c r="G666" s="142" t="str">
        <f>proyectos!B55</f>
        <v>Estudios de Preinversión  (proy.progr.divers). (61599)</v>
      </c>
      <c r="H666" s="234" t="e">
        <f>proyectos!#REF!</f>
        <v>#REF!</v>
      </c>
    </row>
    <row r="667" spans="1:8" ht="15" x14ac:dyDescent="0.2">
      <c r="A667" s="207"/>
      <c r="B667" s="208" t="s">
        <v>53</v>
      </c>
      <c r="C667" s="208" t="s">
        <v>321</v>
      </c>
      <c r="D667" s="213" t="s">
        <v>51</v>
      </c>
      <c r="E667" s="230" t="s">
        <v>54</v>
      </c>
      <c r="F667" s="2">
        <v>61601</v>
      </c>
      <c r="G667" s="139" t="s">
        <v>398</v>
      </c>
      <c r="H667" s="234" t="e">
        <f>proyectos!#REF!</f>
        <v>#REF!</v>
      </c>
    </row>
    <row r="668" spans="1:8" ht="15" x14ac:dyDescent="0.2">
      <c r="A668" s="207"/>
      <c r="B668" s="208" t="s">
        <v>53</v>
      </c>
      <c r="C668" s="208" t="s">
        <v>321</v>
      </c>
      <c r="D668" s="213" t="s">
        <v>51</v>
      </c>
      <c r="E668" s="230" t="s">
        <v>54</v>
      </c>
      <c r="F668" s="2">
        <v>61602</v>
      </c>
      <c r="G668" s="139" t="s">
        <v>399</v>
      </c>
      <c r="H668" s="234" t="e">
        <f>proyectos!#REF!</f>
        <v>#REF!</v>
      </c>
    </row>
    <row r="669" spans="1:8" ht="15" x14ac:dyDescent="0.2">
      <c r="A669" s="207"/>
      <c r="B669" s="208" t="s">
        <v>53</v>
      </c>
      <c r="C669" s="208" t="s">
        <v>321</v>
      </c>
      <c r="D669" s="213" t="s">
        <v>51</v>
      </c>
      <c r="E669" s="230" t="s">
        <v>54</v>
      </c>
      <c r="F669" s="2">
        <v>61603</v>
      </c>
      <c r="G669" s="139" t="s">
        <v>400</v>
      </c>
      <c r="H669" s="234" t="e">
        <f>proyectos!#REF!</f>
        <v>#REF!</v>
      </c>
    </row>
    <row r="670" spans="1:8" ht="15" x14ac:dyDescent="0.2">
      <c r="A670" s="207"/>
      <c r="B670" s="208" t="s">
        <v>53</v>
      </c>
      <c r="C670" s="208" t="s">
        <v>321</v>
      </c>
      <c r="D670" s="213" t="s">
        <v>51</v>
      </c>
      <c r="E670" s="230" t="s">
        <v>54</v>
      </c>
      <c r="F670" s="2">
        <v>61606</v>
      </c>
      <c r="G670" s="139" t="s">
        <v>401</v>
      </c>
      <c r="H670" s="234" t="e">
        <f>proyectos!#REF!</f>
        <v>#REF!</v>
      </c>
    </row>
    <row r="671" spans="1:8" ht="15" x14ac:dyDescent="0.2">
      <c r="A671" s="207"/>
      <c r="B671" s="208" t="s">
        <v>53</v>
      </c>
      <c r="C671" s="208" t="s">
        <v>321</v>
      </c>
      <c r="D671" s="213" t="s">
        <v>51</v>
      </c>
      <c r="E671" s="230" t="s">
        <v>54</v>
      </c>
      <c r="F671" s="2">
        <v>61608</v>
      </c>
      <c r="G671" s="139" t="s">
        <v>402</v>
      </c>
      <c r="H671" s="234" t="e">
        <f>proyectos!#REF!</f>
        <v>#REF!</v>
      </c>
    </row>
    <row r="672" spans="1:8" ht="15" x14ac:dyDescent="0.2">
      <c r="A672" s="207"/>
      <c r="B672" s="208" t="s">
        <v>53</v>
      </c>
      <c r="C672" s="208" t="s">
        <v>321</v>
      </c>
      <c r="D672" s="213" t="s">
        <v>51</v>
      </c>
      <c r="E672" s="230" t="s">
        <v>54</v>
      </c>
      <c r="F672" s="2">
        <v>61699</v>
      </c>
      <c r="G672" s="139" t="s">
        <v>403</v>
      </c>
      <c r="H672" s="234" t="e">
        <f>proyectos!#REF!</f>
        <v>#REF!</v>
      </c>
    </row>
    <row r="673" spans="1:8" ht="15" x14ac:dyDescent="0.2">
      <c r="A673" s="212"/>
      <c r="B673" s="208"/>
      <c r="C673" s="208"/>
      <c r="D673" s="213"/>
      <c r="E673" s="230"/>
      <c r="F673" s="2"/>
      <c r="G673" s="139"/>
      <c r="H673" s="234"/>
    </row>
    <row r="674" spans="1:8" ht="15" x14ac:dyDescent="0.2">
      <c r="A674" s="212"/>
      <c r="B674" s="208"/>
      <c r="C674" s="208"/>
      <c r="D674" s="213"/>
      <c r="E674" s="230"/>
      <c r="F674" s="2"/>
      <c r="G674" s="235"/>
      <c r="H674" s="236"/>
    </row>
    <row r="675" spans="1:8" ht="15" x14ac:dyDescent="0.2">
      <c r="A675" s="212"/>
      <c r="B675" s="208"/>
      <c r="C675" s="208"/>
      <c r="D675" s="213"/>
      <c r="E675" s="230"/>
      <c r="F675" s="2"/>
      <c r="G675" s="235"/>
      <c r="H675" s="237"/>
    </row>
    <row r="676" spans="1:8" ht="15" x14ac:dyDescent="0.2">
      <c r="A676" s="212"/>
      <c r="B676" s="208"/>
      <c r="C676" s="208"/>
      <c r="D676" s="213"/>
      <c r="E676" s="230"/>
      <c r="F676" s="2"/>
      <c r="G676" s="235"/>
      <c r="H676" s="237"/>
    </row>
    <row r="677" spans="1:8" ht="15" x14ac:dyDescent="0.2">
      <c r="A677" s="212"/>
      <c r="B677" s="208"/>
      <c r="C677" s="208"/>
      <c r="D677" s="213"/>
      <c r="E677" s="230"/>
      <c r="F677" s="2"/>
      <c r="G677" s="235"/>
      <c r="H677" s="237"/>
    </row>
    <row r="678" spans="1:8" ht="15" x14ac:dyDescent="0.2">
      <c r="A678" s="212"/>
      <c r="B678" s="208"/>
      <c r="C678" s="208"/>
      <c r="D678" s="213"/>
      <c r="E678" s="230"/>
      <c r="F678" s="2"/>
      <c r="G678" s="235"/>
      <c r="H678" s="237"/>
    </row>
    <row r="679" spans="1:8" ht="15" x14ac:dyDescent="0.2">
      <c r="A679" s="212"/>
      <c r="B679" s="208"/>
      <c r="C679" s="208"/>
      <c r="D679" s="213"/>
      <c r="E679" s="230"/>
      <c r="F679" s="2"/>
      <c r="G679" s="235"/>
      <c r="H679" s="237"/>
    </row>
    <row r="680" spans="1:8" ht="15" x14ac:dyDescent="0.2">
      <c r="A680" s="212"/>
      <c r="B680" s="208"/>
      <c r="C680" s="208"/>
      <c r="D680" s="213"/>
      <c r="E680" s="230"/>
      <c r="F680" s="2"/>
      <c r="G680" s="235"/>
      <c r="H680" s="237"/>
    </row>
    <row r="681" spans="1:8" ht="15.75" thickBot="1" x14ac:dyDescent="0.25">
      <c r="A681" s="216"/>
      <c r="B681" s="217"/>
      <c r="C681" s="217"/>
      <c r="D681" s="217"/>
      <c r="E681" s="238"/>
      <c r="F681" s="239"/>
      <c r="G681" s="240"/>
      <c r="H681" s="241"/>
    </row>
    <row r="682" spans="1:8" ht="21" thickBot="1" x14ac:dyDescent="0.25">
      <c r="A682" s="790" t="s">
        <v>425</v>
      </c>
      <c r="B682" s="791"/>
      <c r="C682" s="791"/>
      <c r="D682" s="791"/>
      <c r="E682" s="791"/>
      <c r="F682" s="791"/>
      <c r="G682" s="792"/>
      <c r="H682" s="242" t="e">
        <f>SUM(H663:H681)</f>
        <v>#REF!</v>
      </c>
    </row>
    <row r="683" spans="1:8" x14ac:dyDescent="0.2">
      <c r="A683" s="229"/>
      <c r="B683" s="229"/>
      <c r="C683" s="229"/>
      <c r="D683" s="229"/>
      <c r="E683" s="229"/>
      <c r="F683" s="229"/>
      <c r="G683" s="15"/>
      <c r="H683" s="148"/>
    </row>
    <row r="684" spans="1:8" x14ac:dyDescent="0.2">
      <c r="A684" s="229"/>
      <c r="B684" s="229"/>
      <c r="C684" s="229"/>
      <c r="D684" s="229"/>
      <c r="E684" s="229"/>
      <c r="F684" s="229"/>
      <c r="G684" s="15"/>
      <c r="H684" s="148"/>
    </row>
    <row r="685" spans="1:8" x14ac:dyDescent="0.2">
      <c r="A685" s="229"/>
      <c r="B685" s="229"/>
      <c r="C685" s="229"/>
      <c r="D685" s="229"/>
      <c r="E685" s="229"/>
      <c r="F685" s="229"/>
      <c r="G685" s="15"/>
      <c r="H685" s="148"/>
    </row>
    <row r="686" spans="1:8" x14ac:dyDescent="0.2">
      <c r="A686" s="229"/>
      <c r="B686" s="229"/>
      <c r="C686" s="229"/>
      <c r="D686" s="229"/>
      <c r="E686" s="229"/>
      <c r="F686" s="229"/>
      <c r="G686" s="15"/>
      <c r="H686" s="148"/>
    </row>
    <row r="687" spans="1:8" x14ac:dyDescent="0.2">
      <c r="A687" s="229"/>
      <c r="B687" s="229"/>
      <c r="C687" s="229"/>
      <c r="D687" s="229"/>
      <c r="E687" s="229"/>
      <c r="F687" s="229"/>
      <c r="G687" s="15"/>
      <c r="H687" s="148"/>
    </row>
    <row r="688" spans="1:8" x14ac:dyDescent="0.2">
      <c r="A688" s="229"/>
      <c r="B688" s="229"/>
      <c r="C688" s="229"/>
      <c r="D688" s="229"/>
      <c r="E688" s="229"/>
      <c r="F688" s="229"/>
      <c r="G688" s="15"/>
      <c r="H688" s="148"/>
    </row>
    <row r="689" spans="1:8" x14ac:dyDescent="0.2">
      <c r="A689" s="229"/>
      <c r="B689" s="229"/>
      <c r="C689" s="229"/>
      <c r="D689" s="229"/>
      <c r="E689" s="229"/>
      <c r="F689" s="229"/>
      <c r="G689" s="15"/>
      <c r="H689" s="148"/>
    </row>
    <row r="690" spans="1:8" x14ac:dyDescent="0.2">
      <c r="A690" s="229"/>
      <c r="B690" s="229"/>
      <c r="C690" s="229"/>
      <c r="D690" s="229"/>
      <c r="E690" s="229"/>
      <c r="F690" s="229"/>
      <c r="G690" s="15"/>
      <c r="H690" s="148"/>
    </row>
    <row r="691" spans="1:8" x14ac:dyDescent="0.2">
      <c r="A691" s="229"/>
      <c r="B691" s="229"/>
      <c r="C691" s="229"/>
      <c r="D691" s="229"/>
      <c r="E691" s="229"/>
      <c r="F691" s="229"/>
      <c r="G691" s="15"/>
      <c r="H691" s="148"/>
    </row>
    <row r="692" spans="1:8" x14ac:dyDescent="0.2">
      <c r="A692" s="229"/>
      <c r="B692" s="229"/>
      <c r="C692" s="229"/>
      <c r="D692" s="229"/>
      <c r="E692" s="229"/>
      <c r="F692" s="229"/>
      <c r="G692" s="15"/>
      <c r="H692" s="148"/>
    </row>
    <row r="693" spans="1:8" x14ac:dyDescent="0.2">
      <c r="A693" s="229"/>
      <c r="B693" s="229"/>
      <c r="C693" s="229"/>
      <c r="D693" s="229"/>
      <c r="E693" s="229"/>
      <c r="F693" s="229"/>
      <c r="G693" s="15"/>
      <c r="H693" s="148"/>
    </row>
    <row r="694" spans="1:8" x14ac:dyDescent="0.2">
      <c r="A694" s="229"/>
      <c r="B694" s="229"/>
      <c r="C694" s="229"/>
      <c r="D694" s="229"/>
      <c r="E694" s="229"/>
      <c r="F694" s="229"/>
      <c r="G694" s="15"/>
      <c r="H694" s="148"/>
    </row>
    <row r="695" spans="1:8" x14ac:dyDescent="0.2">
      <c r="A695" s="229"/>
      <c r="B695" s="229"/>
      <c r="C695" s="229"/>
      <c r="D695" s="229"/>
      <c r="E695" s="229"/>
      <c r="F695" s="229"/>
      <c r="G695" s="15"/>
      <c r="H695" s="148"/>
    </row>
    <row r="696" spans="1:8" x14ac:dyDescent="0.2">
      <c r="A696" s="229"/>
      <c r="B696" s="229"/>
      <c r="C696" s="229"/>
      <c r="D696" s="229"/>
      <c r="E696" s="229"/>
      <c r="F696" s="229"/>
      <c r="G696" s="15"/>
      <c r="H696" s="148"/>
    </row>
    <row r="697" spans="1:8" x14ac:dyDescent="0.2">
      <c r="A697" s="229"/>
      <c r="B697" s="229"/>
      <c r="C697" s="229"/>
      <c r="D697" s="229"/>
      <c r="E697" s="229"/>
      <c r="F697" s="229"/>
      <c r="G697" s="15"/>
      <c r="H697" s="148"/>
    </row>
    <row r="698" spans="1:8" x14ac:dyDescent="0.2">
      <c r="A698" s="229"/>
      <c r="B698" s="229"/>
      <c r="C698" s="229"/>
      <c r="D698" s="229"/>
      <c r="E698" s="229"/>
      <c r="F698" s="229"/>
      <c r="G698" s="15"/>
      <c r="H698" s="148"/>
    </row>
    <row r="699" spans="1:8" x14ac:dyDescent="0.2">
      <c r="A699" s="229"/>
      <c r="B699" s="229"/>
      <c r="C699" s="229"/>
      <c r="D699" s="229"/>
      <c r="E699" s="229"/>
      <c r="F699" s="229"/>
      <c r="G699" s="15"/>
      <c r="H699" s="148"/>
    </row>
    <row r="700" spans="1:8" x14ac:dyDescent="0.2">
      <c r="A700" s="229"/>
      <c r="B700" s="229"/>
      <c r="C700" s="229"/>
      <c r="D700" s="229"/>
      <c r="E700" s="229"/>
      <c r="F700" s="229"/>
      <c r="G700" s="15"/>
      <c r="H700" s="148"/>
    </row>
    <row r="701" spans="1:8" x14ac:dyDescent="0.2">
      <c r="A701" s="229"/>
      <c r="B701" s="229"/>
      <c r="C701" s="229"/>
      <c r="D701" s="229"/>
      <c r="E701" s="229"/>
      <c r="F701" s="229"/>
      <c r="G701" s="15"/>
      <c r="H701" s="148"/>
    </row>
    <row r="702" spans="1:8" x14ac:dyDescent="0.2">
      <c r="A702" s="229"/>
      <c r="B702" s="229"/>
      <c r="C702" s="229"/>
      <c r="D702" s="229"/>
      <c r="E702" s="229"/>
      <c r="F702" s="229"/>
      <c r="G702" s="15"/>
      <c r="H702" s="148"/>
    </row>
    <row r="703" spans="1:8" x14ac:dyDescent="0.2">
      <c r="A703" s="229"/>
      <c r="B703" s="229"/>
      <c r="C703" s="229"/>
      <c r="D703" s="229"/>
      <c r="E703" s="229"/>
      <c r="F703" s="229"/>
      <c r="G703" s="15"/>
      <c r="H703" s="148"/>
    </row>
    <row r="704" spans="1:8" x14ac:dyDescent="0.2">
      <c r="A704" s="229"/>
      <c r="B704" s="229"/>
      <c r="C704" s="229"/>
      <c r="D704" s="229"/>
      <c r="E704" s="229"/>
      <c r="F704" s="229"/>
      <c r="G704" s="15"/>
      <c r="H704" s="148"/>
    </row>
    <row r="705" spans="1:8" x14ac:dyDescent="0.2">
      <c r="A705" s="229"/>
      <c r="B705" s="229"/>
      <c r="C705" s="229"/>
      <c r="D705" s="229"/>
      <c r="E705" s="229"/>
      <c r="F705" s="229"/>
      <c r="G705" s="15"/>
      <c r="H705" s="148"/>
    </row>
    <row r="706" spans="1:8" x14ac:dyDescent="0.2">
      <c r="A706" s="229"/>
      <c r="B706" s="229"/>
      <c r="C706" s="229"/>
      <c r="D706" s="229"/>
      <c r="E706" s="229"/>
      <c r="F706" s="229"/>
      <c r="G706" s="15"/>
      <c r="H706" s="148"/>
    </row>
    <row r="707" spans="1:8" x14ac:dyDescent="0.2">
      <c r="A707" s="229"/>
      <c r="B707" s="229"/>
      <c r="C707" s="229"/>
      <c r="D707" s="229"/>
      <c r="E707" s="229"/>
      <c r="F707" s="229"/>
      <c r="G707" s="15"/>
      <c r="H707" s="148"/>
    </row>
    <row r="708" spans="1:8" x14ac:dyDescent="0.2">
      <c r="A708" s="229"/>
      <c r="B708" s="229"/>
      <c r="C708" s="229"/>
      <c r="D708" s="229"/>
      <c r="E708" s="229"/>
      <c r="F708" s="229"/>
      <c r="G708" s="15"/>
      <c r="H708" s="148"/>
    </row>
    <row r="709" spans="1:8" x14ac:dyDescent="0.2">
      <c r="A709" s="229"/>
      <c r="B709" s="229"/>
      <c r="C709" s="229"/>
      <c r="D709" s="229"/>
      <c r="E709" s="229"/>
      <c r="F709" s="229"/>
      <c r="G709" s="15"/>
      <c r="H709" s="148"/>
    </row>
    <row r="710" spans="1:8" x14ac:dyDescent="0.2">
      <c r="A710" s="229"/>
      <c r="B710" s="229"/>
      <c r="C710" s="229"/>
      <c r="D710" s="229"/>
      <c r="E710" s="229"/>
      <c r="F710" s="229"/>
      <c r="G710" s="15"/>
      <c r="H710" s="148"/>
    </row>
    <row r="711" spans="1:8" x14ac:dyDescent="0.2">
      <c r="A711" s="229"/>
      <c r="B711" s="229"/>
      <c r="C711" s="229"/>
      <c r="D711" s="229"/>
      <c r="E711" s="229"/>
      <c r="F711" s="229"/>
      <c r="G711" s="15"/>
      <c r="H711" s="148"/>
    </row>
    <row r="712" spans="1:8" x14ac:dyDescent="0.2">
      <c r="A712" s="229"/>
      <c r="B712" s="229"/>
      <c r="C712" s="229"/>
      <c r="D712" s="229"/>
      <c r="E712" s="229"/>
      <c r="F712" s="229"/>
      <c r="G712" s="15"/>
      <c r="H712" s="148"/>
    </row>
    <row r="713" spans="1:8" x14ac:dyDescent="0.2">
      <c r="A713" s="229"/>
      <c r="B713" s="229"/>
      <c r="C713" s="229"/>
      <c r="D713" s="229"/>
      <c r="E713" s="229"/>
      <c r="F713" s="229"/>
      <c r="G713" s="15"/>
      <c r="H713" s="148"/>
    </row>
    <row r="714" spans="1:8" x14ac:dyDescent="0.2">
      <c r="A714" s="229"/>
      <c r="B714" s="229"/>
      <c r="C714" s="229"/>
      <c r="D714" s="229"/>
      <c r="E714" s="229"/>
      <c r="F714" s="229"/>
      <c r="G714" s="15"/>
      <c r="H714" s="148"/>
    </row>
    <row r="715" spans="1:8" x14ac:dyDescent="0.2">
      <c r="A715" s="229"/>
      <c r="B715" s="229"/>
      <c r="C715" s="229"/>
      <c r="D715" s="229"/>
      <c r="E715" s="229"/>
      <c r="F715" s="229"/>
      <c r="G715" s="15"/>
      <c r="H715" s="148"/>
    </row>
    <row r="716" spans="1:8" x14ac:dyDescent="0.2">
      <c r="A716" s="229"/>
      <c r="B716" s="229"/>
      <c r="C716" s="229"/>
      <c r="D716" s="229"/>
      <c r="E716" s="229"/>
      <c r="F716" s="229"/>
      <c r="G716" s="15"/>
      <c r="H716" s="148"/>
    </row>
    <row r="717" spans="1:8" x14ac:dyDescent="0.2">
      <c r="A717" s="229"/>
      <c r="B717" s="229"/>
      <c r="C717" s="229"/>
      <c r="D717" s="229"/>
      <c r="E717" s="229"/>
      <c r="F717" s="229"/>
      <c r="G717" s="15"/>
      <c r="H717" s="148"/>
    </row>
    <row r="718" spans="1:8" x14ac:dyDescent="0.2">
      <c r="A718" s="229"/>
      <c r="B718" s="229"/>
      <c r="C718" s="229"/>
      <c r="D718" s="229"/>
      <c r="E718" s="229"/>
      <c r="F718" s="229"/>
      <c r="G718" s="15"/>
      <c r="H718" s="148"/>
    </row>
    <row r="719" spans="1:8" x14ac:dyDescent="0.2">
      <c r="A719" s="229"/>
      <c r="B719" s="229"/>
      <c r="C719" s="229"/>
      <c r="D719" s="229"/>
      <c r="E719" s="229"/>
      <c r="F719" s="229"/>
      <c r="G719" s="15"/>
      <c r="H719" s="148"/>
    </row>
    <row r="720" spans="1:8" x14ac:dyDescent="0.2">
      <c r="A720" s="229"/>
      <c r="B720" s="229"/>
      <c r="C720" s="229"/>
      <c r="D720" s="229"/>
      <c r="E720" s="229"/>
      <c r="F720" s="229"/>
      <c r="G720" s="15"/>
      <c r="H720" s="148"/>
    </row>
    <row r="721" spans="1:8" x14ac:dyDescent="0.2">
      <c r="A721" s="229"/>
      <c r="B721" s="229"/>
      <c r="C721" s="229"/>
      <c r="D721" s="229"/>
      <c r="E721" s="229"/>
      <c r="F721" s="229"/>
      <c r="G721" s="15"/>
      <c r="H721" s="148"/>
    </row>
    <row r="722" spans="1:8" x14ac:dyDescent="0.2">
      <c r="A722" s="229"/>
      <c r="B722" s="229"/>
      <c r="C722" s="229"/>
      <c r="D722" s="229"/>
      <c r="E722" s="229"/>
      <c r="F722" s="229"/>
      <c r="G722" s="15"/>
      <c r="H722" s="148"/>
    </row>
    <row r="723" spans="1:8" x14ac:dyDescent="0.2">
      <c r="A723" s="229"/>
      <c r="B723" s="229"/>
      <c r="C723" s="229"/>
      <c r="D723" s="229"/>
      <c r="E723" s="229"/>
      <c r="F723" s="229"/>
      <c r="G723" s="15"/>
      <c r="H723" s="148"/>
    </row>
    <row r="724" spans="1:8" x14ac:dyDescent="0.2">
      <c r="A724" s="229"/>
      <c r="B724" s="229"/>
      <c r="C724" s="229"/>
      <c r="D724" s="229"/>
      <c r="E724" s="229"/>
      <c r="F724" s="229"/>
      <c r="G724" s="15"/>
      <c r="H724" s="148"/>
    </row>
    <row r="725" spans="1:8" x14ac:dyDescent="0.2">
      <c r="A725" s="229"/>
      <c r="B725" s="229"/>
      <c r="C725" s="229"/>
      <c r="D725" s="229"/>
      <c r="E725" s="229"/>
      <c r="F725" s="229"/>
      <c r="G725" s="15"/>
      <c r="H725" s="148"/>
    </row>
    <row r="726" spans="1:8" x14ac:dyDescent="0.2">
      <c r="A726" s="229"/>
      <c r="B726" s="229"/>
      <c r="C726" s="229"/>
      <c r="D726" s="229"/>
      <c r="E726" s="229"/>
      <c r="F726" s="229"/>
      <c r="G726" s="15"/>
      <c r="H726" s="148"/>
    </row>
    <row r="727" spans="1:8" x14ac:dyDescent="0.2">
      <c r="A727" s="229"/>
      <c r="B727" s="229"/>
      <c r="C727" s="229"/>
      <c r="D727" s="229"/>
      <c r="E727" s="229"/>
      <c r="F727" s="229"/>
      <c r="G727" s="15"/>
      <c r="H727" s="148"/>
    </row>
    <row r="728" spans="1:8" x14ac:dyDescent="0.2">
      <c r="A728" s="229"/>
      <c r="B728" s="229"/>
      <c r="C728" s="229"/>
      <c r="D728" s="229"/>
      <c r="E728" s="229"/>
      <c r="F728" s="229"/>
      <c r="G728" s="15"/>
      <c r="H728" s="148"/>
    </row>
    <row r="729" spans="1:8" x14ac:dyDescent="0.2">
      <c r="A729" s="229"/>
      <c r="B729" s="229"/>
      <c r="C729" s="229"/>
      <c r="D729" s="229"/>
      <c r="E729" s="229"/>
      <c r="F729" s="229"/>
      <c r="G729" s="15"/>
      <c r="H729" s="148"/>
    </row>
    <row r="730" spans="1:8" x14ac:dyDescent="0.2">
      <c r="A730" s="229"/>
      <c r="B730" s="229"/>
      <c r="C730" s="229"/>
      <c r="D730" s="229"/>
      <c r="E730" s="229"/>
      <c r="F730" s="229"/>
      <c r="G730" s="15"/>
      <c r="H730" s="148"/>
    </row>
    <row r="731" spans="1:8" x14ac:dyDescent="0.2">
      <c r="A731" s="229"/>
      <c r="B731" s="229"/>
      <c r="C731" s="229"/>
      <c r="D731" s="229"/>
      <c r="E731" s="229"/>
      <c r="F731" s="229"/>
      <c r="G731" s="15"/>
      <c r="H731" s="148"/>
    </row>
    <row r="732" spans="1:8" x14ac:dyDescent="0.2">
      <c r="A732" s="229"/>
      <c r="B732" s="229"/>
      <c r="C732" s="229"/>
      <c r="D732" s="229"/>
      <c r="E732" s="229"/>
      <c r="F732" s="229"/>
      <c r="G732" s="15"/>
      <c r="H732" s="148"/>
    </row>
    <row r="733" spans="1:8" x14ac:dyDescent="0.2">
      <c r="A733" s="229"/>
      <c r="B733" s="229"/>
      <c r="C733" s="229"/>
      <c r="D733" s="229"/>
      <c r="E733" s="229"/>
      <c r="F733" s="229"/>
      <c r="G733" s="15"/>
      <c r="H733" s="148"/>
    </row>
    <row r="734" spans="1:8" x14ac:dyDescent="0.2">
      <c r="A734" s="229"/>
      <c r="B734" s="229"/>
      <c r="C734" s="229"/>
      <c r="D734" s="229"/>
      <c r="E734" s="229"/>
      <c r="F734" s="229"/>
      <c r="G734" s="15"/>
      <c r="H734" s="148"/>
    </row>
    <row r="735" spans="1:8" x14ac:dyDescent="0.2">
      <c r="A735" s="229"/>
      <c r="B735" s="229"/>
      <c r="C735" s="229"/>
      <c r="D735" s="229"/>
      <c r="E735" s="229"/>
      <c r="F735" s="229"/>
      <c r="G735" s="15"/>
      <c r="H735" s="148"/>
    </row>
    <row r="736" spans="1:8" x14ac:dyDescent="0.2">
      <c r="A736" s="229"/>
      <c r="B736" s="229"/>
      <c r="C736" s="229"/>
      <c r="D736" s="229"/>
      <c r="E736" s="229"/>
      <c r="F736" s="229"/>
      <c r="G736" s="15"/>
      <c r="H736" s="148"/>
    </row>
    <row r="737" spans="1:8" x14ac:dyDescent="0.2">
      <c r="A737" s="229"/>
      <c r="B737" s="229"/>
      <c r="C737" s="229"/>
      <c r="D737" s="229"/>
      <c r="E737" s="229"/>
      <c r="F737" s="229"/>
      <c r="G737" s="15"/>
      <c r="H737" s="148"/>
    </row>
    <row r="738" spans="1:8" x14ac:dyDescent="0.2">
      <c r="A738" s="229"/>
      <c r="B738" s="229"/>
      <c r="C738" s="229"/>
      <c r="D738" s="229"/>
      <c r="E738" s="229"/>
      <c r="F738" s="229"/>
      <c r="G738" s="15"/>
      <c r="H738" s="148"/>
    </row>
  </sheetData>
  <sheetProtection sheet="1" formatCells="0" formatColumns="0" formatRows="0" insertColumns="0" insertRows="0" insertHyperlinks="0" deleteColumns="0" deleteRows="0" sort="0" autoFilter="0" pivotTables="0"/>
  <mergeCells count="301">
    <mergeCell ref="A412:H412"/>
    <mergeCell ref="A413:F413"/>
    <mergeCell ref="G413:G414"/>
    <mergeCell ref="H413:H414"/>
    <mergeCell ref="A423:G423"/>
    <mergeCell ref="A403:H403"/>
    <mergeCell ref="A404:H404"/>
    <mergeCell ref="A405:H405"/>
    <mergeCell ref="A406:H406"/>
    <mergeCell ref="A407:H407"/>
    <mergeCell ref="A408:H408"/>
    <mergeCell ref="A409:H409"/>
    <mergeCell ref="A410:H410"/>
    <mergeCell ref="A411:H411"/>
    <mergeCell ref="A397:G397"/>
    <mergeCell ref="A399:F399"/>
    <mergeCell ref="A400:G400"/>
    <mergeCell ref="A401:G401"/>
    <mergeCell ref="A402:G402"/>
    <mergeCell ref="A382:H382"/>
    <mergeCell ref="A383:H383"/>
    <mergeCell ref="A384:H384"/>
    <mergeCell ref="A385:H385"/>
    <mergeCell ref="A387:F387"/>
    <mergeCell ref="G387:G388"/>
    <mergeCell ref="H387:H388"/>
    <mergeCell ref="A386:H386"/>
    <mergeCell ref="A377:H377"/>
    <mergeCell ref="A378:H378"/>
    <mergeCell ref="A379:H379"/>
    <mergeCell ref="A380:H380"/>
    <mergeCell ref="A381:H381"/>
    <mergeCell ref="A370:G370"/>
    <mergeCell ref="A372:F372"/>
    <mergeCell ref="A373:G373"/>
    <mergeCell ref="A374:G374"/>
    <mergeCell ref="A375:G375"/>
    <mergeCell ref="A355:H355"/>
    <mergeCell ref="A356:H356"/>
    <mergeCell ref="A357:H357"/>
    <mergeCell ref="A358:H358"/>
    <mergeCell ref="A360:F360"/>
    <mergeCell ref="G360:G361"/>
    <mergeCell ref="H360:H361"/>
    <mergeCell ref="A350:H350"/>
    <mergeCell ref="A351:H351"/>
    <mergeCell ref="A352:H352"/>
    <mergeCell ref="A353:H353"/>
    <mergeCell ref="A354:H354"/>
    <mergeCell ref="A359:H359"/>
    <mergeCell ref="A343:G343"/>
    <mergeCell ref="A345:F345"/>
    <mergeCell ref="A346:G346"/>
    <mergeCell ref="A347:G347"/>
    <mergeCell ref="A348:G348"/>
    <mergeCell ref="A332:H332"/>
    <mergeCell ref="A333:H333"/>
    <mergeCell ref="A334:H334"/>
    <mergeCell ref="A335:H335"/>
    <mergeCell ref="A337:F337"/>
    <mergeCell ref="G337:G338"/>
    <mergeCell ref="H337:H338"/>
    <mergeCell ref="A336:H336"/>
    <mergeCell ref="A327:H327"/>
    <mergeCell ref="A328:H328"/>
    <mergeCell ref="A329:H329"/>
    <mergeCell ref="A330:H330"/>
    <mergeCell ref="A331:H331"/>
    <mergeCell ref="A318:G318"/>
    <mergeCell ref="A320:F320"/>
    <mergeCell ref="A321:G321"/>
    <mergeCell ref="A322:G322"/>
    <mergeCell ref="A323:G323"/>
    <mergeCell ref="A295:H295"/>
    <mergeCell ref="A296:H296"/>
    <mergeCell ref="A297:H297"/>
    <mergeCell ref="A298:H298"/>
    <mergeCell ref="A300:F300"/>
    <mergeCell ref="G300:G301"/>
    <mergeCell ref="H300:H301"/>
    <mergeCell ref="A290:H290"/>
    <mergeCell ref="A291:H291"/>
    <mergeCell ref="A292:H292"/>
    <mergeCell ref="A293:H293"/>
    <mergeCell ref="A294:H294"/>
    <mergeCell ref="A299:H299"/>
    <mergeCell ref="A283:G283"/>
    <mergeCell ref="A285:F285"/>
    <mergeCell ref="A286:G286"/>
    <mergeCell ref="A287:G287"/>
    <mergeCell ref="A288:G288"/>
    <mergeCell ref="A267:H267"/>
    <mergeCell ref="A268:H268"/>
    <mergeCell ref="A269:H269"/>
    <mergeCell ref="A270:H270"/>
    <mergeCell ref="A272:F272"/>
    <mergeCell ref="G272:G273"/>
    <mergeCell ref="H272:H273"/>
    <mergeCell ref="A271:H271"/>
    <mergeCell ref="A262:H262"/>
    <mergeCell ref="A263:H263"/>
    <mergeCell ref="A264:H264"/>
    <mergeCell ref="A265:H265"/>
    <mergeCell ref="A266:H266"/>
    <mergeCell ref="A255:G255"/>
    <mergeCell ref="A257:F257"/>
    <mergeCell ref="A258:G258"/>
    <mergeCell ref="A259:G259"/>
    <mergeCell ref="A260:G260"/>
    <mergeCell ref="A242:H242"/>
    <mergeCell ref="A243:H243"/>
    <mergeCell ref="A244:H244"/>
    <mergeCell ref="A245:H245"/>
    <mergeCell ref="A247:F247"/>
    <mergeCell ref="G247:G248"/>
    <mergeCell ref="H247:H248"/>
    <mergeCell ref="A237:H237"/>
    <mergeCell ref="A238:H238"/>
    <mergeCell ref="A239:H239"/>
    <mergeCell ref="A240:H240"/>
    <mergeCell ref="A241:H241"/>
    <mergeCell ref="A232:G232"/>
    <mergeCell ref="A234:F234"/>
    <mergeCell ref="A221:H221"/>
    <mergeCell ref="A222:H222"/>
    <mergeCell ref="A223:H223"/>
    <mergeCell ref="A224:H224"/>
    <mergeCell ref="A226:F226"/>
    <mergeCell ref="G226:G227"/>
    <mergeCell ref="H226:H227"/>
    <mergeCell ref="A216:H216"/>
    <mergeCell ref="A217:H217"/>
    <mergeCell ref="A218:H218"/>
    <mergeCell ref="A219:H219"/>
    <mergeCell ref="A220:H220"/>
    <mergeCell ref="A209:G209"/>
    <mergeCell ref="A211:F211"/>
    <mergeCell ref="A212:G212"/>
    <mergeCell ref="A213:G213"/>
    <mergeCell ref="A214:G214"/>
    <mergeCell ref="A200:H200"/>
    <mergeCell ref="A201:H201"/>
    <mergeCell ref="A202:H202"/>
    <mergeCell ref="A203:H203"/>
    <mergeCell ref="A205:F205"/>
    <mergeCell ref="G205:G206"/>
    <mergeCell ref="H205:H206"/>
    <mergeCell ref="A195:H195"/>
    <mergeCell ref="A196:H196"/>
    <mergeCell ref="A197:H197"/>
    <mergeCell ref="A198:H198"/>
    <mergeCell ref="A199:H199"/>
    <mergeCell ref="A186:G186"/>
    <mergeCell ref="A188:F188"/>
    <mergeCell ref="A189:G189"/>
    <mergeCell ref="A190:G190"/>
    <mergeCell ref="A191:G191"/>
    <mergeCell ref="A177:H177"/>
    <mergeCell ref="A178:H178"/>
    <mergeCell ref="A179:H179"/>
    <mergeCell ref="A180:H180"/>
    <mergeCell ref="A182:F182"/>
    <mergeCell ref="G182:G183"/>
    <mergeCell ref="H182:H183"/>
    <mergeCell ref="A172:H172"/>
    <mergeCell ref="A173:H173"/>
    <mergeCell ref="A174:H174"/>
    <mergeCell ref="A175:H175"/>
    <mergeCell ref="A176:H176"/>
    <mergeCell ref="A165:G165"/>
    <mergeCell ref="A167:F167"/>
    <mergeCell ref="A168:G168"/>
    <mergeCell ref="A169:G169"/>
    <mergeCell ref="A170:G170"/>
    <mergeCell ref="A156:H156"/>
    <mergeCell ref="A157:H157"/>
    <mergeCell ref="A158:H158"/>
    <mergeCell ref="A159:H159"/>
    <mergeCell ref="A161:F161"/>
    <mergeCell ref="G161:G162"/>
    <mergeCell ref="H161:H162"/>
    <mergeCell ref="A151:H151"/>
    <mergeCell ref="A152:H152"/>
    <mergeCell ref="A153:H153"/>
    <mergeCell ref="A154:H154"/>
    <mergeCell ref="A155:H155"/>
    <mergeCell ref="A142:G142"/>
    <mergeCell ref="A144:F144"/>
    <mergeCell ref="A145:G145"/>
    <mergeCell ref="A146:G146"/>
    <mergeCell ref="A147:G147"/>
    <mergeCell ref="A130:H130"/>
    <mergeCell ref="A131:H131"/>
    <mergeCell ref="A132:H132"/>
    <mergeCell ref="A134:F134"/>
    <mergeCell ref="G134:G135"/>
    <mergeCell ref="H134:H135"/>
    <mergeCell ref="A129:H129"/>
    <mergeCell ref="A101:H101"/>
    <mergeCell ref="A102:H102"/>
    <mergeCell ref="A103:H103"/>
    <mergeCell ref="A104:H104"/>
    <mergeCell ref="A105:H105"/>
    <mergeCell ref="A94:G94"/>
    <mergeCell ref="A96:F96"/>
    <mergeCell ref="A97:G97"/>
    <mergeCell ref="A98:G98"/>
    <mergeCell ref="A99:G99"/>
    <mergeCell ref="A124:H124"/>
    <mergeCell ref="A125:H125"/>
    <mergeCell ref="A126:H126"/>
    <mergeCell ref="A127:H127"/>
    <mergeCell ref="A128:H128"/>
    <mergeCell ref="A121:G121"/>
    <mergeCell ref="A106:H106"/>
    <mergeCell ref="A107:H107"/>
    <mergeCell ref="A108:H108"/>
    <mergeCell ref="A109:H109"/>
    <mergeCell ref="A111:F111"/>
    <mergeCell ref="G111:G112"/>
    <mergeCell ref="H111:H112"/>
    <mergeCell ref="A84:H84"/>
    <mergeCell ref="A86:F86"/>
    <mergeCell ref="G86:G87"/>
    <mergeCell ref="H86:H87"/>
    <mergeCell ref="A76:H76"/>
    <mergeCell ref="A77:H77"/>
    <mergeCell ref="A78:H78"/>
    <mergeCell ref="A79:H79"/>
    <mergeCell ref="A80:H80"/>
    <mergeCell ref="A85:G85"/>
    <mergeCell ref="A56:H56"/>
    <mergeCell ref="A57:H57"/>
    <mergeCell ref="A58:H58"/>
    <mergeCell ref="A59:H59"/>
    <mergeCell ref="A81:H81"/>
    <mergeCell ref="A82:H82"/>
    <mergeCell ref="A83:H83"/>
    <mergeCell ref="A60:H60"/>
    <mergeCell ref="A62:F62"/>
    <mergeCell ref="G62:G63"/>
    <mergeCell ref="H62:H63"/>
    <mergeCell ref="A73:G73"/>
    <mergeCell ref="A61:H61"/>
    <mergeCell ref="A22:G22"/>
    <mergeCell ref="A1:H1"/>
    <mergeCell ref="A2:H2"/>
    <mergeCell ref="A3:H3"/>
    <mergeCell ref="A4:H4"/>
    <mergeCell ref="A5:H5"/>
    <mergeCell ref="A6:H6"/>
    <mergeCell ref="A7:H7"/>
    <mergeCell ref="A8:H8"/>
    <mergeCell ref="A10:H10"/>
    <mergeCell ref="A11:F11"/>
    <mergeCell ref="G11:G12"/>
    <mergeCell ref="H11:H12"/>
    <mergeCell ref="H37:H38"/>
    <mergeCell ref="A27:H27"/>
    <mergeCell ref="A28:H28"/>
    <mergeCell ref="A29:H29"/>
    <mergeCell ref="A30:H30"/>
    <mergeCell ref="A31:H31"/>
    <mergeCell ref="A45:G45"/>
    <mergeCell ref="A47:F47"/>
    <mergeCell ref="A51:G51"/>
    <mergeCell ref="A36:H36"/>
    <mergeCell ref="A682:G682"/>
    <mergeCell ref="A651:H651"/>
    <mergeCell ref="A652:H652"/>
    <mergeCell ref="A653:H653"/>
    <mergeCell ref="A654:H654"/>
    <mergeCell ref="A655:H655"/>
    <mergeCell ref="A656:H656"/>
    <mergeCell ref="A657:H657"/>
    <mergeCell ref="A658:H658"/>
    <mergeCell ref="A659:H659"/>
    <mergeCell ref="A110:H110"/>
    <mergeCell ref="A133:H133"/>
    <mergeCell ref="A160:H160"/>
    <mergeCell ref="A181:H181"/>
    <mergeCell ref="A204:H204"/>
    <mergeCell ref="A225:H225"/>
    <mergeCell ref="A9:H9"/>
    <mergeCell ref="A246:H246"/>
    <mergeCell ref="A661:F661"/>
    <mergeCell ref="G661:G662"/>
    <mergeCell ref="H661:H662"/>
    <mergeCell ref="A24:F24"/>
    <mergeCell ref="A25:G25"/>
    <mergeCell ref="A26:G26"/>
    <mergeCell ref="A52:H52"/>
    <mergeCell ref="A53:H53"/>
    <mergeCell ref="A54:H54"/>
    <mergeCell ref="A55:H55"/>
    <mergeCell ref="A32:H32"/>
    <mergeCell ref="A33:H33"/>
    <mergeCell ref="A34:H34"/>
    <mergeCell ref="A35:H35"/>
    <mergeCell ref="A37:F37"/>
    <mergeCell ref="G37:G38"/>
  </mergeCells>
  <pageMargins left="0.59055118110236227" right="0.23622047244094491" top="0.74803149606299213" bottom="0.74803149606299213" header="0.31496062992125984" footer="0.31496062992125984"/>
  <pageSetup orientation="portrait" horizontalDpi="4294967293" verticalDpi="18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K50"/>
  <sheetViews>
    <sheetView workbookViewId="0">
      <selection activeCell="A2" sqref="A2:I2"/>
    </sheetView>
  </sheetViews>
  <sheetFormatPr baseColWidth="10" defaultColWidth="11.42578125" defaultRowHeight="12.75" x14ac:dyDescent="0.2"/>
  <cols>
    <col min="1" max="1" width="5" customWidth="1"/>
    <col min="2" max="2" width="20.42578125" customWidth="1"/>
    <col min="3" max="3" width="12.42578125" customWidth="1"/>
    <col min="4" max="4" width="11.42578125" customWidth="1"/>
    <col min="5" max="5" width="12.42578125" customWidth="1"/>
    <col min="6" max="6" width="11.85546875" customWidth="1"/>
    <col min="7" max="8" width="11" customWidth="1"/>
    <col min="9" max="9" width="10.5703125" customWidth="1"/>
    <col min="10" max="10" width="14.42578125" bestFit="1" customWidth="1"/>
    <col min="11" max="11" width="16.28515625" customWidth="1"/>
  </cols>
  <sheetData>
    <row r="1" spans="1:11" ht="20.25" x14ac:dyDescent="0.2">
      <c r="A1" s="821" t="s">
        <v>427</v>
      </c>
      <c r="B1" s="821"/>
      <c r="C1" s="821"/>
      <c r="D1" s="821"/>
      <c r="E1" s="821"/>
      <c r="F1" s="821"/>
      <c r="G1" s="821"/>
      <c r="H1" s="821"/>
      <c r="I1" s="821"/>
    </row>
    <row r="2" spans="1:11" ht="18" x14ac:dyDescent="0.2">
      <c r="A2" s="822" t="s">
        <v>426</v>
      </c>
      <c r="B2" s="822"/>
      <c r="C2" s="822"/>
      <c r="D2" s="822"/>
      <c r="E2" s="822"/>
      <c r="F2" s="822"/>
      <c r="G2" s="822"/>
      <c r="H2" s="822"/>
      <c r="I2" s="822"/>
    </row>
    <row r="3" spans="1:11" ht="15.75" x14ac:dyDescent="0.2">
      <c r="A3" s="823" t="s">
        <v>327</v>
      </c>
      <c r="B3" s="823"/>
      <c r="C3" s="823"/>
      <c r="D3" s="823"/>
      <c r="E3" s="823"/>
      <c r="F3" s="823"/>
      <c r="G3" s="823"/>
      <c r="H3" s="823"/>
      <c r="I3" s="823"/>
    </row>
    <row r="4" spans="1:11" ht="16.5" customHeight="1" thickBot="1" x14ac:dyDescent="0.25">
      <c r="A4" s="824" t="s">
        <v>532</v>
      </c>
      <c r="B4" s="824"/>
      <c r="C4" s="824"/>
      <c r="D4" s="824"/>
      <c r="E4" s="824"/>
      <c r="F4" s="824"/>
      <c r="G4" s="824"/>
      <c r="H4" s="824"/>
      <c r="I4" s="824"/>
    </row>
    <row r="5" spans="1:11" ht="28.5" customHeight="1" x14ac:dyDescent="0.2">
      <c r="A5" s="827" t="s">
        <v>324</v>
      </c>
      <c r="B5" s="829" t="s">
        <v>110</v>
      </c>
      <c r="C5" s="402"/>
      <c r="D5" s="831" t="s">
        <v>508</v>
      </c>
      <c r="E5" s="831"/>
      <c r="F5" s="832" t="s">
        <v>528</v>
      </c>
      <c r="G5" s="834" t="s">
        <v>527</v>
      </c>
      <c r="H5" s="834" t="s">
        <v>526</v>
      </c>
      <c r="I5" s="834" t="s">
        <v>525</v>
      </c>
    </row>
    <row r="6" spans="1:11" ht="19.5" customHeight="1" thickBot="1" x14ac:dyDescent="0.25">
      <c r="A6" s="828"/>
      <c r="B6" s="830"/>
      <c r="C6" s="403">
        <v>2018</v>
      </c>
      <c r="D6" s="403">
        <v>2017</v>
      </c>
      <c r="E6" s="404" t="s">
        <v>557</v>
      </c>
      <c r="F6" s="833"/>
      <c r="G6" s="835"/>
      <c r="H6" s="835"/>
      <c r="I6" s="835"/>
    </row>
    <row r="7" spans="1:11" s="106" customFormat="1" ht="15.95" customHeight="1" x14ac:dyDescent="0.2">
      <c r="A7" s="429" t="s">
        <v>17</v>
      </c>
      <c r="B7" s="430" t="s">
        <v>18</v>
      </c>
      <c r="C7" s="425">
        <v>36551.050000000003</v>
      </c>
      <c r="D7" s="426">
        <v>37047.919999999998</v>
      </c>
      <c r="E7" s="427">
        <f>C7*15%</f>
        <v>5482.6575000000003</v>
      </c>
      <c r="F7" s="427">
        <f>SUM(C7+E7)</f>
        <v>42033.707500000004</v>
      </c>
      <c r="G7" s="428">
        <v>49085.05</v>
      </c>
      <c r="H7" s="428">
        <v>41537.269999999997</v>
      </c>
      <c r="I7" s="428">
        <v>79699.429999999993</v>
      </c>
      <c r="J7" s="138"/>
      <c r="K7" s="253"/>
    </row>
    <row r="8" spans="1:11" s="106" customFormat="1" ht="15.95" customHeight="1" x14ac:dyDescent="0.2">
      <c r="A8" s="429" t="s">
        <v>19</v>
      </c>
      <c r="B8" s="430" t="s">
        <v>20</v>
      </c>
      <c r="C8" s="425">
        <v>187966.05</v>
      </c>
      <c r="D8" s="426">
        <v>183881.74</v>
      </c>
      <c r="E8" s="427">
        <f t="shared" ref="E8:E17" si="0">C8*15%</f>
        <v>28194.907499999998</v>
      </c>
      <c r="F8" s="427">
        <f t="shared" ref="F8:F41" si="1">SUM(C8+E8)</f>
        <v>216160.95749999999</v>
      </c>
      <c r="G8" s="428">
        <v>145573.28</v>
      </c>
      <c r="H8" s="428">
        <v>105417.76</v>
      </c>
      <c r="I8" s="428">
        <v>95564.34</v>
      </c>
      <c r="J8" s="138"/>
      <c r="K8" s="253"/>
    </row>
    <row r="9" spans="1:11" s="106" customFormat="1" ht="15.95" customHeight="1" x14ac:dyDescent="0.2">
      <c r="A9" s="429">
        <v>11803</v>
      </c>
      <c r="B9" s="430" t="s">
        <v>428</v>
      </c>
      <c r="C9" s="425">
        <v>4385</v>
      </c>
      <c r="D9" s="426">
        <v>4686.96</v>
      </c>
      <c r="E9" s="427">
        <f t="shared" si="0"/>
        <v>657.75</v>
      </c>
      <c r="F9" s="427">
        <f t="shared" si="1"/>
        <v>5042.75</v>
      </c>
      <c r="G9" s="428">
        <v>6163.63</v>
      </c>
      <c r="H9" s="428">
        <v>4068.06</v>
      </c>
      <c r="I9" s="428">
        <v>6331.54</v>
      </c>
      <c r="J9" s="138"/>
      <c r="K9" s="253"/>
    </row>
    <row r="10" spans="1:11" s="106" customFormat="1" ht="15.95" customHeight="1" x14ac:dyDescent="0.2">
      <c r="A10" s="429">
        <v>11804</v>
      </c>
      <c r="B10" s="430" t="s">
        <v>22</v>
      </c>
      <c r="C10" s="425">
        <v>3612</v>
      </c>
      <c r="D10" s="426">
        <v>3612</v>
      </c>
      <c r="E10" s="427">
        <f t="shared" si="0"/>
        <v>541.79999999999995</v>
      </c>
      <c r="F10" s="427">
        <f t="shared" si="1"/>
        <v>4153.8</v>
      </c>
      <c r="G10" s="428">
        <v>5719.97</v>
      </c>
      <c r="H10" s="428">
        <v>17010.05</v>
      </c>
      <c r="I10" s="428">
        <v>19307.82</v>
      </c>
      <c r="J10" s="138"/>
      <c r="K10" s="253"/>
    </row>
    <row r="11" spans="1:11" s="106" customFormat="1" ht="15.95" customHeight="1" x14ac:dyDescent="0.2">
      <c r="A11" s="429">
        <v>11817</v>
      </c>
      <c r="B11" s="430" t="s">
        <v>134</v>
      </c>
      <c r="C11" s="425">
        <v>11076.33</v>
      </c>
      <c r="D11" s="426">
        <v>11076.33</v>
      </c>
      <c r="E11" s="427">
        <f t="shared" si="0"/>
        <v>1661.4494999999999</v>
      </c>
      <c r="F11" s="427">
        <f t="shared" si="1"/>
        <v>12737.779500000001</v>
      </c>
      <c r="G11" s="428">
        <v>11041.17</v>
      </c>
      <c r="H11" s="428">
        <v>13969.59</v>
      </c>
      <c r="I11" s="428">
        <v>22831.08</v>
      </c>
      <c r="J11" s="138"/>
      <c r="K11" s="253"/>
    </row>
    <row r="12" spans="1:11" s="106" customFormat="1" ht="15.95" customHeight="1" x14ac:dyDescent="0.2">
      <c r="A12" s="429">
        <v>11818</v>
      </c>
      <c r="B12" s="430" t="s">
        <v>429</v>
      </c>
      <c r="C12" s="425">
        <v>2637.17</v>
      </c>
      <c r="D12" s="426">
        <v>2637.17</v>
      </c>
      <c r="E12" s="427">
        <f t="shared" si="0"/>
        <v>395.57549999999998</v>
      </c>
      <c r="F12" s="427">
        <f t="shared" si="1"/>
        <v>3032.7455</v>
      </c>
      <c r="G12" s="428">
        <v>3251.47</v>
      </c>
      <c r="H12" s="428">
        <v>2565.64</v>
      </c>
      <c r="I12" s="428">
        <v>2485.1999999999998</v>
      </c>
      <c r="J12" s="138"/>
      <c r="K12" s="253"/>
    </row>
    <row r="13" spans="1:11" s="106" customFormat="1" ht="20.25" customHeight="1" x14ac:dyDescent="0.2">
      <c r="A13" s="429">
        <v>12105</v>
      </c>
      <c r="B13" s="430" t="s">
        <v>430</v>
      </c>
      <c r="C13" s="425">
        <v>12943.8</v>
      </c>
      <c r="D13" s="426">
        <v>13006.8</v>
      </c>
      <c r="E13" s="427">
        <f t="shared" si="0"/>
        <v>1941.5699999999997</v>
      </c>
      <c r="F13" s="427">
        <f t="shared" si="1"/>
        <v>14885.369999999999</v>
      </c>
      <c r="G13" s="428">
        <v>12721.95</v>
      </c>
      <c r="H13" s="428">
        <v>11842.56</v>
      </c>
      <c r="I13" s="428">
        <v>12469.51</v>
      </c>
      <c r="J13" s="138"/>
      <c r="K13" s="253"/>
    </row>
    <row r="14" spans="1:11" s="106" customFormat="1" ht="19.5" customHeight="1" x14ac:dyDescent="0.2">
      <c r="A14" s="429">
        <v>12106</v>
      </c>
      <c r="B14" s="430" t="s">
        <v>259</v>
      </c>
      <c r="C14" s="425">
        <v>749.71</v>
      </c>
      <c r="D14" s="426">
        <v>417.71</v>
      </c>
      <c r="E14" s="427">
        <f t="shared" si="0"/>
        <v>112.45650000000001</v>
      </c>
      <c r="F14" s="427">
        <f t="shared" si="1"/>
        <v>862.16650000000004</v>
      </c>
      <c r="G14" s="428">
        <v>1723.74</v>
      </c>
      <c r="H14" s="428">
        <v>4552.04</v>
      </c>
      <c r="I14" s="428">
        <v>3955.85</v>
      </c>
      <c r="J14" s="138"/>
      <c r="K14" s="253"/>
    </row>
    <row r="15" spans="1:11" s="106" customFormat="1" ht="15.95" customHeight="1" x14ac:dyDescent="0.2">
      <c r="A15" s="429">
        <v>12108</v>
      </c>
      <c r="B15" s="430" t="s">
        <v>25</v>
      </c>
      <c r="C15" s="425">
        <v>76245.63</v>
      </c>
      <c r="D15" s="426">
        <v>161924.82</v>
      </c>
      <c r="E15" s="427">
        <f t="shared" si="0"/>
        <v>11436.844500000001</v>
      </c>
      <c r="F15" s="427">
        <f t="shared" si="1"/>
        <v>87682.474500000011</v>
      </c>
      <c r="G15" s="428">
        <v>79762.09</v>
      </c>
      <c r="H15" s="428">
        <v>65243.15</v>
      </c>
      <c r="I15" s="428">
        <v>71376.2</v>
      </c>
      <c r="J15" s="138"/>
      <c r="K15" s="253"/>
    </row>
    <row r="16" spans="1:11" s="106" customFormat="1" ht="15.95" customHeight="1" x14ac:dyDescent="0.2">
      <c r="A16" s="429" t="s">
        <v>23</v>
      </c>
      <c r="B16" s="430" t="s">
        <v>24</v>
      </c>
      <c r="C16" s="425">
        <v>114415.6</v>
      </c>
      <c r="D16" s="426">
        <v>130139.64</v>
      </c>
      <c r="E16" s="427">
        <f t="shared" si="0"/>
        <v>17162.34</v>
      </c>
      <c r="F16" s="427">
        <f t="shared" si="1"/>
        <v>131577.94</v>
      </c>
      <c r="G16" s="428">
        <v>106312.83</v>
      </c>
      <c r="H16" s="428">
        <v>81044.83</v>
      </c>
      <c r="I16" s="428">
        <v>75607.350000000006</v>
      </c>
      <c r="J16" s="138"/>
      <c r="K16" s="253"/>
    </row>
    <row r="17" spans="1:11" s="106" customFormat="1" ht="15.95" customHeight="1" x14ac:dyDescent="0.2">
      <c r="A17" s="429" t="s">
        <v>59</v>
      </c>
      <c r="B17" s="430" t="s">
        <v>60</v>
      </c>
      <c r="C17" s="425">
        <v>1456.39</v>
      </c>
      <c r="D17" s="426">
        <v>1462.39</v>
      </c>
      <c r="E17" s="427">
        <f t="shared" si="0"/>
        <v>218.45850000000002</v>
      </c>
      <c r="F17" s="427">
        <f t="shared" si="1"/>
        <v>1674.8485000000001</v>
      </c>
      <c r="G17" s="428">
        <v>1207.33</v>
      </c>
      <c r="H17" s="428">
        <v>1133.96</v>
      </c>
      <c r="I17" s="428">
        <v>681.03</v>
      </c>
      <c r="J17" s="138"/>
      <c r="K17" s="253"/>
    </row>
    <row r="18" spans="1:11" s="106" customFormat="1" ht="15.95" customHeight="1" x14ac:dyDescent="0.2">
      <c r="A18" s="429" t="s">
        <v>135</v>
      </c>
      <c r="B18" s="430" t="s">
        <v>136</v>
      </c>
      <c r="C18" s="425"/>
      <c r="D18" s="426"/>
      <c r="E18" s="427">
        <f t="shared" ref="E18:E43" si="2">C18*10%</f>
        <v>0</v>
      </c>
      <c r="F18" s="427">
        <f t="shared" si="1"/>
        <v>0</v>
      </c>
      <c r="G18" s="428"/>
      <c r="H18" s="428"/>
      <c r="I18" s="428"/>
      <c r="J18" s="138"/>
      <c r="K18" s="253"/>
    </row>
    <row r="19" spans="1:11" s="106" customFormat="1" ht="15.95" customHeight="1" x14ac:dyDescent="0.2">
      <c r="A19" s="429" t="s">
        <v>61</v>
      </c>
      <c r="B19" s="430" t="s">
        <v>62</v>
      </c>
      <c r="C19" s="425">
        <v>32164.73</v>
      </c>
      <c r="D19" s="426">
        <v>34326.75</v>
      </c>
      <c r="E19" s="427">
        <f t="shared" ref="E19:E24" si="3">C19*15%</f>
        <v>4824.7094999999999</v>
      </c>
      <c r="F19" s="427">
        <f t="shared" si="1"/>
        <v>36989.4395</v>
      </c>
      <c r="G19" s="428">
        <v>28476.12</v>
      </c>
      <c r="H19" s="428">
        <v>24078.66</v>
      </c>
      <c r="I19" s="428">
        <v>21393.86</v>
      </c>
      <c r="J19" s="138"/>
      <c r="K19" s="253"/>
    </row>
    <row r="20" spans="1:11" s="106" customFormat="1" ht="15.95" customHeight="1" x14ac:dyDescent="0.2">
      <c r="A20" s="429" t="s">
        <v>137</v>
      </c>
      <c r="B20" s="430" t="s">
        <v>138</v>
      </c>
      <c r="C20" s="425">
        <v>6697.86</v>
      </c>
      <c r="D20" s="426">
        <v>6735.94</v>
      </c>
      <c r="E20" s="427">
        <f t="shared" si="3"/>
        <v>1004.6789999999999</v>
      </c>
      <c r="F20" s="427">
        <f t="shared" si="1"/>
        <v>7702.5389999999998</v>
      </c>
      <c r="G20" s="428">
        <v>5027.32</v>
      </c>
      <c r="H20" s="428">
        <v>7172.75</v>
      </c>
      <c r="I20" s="428">
        <v>8230.27</v>
      </c>
      <c r="J20" s="138"/>
      <c r="K20" s="253"/>
    </row>
    <row r="21" spans="1:11" s="106" customFormat="1" ht="15.95" customHeight="1" x14ac:dyDescent="0.2">
      <c r="A21" s="429" t="s">
        <v>63</v>
      </c>
      <c r="B21" s="430" t="s">
        <v>64</v>
      </c>
      <c r="C21" s="425">
        <v>39153.51</v>
      </c>
      <c r="D21" s="426">
        <v>35994.660000000003</v>
      </c>
      <c r="E21" s="427">
        <f t="shared" si="3"/>
        <v>5873.0264999999999</v>
      </c>
      <c r="F21" s="427">
        <f t="shared" si="1"/>
        <v>45026.536500000002</v>
      </c>
      <c r="G21" s="428">
        <v>31273.24</v>
      </c>
      <c r="H21" s="428">
        <v>22934.59</v>
      </c>
      <c r="I21" s="428">
        <v>23873.97</v>
      </c>
      <c r="J21" s="138"/>
      <c r="K21" s="253"/>
    </row>
    <row r="22" spans="1:11" s="106" customFormat="1" ht="15.95" customHeight="1" x14ac:dyDescent="0.2">
      <c r="A22" s="429" t="s">
        <v>65</v>
      </c>
      <c r="B22" s="430" t="s">
        <v>66</v>
      </c>
      <c r="C22" s="425">
        <v>55557.99</v>
      </c>
      <c r="D22" s="426">
        <v>56157.99</v>
      </c>
      <c r="E22" s="427">
        <f t="shared" si="3"/>
        <v>8333.6984999999986</v>
      </c>
      <c r="F22" s="427">
        <f t="shared" si="1"/>
        <v>63891.688499999997</v>
      </c>
      <c r="G22" s="428">
        <v>68719.3</v>
      </c>
      <c r="H22" s="428">
        <v>57597.72</v>
      </c>
      <c r="I22" s="428">
        <v>63390.17</v>
      </c>
      <c r="J22" s="138"/>
      <c r="K22" s="253"/>
    </row>
    <row r="23" spans="1:11" s="106" customFormat="1" ht="15.95" customHeight="1" x14ac:dyDescent="0.2">
      <c r="A23" s="429" t="s">
        <v>67</v>
      </c>
      <c r="B23" s="430" t="s">
        <v>68</v>
      </c>
      <c r="C23" s="425">
        <v>106.61</v>
      </c>
      <c r="D23" s="426">
        <v>141.85</v>
      </c>
      <c r="E23" s="427">
        <f t="shared" si="3"/>
        <v>15.991499999999998</v>
      </c>
      <c r="F23" s="427">
        <f t="shared" si="1"/>
        <v>122.6015</v>
      </c>
      <c r="G23" s="428">
        <v>53.43</v>
      </c>
      <c r="H23" s="428">
        <v>138.82</v>
      </c>
      <c r="I23" s="428">
        <v>56</v>
      </c>
      <c r="J23" s="138"/>
      <c r="K23" s="253"/>
    </row>
    <row r="24" spans="1:11" s="106" customFormat="1" ht="15.95" customHeight="1" x14ac:dyDescent="0.2">
      <c r="A24" s="429">
        <v>12199</v>
      </c>
      <c r="B24" s="430" t="s">
        <v>431</v>
      </c>
      <c r="C24" s="425">
        <v>129291.59</v>
      </c>
      <c r="D24" s="426"/>
      <c r="E24" s="427">
        <f t="shared" si="3"/>
        <v>19393.738499999999</v>
      </c>
      <c r="F24" s="427">
        <f t="shared" si="1"/>
        <v>148685.3285</v>
      </c>
      <c r="G24" s="428">
        <v>808.99</v>
      </c>
      <c r="H24" s="428">
        <v>3559.88</v>
      </c>
      <c r="I24" s="428">
        <v>17635.189999999999</v>
      </c>
      <c r="J24" s="138"/>
      <c r="K24" s="253"/>
    </row>
    <row r="25" spans="1:11" s="106" customFormat="1" ht="15.95" customHeight="1" x14ac:dyDescent="0.2">
      <c r="A25" s="429">
        <v>12123</v>
      </c>
      <c r="B25" s="430" t="s">
        <v>326</v>
      </c>
      <c r="C25" s="425"/>
      <c r="D25" s="426"/>
      <c r="E25" s="427">
        <f t="shared" si="2"/>
        <v>0</v>
      </c>
      <c r="F25" s="427">
        <f t="shared" si="1"/>
        <v>0</v>
      </c>
      <c r="G25" s="428"/>
      <c r="H25" s="428"/>
      <c r="I25" s="428"/>
      <c r="J25" s="138"/>
      <c r="K25" s="253"/>
    </row>
    <row r="26" spans="1:11" s="106" customFormat="1" ht="15.95" customHeight="1" x14ac:dyDescent="0.2">
      <c r="A26" s="429" t="s">
        <v>117</v>
      </c>
      <c r="B26" s="430" t="s">
        <v>139</v>
      </c>
      <c r="C26" s="425">
        <f>83048.58+40000</f>
        <v>123048.58</v>
      </c>
      <c r="D26" s="426">
        <v>83048.58</v>
      </c>
      <c r="E26" s="427">
        <f t="shared" ref="E26:E34" si="4">C26*15%</f>
        <v>18457.287</v>
      </c>
      <c r="F26" s="427">
        <f t="shared" si="1"/>
        <v>141505.867</v>
      </c>
      <c r="G26" s="428">
        <v>91309.32</v>
      </c>
      <c r="H26" s="428">
        <v>83884.490000000005</v>
      </c>
      <c r="I26" s="428">
        <v>43969.82</v>
      </c>
      <c r="J26" s="138"/>
      <c r="K26" s="253"/>
    </row>
    <row r="27" spans="1:11" s="106" customFormat="1" ht="15.95" customHeight="1" x14ac:dyDescent="0.2">
      <c r="A27" s="429" t="s">
        <v>26</v>
      </c>
      <c r="B27" s="430" t="s">
        <v>27</v>
      </c>
      <c r="C27" s="425">
        <v>3.9</v>
      </c>
      <c r="D27" s="426">
        <v>21.08</v>
      </c>
      <c r="E27" s="427">
        <f t="shared" si="4"/>
        <v>0.58499999999999996</v>
      </c>
      <c r="F27" s="427">
        <f t="shared" si="1"/>
        <v>4.4849999999999994</v>
      </c>
      <c r="G27" s="428">
        <v>1.08</v>
      </c>
      <c r="H27" s="428">
        <v>7</v>
      </c>
      <c r="I27" s="428">
        <v>14.34</v>
      </c>
      <c r="J27" s="138"/>
      <c r="K27" s="253"/>
    </row>
    <row r="28" spans="1:11" s="106" customFormat="1" ht="15.95" customHeight="1" x14ac:dyDescent="0.2">
      <c r="A28" s="429" t="s">
        <v>141</v>
      </c>
      <c r="B28" s="430" t="s">
        <v>142</v>
      </c>
      <c r="C28" s="425">
        <v>2062.42</v>
      </c>
      <c r="D28" s="426"/>
      <c r="E28" s="427">
        <f t="shared" si="4"/>
        <v>309.363</v>
      </c>
      <c r="F28" s="427">
        <f t="shared" si="1"/>
        <v>2371.7829999999999</v>
      </c>
      <c r="G28" s="428"/>
      <c r="H28" s="428"/>
      <c r="I28" s="428"/>
      <c r="J28" s="138"/>
      <c r="K28" s="253"/>
    </row>
    <row r="29" spans="1:11" s="106" customFormat="1" ht="15.95" customHeight="1" x14ac:dyDescent="0.2">
      <c r="A29" s="429" t="s">
        <v>28</v>
      </c>
      <c r="B29" s="430" t="s">
        <v>29</v>
      </c>
      <c r="C29" s="425">
        <v>500</v>
      </c>
      <c r="D29" s="426">
        <v>978.4</v>
      </c>
      <c r="E29" s="427">
        <f t="shared" si="4"/>
        <v>75</v>
      </c>
      <c r="F29" s="427">
        <f t="shared" si="1"/>
        <v>575</v>
      </c>
      <c r="G29" s="428">
        <v>52.57</v>
      </c>
      <c r="H29" s="428"/>
      <c r="I29" s="428"/>
      <c r="J29" s="138"/>
      <c r="K29" s="253"/>
    </row>
    <row r="30" spans="1:11" s="106" customFormat="1" ht="15.95" customHeight="1" x14ac:dyDescent="0.2">
      <c r="A30" s="429" t="s">
        <v>30</v>
      </c>
      <c r="B30" s="430" t="s">
        <v>31</v>
      </c>
      <c r="C30" s="425">
        <v>6693.24</v>
      </c>
      <c r="D30" s="426">
        <v>10554.35</v>
      </c>
      <c r="E30" s="427">
        <f t="shared" si="4"/>
        <v>1003.9859999999999</v>
      </c>
      <c r="F30" s="427">
        <f t="shared" si="1"/>
        <v>7697.2259999999997</v>
      </c>
      <c r="G30" s="428">
        <v>1657.08</v>
      </c>
      <c r="H30" s="428">
        <v>459.79</v>
      </c>
      <c r="I30" s="428"/>
      <c r="J30" s="138"/>
      <c r="K30" s="253"/>
    </row>
    <row r="31" spans="1:11" s="106" customFormat="1" ht="18" customHeight="1" x14ac:dyDescent="0.2">
      <c r="A31" s="429" t="s">
        <v>33</v>
      </c>
      <c r="B31" s="430" t="s">
        <v>32</v>
      </c>
      <c r="C31" s="425">
        <v>8268.34</v>
      </c>
      <c r="D31" s="426">
        <v>8286.35</v>
      </c>
      <c r="E31" s="427">
        <f t="shared" si="4"/>
        <v>1240.251</v>
      </c>
      <c r="F31" s="427">
        <f t="shared" si="1"/>
        <v>9508.5910000000003</v>
      </c>
      <c r="G31" s="428">
        <v>6983.55</v>
      </c>
      <c r="H31" s="428">
        <v>5931.81</v>
      </c>
      <c r="I31" s="428">
        <v>7127.94</v>
      </c>
      <c r="J31" s="138"/>
      <c r="K31" s="253"/>
    </row>
    <row r="32" spans="1:11" s="106" customFormat="1" ht="15.95" customHeight="1" x14ac:dyDescent="0.2">
      <c r="A32" s="429">
        <v>15310</v>
      </c>
      <c r="B32" s="430" t="s">
        <v>432</v>
      </c>
      <c r="C32" s="425">
        <v>682.93</v>
      </c>
      <c r="D32" s="426">
        <v>571.45000000000005</v>
      </c>
      <c r="E32" s="427">
        <f t="shared" si="4"/>
        <v>102.4395</v>
      </c>
      <c r="F32" s="427">
        <f t="shared" si="1"/>
        <v>785.3694999999999</v>
      </c>
      <c r="G32" s="428">
        <v>714.9</v>
      </c>
      <c r="H32" s="428">
        <v>1718.32</v>
      </c>
      <c r="I32" s="428"/>
      <c r="J32" s="138"/>
      <c r="K32" s="253"/>
    </row>
    <row r="33" spans="1:11" s="106" customFormat="1" ht="15.95" customHeight="1" x14ac:dyDescent="0.2">
      <c r="A33" s="429">
        <v>15312</v>
      </c>
      <c r="B33" s="430" t="s">
        <v>328</v>
      </c>
      <c r="C33" s="425">
        <v>151.32</v>
      </c>
      <c r="D33" s="426">
        <v>225.55</v>
      </c>
      <c r="E33" s="427">
        <f t="shared" si="4"/>
        <v>22.697999999999997</v>
      </c>
      <c r="F33" s="427">
        <f t="shared" si="1"/>
        <v>174.018</v>
      </c>
      <c r="G33" s="428">
        <v>157.05000000000001</v>
      </c>
      <c r="H33" s="428">
        <v>42.84</v>
      </c>
      <c r="I33" s="428"/>
      <c r="J33" s="138"/>
      <c r="K33" s="253"/>
    </row>
    <row r="34" spans="1:11" s="106" customFormat="1" ht="15.95" customHeight="1" x14ac:dyDescent="0.2">
      <c r="A34" s="429" t="s">
        <v>105</v>
      </c>
      <c r="B34" s="430" t="s">
        <v>106</v>
      </c>
      <c r="C34" s="425">
        <v>3843.74</v>
      </c>
      <c r="D34" s="426"/>
      <c r="E34" s="427">
        <f t="shared" si="4"/>
        <v>576.56099999999992</v>
      </c>
      <c r="F34" s="427">
        <f t="shared" si="1"/>
        <v>4420.3009999999995</v>
      </c>
      <c r="G34" s="428">
        <v>9225.6299999999992</v>
      </c>
      <c r="H34" s="428">
        <v>9006.83</v>
      </c>
      <c r="I34" s="428">
        <v>10152.36</v>
      </c>
      <c r="J34" s="138"/>
      <c r="K34" s="253"/>
    </row>
    <row r="35" spans="1:11" s="106" customFormat="1" ht="15.95" customHeight="1" x14ac:dyDescent="0.2">
      <c r="A35" s="429">
        <v>15399</v>
      </c>
      <c r="B35" s="430" t="s">
        <v>311</v>
      </c>
      <c r="C35" s="425"/>
      <c r="D35" s="426"/>
      <c r="E35" s="427">
        <f t="shared" si="2"/>
        <v>0</v>
      </c>
      <c r="F35" s="427">
        <f t="shared" si="1"/>
        <v>0</v>
      </c>
      <c r="G35" s="428"/>
      <c r="H35" s="428"/>
      <c r="I35" s="428"/>
      <c r="J35" s="138"/>
      <c r="K35" s="253"/>
    </row>
    <row r="36" spans="1:11" s="106" customFormat="1" ht="15.95" customHeight="1" x14ac:dyDescent="0.2">
      <c r="A36" s="429" t="s">
        <v>69</v>
      </c>
      <c r="B36" s="430" t="s">
        <v>70</v>
      </c>
      <c r="C36" s="425"/>
      <c r="D36" s="426"/>
      <c r="E36" s="427">
        <f t="shared" si="2"/>
        <v>0</v>
      </c>
      <c r="F36" s="427">
        <f t="shared" si="1"/>
        <v>0</v>
      </c>
      <c r="G36" s="428">
        <v>617.6</v>
      </c>
      <c r="H36" s="428"/>
      <c r="I36" s="428"/>
      <c r="J36" s="138"/>
      <c r="K36" s="253"/>
    </row>
    <row r="37" spans="1:11" s="106" customFormat="1" ht="15.95" customHeight="1" x14ac:dyDescent="0.2">
      <c r="A37" s="429" t="s">
        <v>71</v>
      </c>
      <c r="B37" s="430" t="s">
        <v>72</v>
      </c>
      <c r="C37" s="425">
        <f>7536.47+25000</f>
        <v>32536.47</v>
      </c>
      <c r="D37" s="426">
        <f>9131.45+3077.33</f>
        <v>12208.78</v>
      </c>
      <c r="E37" s="427">
        <f>C37*15%</f>
        <v>4880.4705000000004</v>
      </c>
      <c r="F37" s="427">
        <f t="shared" si="1"/>
        <v>37416.940500000004</v>
      </c>
      <c r="G37" s="428">
        <v>423.51</v>
      </c>
      <c r="H37" s="428">
        <v>101.3</v>
      </c>
      <c r="I37" s="428">
        <v>8339.19</v>
      </c>
      <c r="J37" s="138"/>
      <c r="K37" s="253"/>
    </row>
    <row r="38" spans="1:11" s="106" customFormat="1" ht="18" customHeight="1" x14ac:dyDescent="0.2">
      <c r="A38" s="429" t="s">
        <v>171</v>
      </c>
      <c r="B38" s="430" t="s">
        <v>143</v>
      </c>
      <c r="C38" s="425"/>
      <c r="D38" s="427"/>
      <c r="E38" s="427">
        <f t="shared" si="2"/>
        <v>0</v>
      </c>
      <c r="F38" s="427">
        <f t="shared" si="1"/>
        <v>0</v>
      </c>
      <c r="G38" s="428"/>
      <c r="H38" s="428"/>
      <c r="I38" s="428"/>
      <c r="J38" s="138"/>
      <c r="K38" s="253"/>
    </row>
    <row r="39" spans="1:11" s="106" customFormat="1" ht="20.25" customHeight="1" x14ac:dyDescent="0.2">
      <c r="A39" s="429" t="s">
        <v>254</v>
      </c>
      <c r="B39" s="430" t="s">
        <v>255</v>
      </c>
      <c r="C39" s="425"/>
      <c r="D39" s="427"/>
      <c r="E39" s="427">
        <f t="shared" si="2"/>
        <v>0</v>
      </c>
      <c r="F39" s="427">
        <f t="shared" si="1"/>
        <v>0</v>
      </c>
      <c r="G39" s="428"/>
      <c r="H39" s="428"/>
      <c r="I39" s="428"/>
      <c r="J39" s="138"/>
      <c r="K39" s="253"/>
    </row>
    <row r="40" spans="1:11" s="106" customFormat="1" ht="15.95" customHeight="1" x14ac:dyDescent="0.2">
      <c r="A40" s="429" t="s">
        <v>250</v>
      </c>
      <c r="B40" s="430" t="s">
        <v>251</v>
      </c>
      <c r="C40" s="425"/>
      <c r="D40" s="427"/>
      <c r="E40" s="427">
        <f t="shared" si="2"/>
        <v>0</v>
      </c>
      <c r="F40" s="427">
        <f t="shared" si="1"/>
        <v>0</v>
      </c>
      <c r="G40" s="428"/>
      <c r="H40" s="428"/>
      <c r="I40" s="428"/>
      <c r="J40" s="138"/>
      <c r="K40" s="253"/>
    </row>
    <row r="41" spans="1:11" s="106" customFormat="1" ht="15.95" customHeight="1" x14ac:dyDescent="0.2">
      <c r="A41" s="429" t="s">
        <v>90</v>
      </c>
      <c r="B41" s="430" t="s">
        <v>256</v>
      </c>
      <c r="C41" s="425"/>
      <c r="D41" s="427"/>
      <c r="E41" s="427">
        <f t="shared" si="2"/>
        <v>0</v>
      </c>
      <c r="F41" s="427">
        <f t="shared" si="1"/>
        <v>0</v>
      </c>
      <c r="G41" s="428"/>
      <c r="H41" s="428"/>
      <c r="I41" s="428"/>
      <c r="J41" s="138"/>
      <c r="K41" s="253"/>
    </row>
    <row r="42" spans="1:11" s="106" customFormat="1" ht="17.25" customHeight="1" x14ac:dyDescent="0.2">
      <c r="A42" s="429" t="s">
        <v>252</v>
      </c>
      <c r="B42" s="430" t="s">
        <v>505</v>
      </c>
      <c r="C42" s="425"/>
      <c r="D42" s="427"/>
      <c r="E42" s="427">
        <f t="shared" si="2"/>
        <v>0</v>
      </c>
      <c r="F42" s="427"/>
      <c r="G42" s="428"/>
      <c r="H42" s="428"/>
      <c r="I42" s="428"/>
      <c r="J42" s="138"/>
      <c r="K42" s="253"/>
    </row>
    <row r="43" spans="1:11" s="106" customFormat="1" ht="15.95" customHeight="1" thickBot="1" x14ac:dyDescent="0.25">
      <c r="A43" s="429"/>
      <c r="B43" s="431" t="s">
        <v>506</v>
      </c>
      <c r="C43" s="425"/>
      <c r="D43" s="427"/>
      <c r="E43" s="427">
        <f t="shared" si="2"/>
        <v>0</v>
      </c>
      <c r="F43" s="427"/>
      <c r="G43" s="428"/>
      <c r="H43" s="428"/>
      <c r="I43" s="428"/>
      <c r="J43" s="138"/>
      <c r="K43" s="253"/>
    </row>
    <row r="44" spans="1:11" ht="21.75" customHeight="1" thickBot="1" x14ac:dyDescent="0.3">
      <c r="A44" s="825" t="s">
        <v>249</v>
      </c>
      <c r="B44" s="826"/>
      <c r="C44" s="432">
        <f>SUM(C7:C43)</f>
        <v>892801.95999999985</v>
      </c>
      <c r="D44" s="433">
        <f>SUM(D7:D43)</f>
        <v>799145.20999999985</v>
      </c>
      <c r="E44" s="433">
        <f>SUM(E7:E43)</f>
        <v>133920.29399999999</v>
      </c>
      <c r="F44" s="434">
        <f>SUM(F7:F43)-0.01</f>
        <v>1026722.2440000003</v>
      </c>
      <c r="G44" s="435">
        <f>SUM(G7:G43)</f>
        <v>668063.20000000019</v>
      </c>
      <c r="H44" s="436">
        <f>SUM(H7:H43)</f>
        <v>565019.71000000008</v>
      </c>
      <c r="I44" s="436">
        <f>SUM(I7:I43)</f>
        <v>594492.45999999985</v>
      </c>
      <c r="J44" s="437"/>
      <c r="K44" s="251"/>
    </row>
    <row r="45" spans="1:11" ht="13.5" thickBot="1" x14ac:dyDescent="0.25">
      <c r="A45" s="39"/>
      <c r="B45" s="39"/>
      <c r="C45" s="39"/>
      <c r="D45" s="819">
        <f>+C44+E44</f>
        <v>1026722.2539999998</v>
      </c>
      <c r="E45" s="820"/>
      <c r="F45" s="39"/>
      <c r="G45" s="82"/>
      <c r="H45" s="82"/>
    </row>
    <row r="46" spans="1:11" x14ac:dyDescent="0.2">
      <c r="A46" s="39"/>
      <c r="B46" s="39"/>
      <c r="C46" s="39"/>
      <c r="D46" s="39"/>
      <c r="E46" s="330"/>
      <c r="F46" s="39"/>
      <c r="G46" s="82"/>
      <c r="H46" s="82"/>
      <c r="I46" s="252"/>
    </row>
    <row r="47" spans="1:11" x14ac:dyDescent="0.2">
      <c r="G47" s="82"/>
      <c r="H47" s="82"/>
    </row>
    <row r="48" spans="1:11" x14ac:dyDescent="0.2">
      <c r="G48" s="82"/>
      <c r="H48" s="82"/>
    </row>
    <row r="49" spans="7:8" x14ac:dyDescent="0.2">
      <c r="G49" s="82"/>
      <c r="H49" s="82"/>
    </row>
    <row r="50" spans="7:8" x14ac:dyDescent="0.2">
      <c r="G50" s="82"/>
      <c r="H50" s="82"/>
    </row>
  </sheetData>
  <sheetProtection sheet="1" formatCells="0" formatColumns="0" formatRows="0" insertColumns="0" insertRows="0" insertHyperlinks="0" deleteColumns="0" deleteRows="0" sort="0" autoFilter="0" pivotTables="0"/>
  <mergeCells count="13">
    <mergeCell ref="D45:E45"/>
    <mergeCell ref="A1:I1"/>
    <mergeCell ref="A2:I2"/>
    <mergeCell ref="A3:I3"/>
    <mergeCell ref="A4:I4"/>
    <mergeCell ref="A44:B44"/>
    <mergeCell ref="A5:A6"/>
    <mergeCell ref="B5:B6"/>
    <mergeCell ref="D5:E5"/>
    <mergeCell ref="F5:F6"/>
    <mergeCell ref="G5:G6"/>
    <mergeCell ref="H5:H6"/>
    <mergeCell ref="I5:I6"/>
  </mergeCells>
  <printOptions horizontalCentered="1"/>
  <pageMargins left="0.59055118110236227" right="3.937007874015748E-2" top="0.23622047244094491" bottom="0.35433070866141736" header="0.31496062992125984" footer="0.31496062992125984"/>
  <pageSetup scale="95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281"/>
  <sheetViews>
    <sheetView zoomScaleNormal="100" workbookViewId="0">
      <selection activeCell="K18" sqref="K18"/>
    </sheetView>
  </sheetViews>
  <sheetFormatPr baseColWidth="10" defaultColWidth="11.42578125" defaultRowHeight="12.75" x14ac:dyDescent="0.2"/>
  <cols>
    <col min="1" max="1" width="11.5703125" style="39" customWidth="1"/>
    <col min="2" max="2" width="5.140625" style="39" customWidth="1"/>
    <col min="3" max="3" width="13.7109375" style="40" customWidth="1"/>
    <col min="4" max="4" width="14.42578125" style="40" customWidth="1"/>
    <col min="5" max="5" width="14.5703125" style="40" customWidth="1"/>
    <col min="6" max="6" width="11.140625" style="40" customWidth="1"/>
    <col min="7" max="7" width="13.28515625" style="40" customWidth="1"/>
    <col min="8" max="8" width="15.140625" style="40" customWidth="1"/>
    <col min="9" max="10" width="11.42578125" style="39"/>
    <col min="11" max="11" width="15" style="39" customWidth="1"/>
    <col min="12" max="12" width="12.7109375" style="39" bestFit="1" customWidth="1"/>
    <col min="13" max="16384" width="11.42578125" style="39"/>
  </cols>
  <sheetData>
    <row r="1" spans="1:18" ht="18" x14ac:dyDescent="0.25">
      <c r="A1" s="848" t="s">
        <v>426</v>
      </c>
      <c r="B1" s="848"/>
      <c r="C1" s="848"/>
      <c r="D1" s="848"/>
      <c r="E1" s="848"/>
      <c r="F1" s="848"/>
      <c r="G1" s="848"/>
      <c r="H1" s="848"/>
    </row>
    <row r="2" spans="1:18" ht="18" x14ac:dyDescent="0.25">
      <c r="A2" s="845" t="s">
        <v>439</v>
      </c>
      <c r="B2" s="845"/>
      <c r="C2" s="845"/>
      <c r="D2" s="845"/>
      <c r="E2" s="845"/>
      <c r="F2" s="845"/>
      <c r="G2" s="845"/>
      <c r="H2" s="845"/>
    </row>
    <row r="3" spans="1:18" ht="18" x14ac:dyDescent="0.25">
      <c r="A3" s="848" t="s">
        <v>537</v>
      </c>
      <c r="B3" s="848"/>
      <c r="C3" s="848"/>
      <c r="D3" s="848"/>
      <c r="E3" s="848"/>
      <c r="F3" s="848"/>
      <c r="G3" s="848"/>
      <c r="H3" s="848"/>
    </row>
    <row r="4" spans="1:18" x14ac:dyDescent="0.2">
      <c r="A4" s="158"/>
      <c r="B4" s="158"/>
      <c r="C4" s="159"/>
      <c r="D4" s="159"/>
      <c r="E4" s="159"/>
      <c r="F4" s="159"/>
      <c r="G4" s="159"/>
      <c r="H4" s="159"/>
    </row>
    <row r="5" spans="1:18" ht="15.75" x14ac:dyDescent="0.25">
      <c r="A5" s="846" t="s">
        <v>184</v>
      </c>
      <c r="B5" s="846"/>
      <c r="C5" s="846"/>
      <c r="D5" s="846"/>
      <c r="E5" s="846"/>
      <c r="F5" s="846"/>
      <c r="G5" s="846"/>
      <c r="H5" s="846"/>
      <c r="I5" s="605"/>
      <c r="J5" s="605"/>
      <c r="K5" s="605"/>
      <c r="L5" s="605"/>
      <c r="M5" s="605"/>
      <c r="N5" s="605"/>
      <c r="O5" s="605"/>
      <c r="P5" s="605"/>
      <c r="Q5" s="605"/>
      <c r="R5" s="605"/>
    </row>
    <row r="6" spans="1:18" x14ac:dyDescent="0.2">
      <c r="A6" s="160"/>
      <c r="B6" s="160"/>
      <c r="C6" s="849" t="s">
        <v>440</v>
      </c>
      <c r="D6" s="849"/>
      <c r="E6" s="849"/>
      <c r="F6" s="162"/>
      <c r="G6" s="162"/>
      <c r="H6" s="162"/>
      <c r="I6" s="605"/>
      <c r="J6" s="605" t="s">
        <v>347</v>
      </c>
      <c r="K6" s="605"/>
      <c r="L6" s="605">
        <f>360*100/12.5</f>
        <v>2880</v>
      </c>
      <c r="M6" s="605"/>
      <c r="N6" s="605"/>
      <c r="O6" s="605"/>
      <c r="P6" s="605"/>
      <c r="Q6" s="605"/>
      <c r="R6" s="605"/>
    </row>
    <row r="7" spans="1:18" x14ac:dyDescent="0.2">
      <c r="A7" s="163" t="s">
        <v>185</v>
      </c>
      <c r="B7" s="164" t="s">
        <v>186</v>
      </c>
      <c r="C7" s="161">
        <f>L14</f>
        <v>323206.48</v>
      </c>
      <c r="D7" s="162" t="s">
        <v>187</v>
      </c>
      <c r="E7" s="162"/>
      <c r="F7" s="162"/>
      <c r="G7" s="162"/>
      <c r="H7" s="162"/>
      <c r="I7" s="605"/>
      <c r="J7" s="605"/>
      <c r="K7" s="605"/>
      <c r="L7" s="605"/>
      <c r="M7" s="605"/>
      <c r="N7" s="605"/>
      <c r="O7" s="605"/>
      <c r="P7" s="605"/>
      <c r="Q7" s="605"/>
      <c r="R7" s="605"/>
    </row>
    <row r="8" spans="1:18" x14ac:dyDescent="0.2">
      <c r="A8" s="161" t="s">
        <v>188</v>
      </c>
      <c r="B8" s="160"/>
      <c r="C8" s="165">
        <v>0.125</v>
      </c>
      <c r="D8" s="162" t="s">
        <v>100</v>
      </c>
      <c r="E8" s="162"/>
      <c r="F8" s="162"/>
      <c r="G8" s="162"/>
      <c r="H8" s="162"/>
      <c r="I8" s="605"/>
      <c r="J8" s="605"/>
      <c r="K8" s="605"/>
      <c r="L8" s="605"/>
      <c r="M8" s="605"/>
      <c r="N8" s="605"/>
      <c r="O8" s="605"/>
      <c r="P8" s="605"/>
      <c r="Q8" s="605"/>
      <c r="R8" s="605"/>
    </row>
    <row r="9" spans="1:18" x14ac:dyDescent="0.2">
      <c r="A9" s="161" t="s">
        <v>189</v>
      </c>
      <c r="B9" s="160"/>
      <c r="C9" s="161">
        <v>0</v>
      </c>
      <c r="D9" s="162" t="s">
        <v>190</v>
      </c>
      <c r="E9" s="162"/>
      <c r="F9" s="162"/>
      <c r="G9" s="162"/>
      <c r="H9" s="162"/>
      <c r="I9" s="605"/>
      <c r="J9" s="605"/>
      <c r="K9" s="605"/>
      <c r="L9" s="605"/>
      <c r="M9" s="605"/>
      <c r="N9" s="605"/>
      <c r="O9" s="605"/>
      <c r="P9" s="605"/>
      <c r="Q9" s="605"/>
      <c r="R9" s="605"/>
    </row>
    <row r="10" spans="1:18" x14ac:dyDescent="0.2">
      <c r="A10" s="161" t="s">
        <v>191</v>
      </c>
      <c r="B10" s="164" t="s">
        <v>186</v>
      </c>
      <c r="C10" s="161">
        <v>4289.8999999999996</v>
      </c>
      <c r="D10" s="162" t="s">
        <v>190</v>
      </c>
      <c r="E10" s="162"/>
      <c r="F10" s="162"/>
      <c r="G10" s="162"/>
      <c r="H10" s="162"/>
      <c r="I10" s="605"/>
      <c r="J10" s="605"/>
      <c r="K10" s="605"/>
      <c r="L10" s="605"/>
      <c r="M10" s="605"/>
      <c r="N10" s="605"/>
      <c r="O10" s="605"/>
      <c r="P10" s="605"/>
      <c r="Q10" s="605"/>
      <c r="R10" s="605"/>
    </row>
    <row r="11" spans="1:18" ht="13.5" thickBot="1" x14ac:dyDescent="0.25">
      <c r="A11" s="160"/>
      <c r="B11" s="162"/>
      <c r="C11" s="162"/>
      <c r="D11" s="162"/>
      <c r="E11" s="162"/>
      <c r="F11" s="162"/>
      <c r="G11" s="162"/>
      <c r="H11" s="162"/>
      <c r="I11" s="605"/>
      <c r="J11" s="605"/>
      <c r="K11" s="605"/>
      <c r="L11" s="605"/>
      <c r="M11" s="605"/>
      <c r="N11" s="605"/>
      <c r="O11" s="605"/>
      <c r="P11" s="605"/>
      <c r="Q11" s="605"/>
      <c r="R11" s="605"/>
    </row>
    <row r="12" spans="1:18" x14ac:dyDescent="0.2">
      <c r="A12" s="166"/>
      <c r="B12" s="167"/>
      <c r="C12" s="836" t="s">
        <v>192</v>
      </c>
      <c r="D12" s="837"/>
      <c r="E12" s="836" t="s">
        <v>193</v>
      </c>
      <c r="F12" s="838"/>
      <c r="G12" s="837"/>
      <c r="H12" s="600"/>
      <c r="I12" s="605"/>
      <c r="J12" s="605" t="s">
        <v>542</v>
      </c>
      <c r="K12" s="605"/>
      <c r="L12" s="599">
        <v>323206.48</v>
      </c>
      <c r="M12" s="605"/>
      <c r="N12" s="605"/>
      <c r="O12" s="605"/>
      <c r="P12" s="605"/>
      <c r="Q12" s="605"/>
      <c r="R12" s="605"/>
    </row>
    <row r="13" spans="1:18" x14ac:dyDescent="0.2">
      <c r="A13" s="169"/>
      <c r="B13" s="170"/>
      <c r="C13" s="839" t="s">
        <v>194</v>
      </c>
      <c r="D13" s="840"/>
      <c r="E13" s="171" t="s">
        <v>195</v>
      </c>
      <c r="F13" s="171" t="s">
        <v>196</v>
      </c>
      <c r="G13" s="841" t="s">
        <v>346</v>
      </c>
      <c r="H13" s="601" t="s">
        <v>198</v>
      </c>
      <c r="I13" s="605"/>
      <c r="J13" s="605" t="s">
        <v>479</v>
      </c>
      <c r="K13" s="605"/>
      <c r="L13" s="599">
        <v>0</v>
      </c>
      <c r="M13" s="605"/>
      <c r="N13" s="605"/>
      <c r="O13" s="605"/>
      <c r="P13" s="605"/>
      <c r="Q13" s="605"/>
      <c r="R13" s="605"/>
    </row>
    <row r="14" spans="1:18" ht="13.5" thickBot="1" x14ac:dyDescent="0.25">
      <c r="A14" s="173" t="s">
        <v>199</v>
      </c>
      <c r="B14" s="174" t="s">
        <v>200</v>
      </c>
      <c r="C14" s="175" t="s">
        <v>207</v>
      </c>
      <c r="D14" s="175" t="s">
        <v>201</v>
      </c>
      <c r="E14" s="176" t="s">
        <v>202</v>
      </c>
      <c r="F14" s="175" t="s">
        <v>203</v>
      </c>
      <c r="G14" s="842"/>
      <c r="H14" s="602" t="s">
        <v>205</v>
      </c>
      <c r="I14" s="605"/>
      <c r="J14" s="605" t="s">
        <v>533</v>
      </c>
      <c r="K14" s="605"/>
      <c r="L14" s="599">
        <f>SUM(L12-L13)</f>
        <v>323206.48</v>
      </c>
      <c r="M14" s="605"/>
      <c r="N14" s="605"/>
      <c r="O14" s="605"/>
      <c r="P14" s="605">
        <v>342727.83</v>
      </c>
      <c r="Q14" s="605"/>
      <c r="R14" s="605"/>
    </row>
    <row r="15" spans="1:18" x14ac:dyDescent="0.2">
      <c r="A15" s="178">
        <v>43466</v>
      </c>
      <c r="B15" s="170">
        <v>0</v>
      </c>
      <c r="C15" s="179">
        <v>0</v>
      </c>
      <c r="D15" s="179">
        <v>0</v>
      </c>
      <c r="E15" s="179">
        <v>0</v>
      </c>
      <c r="F15" s="179"/>
      <c r="G15" s="179"/>
      <c r="H15" s="603">
        <f>C7</f>
        <v>323206.48</v>
      </c>
      <c r="I15" s="605"/>
      <c r="J15" s="605"/>
      <c r="K15" s="605"/>
      <c r="L15" s="599"/>
      <c r="M15" s="605"/>
      <c r="N15" s="605"/>
      <c r="O15" s="605"/>
      <c r="P15" s="605"/>
      <c r="Q15" s="605"/>
      <c r="R15" s="605"/>
    </row>
    <row r="16" spans="1:18" x14ac:dyDescent="0.2">
      <c r="A16" s="181">
        <v>43496</v>
      </c>
      <c r="B16" s="182">
        <v>31</v>
      </c>
      <c r="C16" s="183">
        <f>SUM(H15*31/2880)</f>
        <v>3478.9586388888883</v>
      </c>
      <c r="D16" s="183">
        <f>SUM(C10-C16)</f>
        <v>810.94136111111129</v>
      </c>
      <c r="E16" s="184">
        <f>SUM(C16:D16)</f>
        <v>4289.8999999999996</v>
      </c>
      <c r="F16" s="183"/>
      <c r="G16" s="183">
        <f t="shared" ref="G16:G27" si="0">SUM(E16:F16)</f>
        <v>4289.8999999999996</v>
      </c>
      <c r="H16" s="604">
        <f t="shared" ref="H16:H27" si="1">+H15-D16</f>
        <v>322395.53863888886</v>
      </c>
      <c r="I16" s="605"/>
      <c r="J16" s="605"/>
      <c r="K16" s="605"/>
      <c r="L16" s="599"/>
      <c r="M16" s="605"/>
      <c r="N16" s="605"/>
      <c r="O16" s="605"/>
      <c r="P16" s="605"/>
      <c r="Q16" s="605"/>
      <c r="R16" s="605"/>
    </row>
    <row r="17" spans="1:12" x14ac:dyDescent="0.2">
      <c r="A17" s="181">
        <v>43524</v>
      </c>
      <c r="B17" s="182">
        <v>28</v>
      </c>
      <c r="C17" s="183">
        <f t="shared" ref="C17:C27" si="2">SUM(H16*31/2880)</f>
        <v>3470.2297561824839</v>
      </c>
      <c r="D17" s="183">
        <f>SUM(C10-C17)</f>
        <v>819.67024381751571</v>
      </c>
      <c r="E17" s="184">
        <f>SUM(C17:D17)</f>
        <v>4289.8999999999996</v>
      </c>
      <c r="F17" s="183"/>
      <c r="G17" s="183">
        <f t="shared" si="0"/>
        <v>4289.8999999999996</v>
      </c>
      <c r="H17" s="185">
        <f t="shared" si="1"/>
        <v>321575.86839507136</v>
      </c>
      <c r="L17" s="90"/>
    </row>
    <row r="18" spans="1:12" x14ac:dyDescent="0.2">
      <c r="A18" s="181">
        <v>43555</v>
      </c>
      <c r="B18" s="182">
        <v>31</v>
      </c>
      <c r="C18" s="183">
        <f t="shared" si="2"/>
        <v>3461.406916752504</v>
      </c>
      <c r="D18" s="183">
        <f>SUM(C10-C18)</f>
        <v>828.49308324749563</v>
      </c>
      <c r="E18" s="184">
        <f t="shared" ref="E18:E27" si="3">SUM(C18:D18)</f>
        <v>4289.8999999999996</v>
      </c>
      <c r="F18" s="183"/>
      <c r="G18" s="183">
        <f t="shared" si="0"/>
        <v>4289.8999999999996</v>
      </c>
      <c r="H18" s="185">
        <f t="shared" si="1"/>
        <v>320747.37531182385</v>
      </c>
      <c r="L18" s="90"/>
    </row>
    <row r="19" spans="1:12" x14ac:dyDescent="0.2">
      <c r="A19" s="181">
        <v>43585</v>
      </c>
      <c r="B19" s="182">
        <v>30</v>
      </c>
      <c r="C19" s="183">
        <f t="shared" si="2"/>
        <v>3452.4891092592152</v>
      </c>
      <c r="D19" s="183">
        <f>SUM(C10-C19)</f>
        <v>837.41089074078445</v>
      </c>
      <c r="E19" s="184">
        <f t="shared" si="3"/>
        <v>4289.8999999999996</v>
      </c>
      <c r="F19" s="183"/>
      <c r="G19" s="183">
        <f t="shared" si="0"/>
        <v>4289.8999999999996</v>
      </c>
      <c r="H19" s="185">
        <f t="shared" si="1"/>
        <v>319909.96442108304</v>
      </c>
      <c r="L19" s="90"/>
    </row>
    <row r="20" spans="1:12" x14ac:dyDescent="0.2">
      <c r="A20" s="181">
        <v>43616</v>
      </c>
      <c r="B20" s="182">
        <v>31</v>
      </c>
      <c r="C20" s="183">
        <f t="shared" si="2"/>
        <v>3443.475311476936</v>
      </c>
      <c r="D20" s="183">
        <f>SUM(C10-C20)</f>
        <v>846.42468852306365</v>
      </c>
      <c r="E20" s="184">
        <f t="shared" si="3"/>
        <v>4289.8999999999996</v>
      </c>
      <c r="F20" s="183"/>
      <c r="G20" s="183">
        <f t="shared" si="0"/>
        <v>4289.8999999999996</v>
      </c>
      <c r="H20" s="185">
        <f t="shared" si="1"/>
        <v>319063.53973255999</v>
      </c>
      <c r="L20" s="90"/>
    </row>
    <row r="21" spans="1:12" x14ac:dyDescent="0.2">
      <c r="A21" s="181">
        <v>43646</v>
      </c>
      <c r="B21" s="182">
        <v>30</v>
      </c>
      <c r="C21" s="183">
        <f t="shared" si="2"/>
        <v>3434.3644901768607</v>
      </c>
      <c r="D21" s="183">
        <f>SUM(C10-C21)</f>
        <v>855.53550982313891</v>
      </c>
      <c r="E21" s="184">
        <f t="shared" si="3"/>
        <v>4289.8999999999996</v>
      </c>
      <c r="F21" s="183"/>
      <c r="G21" s="183">
        <f t="shared" si="0"/>
        <v>4289.8999999999996</v>
      </c>
      <c r="H21" s="185">
        <f t="shared" si="1"/>
        <v>318208.00422273687</v>
      </c>
      <c r="L21" s="90"/>
    </row>
    <row r="22" spans="1:12" x14ac:dyDescent="0.2">
      <c r="A22" s="181">
        <v>43677</v>
      </c>
      <c r="B22" s="182">
        <v>31</v>
      </c>
      <c r="C22" s="183">
        <f t="shared" si="2"/>
        <v>3425.1556010086256</v>
      </c>
      <c r="D22" s="183">
        <f>SUM(C10-C22)</f>
        <v>864.74439899137406</v>
      </c>
      <c r="E22" s="184">
        <f t="shared" si="3"/>
        <v>4289.8999999999996</v>
      </c>
      <c r="F22" s="183"/>
      <c r="G22" s="183">
        <f t="shared" si="0"/>
        <v>4289.8999999999996</v>
      </c>
      <c r="H22" s="185">
        <f t="shared" si="1"/>
        <v>317343.25982374547</v>
      </c>
      <c r="L22" s="90"/>
    </row>
    <row r="23" spans="1:12" x14ac:dyDescent="0.2">
      <c r="A23" s="181">
        <v>43708</v>
      </c>
      <c r="B23" s="182">
        <v>31</v>
      </c>
      <c r="C23" s="183">
        <f t="shared" si="2"/>
        <v>3415.8475883805936</v>
      </c>
      <c r="D23" s="183">
        <f>SUM(C10-C23)</f>
        <v>874.05241161940603</v>
      </c>
      <c r="E23" s="184">
        <f t="shared" si="3"/>
        <v>4289.8999999999996</v>
      </c>
      <c r="F23" s="183"/>
      <c r="G23" s="183">
        <f t="shared" si="0"/>
        <v>4289.8999999999996</v>
      </c>
      <c r="H23" s="185">
        <f t="shared" si="1"/>
        <v>316469.20741212607</v>
      </c>
      <c r="L23" s="90"/>
    </row>
    <row r="24" spans="1:12" x14ac:dyDescent="0.2">
      <c r="A24" s="181">
        <v>43738</v>
      </c>
      <c r="B24" s="182">
        <v>30</v>
      </c>
      <c r="C24" s="183">
        <f t="shared" si="2"/>
        <v>3406.4393853388569</v>
      </c>
      <c r="D24" s="183">
        <f>SUM(C10-C24)</f>
        <v>883.4606146611427</v>
      </c>
      <c r="E24" s="184">
        <f t="shared" si="3"/>
        <v>4289.8999999999996</v>
      </c>
      <c r="F24" s="183"/>
      <c r="G24" s="183">
        <f t="shared" si="0"/>
        <v>4289.8999999999996</v>
      </c>
      <c r="H24" s="185">
        <f t="shared" si="1"/>
        <v>315585.7467974649</v>
      </c>
      <c r="L24" s="90"/>
    </row>
    <row r="25" spans="1:12" x14ac:dyDescent="0.2">
      <c r="A25" s="181">
        <v>43769</v>
      </c>
      <c r="B25" s="182">
        <v>31</v>
      </c>
      <c r="C25" s="183">
        <f t="shared" si="2"/>
        <v>3396.9299134449348</v>
      </c>
      <c r="D25" s="183">
        <f>SUM(C10-C25)</f>
        <v>892.97008655506488</v>
      </c>
      <c r="E25" s="184">
        <f t="shared" si="3"/>
        <v>4289.8999999999996</v>
      </c>
      <c r="F25" s="183"/>
      <c r="G25" s="183">
        <f t="shared" si="0"/>
        <v>4289.8999999999996</v>
      </c>
      <c r="H25" s="185">
        <f t="shared" si="1"/>
        <v>314692.77671090985</v>
      </c>
      <c r="L25" s="90"/>
    </row>
    <row r="26" spans="1:12" x14ac:dyDescent="0.2">
      <c r="A26" s="181">
        <v>43799</v>
      </c>
      <c r="B26" s="182">
        <v>30</v>
      </c>
      <c r="C26" s="183">
        <f t="shared" si="2"/>
        <v>3387.3180826521543</v>
      </c>
      <c r="D26" s="183">
        <f>SUM(C10-C26)</f>
        <v>902.58191734784532</v>
      </c>
      <c r="E26" s="184">
        <f t="shared" si="3"/>
        <v>4289.8999999999996</v>
      </c>
      <c r="F26" s="183"/>
      <c r="G26" s="183">
        <f t="shared" si="0"/>
        <v>4289.8999999999996</v>
      </c>
      <c r="H26" s="185">
        <f t="shared" si="1"/>
        <v>313790.194793562</v>
      </c>
      <c r="L26" s="90"/>
    </row>
    <row r="27" spans="1:12" x14ac:dyDescent="0.2">
      <c r="A27" s="181">
        <v>43830</v>
      </c>
      <c r="B27" s="182">
        <v>31</v>
      </c>
      <c r="C27" s="183">
        <f t="shared" si="2"/>
        <v>3377.6027911807023</v>
      </c>
      <c r="D27" s="183">
        <f>SUM(C10-C27)</f>
        <v>912.29720881929734</v>
      </c>
      <c r="E27" s="184">
        <f t="shared" si="3"/>
        <v>4289.8999999999996</v>
      </c>
      <c r="F27" s="183"/>
      <c r="G27" s="183">
        <f t="shared" si="0"/>
        <v>4289.8999999999996</v>
      </c>
      <c r="H27" s="185">
        <f t="shared" si="1"/>
        <v>312877.89758474269</v>
      </c>
      <c r="L27" s="90"/>
    </row>
    <row r="28" spans="1:12" x14ac:dyDescent="0.2">
      <c r="A28" s="181"/>
      <c r="B28" s="182"/>
      <c r="C28" s="183"/>
      <c r="D28" s="183"/>
      <c r="E28" s="184"/>
      <c r="F28" s="183"/>
      <c r="G28" s="183"/>
      <c r="H28" s="185"/>
      <c r="L28" s="90"/>
    </row>
    <row r="29" spans="1:12" ht="15.75" thickBot="1" x14ac:dyDescent="0.4">
      <c r="A29" s="186"/>
      <c r="B29" s="187">
        <f t="shared" ref="B29:G29" si="4">SUM(B15:B28)</f>
        <v>365</v>
      </c>
      <c r="C29" s="188">
        <f t="shared" si="4"/>
        <v>41150.217584742757</v>
      </c>
      <c r="D29" s="188">
        <f t="shared" si="4"/>
        <v>10328.582415257239</v>
      </c>
      <c r="E29" s="188">
        <f t="shared" si="4"/>
        <v>51478.80000000001</v>
      </c>
      <c r="F29" s="188">
        <f t="shared" si="4"/>
        <v>0</v>
      </c>
      <c r="G29" s="188">
        <f t="shared" si="4"/>
        <v>51478.80000000001</v>
      </c>
      <c r="H29" s="189"/>
      <c r="L29" s="90"/>
    </row>
    <row r="30" spans="1:12" x14ac:dyDescent="0.2">
      <c r="A30" s="158"/>
      <c r="B30" s="158"/>
      <c r="C30" s="159"/>
      <c r="D30" s="159"/>
      <c r="E30" s="159"/>
      <c r="F30" s="159"/>
      <c r="G30" s="159"/>
      <c r="H30" s="159"/>
      <c r="L30" s="90"/>
    </row>
    <row r="31" spans="1:12" x14ac:dyDescent="0.2">
      <c r="A31" s="158"/>
      <c r="B31" s="158"/>
      <c r="C31" s="159"/>
      <c r="D31" s="159"/>
      <c r="E31" s="159"/>
      <c r="F31" s="159"/>
      <c r="G31" s="159"/>
      <c r="H31" s="159"/>
      <c r="L31" s="90"/>
    </row>
    <row r="32" spans="1:12" x14ac:dyDescent="0.2">
      <c r="A32" s="158"/>
      <c r="B32" s="158"/>
      <c r="C32" s="159"/>
      <c r="D32" s="159"/>
      <c r="E32" s="159"/>
      <c r="F32" s="159"/>
      <c r="G32" s="159"/>
      <c r="H32" s="159"/>
      <c r="L32" s="90"/>
    </row>
    <row r="33" spans="1:12" x14ac:dyDescent="0.2">
      <c r="A33" s="158"/>
      <c r="B33" s="158"/>
      <c r="C33" s="159"/>
      <c r="D33" s="159"/>
      <c r="E33" s="159"/>
      <c r="F33" s="159"/>
      <c r="G33" s="159"/>
      <c r="H33" s="159"/>
      <c r="L33" s="90"/>
    </row>
    <row r="34" spans="1:12" x14ac:dyDescent="0.2">
      <c r="A34" s="158"/>
      <c r="B34" s="158"/>
      <c r="C34" s="159"/>
      <c r="D34" s="159"/>
      <c r="E34" s="159"/>
      <c r="F34" s="159"/>
      <c r="G34" s="159"/>
      <c r="H34" s="159"/>
      <c r="L34" s="90"/>
    </row>
    <row r="35" spans="1:12" x14ac:dyDescent="0.2">
      <c r="A35" s="158"/>
      <c r="B35" s="158"/>
      <c r="C35" s="159"/>
      <c r="D35" s="159"/>
      <c r="E35" s="159"/>
      <c r="F35" s="159"/>
      <c r="G35" s="159"/>
      <c r="H35" s="159"/>
      <c r="L35" s="90"/>
    </row>
    <row r="36" spans="1:12" x14ac:dyDescent="0.2">
      <c r="A36" s="158"/>
      <c r="B36" s="158"/>
      <c r="C36" s="159"/>
      <c r="D36" s="159"/>
      <c r="E36" s="159"/>
      <c r="F36" s="159"/>
      <c r="G36" s="159"/>
      <c r="H36" s="159"/>
      <c r="L36" s="90"/>
    </row>
    <row r="37" spans="1:12" x14ac:dyDescent="0.2">
      <c r="A37" s="158"/>
      <c r="B37" s="158"/>
      <c r="C37" s="159"/>
      <c r="D37" s="159"/>
      <c r="E37" s="159"/>
      <c r="F37" s="159"/>
      <c r="G37" s="159"/>
      <c r="H37" s="159"/>
      <c r="L37" s="90"/>
    </row>
    <row r="38" spans="1:12" x14ac:dyDescent="0.2">
      <c r="A38" s="158"/>
      <c r="B38" s="158"/>
      <c r="C38" s="159"/>
      <c r="D38" s="159"/>
      <c r="E38" s="159"/>
      <c r="F38" s="159"/>
      <c r="G38" s="159"/>
      <c r="H38" s="159"/>
      <c r="L38" s="90"/>
    </row>
    <row r="39" spans="1:12" x14ac:dyDescent="0.2">
      <c r="A39" s="158"/>
      <c r="B39" s="158"/>
      <c r="C39" s="159"/>
      <c r="D39" s="159"/>
      <c r="E39" s="159"/>
      <c r="F39" s="159"/>
      <c r="G39" s="159"/>
      <c r="H39" s="159"/>
      <c r="L39" s="90"/>
    </row>
    <row r="40" spans="1:12" x14ac:dyDescent="0.2">
      <c r="A40" s="158"/>
      <c r="B40" s="158"/>
      <c r="C40" s="159"/>
      <c r="D40" s="159"/>
      <c r="E40" s="159"/>
      <c r="F40" s="159"/>
      <c r="G40" s="159"/>
      <c r="H40" s="159"/>
      <c r="L40" s="90"/>
    </row>
    <row r="41" spans="1:12" x14ac:dyDescent="0.2">
      <c r="A41" s="158"/>
      <c r="B41" s="158"/>
      <c r="C41" s="159"/>
      <c r="D41" s="159"/>
      <c r="E41" s="159"/>
      <c r="F41" s="159"/>
      <c r="G41" s="159"/>
      <c r="H41" s="159"/>
      <c r="L41" s="90"/>
    </row>
    <row r="42" spans="1:12" x14ac:dyDescent="0.2">
      <c r="A42" s="158"/>
      <c r="B42" s="158"/>
      <c r="C42" s="159"/>
      <c r="D42" s="159"/>
      <c r="E42" s="159"/>
      <c r="F42" s="159"/>
      <c r="G42" s="159"/>
      <c r="H42" s="159"/>
      <c r="L42" s="90"/>
    </row>
    <row r="43" spans="1:12" x14ac:dyDescent="0.2">
      <c r="A43" s="158"/>
      <c r="B43" s="158"/>
      <c r="C43" s="159"/>
      <c r="D43" s="159"/>
      <c r="E43" s="159"/>
      <c r="F43" s="159"/>
      <c r="G43" s="159"/>
      <c r="H43" s="159"/>
      <c r="L43" s="90"/>
    </row>
    <row r="44" spans="1:12" x14ac:dyDescent="0.2">
      <c r="A44" s="158"/>
      <c r="B44" s="158"/>
      <c r="C44" s="159"/>
      <c r="D44" s="159"/>
      <c r="E44" s="159"/>
      <c r="F44" s="159"/>
      <c r="G44" s="159"/>
      <c r="H44" s="159"/>
      <c r="L44" s="90"/>
    </row>
    <row r="45" spans="1:12" x14ac:dyDescent="0.2">
      <c r="A45" s="158"/>
      <c r="B45" s="158"/>
      <c r="C45" s="159"/>
      <c r="D45" s="159"/>
      <c r="E45" s="159"/>
      <c r="F45" s="159"/>
      <c r="G45" s="159"/>
      <c r="H45" s="159"/>
      <c r="L45" s="90"/>
    </row>
    <row r="46" spans="1:12" x14ac:dyDescent="0.2">
      <c r="A46" s="158"/>
      <c r="B46" s="158"/>
      <c r="C46" s="159"/>
      <c r="D46" s="159"/>
      <c r="E46" s="159"/>
      <c r="F46" s="159"/>
      <c r="G46" s="159"/>
      <c r="H46" s="159"/>
      <c r="L46" s="90"/>
    </row>
    <row r="47" spans="1:12" x14ac:dyDescent="0.2">
      <c r="A47" s="158"/>
      <c r="B47" s="158"/>
      <c r="C47" s="159"/>
      <c r="D47" s="159"/>
      <c r="E47" s="159"/>
      <c r="F47" s="159"/>
      <c r="G47" s="159"/>
      <c r="H47" s="159"/>
      <c r="L47" s="90"/>
    </row>
    <row r="48" spans="1:12" x14ac:dyDescent="0.2">
      <c r="A48" s="158"/>
      <c r="B48" s="158"/>
      <c r="C48" s="159"/>
      <c r="D48" s="159"/>
      <c r="E48" s="159"/>
      <c r="F48" s="159"/>
      <c r="G48" s="159"/>
      <c r="H48" s="159"/>
      <c r="L48" s="90"/>
    </row>
    <row r="49" spans="1:17" x14ac:dyDescent="0.2">
      <c r="A49" s="158"/>
      <c r="B49" s="158"/>
      <c r="C49" s="159"/>
      <c r="D49" s="159"/>
      <c r="E49" s="159"/>
      <c r="F49" s="159"/>
      <c r="G49" s="159"/>
      <c r="H49" s="159"/>
      <c r="L49" s="90"/>
    </row>
    <row r="50" spans="1:17" x14ac:dyDescent="0.2">
      <c r="A50" s="158"/>
      <c r="B50" s="158"/>
      <c r="C50" s="159"/>
      <c r="D50" s="159"/>
      <c r="E50" s="159"/>
      <c r="F50" s="159"/>
      <c r="G50" s="159"/>
      <c r="H50" s="159"/>
      <c r="L50" s="90"/>
    </row>
    <row r="51" spans="1:17" x14ac:dyDescent="0.2">
      <c r="A51" s="158"/>
      <c r="B51" s="158"/>
      <c r="C51" s="159"/>
      <c r="D51" s="159"/>
      <c r="E51" s="159"/>
      <c r="F51" s="159"/>
      <c r="G51" s="159"/>
      <c r="H51" s="159"/>
      <c r="L51" s="90"/>
    </row>
    <row r="52" spans="1:17" x14ac:dyDescent="0.2">
      <c r="A52" s="158"/>
      <c r="B52" s="158"/>
      <c r="C52" s="159"/>
      <c r="D52" s="159"/>
      <c r="E52" s="159"/>
      <c r="F52" s="159"/>
      <c r="G52" s="159"/>
      <c r="H52" s="159"/>
      <c r="L52" s="90"/>
    </row>
    <row r="53" spans="1:17" x14ac:dyDescent="0.2">
      <c r="A53" s="158"/>
      <c r="B53" s="158"/>
      <c r="C53" s="159"/>
      <c r="D53" s="843"/>
      <c r="E53" s="843"/>
      <c r="F53" s="843"/>
      <c r="G53" s="159"/>
      <c r="H53" s="159"/>
    </row>
    <row r="54" spans="1:17" x14ac:dyDescent="0.2">
      <c r="A54" s="158"/>
      <c r="B54" s="158"/>
      <c r="C54" s="159"/>
      <c r="D54" s="159"/>
      <c r="E54" s="159"/>
      <c r="F54" s="159"/>
      <c r="G54" s="159"/>
      <c r="H54" s="159"/>
    </row>
    <row r="55" spans="1:17" x14ac:dyDescent="0.2">
      <c r="A55" s="158"/>
      <c r="B55" s="158"/>
      <c r="C55" s="159"/>
      <c r="D55" s="159"/>
      <c r="E55" s="159"/>
      <c r="F55" s="159"/>
      <c r="G55" s="159"/>
      <c r="H55" s="159"/>
    </row>
    <row r="56" spans="1:17" x14ac:dyDescent="0.2">
      <c r="A56" s="158"/>
      <c r="B56" s="158"/>
      <c r="C56" s="159"/>
      <c r="D56" s="159"/>
      <c r="E56" s="159"/>
      <c r="F56" s="159"/>
      <c r="G56" s="159"/>
      <c r="H56" s="159"/>
    </row>
    <row r="57" spans="1:17" ht="18" x14ac:dyDescent="0.25">
      <c r="A57" s="844" t="s">
        <v>426</v>
      </c>
      <c r="B57" s="844"/>
      <c r="C57" s="844"/>
      <c r="D57" s="844"/>
      <c r="E57" s="844"/>
      <c r="F57" s="844"/>
      <c r="G57" s="844"/>
      <c r="H57" s="844"/>
    </row>
    <row r="58" spans="1:17" ht="18" x14ac:dyDescent="0.25">
      <c r="A58" s="845" t="s">
        <v>439</v>
      </c>
      <c r="B58" s="845"/>
      <c r="C58" s="845"/>
      <c r="D58" s="845"/>
      <c r="E58" s="845"/>
      <c r="F58" s="845"/>
      <c r="G58" s="845"/>
      <c r="H58" s="845"/>
    </row>
    <row r="59" spans="1:17" ht="18" x14ac:dyDescent="0.25">
      <c r="A59" s="845" t="s">
        <v>537</v>
      </c>
      <c r="B59" s="845"/>
      <c r="C59" s="845"/>
      <c r="D59" s="845"/>
      <c r="E59" s="845"/>
      <c r="F59" s="845"/>
      <c r="G59" s="845"/>
      <c r="H59" s="845"/>
    </row>
    <row r="60" spans="1:17" x14ac:dyDescent="0.2">
      <c r="A60" s="363"/>
      <c r="B60" s="363"/>
      <c r="C60" s="364"/>
      <c r="D60" s="364"/>
      <c r="E60" s="364"/>
      <c r="F60" s="364"/>
      <c r="G60" s="364"/>
      <c r="H60" s="364"/>
      <c r="J60" s="605"/>
      <c r="K60" s="605"/>
      <c r="L60" s="605"/>
      <c r="M60" s="605"/>
      <c r="N60" s="605"/>
      <c r="O60" s="605"/>
      <c r="P60" s="605"/>
      <c r="Q60" s="605"/>
    </row>
    <row r="61" spans="1:17" ht="15.75" x14ac:dyDescent="0.25">
      <c r="A61" s="846" t="s">
        <v>184</v>
      </c>
      <c r="B61" s="846"/>
      <c r="C61" s="846"/>
      <c r="D61" s="846"/>
      <c r="E61" s="846"/>
      <c r="F61" s="846"/>
      <c r="G61" s="846"/>
      <c r="H61" s="846"/>
      <c r="J61" s="605"/>
      <c r="K61" s="605"/>
      <c r="L61" s="605"/>
      <c r="M61" s="605"/>
      <c r="N61" s="605"/>
      <c r="O61" s="605"/>
      <c r="P61" s="605"/>
      <c r="Q61" s="605"/>
    </row>
    <row r="62" spans="1:17" ht="15.75" x14ac:dyDescent="0.25">
      <c r="A62" s="190" t="s">
        <v>394</v>
      </c>
      <c r="B62" s="190"/>
      <c r="C62" s="847" t="s">
        <v>441</v>
      </c>
      <c r="D62" s="847"/>
      <c r="E62" s="847"/>
      <c r="F62" s="847"/>
      <c r="G62" s="190"/>
      <c r="H62" s="190"/>
      <c r="J62" s="605"/>
      <c r="K62" s="605"/>
      <c r="L62" s="605"/>
      <c r="M62" s="605"/>
      <c r="N62" s="605"/>
      <c r="O62" s="605"/>
      <c r="P62" s="605"/>
      <c r="Q62" s="605"/>
    </row>
    <row r="63" spans="1:17" x14ac:dyDescent="0.2">
      <c r="A63" s="160"/>
      <c r="B63" s="160"/>
      <c r="C63" s="162"/>
      <c r="D63" s="162"/>
      <c r="E63" s="162"/>
      <c r="F63" s="162"/>
      <c r="G63" s="162"/>
      <c r="H63" s="162"/>
      <c r="J63" s="605" t="s">
        <v>347</v>
      </c>
      <c r="K63" s="605"/>
      <c r="L63" s="605">
        <f>360*100/9.95</f>
        <v>3618.0904522613068</v>
      </c>
      <c r="M63" s="605"/>
      <c r="N63" s="605"/>
      <c r="O63" s="605"/>
      <c r="P63" s="605"/>
      <c r="Q63" s="605"/>
    </row>
    <row r="64" spans="1:17" x14ac:dyDescent="0.2">
      <c r="A64" s="163" t="s">
        <v>185</v>
      </c>
      <c r="B64" s="164" t="s">
        <v>186</v>
      </c>
      <c r="C64" s="161">
        <f>L71</f>
        <v>215449.51</v>
      </c>
      <c r="D64" s="162" t="s">
        <v>187</v>
      </c>
      <c r="E64" s="162"/>
      <c r="F64" s="162"/>
      <c r="G64" s="162"/>
      <c r="H64" s="162"/>
      <c r="J64" s="605"/>
      <c r="K64" s="605"/>
      <c r="L64" s="605"/>
      <c r="M64" s="605"/>
      <c r="N64" s="605"/>
      <c r="O64" s="605"/>
      <c r="P64" s="605"/>
      <c r="Q64" s="605"/>
    </row>
    <row r="65" spans="1:17" x14ac:dyDescent="0.2">
      <c r="A65" s="161" t="s">
        <v>188</v>
      </c>
      <c r="B65" s="160"/>
      <c r="C65" s="165">
        <v>9.9500000000000005E-2</v>
      </c>
      <c r="D65" s="162" t="s">
        <v>100</v>
      </c>
      <c r="E65" s="162"/>
      <c r="F65" s="162"/>
      <c r="G65" s="162"/>
      <c r="H65" s="162"/>
      <c r="J65" s="605"/>
      <c r="K65" s="605"/>
      <c r="L65" s="605"/>
      <c r="M65" s="605"/>
      <c r="N65" s="605"/>
      <c r="O65" s="605"/>
      <c r="P65" s="605"/>
      <c r="Q65" s="605"/>
    </row>
    <row r="66" spans="1:17" x14ac:dyDescent="0.2">
      <c r="A66" s="161" t="s">
        <v>189</v>
      </c>
      <c r="B66" s="160"/>
      <c r="C66" s="161">
        <v>0</v>
      </c>
      <c r="D66" s="162" t="s">
        <v>190</v>
      </c>
      <c r="E66" s="162"/>
      <c r="F66" s="162"/>
      <c r="G66" s="162"/>
      <c r="H66" s="162"/>
      <c r="J66" s="605"/>
      <c r="K66" s="605"/>
      <c r="L66" s="605"/>
      <c r="M66" s="605"/>
      <c r="N66" s="605"/>
      <c r="O66" s="605"/>
      <c r="P66" s="605"/>
      <c r="Q66" s="605"/>
    </row>
    <row r="67" spans="1:17" x14ac:dyDescent="0.2">
      <c r="A67" s="161" t="s">
        <v>191</v>
      </c>
      <c r="B67" s="164" t="s">
        <v>186</v>
      </c>
      <c r="C67" s="161">
        <v>3482.53</v>
      </c>
      <c r="D67" s="162" t="s">
        <v>190</v>
      </c>
      <c r="E67" s="162"/>
      <c r="F67" s="162"/>
      <c r="G67" s="162"/>
      <c r="H67" s="162"/>
      <c r="J67" s="605"/>
      <c r="K67" s="605"/>
      <c r="L67" s="605"/>
      <c r="M67" s="605"/>
      <c r="N67" s="605"/>
      <c r="O67" s="605"/>
      <c r="P67" s="605"/>
      <c r="Q67" s="605"/>
    </row>
    <row r="68" spans="1:17" ht="13.5" thickBot="1" x14ac:dyDescent="0.25">
      <c r="A68" s="160"/>
      <c r="B68" s="162"/>
      <c r="C68" s="162"/>
      <c r="D68" s="162"/>
      <c r="E68" s="162"/>
      <c r="F68" s="162"/>
      <c r="G68" s="162"/>
      <c r="H68" s="162"/>
      <c r="J68" s="605"/>
      <c r="K68" s="605"/>
      <c r="L68" s="605"/>
      <c r="M68" s="605"/>
      <c r="N68" s="605"/>
      <c r="O68" s="605"/>
      <c r="P68" s="605"/>
      <c r="Q68" s="605"/>
    </row>
    <row r="69" spans="1:17" x14ac:dyDescent="0.2">
      <c r="A69" s="166"/>
      <c r="B69" s="167"/>
      <c r="C69" s="836" t="s">
        <v>192</v>
      </c>
      <c r="D69" s="837"/>
      <c r="E69" s="836" t="s">
        <v>193</v>
      </c>
      <c r="F69" s="838"/>
      <c r="G69" s="837"/>
      <c r="H69" s="168"/>
      <c r="J69" s="605" t="s">
        <v>542</v>
      </c>
      <c r="K69" s="605"/>
      <c r="L69" s="599">
        <v>215449.51</v>
      </c>
      <c r="M69" s="605"/>
      <c r="N69" s="605"/>
      <c r="O69" s="605"/>
      <c r="P69" s="605"/>
      <c r="Q69" s="605"/>
    </row>
    <row r="70" spans="1:17" x14ac:dyDescent="0.2">
      <c r="A70" s="169"/>
      <c r="B70" s="170"/>
      <c r="C70" s="839" t="s">
        <v>194</v>
      </c>
      <c r="D70" s="840"/>
      <c r="E70" s="171" t="s">
        <v>195</v>
      </c>
      <c r="F70" s="171" t="s">
        <v>196</v>
      </c>
      <c r="G70" s="841" t="s">
        <v>346</v>
      </c>
      <c r="H70" s="172" t="s">
        <v>198</v>
      </c>
      <c r="J70" s="605" t="s">
        <v>477</v>
      </c>
      <c r="K70" s="605"/>
      <c r="L70" s="599">
        <v>0</v>
      </c>
      <c r="M70" s="605"/>
      <c r="N70" s="605"/>
      <c r="O70" s="605"/>
      <c r="P70" s="605"/>
      <c r="Q70" s="605"/>
    </row>
    <row r="71" spans="1:17" ht="13.5" thickBot="1" x14ac:dyDescent="0.25">
      <c r="A71" s="173" t="s">
        <v>199</v>
      </c>
      <c r="B71" s="174" t="s">
        <v>200</v>
      </c>
      <c r="C71" s="175" t="s">
        <v>207</v>
      </c>
      <c r="D71" s="175" t="s">
        <v>201</v>
      </c>
      <c r="E71" s="176" t="s">
        <v>202</v>
      </c>
      <c r="F71" s="175" t="s">
        <v>203</v>
      </c>
      <c r="G71" s="842"/>
      <c r="H71" s="177" t="s">
        <v>205</v>
      </c>
      <c r="J71" s="605" t="s">
        <v>533</v>
      </c>
      <c r="K71" s="605"/>
      <c r="L71" s="599">
        <f>SUM(L69-L70)</f>
        <v>215449.51</v>
      </c>
      <c r="M71" s="605"/>
      <c r="N71" s="605"/>
      <c r="O71" s="605"/>
      <c r="P71" s="605">
        <v>234749.16</v>
      </c>
      <c r="Q71" s="605"/>
    </row>
    <row r="72" spans="1:17" x14ac:dyDescent="0.2">
      <c r="A72" s="178" t="s">
        <v>534</v>
      </c>
      <c r="B72" s="170">
        <v>0</v>
      </c>
      <c r="C72" s="179">
        <v>0</v>
      </c>
      <c r="D72" s="179">
        <v>0</v>
      </c>
      <c r="E72" s="179">
        <v>0</v>
      </c>
      <c r="F72" s="179"/>
      <c r="G72" s="179"/>
      <c r="H72" s="180">
        <f>C64</f>
        <v>215449.51</v>
      </c>
      <c r="J72" s="605"/>
      <c r="K72" s="605"/>
      <c r="L72" s="599"/>
      <c r="M72" s="605"/>
      <c r="N72" s="605"/>
      <c r="O72" s="605"/>
      <c r="P72" s="605"/>
      <c r="Q72" s="605"/>
    </row>
    <row r="73" spans="1:17" x14ac:dyDescent="0.2">
      <c r="A73" s="181">
        <v>43496</v>
      </c>
      <c r="B73" s="182">
        <v>31</v>
      </c>
      <c r="C73" s="183">
        <f>SUM(H72*31/3618.09)</f>
        <v>1845.9836018451724</v>
      </c>
      <c r="D73" s="183">
        <f>SUM(C67-C73)</f>
        <v>1636.5463981548278</v>
      </c>
      <c r="E73" s="184">
        <f>SUM(C73:D73)</f>
        <v>3482.53</v>
      </c>
      <c r="F73" s="183"/>
      <c r="G73" s="183">
        <f t="shared" ref="G73:G84" si="5">SUM(E73:F73)</f>
        <v>3482.53</v>
      </c>
      <c r="H73" s="185">
        <f t="shared" ref="H73:H84" si="6">+H72-D73</f>
        <v>213812.96360184517</v>
      </c>
      <c r="J73" s="605"/>
      <c r="K73" s="605"/>
      <c r="L73" s="599"/>
      <c r="M73" s="605"/>
      <c r="N73" s="605"/>
      <c r="O73" s="605"/>
      <c r="P73" s="605"/>
      <c r="Q73" s="605"/>
    </row>
    <row r="74" spans="1:17" x14ac:dyDescent="0.2">
      <c r="A74" s="181">
        <v>43524</v>
      </c>
      <c r="B74" s="182">
        <v>28</v>
      </c>
      <c r="C74" s="183">
        <f t="shared" ref="C74:C84" si="7">SUM(H73*31/3618.09)</f>
        <v>1831.9615796337846</v>
      </c>
      <c r="D74" s="183">
        <f>SUM(C67-C74)</f>
        <v>1650.5684203662156</v>
      </c>
      <c r="E74" s="184">
        <f>SUM(C74:D74)</f>
        <v>3482.53</v>
      </c>
      <c r="F74" s="183"/>
      <c r="G74" s="183">
        <f t="shared" si="5"/>
        <v>3482.53</v>
      </c>
      <c r="H74" s="185">
        <f t="shared" si="6"/>
        <v>212162.39518147896</v>
      </c>
      <c r="J74" s="605"/>
      <c r="K74" s="605"/>
      <c r="L74" s="599"/>
      <c r="M74" s="605"/>
      <c r="N74" s="605"/>
      <c r="O74" s="605"/>
      <c r="P74" s="605"/>
      <c r="Q74" s="605"/>
    </row>
    <row r="75" spans="1:17" x14ac:dyDescent="0.2">
      <c r="A75" s="181">
        <v>43555</v>
      </c>
      <c r="B75" s="182">
        <v>31</v>
      </c>
      <c r="C75" s="183">
        <f t="shared" si="7"/>
        <v>1817.8194159420709</v>
      </c>
      <c r="D75" s="183">
        <f>SUM(C67-C75)</f>
        <v>1664.7105840579293</v>
      </c>
      <c r="E75" s="184">
        <f t="shared" ref="E75:E84" si="8">SUM(C75:D75)</f>
        <v>3482.53</v>
      </c>
      <c r="F75" s="183"/>
      <c r="G75" s="183">
        <f t="shared" si="5"/>
        <v>3482.53</v>
      </c>
      <c r="H75" s="185">
        <f t="shared" si="6"/>
        <v>210497.68459742103</v>
      </c>
      <c r="L75" s="90"/>
    </row>
    <row r="76" spans="1:17" x14ac:dyDescent="0.2">
      <c r="A76" s="181">
        <v>43585</v>
      </c>
      <c r="B76" s="182">
        <v>30</v>
      </c>
      <c r="C76" s="183">
        <f t="shared" si="7"/>
        <v>1803.5560813910242</v>
      </c>
      <c r="D76" s="183">
        <f>SUM(C67-C76)</f>
        <v>1678.973918608976</v>
      </c>
      <c r="E76" s="184">
        <f t="shared" si="8"/>
        <v>3482.53</v>
      </c>
      <c r="F76" s="183"/>
      <c r="G76" s="183">
        <f t="shared" si="5"/>
        <v>3482.53</v>
      </c>
      <c r="H76" s="185">
        <f t="shared" si="6"/>
        <v>208818.71067881206</v>
      </c>
      <c r="L76" s="90"/>
    </row>
    <row r="77" spans="1:17" x14ac:dyDescent="0.2">
      <c r="A77" s="181">
        <v>43616</v>
      </c>
      <c r="B77" s="182">
        <v>31</v>
      </c>
      <c r="C77" s="183">
        <f t="shared" si="7"/>
        <v>1789.170537781861</v>
      </c>
      <c r="D77" s="183">
        <f>SUM(C67-C77)</f>
        <v>1693.3594622181392</v>
      </c>
      <c r="E77" s="184">
        <f t="shared" si="8"/>
        <v>3482.53</v>
      </c>
      <c r="F77" s="183"/>
      <c r="G77" s="183">
        <f t="shared" si="5"/>
        <v>3482.53</v>
      </c>
      <c r="H77" s="185">
        <f t="shared" si="6"/>
        <v>207125.35121659393</v>
      </c>
      <c r="L77" s="90"/>
    </row>
    <row r="78" spans="1:17" x14ac:dyDescent="0.2">
      <c r="A78" s="181">
        <v>43646</v>
      </c>
      <c r="B78" s="182">
        <v>30</v>
      </c>
      <c r="C78" s="183">
        <f t="shared" si="7"/>
        <v>1774.6617380204505</v>
      </c>
      <c r="D78" s="183">
        <f>SUM(C67-C78)</f>
        <v>1707.8682619795497</v>
      </c>
      <c r="E78" s="184">
        <f t="shared" si="8"/>
        <v>3482.53</v>
      </c>
      <c r="F78" s="183"/>
      <c r="G78" s="183">
        <f t="shared" si="5"/>
        <v>3482.53</v>
      </c>
      <c r="H78" s="185">
        <f t="shared" si="6"/>
        <v>205417.48295461439</v>
      </c>
      <c r="L78" s="90"/>
    </row>
    <row r="79" spans="1:17" x14ac:dyDescent="0.2">
      <c r="A79" s="181">
        <v>43677</v>
      </c>
      <c r="B79" s="182">
        <v>31</v>
      </c>
      <c r="C79" s="183">
        <f t="shared" si="7"/>
        <v>1760.0286260411006</v>
      </c>
      <c r="D79" s="183">
        <f>SUM(C67-C79)</f>
        <v>1722.5013739588996</v>
      </c>
      <c r="E79" s="184">
        <f t="shared" si="8"/>
        <v>3482.53</v>
      </c>
      <c r="F79" s="183"/>
      <c r="G79" s="183">
        <f t="shared" si="5"/>
        <v>3482.53</v>
      </c>
      <c r="H79" s="185">
        <f t="shared" si="6"/>
        <v>203694.9815806555</v>
      </c>
      <c r="L79" s="90"/>
    </row>
    <row r="80" spans="1:17" x14ac:dyDescent="0.2">
      <c r="A80" s="181">
        <v>43708</v>
      </c>
      <c r="B80" s="182">
        <v>31</v>
      </c>
      <c r="C80" s="183">
        <f t="shared" si="7"/>
        <v>1745.2701367296891</v>
      </c>
      <c r="D80" s="183">
        <f>SUM(C67-C80)</f>
        <v>1737.2598632703111</v>
      </c>
      <c r="E80" s="184">
        <f t="shared" si="8"/>
        <v>3482.53</v>
      </c>
      <c r="F80" s="183"/>
      <c r="G80" s="183">
        <f t="shared" si="5"/>
        <v>3482.53</v>
      </c>
      <c r="H80" s="185">
        <f t="shared" si="6"/>
        <v>201957.7217173852</v>
      </c>
      <c r="L80" s="90"/>
    </row>
    <row r="81" spans="1:12" x14ac:dyDescent="0.2">
      <c r="A81" s="181">
        <v>43738</v>
      </c>
      <c r="B81" s="182">
        <v>30</v>
      </c>
      <c r="C81" s="183">
        <f t="shared" si="7"/>
        <v>1730.3851958461344</v>
      </c>
      <c r="D81" s="183">
        <f>SUM(C67-C81)</f>
        <v>1752.1448041538658</v>
      </c>
      <c r="E81" s="184">
        <f t="shared" si="8"/>
        <v>3482.53</v>
      </c>
      <c r="F81" s="183"/>
      <c r="G81" s="183">
        <f t="shared" si="5"/>
        <v>3482.53</v>
      </c>
      <c r="H81" s="185">
        <f t="shared" si="6"/>
        <v>200205.57691323134</v>
      </c>
      <c r="L81" s="90"/>
    </row>
    <row r="82" spans="1:12" x14ac:dyDescent="0.2">
      <c r="A82" s="181" t="s">
        <v>535</v>
      </c>
      <c r="B82" s="182">
        <v>31</v>
      </c>
      <c r="C82" s="183">
        <f t="shared" si="7"/>
        <v>1715.3727199462069</v>
      </c>
      <c r="D82" s="183">
        <f>SUM(C67-C82)</f>
        <v>1767.1572800537933</v>
      </c>
      <c r="E82" s="184">
        <f t="shared" si="8"/>
        <v>3482.53</v>
      </c>
      <c r="F82" s="183"/>
      <c r="G82" s="183">
        <f t="shared" si="5"/>
        <v>3482.53</v>
      </c>
      <c r="H82" s="185">
        <f t="shared" si="6"/>
        <v>198438.41963317755</v>
      </c>
      <c r="L82" s="90"/>
    </row>
    <row r="83" spans="1:12" x14ac:dyDescent="0.2">
      <c r="A83" s="181">
        <v>43799</v>
      </c>
      <c r="B83" s="182">
        <v>30</v>
      </c>
      <c r="C83" s="183">
        <f t="shared" si="7"/>
        <v>1700.2316163026635</v>
      </c>
      <c r="D83" s="183">
        <f>SUM(C67-C83)</f>
        <v>1782.2983836973367</v>
      </c>
      <c r="E83" s="184">
        <f t="shared" si="8"/>
        <v>3482.53</v>
      </c>
      <c r="F83" s="183"/>
      <c r="G83" s="183">
        <f t="shared" si="5"/>
        <v>3482.53</v>
      </c>
      <c r="H83" s="185">
        <f t="shared" si="6"/>
        <v>196656.1212494802</v>
      </c>
      <c r="L83" s="90"/>
    </row>
    <row r="84" spans="1:12" x14ac:dyDescent="0.2">
      <c r="A84" s="181">
        <v>43830</v>
      </c>
      <c r="B84" s="182">
        <v>31</v>
      </c>
      <c r="C84" s="183">
        <f t="shared" si="7"/>
        <v>1684.9607828257135</v>
      </c>
      <c r="D84" s="183">
        <f>SUM(C67-C84)</f>
        <v>1797.5692171742867</v>
      </c>
      <c r="E84" s="184">
        <f t="shared" si="8"/>
        <v>3482.53</v>
      </c>
      <c r="F84" s="183"/>
      <c r="G84" s="183">
        <f t="shared" si="5"/>
        <v>3482.53</v>
      </c>
      <c r="H84" s="185">
        <f t="shared" si="6"/>
        <v>194858.55203230592</v>
      </c>
      <c r="L84" s="90"/>
    </row>
    <row r="85" spans="1:12" x14ac:dyDescent="0.2">
      <c r="A85" s="181"/>
      <c r="B85" s="182"/>
      <c r="C85" s="183"/>
      <c r="D85" s="183"/>
      <c r="E85" s="184"/>
      <c r="F85" s="183"/>
      <c r="G85" s="183"/>
      <c r="H85" s="185"/>
      <c r="L85" s="90"/>
    </row>
    <row r="86" spans="1:12" ht="15.75" thickBot="1" x14ac:dyDescent="0.4">
      <c r="A86" s="186"/>
      <c r="B86" s="187">
        <f t="shared" ref="B86:G86" si="9">SUM(B72:B85)</f>
        <v>365</v>
      </c>
      <c r="C86" s="188">
        <f t="shared" si="9"/>
        <v>21199.402032305872</v>
      </c>
      <c r="D86" s="188">
        <f t="shared" si="9"/>
        <v>20590.957967694128</v>
      </c>
      <c r="E86" s="188">
        <f t="shared" si="9"/>
        <v>41790.359999999993</v>
      </c>
      <c r="F86" s="188">
        <f t="shared" si="9"/>
        <v>0</v>
      </c>
      <c r="G86" s="188">
        <f t="shared" si="9"/>
        <v>41790.359999999993</v>
      </c>
      <c r="H86" s="189"/>
      <c r="L86" s="90"/>
    </row>
    <row r="87" spans="1:12" x14ac:dyDescent="0.2">
      <c r="A87" s="158"/>
      <c r="B87" s="158"/>
      <c r="C87" s="159"/>
      <c r="D87" s="159"/>
      <c r="E87" s="159"/>
      <c r="F87" s="159"/>
      <c r="G87" s="159"/>
      <c r="H87" s="159"/>
      <c r="L87" s="90"/>
    </row>
    <row r="88" spans="1:12" x14ac:dyDescent="0.2">
      <c r="A88" s="158"/>
      <c r="B88" s="158"/>
      <c r="C88" s="159"/>
      <c r="D88" s="843"/>
      <c r="E88" s="843"/>
      <c r="F88" s="843"/>
      <c r="G88" s="159"/>
      <c r="H88" s="159"/>
    </row>
    <row r="89" spans="1:12" x14ac:dyDescent="0.2">
      <c r="A89" s="158"/>
      <c r="B89" s="158"/>
      <c r="C89" s="159"/>
      <c r="D89" s="159"/>
      <c r="E89" s="159"/>
      <c r="F89" s="159"/>
      <c r="G89" s="159"/>
      <c r="H89" s="159"/>
    </row>
    <row r="90" spans="1:12" x14ac:dyDescent="0.2">
      <c r="A90" s="158"/>
      <c r="B90" s="158"/>
      <c r="C90" s="159"/>
      <c r="D90" s="159"/>
      <c r="E90" s="159"/>
      <c r="F90" s="159"/>
      <c r="G90" s="159"/>
      <c r="H90" s="159"/>
    </row>
    <row r="91" spans="1:12" x14ac:dyDescent="0.2">
      <c r="A91" s="158"/>
      <c r="B91" s="158"/>
      <c r="C91" s="159"/>
      <c r="D91" s="159"/>
      <c r="E91" s="159"/>
      <c r="F91" s="159"/>
      <c r="G91" s="159"/>
      <c r="H91" s="159"/>
    </row>
    <row r="92" spans="1:12" x14ac:dyDescent="0.2">
      <c r="A92" s="158"/>
      <c r="B92" s="158"/>
      <c r="C92" s="159"/>
      <c r="D92" s="159"/>
      <c r="E92" s="159"/>
      <c r="F92" s="159"/>
      <c r="G92" s="159"/>
      <c r="H92" s="159"/>
    </row>
    <row r="93" spans="1:12" x14ac:dyDescent="0.2">
      <c r="A93" s="158"/>
      <c r="B93" s="158"/>
      <c r="C93" s="159"/>
      <c r="D93" s="159"/>
      <c r="E93" s="159"/>
      <c r="F93" s="159"/>
      <c r="G93" s="159"/>
      <c r="H93" s="159"/>
    </row>
    <row r="94" spans="1:12" x14ac:dyDescent="0.2">
      <c r="A94" s="158"/>
      <c r="B94" s="158"/>
      <c r="C94" s="159"/>
      <c r="D94" s="159"/>
      <c r="E94" s="159"/>
      <c r="F94" s="159"/>
      <c r="G94" s="159"/>
      <c r="H94" s="159"/>
    </row>
    <row r="95" spans="1:12" x14ac:dyDescent="0.2">
      <c r="A95" s="158"/>
      <c r="B95" s="158"/>
      <c r="C95" s="159"/>
      <c r="D95" s="159"/>
      <c r="E95" s="159"/>
      <c r="F95" s="159"/>
      <c r="G95" s="159"/>
      <c r="H95" s="159"/>
    </row>
    <row r="96" spans="1:12" x14ac:dyDescent="0.2">
      <c r="A96" s="158"/>
      <c r="B96" s="158"/>
      <c r="C96" s="159"/>
      <c r="D96" s="159"/>
      <c r="E96" s="159"/>
      <c r="F96" s="159"/>
      <c r="G96" s="159"/>
      <c r="H96" s="159"/>
    </row>
    <row r="97" spans="1:8" x14ac:dyDescent="0.2">
      <c r="A97" s="158"/>
      <c r="B97" s="158"/>
      <c r="C97" s="159"/>
      <c r="D97" s="159"/>
      <c r="E97" s="159"/>
      <c r="F97" s="159"/>
      <c r="G97" s="159"/>
      <c r="H97" s="159"/>
    </row>
    <row r="98" spans="1:8" x14ac:dyDescent="0.2">
      <c r="A98" s="158"/>
      <c r="B98" s="158"/>
      <c r="C98" s="159"/>
      <c r="D98" s="159"/>
      <c r="E98" s="159"/>
      <c r="F98" s="159"/>
      <c r="G98" s="159"/>
      <c r="H98" s="159"/>
    </row>
    <row r="99" spans="1:8" x14ac:dyDescent="0.2">
      <c r="A99" s="158"/>
      <c r="B99" s="158"/>
      <c r="C99" s="159"/>
      <c r="D99" s="159"/>
      <c r="E99" s="159"/>
      <c r="F99" s="159"/>
      <c r="G99" s="159"/>
      <c r="H99" s="159"/>
    </row>
    <row r="100" spans="1:8" x14ac:dyDescent="0.2">
      <c r="A100" s="158"/>
      <c r="B100" s="158"/>
      <c r="C100" s="159"/>
      <c r="D100" s="159"/>
      <c r="E100" s="159"/>
      <c r="F100" s="159"/>
      <c r="G100" s="159"/>
      <c r="H100" s="159"/>
    </row>
    <row r="101" spans="1:8" x14ac:dyDescent="0.2">
      <c r="A101" s="158"/>
      <c r="B101" s="158"/>
      <c r="C101" s="159"/>
      <c r="D101" s="159"/>
      <c r="E101" s="159"/>
      <c r="F101" s="159"/>
      <c r="G101" s="159"/>
      <c r="H101" s="159"/>
    </row>
    <row r="102" spans="1:8" x14ac:dyDescent="0.2">
      <c r="A102" s="158"/>
      <c r="B102" s="158"/>
      <c r="C102" s="159"/>
      <c r="D102" s="159"/>
      <c r="E102" s="159"/>
      <c r="F102" s="159"/>
      <c r="G102" s="159"/>
      <c r="H102" s="159"/>
    </row>
    <row r="103" spans="1:8" x14ac:dyDescent="0.2">
      <c r="A103" s="158"/>
      <c r="B103" s="158"/>
      <c r="C103" s="159"/>
      <c r="D103" s="159"/>
      <c r="E103" s="159"/>
      <c r="F103" s="159"/>
      <c r="G103" s="159"/>
      <c r="H103" s="159"/>
    </row>
    <row r="104" spans="1:8" x14ac:dyDescent="0.2">
      <c r="A104" s="158"/>
      <c r="B104" s="158"/>
      <c r="C104" s="159"/>
      <c r="D104" s="159"/>
      <c r="E104" s="159"/>
      <c r="F104" s="159"/>
      <c r="G104" s="159"/>
      <c r="H104" s="159"/>
    </row>
    <row r="105" spans="1:8" x14ac:dyDescent="0.2">
      <c r="A105" s="158"/>
      <c r="B105" s="158"/>
      <c r="C105" s="159"/>
      <c r="D105" s="159"/>
      <c r="E105" s="159"/>
      <c r="F105" s="159"/>
      <c r="G105" s="159"/>
      <c r="H105" s="159"/>
    </row>
    <row r="106" spans="1:8" x14ac:dyDescent="0.2">
      <c r="A106" s="158"/>
      <c r="B106" s="158"/>
      <c r="C106" s="159"/>
      <c r="D106" s="159"/>
      <c r="E106" s="159"/>
      <c r="F106" s="159"/>
      <c r="G106" s="159"/>
      <c r="H106" s="159"/>
    </row>
    <row r="107" spans="1:8" x14ac:dyDescent="0.2">
      <c r="A107" s="158"/>
      <c r="B107" s="158"/>
      <c r="C107" s="159"/>
      <c r="D107" s="159"/>
      <c r="E107" s="159"/>
      <c r="F107" s="159"/>
      <c r="G107" s="159"/>
      <c r="H107" s="159"/>
    </row>
    <row r="108" spans="1:8" x14ac:dyDescent="0.2">
      <c r="A108" s="158"/>
      <c r="B108" s="158"/>
      <c r="C108" s="159"/>
      <c r="D108" s="159"/>
      <c r="E108" s="159"/>
      <c r="F108" s="159"/>
      <c r="G108" s="159"/>
      <c r="H108" s="159"/>
    </row>
    <row r="109" spans="1:8" x14ac:dyDescent="0.2">
      <c r="A109" s="158"/>
      <c r="B109" s="158"/>
      <c r="C109" s="159"/>
      <c r="D109" s="159"/>
      <c r="E109" s="159"/>
      <c r="F109" s="159"/>
      <c r="G109" s="159"/>
      <c r="H109" s="159"/>
    </row>
    <row r="110" spans="1:8" x14ac:dyDescent="0.2">
      <c r="A110" s="158"/>
      <c r="B110" s="158"/>
      <c r="C110" s="159"/>
      <c r="D110" s="159"/>
      <c r="E110" s="159"/>
      <c r="F110" s="159"/>
      <c r="G110" s="159"/>
      <c r="H110" s="159"/>
    </row>
    <row r="111" spans="1:8" x14ac:dyDescent="0.2">
      <c r="A111" s="158"/>
      <c r="B111" s="158"/>
      <c r="C111" s="159"/>
      <c r="D111" s="159"/>
      <c r="E111" s="159"/>
      <c r="F111" s="159"/>
      <c r="G111" s="159"/>
      <c r="H111" s="159"/>
    </row>
    <row r="112" spans="1:8" ht="18" x14ac:dyDescent="0.25">
      <c r="A112" s="844" t="s">
        <v>426</v>
      </c>
      <c r="B112" s="844"/>
      <c r="C112" s="844"/>
      <c r="D112" s="844"/>
      <c r="E112" s="844"/>
      <c r="F112" s="844"/>
      <c r="G112" s="844"/>
      <c r="H112" s="844"/>
    </row>
    <row r="113" spans="1:17" ht="18" x14ac:dyDescent="0.25">
      <c r="A113" s="845" t="s">
        <v>439</v>
      </c>
      <c r="B113" s="845"/>
      <c r="C113" s="845"/>
      <c r="D113" s="845"/>
      <c r="E113" s="845"/>
      <c r="F113" s="845"/>
      <c r="G113" s="845"/>
      <c r="H113" s="845"/>
    </row>
    <row r="114" spans="1:17" ht="18" x14ac:dyDescent="0.25">
      <c r="A114" s="845" t="s">
        <v>537</v>
      </c>
      <c r="B114" s="845"/>
      <c r="C114" s="845"/>
      <c r="D114" s="845"/>
      <c r="E114" s="845"/>
      <c r="F114" s="845"/>
      <c r="G114" s="845"/>
      <c r="H114" s="845"/>
    </row>
    <row r="115" spans="1:17" x14ac:dyDescent="0.2">
      <c r="A115" s="363"/>
      <c r="B115" s="363"/>
      <c r="C115" s="364"/>
      <c r="D115" s="364"/>
      <c r="E115" s="364"/>
      <c r="F115" s="364"/>
      <c r="G115" s="364"/>
      <c r="H115" s="364"/>
      <c r="I115" s="605"/>
      <c r="J115" s="605"/>
      <c r="K115" s="605"/>
      <c r="L115" s="605"/>
      <c r="M115" s="605"/>
      <c r="N115" s="605"/>
      <c r="O115" s="605"/>
      <c r="P115" s="605"/>
      <c r="Q115" s="605"/>
    </row>
    <row r="116" spans="1:17" ht="15.75" x14ac:dyDescent="0.25">
      <c r="A116" s="846" t="s">
        <v>184</v>
      </c>
      <c r="B116" s="846"/>
      <c r="C116" s="846"/>
      <c r="D116" s="846"/>
      <c r="E116" s="846"/>
      <c r="F116" s="846"/>
      <c r="G116" s="846"/>
      <c r="H116" s="846"/>
      <c r="I116" s="605"/>
      <c r="J116" s="605"/>
      <c r="K116" s="605"/>
      <c r="L116" s="605"/>
      <c r="M116" s="605"/>
      <c r="N116" s="605"/>
      <c r="O116" s="605"/>
      <c r="P116" s="605"/>
      <c r="Q116" s="605"/>
    </row>
    <row r="117" spans="1:17" ht="15.75" x14ac:dyDescent="0.25">
      <c r="A117" s="190" t="s">
        <v>394</v>
      </c>
      <c r="B117" s="190"/>
      <c r="C117" s="847" t="s">
        <v>442</v>
      </c>
      <c r="D117" s="847"/>
      <c r="E117" s="847"/>
      <c r="F117" s="847"/>
      <c r="G117" s="190"/>
      <c r="H117" s="190"/>
      <c r="I117" s="605"/>
      <c r="J117" s="605"/>
      <c r="K117" s="605"/>
      <c r="L117" s="605"/>
      <c r="M117" s="605"/>
      <c r="N117" s="605"/>
      <c r="O117" s="605"/>
      <c r="P117" s="605"/>
      <c r="Q117" s="605"/>
    </row>
    <row r="118" spans="1:17" x14ac:dyDescent="0.2">
      <c r="A118" s="160"/>
      <c r="B118" s="160"/>
      <c r="C118" s="162"/>
      <c r="D118" s="162"/>
      <c r="E118" s="162"/>
      <c r="F118" s="162"/>
      <c r="G118" s="162"/>
      <c r="H118" s="162"/>
      <c r="I118" s="605"/>
      <c r="J118" s="605" t="s">
        <v>347</v>
      </c>
      <c r="K118" s="605"/>
      <c r="L118" s="605">
        <f>360*100/9.95</f>
        <v>3618.0904522613068</v>
      </c>
      <c r="M118" s="605"/>
      <c r="N118" s="605"/>
      <c r="O118" s="605"/>
      <c r="P118" s="605"/>
      <c r="Q118" s="605"/>
    </row>
    <row r="119" spans="1:17" x14ac:dyDescent="0.2">
      <c r="A119" s="163" t="s">
        <v>185</v>
      </c>
      <c r="B119" s="164" t="s">
        <v>186</v>
      </c>
      <c r="C119" s="161">
        <f>L126</f>
        <v>420639.86</v>
      </c>
      <c r="D119" s="162" t="s">
        <v>187</v>
      </c>
      <c r="E119" s="162"/>
      <c r="F119" s="162"/>
      <c r="G119" s="162"/>
      <c r="H119" s="162"/>
      <c r="I119" s="605"/>
      <c r="J119" s="605"/>
      <c r="K119" s="605"/>
      <c r="L119" s="605"/>
      <c r="M119" s="605"/>
      <c r="N119" s="605"/>
      <c r="O119" s="605"/>
      <c r="P119" s="605"/>
      <c r="Q119" s="605"/>
    </row>
    <row r="120" spans="1:17" x14ac:dyDescent="0.2">
      <c r="A120" s="161" t="s">
        <v>188</v>
      </c>
      <c r="B120" s="160"/>
      <c r="C120" s="165">
        <v>9.9500000000000005E-2</v>
      </c>
      <c r="D120" s="162" t="s">
        <v>100</v>
      </c>
      <c r="E120" s="162"/>
      <c r="F120" s="162"/>
      <c r="G120" s="162"/>
      <c r="H120" s="162"/>
      <c r="I120" s="605"/>
      <c r="J120" s="605"/>
      <c r="K120" s="605"/>
      <c r="L120" s="605"/>
      <c r="M120" s="605"/>
      <c r="N120" s="605"/>
      <c r="O120" s="605"/>
      <c r="P120" s="605"/>
      <c r="Q120" s="605"/>
    </row>
    <row r="121" spans="1:17" x14ac:dyDescent="0.2">
      <c r="A121" s="161" t="s">
        <v>189</v>
      </c>
      <c r="B121" s="160"/>
      <c r="C121" s="161">
        <v>0</v>
      </c>
      <c r="D121" s="162" t="s">
        <v>190</v>
      </c>
      <c r="E121" s="162"/>
      <c r="F121" s="162"/>
      <c r="G121" s="162"/>
      <c r="H121" s="162"/>
      <c r="I121" s="605"/>
      <c r="J121" s="605"/>
      <c r="K121" s="605"/>
      <c r="L121" s="605"/>
      <c r="M121" s="605"/>
      <c r="N121" s="605"/>
      <c r="O121" s="605"/>
      <c r="P121" s="605"/>
      <c r="Q121" s="605"/>
    </row>
    <row r="122" spans="1:17" x14ac:dyDescent="0.2">
      <c r="A122" s="161" t="s">
        <v>191</v>
      </c>
      <c r="B122" s="164" t="s">
        <v>186</v>
      </c>
      <c r="C122" s="161">
        <v>6802</v>
      </c>
      <c r="D122" s="162" t="s">
        <v>190</v>
      </c>
      <c r="E122" s="162"/>
      <c r="F122" s="162"/>
      <c r="G122" s="162"/>
      <c r="H122" s="162"/>
      <c r="I122" s="605"/>
      <c r="J122" s="605"/>
      <c r="K122" s="605"/>
      <c r="L122" s="605"/>
      <c r="M122" s="605"/>
      <c r="N122" s="605"/>
      <c r="O122" s="605"/>
      <c r="P122" s="605"/>
      <c r="Q122" s="605"/>
    </row>
    <row r="123" spans="1:17" ht="13.5" thickBot="1" x14ac:dyDescent="0.25">
      <c r="A123" s="160"/>
      <c r="B123" s="162"/>
      <c r="C123" s="162"/>
      <c r="D123" s="162"/>
      <c r="E123" s="162"/>
      <c r="F123" s="162"/>
      <c r="G123" s="162"/>
      <c r="H123" s="162"/>
      <c r="I123" s="605"/>
      <c r="J123" s="605"/>
      <c r="K123" s="605"/>
      <c r="L123" s="605"/>
      <c r="M123" s="605"/>
      <c r="N123" s="605"/>
      <c r="O123" s="605"/>
      <c r="P123" s="605"/>
      <c r="Q123" s="605"/>
    </row>
    <row r="124" spans="1:17" x14ac:dyDescent="0.2">
      <c r="A124" s="166"/>
      <c r="B124" s="167"/>
      <c r="C124" s="836" t="s">
        <v>192</v>
      </c>
      <c r="D124" s="837"/>
      <c r="E124" s="836" t="s">
        <v>193</v>
      </c>
      <c r="F124" s="838"/>
      <c r="G124" s="837"/>
      <c r="H124" s="600"/>
      <c r="I124" s="605"/>
      <c r="J124" s="605" t="s">
        <v>536</v>
      </c>
      <c r="K124" s="605"/>
      <c r="L124" s="599">
        <v>420639.86</v>
      </c>
      <c r="M124" s="605"/>
      <c r="N124" s="605"/>
      <c r="O124" s="605"/>
      <c r="P124" s="605"/>
      <c r="Q124" s="605"/>
    </row>
    <row r="125" spans="1:17" x14ac:dyDescent="0.2">
      <c r="A125" s="169"/>
      <c r="B125" s="170"/>
      <c r="C125" s="839" t="s">
        <v>194</v>
      </c>
      <c r="D125" s="840"/>
      <c r="E125" s="171" t="s">
        <v>195</v>
      </c>
      <c r="F125" s="171" t="s">
        <v>196</v>
      </c>
      <c r="G125" s="841" t="s">
        <v>346</v>
      </c>
      <c r="H125" s="601" t="s">
        <v>198</v>
      </c>
      <c r="I125" s="605"/>
      <c r="J125" s="605" t="s">
        <v>477</v>
      </c>
      <c r="K125" s="605"/>
      <c r="L125" s="599">
        <v>0</v>
      </c>
      <c r="M125" s="605"/>
      <c r="N125" s="605"/>
      <c r="O125" s="605"/>
      <c r="P125" s="605"/>
      <c r="Q125" s="605"/>
    </row>
    <row r="126" spans="1:17" ht="13.5" thickBot="1" x14ac:dyDescent="0.25">
      <c r="A126" s="173" t="s">
        <v>199</v>
      </c>
      <c r="B126" s="174" t="s">
        <v>200</v>
      </c>
      <c r="C126" s="175" t="s">
        <v>207</v>
      </c>
      <c r="D126" s="175" t="s">
        <v>201</v>
      </c>
      <c r="E126" s="176" t="s">
        <v>202</v>
      </c>
      <c r="F126" s="175" t="s">
        <v>203</v>
      </c>
      <c r="G126" s="842"/>
      <c r="H126" s="602" t="s">
        <v>205</v>
      </c>
      <c r="I126" s="605"/>
      <c r="J126" s="605" t="s">
        <v>533</v>
      </c>
      <c r="K126" s="605"/>
      <c r="L126" s="599">
        <f>SUM(L124-L125)</f>
        <v>420639.86</v>
      </c>
      <c r="M126" s="605"/>
      <c r="N126" s="605"/>
      <c r="O126" s="605"/>
      <c r="P126" s="605">
        <v>458351.67</v>
      </c>
      <c r="Q126" s="605"/>
    </row>
    <row r="127" spans="1:17" x14ac:dyDescent="0.2">
      <c r="A127" s="178">
        <v>43466</v>
      </c>
      <c r="B127" s="170">
        <v>0</v>
      </c>
      <c r="C127" s="179">
        <v>0</v>
      </c>
      <c r="D127" s="179">
        <v>0</v>
      </c>
      <c r="E127" s="179">
        <v>0</v>
      </c>
      <c r="F127" s="179"/>
      <c r="G127" s="179"/>
      <c r="H127" s="603">
        <f>C119</f>
        <v>420639.86</v>
      </c>
      <c r="I127" s="605"/>
      <c r="J127" s="605"/>
      <c r="K127" s="605"/>
      <c r="L127" s="599"/>
      <c r="M127" s="605"/>
      <c r="N127" s="605"/>
      <c r="O127" s="605"/>
      <c r="P127" s="605"/>
      <c r="Q127" s="605"/>
    </row>
    <row r="128" spans="1:17" x14ac:dyDescent="0.2">
      <c r="A128" s="181">
        <v>43496</v>
      </c>
      <c r="B128" s="182">
        <v>31</v>
      </c>
      <c r="C128" s="183">
        <f>SUM(H127*31/3618.09)</f>
        <v>3604.0661398693783</v>
      </c>
      <c r="D128" s="183">
        <f>SUM(C122-C128)</f>
        <v>3197.9338601306217</v>
      </c>
      <c r="E128" s="184">
        <f>SUM(C128:D128)</f>
        <v>6802</v>
      </c>
      <c r="F128" s="183"/>
      <c r="G128" s="183">
        <f t="shared" ref="G128:G139" si="10">SUM(E128:F128)</f>
        <v>6802</v>
      </c>
      <c r="H128" s="604">
        <f t="shared" ref="H128:H139" si="11">+H127-D128</f>
        <v>417441.92613986938</v>
      </c>
      <c r="I128" s="605"/>
      <c r="J128" s="605"/>
      <c r="K128" s="605"/>
      <c r="L128" s="599"/>
      <c r="M128" s="605"/>
      <c r="N128" s="605"/>
      <c r="O128" s="605"/>
      <c r="P128" s="605"/>
      <c r="Q128" s="605"/>
    </row>
    <row r="129" spans="1:17" x14ac:dyDescent="0.2">
      <c r="A129" s="181">
        <v>43524</v>
      </c>
      <c r="B129" s="182">
        <v>28</v>
      </c>
      <c r="C129" s="183">
        <f t="shared" ref="C129:C139" si="12">SUM(H128*31/3618.09)</f>
        <v>3576.6660614677776</v>
      </c>
      <c r="D129" s="183">
        <f>SUM(C122-C129)</f>
        <v>3225.3339385322224</v>
      </c>
      <c r="E129" s="184">
        <f>SUM(C129:D129)</f>
        <v>6802</v>
      </c>
      <c r="F129" s="183"/>
      <c r="G129" s="183">
        <f t="shared" si="10"/>
        <v>6802</v>
      </c>
      <c r="H129" s="604">
        <f t="shared" si="11"/>
        <v>414216.59220133716</v>
      </c>
      <c r="I129" s="605"/>
      <c r="J129" s="605"/>
      <c r="K129" s="605"/>
      <c r="L129" s="599"/>
      <c r="M129" s="605"/>
      <c r="N129" s="605"/>
      <c r="O129" s="605"/>
      <c r="P129" s="605"/>
      <c r="Q129" s="605"/>
    </row>
    <row r="130" spans="1:17" x14ac:dyDescent="0.2">
      <c r="A130" s="181">
        <v>43555</v>
      </c>
      <c r="B130" s="182">
        <v>31</v>
      </c>
      <c r="C130" s="183">
        <f t="shared" si="12"/>
        <v>3549.0312176428588</v>
      </c>
      <c r="D130" s="183">
        <f>SUM(C122-C130)</f>
        <v>3252.9687823571412</v>
      </c>
      <c r="E130" s="184">
        <f t="shared" ref="E130:E139" si="13">SUM(C130:D130)</f>
        <v>6802</v>
      </c>
      <c r="F130" s="183"/>
      <c r="G130" s="183">
        <f t="shared" si="10"/>
        <v>6802</v>
      </c>
      <c r="H130" s="604">
        <f t="shared" si="11"/>
        <v>410963.62341898005</v>
      </c>
      <c r="I130" s="605"/>
      <c r="J130" s="605"/>
      <c r="K130" s="605"/>
      <c r="L130" s="599"/>
      <c r="M130" s="605"/>
      <c r="N130" s="605"/>
      <c r="O130" s="605"/>
      <c r="P130" s="605"/>
      <c r="Q130" s="605"/>
    </row>
    <row r="131" spans="1:17" x14ac:dyDescent="0.2">
      <c r="A131" s="181">
        <v>43585</v>
      </c>
      <c r="B131" s="182">
        <v>30</v>
      </c>
      <c r="C131" s="183">
        <f t="shared" si="12"/>
        <v>3521.1595969111827</v>
      </c>
      <c r="D131" s="183">
        <f>SUM(C122-C131)</f>
        <v>3280.8404030888173</v>
      </c>
      <c r="E131" s="184">
        <f t="shared" si="13"/>
        <v>6802</v>
      </c>
      <c r="F131" s="183"/>
      <c r="G131" s="183">
        <f t="shared" si="10"/>
        <v>6802</v>
      </c>
      <c r="H131" s="604">
        <f t="shared" si="11"/>
        <v>407682.78301589121</v>
      </c>
      <c r="I131" s="605"/>
      <c r="J131" s="605"/>
      <c r="K131" s="605"/>
      <c r="L131" s="599"/>
      <c r="M131" s="605"/>
      <c r="N131" s="605"/>
      <c r="O131" s="605"/>
      <c r="P131" s="605"/>
      <c r="Q131" s="605"/>
    </row>
    <row r="132" spans="1:17" x14ac:dyDescent="0.2">
      <c r="A132" s="181">
        <v>43616</v>
      </c>
      <c r="B132" s="182">
        <v>31</v>
      </c>
      <c r="C132" s="183">
        <f t="shared" si="12"/>
        <v>3493.0491705548029</v>
      </c>
      <c r="D132" s="183">
        <f>SUM(C122-C132)</f>
        <v>3308.9508294451971</v>
      </c>
      <c r="E132" s="184">
        <f t="shared" si="13"/>
        <v>6802</v>
      </c>
      <c r="F132" s="183"/>
      <c r="G132" s="183">
        <f t="shared" si="10"/>
        <v>6802</v>
      </c>
      <c r="H132" s="604">
        <f t="shared" si="11"/>
        <v>404373.832186446</v>
      </c>
      <c r="I132" s="605"/>
      <c r="J132" s="605"/>
      <c r="K132" s="605"/>
      <c r="L132" s="599"/>
      <c r="M132" s="605"/>
      <c r="N132" s="605"/>
      <c r="O132" s="605"/>
      <c r="P132" s="605"/>
      <c r="Q132" s="605"/>
    </row>
    <row r="133" spans="1:17" x14ac:dyDescent="0.2">
      <c r="A133" s="181">
        <v>43646</v>
      </c>
      <c r="B133" s="182">
        <v>30</v>
      </c>
      <c r="C133" s="183">
        <f t="shared" si="12"/>
        <v>3464.697892473605</v>
      </c>
      <c r="D133" s="183">
        <f>SUM(C122-C133)</f>
        <v>3337.302107526395</v>
      </c>
      <c r="E133" s="184">
        <f t="shared" si="13"/>
        <v>6802</v>
      </c>
      <c r="F133" s="183"/>
      <c r="G133" s="183">
        <f t="shared" si="10"/>
        <v>6802</v>
      </c>
      <c r="H133" s="185">
        <f t="shared" si="11"/>
        <v>401036.5300789196</v>
      </c>
      <c r="L133" s="90"/>
    </row>
    <row r="134" spans="1:17" x14ac:dyDescent="0.2">
      <c r="A134" s="181">
        <v>43677</v>
      </c>
      <c r="B134" s="182">
        <v>31</v>
      </c>
      <c r="C134" s="183">
        <f t="shared" si="12"/>
        <v>3436.1036990363718</v>
      </c>
      <c r="D134" s="183">
        <f>SUM(C122-C134)</f>
        <v>3365.8963009636282</v>
      </c>
      <c r="E134" s="184">
        <f t="shared" si="13"/>
        <v>6802</v>
      </c>
      <c r="F134" s="183"/>
      <c r="G134" s="183">
        <f t="shared" si="10"/>
        <v>6802</v>
      </c>
      <c r="H134" s="185">
        <f t="shared" si="11"/>
        <v>397670.63377795595</v>
      </c>
      <c r="L134" s="90"/>
    </row>
    <row r="135" spans="1:17" x14ac:dyDescent="0.2">
      <c r="A135" s="181">
        <v>43708</v>
      </c>
      <c r="B135" s="182">
        <v>31</v>
      </c>
      <c r="C135" s="183">
        <f t="shared" si="12"/>
        <v>3407.2645089305779</v>
      </c>
      <c r="D135" s="183">
        <f>SUM(C122-C135)</f>
        <v>3394.7354910694221</v>
      </c>
      <c r="E135" s="184">
        <f t="shared" si="13"/>
        <v>6802</v>
      </c>
      <c r="F135" s="183"/>
      <c r="G135" s="183">
        <f t="shared" si="10"/>
        <v>6802</v>
      </c>
      <c r="H135" s="185">
        <f t="shared" si="11"/>
        <v>394275.89828688651</v>
      </c>
      <c r="L135" s="90"/>
    </row>
    <row r="136" spans="1:17" x14ac:dyDescent="0.2">
      <c r="A136" s="181">
        <v>43738</v>
      </c>
      <c r="B136" s="182">
        <v>30</v>
      </c>
      <c r="C136" s="183">
        <f t="shared" si="12"/>
        <v>3378.1782230108929</v>
      </c>
      <c r="D136" s="183">
        <f>SUM(C122-C136)</f>
        <v>3423.8217769891071</v>
      </c>
      <c r="E136" s="184">
        <f t="shared" si="13"/>
        <v>6802</v>
      </c>
      <c r="F136" s="183"/>
      <c r="G136" s="183">
        <f t="shared" si="10"/>
        <v>6802</v>
      </c>
      <c r="H136" s="185">
        <f t="shared" si="11"/>
        <v>390852.07650989742</v>
      </c>
      <c r="L136" s="90"/>
    </row>
    <row r="137" spans="1:17" x14ac:dyDescent="0.2">
      <c r="A137" s="181">
        <v>43769</v>
      </c>
      <c r="B137" s="182">
        <v>31</v>
      </c>
      <c r="C137" s="183">
        <f t="shared" si="12"/>
        <v>3348.8427241463924</v>
      </c>
      <c r="D137" s="183">
        <f>SUM(C122-C137)</f>
        <v>3453.1572758536076</v>
      </c>
      <c r="E137" s="184">
        <f t="shared" si="13"/>
        <v>6802</v>
      </c>
      <c r="F137" s="183"/>
      <c r="G137" s="183">
        <f t="shared" si="10"/>
        <v>6802</v>
      </c>
      <c r="H137" s="185">
        <f t="shared" si="11"/>
        <v>387398.9192340438</v>
      </c>
      <c r="L137" s="90"/>
    </row>
    <row r="138" spans="1:17" x14ac:dyDescent="0.2">
      <c r="A138" s="181">
        <v>43799</v>
      </c>
      <c r="B138" s="182">
        <v>30</v>
      </c>
      <c r="C138" s="183">
        <f t="shared" si="12"/>
        <v>3319.2558770664518</v>
      </c>
      <c r="D138" s="183">
        <f>SUM(C122-C138)</f>
        <v>3482.7441229335482</v>
      </c>
      <c r="E138" s="184">
        <f t="shared" si="13"/>
        <v>6802</v>
      </c>
      <c r="F138" s="183"/>
      <c r="G138" s="183">
        <f t="shared" si="10"/>
        <v>6802</v>
      </c>
      <c r="H138" s="185">
        <f t="shared" si="11"/>
        <v>383916.17511111026</v>
      </c>
      <c r="L138" s="90"/>
    </row>
    <row r="139" spans="1:17" x14ac:dyDescent="0.2">
      <c r="A139" s="181">
        <v>43830</v>
      </c>
      <c r="B139" s="182">
        <v>31</v>
      </c>
      <c r="C139" s="183">
        <f t="shared" si="12"/>
        <v>3289.4155282053289</v>
      </c>
      <c r="D139" s="183">
        <f>SUM(C122-C139)</f>
        <v>3512.5844717946711</v>
      </c>
      <c r="E139" s="184">
        <f t="shared" si="13"/>
        <v>6802</v>
      </c>
      <c r="F139" s="183"/>
      <c r="G139" s="183">
        <f t="shared" si="10"/>
        <v>6802</v>
      </c>
      <c r="H139" s="185">
        <f t="shared" si="11"/>
        <v>380403.5906393156</v>
      </c>
      <c r="L139" s="90"/>
    </row>
    <row r="140" spans="1:17" x14ac:dyDescent="0.2">
      <c r="A140" s="181"/>
      <c r="B140" s="182"/>
      <c r="C140" s="183"/>
      <c r="D140" s="183"/>
      <c r="E140" s="184"/>
      <c r="F140" s="183"/>
      <c r="G140" s="183"/>
      <c r="H140" s="185"/>
      <c r="L140" s="90"/>
    </row>
    <row r="141" spans="1:17" ht="15.75" thickBot="1" x14ac:dyDescent="0.4">
      <c r="A141" s="186"/>
      <c r="B141" s="187">
        <f t="shared" ref="B141:G141" si="14">SUM(B127:B140)</f>
        <v>365</v>
      </c>
      <c r="C141" s="188">
        <f t="shared" si="14"/>
        <v>41387.730639315618</v>
      </c>
      <c r="D141" s="188">
        <f t="shared" si="14"/>
        <v>40236.269360684382</v>
      </c>
      <c r="E141" s="188">
        <f t="shared" si="14"/>
        <v>81624</v>
      </c>
      <c r="F141" s="188">
        <f t="shared" si="14"/>
        <v>0</v>
      </c>
      <c r="G141" s="188">
        <f t="shared" si="14"/>
        <v>81624</v>
      </c>
      <c r="H141" s="189"/>
      <c r="L141" s="90"/>
    </row>
    <row r="142" spans="1:17" x14ac:dyDescent="0.2">
      <c r="A142" s="158"/>
      <c r="B142" s="158"/>
      <c r="C142" s="159"/>
      <c r="D142" s="159"/>
      <c r="E142" s="159"/>
      <c r="F142" s="159"/>
      <c r="G142" s="159"/>
      <c r="H142" s="159"/>
      <c r="L142" s="90"/>
    </row>
    <row r="143" spans="1:17" x14ac:dyDescent="0.2">
      <c r="A143" s="158"/>
      <c r="B143" s="158"/>
      <c r="C143" s="159"/>
      <c r="D143" s="843"/>
      <c r="E143" s="843"/>
      <c r="F143" s="843"/>
      <c r="G143" s="159"/>
      <c r="H143" s="159"/>
    </row>
    <row r="144" spans="1:17" x14ac:dyDescent="0.2">
      <c r="A144" s="158"/>
      <c r="B144" s="158"/>
      <c r="C144" s="159"/>
      <c r="D144" s="159"/>
      <c r="E144" s="159"/>
      <c r="F144" s="159"/>
      <c r="G144" s="159"/>
      <c r="H144" s="159"/>
    </row>
    <row r="145" spans="1:8" x14ac:dyDescent="0.2">
      <c r="A145" s="158"/>
      <c r="B145" s="158"/>
      <c r="C145" s="159"/>
      <c r="D145" s="159"/>
      <c r="E145" s="159"/>
      <c r="F145" s="159"/>
      <c r="G145" s="159"/>
      <c r="H145" s="159"/>
    </row>
    <row r="146" spans="1:8" x14ac:dyDescent="0.2">
      <c r="A146" s="158"/>
      <c r="B146" s="158"/>
      <c r="C146" s="159"/>
      <c r="D146" s="159"/>
      <c r="E146" s="159"/>
      <c r="F146" s="159"/>
      <c r="G146" s="159"/>
      <c r="H146" s="159"/>
    </row>
    <row r="147" spans="1:8" x14ac:dyDescent="0.2">
      <c r="A147" s="158"/>
      <c r="B147" s="158"/>
      <c r="C147" s="159"/>
      <c r="D147" s="159"/>
      <c r="E147" s="159"/>
      <c r="F147" s="159"/>
      <c r="G147" s="159"/>
      <c r="H147" s="159"/>
    </row>
    <row r="148" spans="1:8" x14ac:dyDescent="0.2">
      <c r="A148" s="158"/>
      <c r="B148" s="158"/>
      <c r="C148" s="159"/>
      <c r="D148" s="159"/>
      <c r="E148" s="159"/>
      <c r="F148" s="159"/>
      <c r="G148" s="159"/>
      <c r="H148" s="159"/>
    </row>
    <row r="149" spans="1:8" x14ac:dyDescent="0.2">
      <c r="A149" s="158"/>
      <c r="B149" s="158"/>
      <c r="C149" s="159"/>
      <c r="D149" s="159"/>
      <c r="E149" s="159"/>
      <c r="F149" s="159"/>
      <c r="G149" s="159"/>
      <c r="H149" s="159"/>
    </row>
    <row r="150" spans="1:8" x14ac:dyDescent="0.2">
      <c r="A150" s="158"/>
      <c r="B150" s="158"/>
      <c r="C150" s="159"/>
      <c r="D150" s="159"/>
      <c r="E150" s="159"/>
      <c r="F150" s="159"/>
      <c r="G150" s="159"/>
      <c r="H150" s="159"/>
    </row>
    <row r="151" spans="1:8" x14ac:dyDescent="0.2">
      <c r="A151" s="158"/>
      <c r="B151" s="158"/>
      <c r="C151" s="159"/>
      <c r="D151" s="159"/>
      <c r="E151" s="159"/>
      <c r="F151" s="159"/>
      <c r="G151" s="159"/>
      <c r="H151" s="159"/>
    </row>
    <row r="152" spans="1:8" x14ac:dyDescent="0.2">
      <c r="A152" s="158"/>
      <c r="B152" s="158"/>
      <c r="C152" s="159"/>
      <c r="D152" s="159"/>
      <c r="E152" s="159"/>
      <c r="F152" s="159"/>
      <c r="G152" s="159"/>
      <c r="H152" s="159"/>
    </row>
    <row r="153" spans="1:8" x14ac:dyDescent="0.2">
      <c r="A153" s="158"/>
      <c r="B153" s="158"/>
      <c r="C153" s="159"/>
      <c r="D153" s="159"/>
      <c r="E153" s="159"/>
      <c r="F153" s="159"/>
      <c r="G153" s="159"/>
      <c r="H153" s="159"/>
    </row>
    <row r="154" spans="1:8" x14ac:dyDescent="0.2">
      <c r="A154" s="158"/>
      <c r="B154" s="158"/>
      <c r="C154" s="159"/>
      <c r="D154" s="159"/>
      <c r="E154" s="159"/>
      <c r="F154" s="159"/>
      <c r="G154" s="159"/>
      <c r="H154" s="159"/>
    </row>
    <row r="155" spans="1:8" x14ac:dyDescent="0.2">
      <c r="A155" s="158"/>
      <c r="B155" s="158"/>
      <c r="C155" s="159"/>
      <c r="D155" s="159"/>
      <c r="E155" s="159"/>
      <c r="F155" s="159"/>
      <c r="G155" s="159"/>
      <c r="H155" s="159"/>
    </row>
    <row r="156" spans="1:8" x14ac:dyDescent="0.2">
      <c r="A156" s="158"/>
      <c r="B156" s="158"/>
      <c r="C156" s="159"/>
      <c r="D156" s="159"/>
      <c r="E156" s="159"/>
      <c r="F156" s="159"/>
      <c r="G156" s="159"/>
      <c r="H156" s="159"/>
    </row>
    <row r="157" spans="1:8" x14ac:dyDescent="0.2">
      <c r="A157" s="158"/>
      <c r="B157" s="158"/>
      <c r="C157" s="159"/>
      <c r="D157" s="159"/>
      <c r="E157" s="159"/>
      <c r="F157" s="159"/>
      <c r="G157" s="159"/>
      <c r="H157" s="159"/>
    </row>
    <row r="158" spans="1:8" x14ac:dyDescent="0.2">
      <c r="A158" s="158"/>
      <c r="B158" s="158"/>
      <c r="C158" s="159"/>
      <c r="D158" s="159"/>
      <c r="E158" s="159"/>
      <c r="F158" s="159"/>
      <c r="G158" s="159"/>
      <c r="H158" s="159"/>
    </row>
    <row r="159" spans="1:8" x14ac:dyDescent="0.2">
      <c r="A159" s="158"/>
      <c r="B159" s="158"/>
      <c r="C159" s="159"/>
      <c r="D159" s="159"/>
      <c r="E159" s="159"/>
      <c r="F159" s="159"/>
      <c r="G159" s="159"/>
      <c r="H159" s="159"/>
    </row>
    <row r="160" spans="1:8" x14ac:dyDescent="0.2">
      <c r="A160" s="158"/>
      <c r="B160" s="158"/>
      <c r="C160" s="159"/>
      <c r="D160" s="159"/>
      <c r="E160" s="159"/>
      <c r="F160" s="159"/>
      <c r="G160" s="159"/>
      <c r="H160" s="159"/>
    </row>
    <row r="161" spans="1:13" x14ac:dyDescent="0.2">
      <c r="A161" s="158"/>
      <c r="B161" s="158"/>
      <c r="C161" s="159"/>
      <c r="D161" s="159"/>
      <c r="E161" s="159"/>
      <c r="F161" s="159"/>
      <c r="G161" s="159"/>
      <c r="H161" s="159"/>
    </row>
    <row r="162" spans="1:13" x14ac:dyDescent="0.2">
      <c r="A162" s="158"/>
      <c r="B162" s="158"/>
      <c r="C162" s="159"/>
      <c r="D162" s="159"/>
      <c r="E162" s="159"/>
      <c r="F162" s="159"/>
      <c r="G162" s="159"/>
      <c r="H162" s="159"/>
    </row>
    <row r="163" spans="1:13" x14ac:dyDescent="0.2">
      <c r="A163" s="158"/>
      <c r="B163" s="158"/>
      <c r="C163" s="159"/>
      <c r="D163" s="159"/>
      <c r="E163" s="159"/>
      <c r="F163" s="159"/>
      <c r="G163" s="159"/>
      <c r="H163" s="159"/>
    </row>
    <row r="164" spans="1:13" x14ac:dyDescent="0.2">
      <c r="A164" s="363"/>
      <c r="B164" s="363"/>
      <c r="C164" s="364"/>
      <c r="D164" s="364"/>
      <c r="E164" s="364"/>
      <c r="F164" s="364"/>
      <c r="G164" s="364"/>
      <c r="H164" s="364"/>
    </row>
    <row r="165" spans="1:13" x14ac:dyDescent="0.2">
      <c r="A165" s="363"/>
      <c r="B165" s="363"/>
      <c r="C165" s="364"/>
      <c r="D165" s="364"/>
      <c r="E165" s="364"/>
      <c r="F165" s="364"/>
      <c r="G165" s="364"/>
      <c r="H165" s="364"/>
    </row>
    <row r="166" spans="1:13" ht="18" x14ac:dyDescent="0.25">
      <c r="A166" s="844" t="s">
        <v>426</v>
      </c>
      <c r="B166" s="844"/>
      <c r="C166" s="844"/>
      <c r="D166" s="844"/>
      <c r="E166" s="844"/>
      <c r="F166" s="844"/>
      <c r="G166" s="844"/>
      <c r="H166" s="844"/>
    </row>
    <row r="167" spans="1:13" ht="18" x14ac:dyDescent="0.25">
      <c r="A167" s="845" t="s">
        <v>439</v>
      </c>
      <c r="B167" s="845"/>
      <c r="C167" s="845"/>
      <c r="D167" s="845"/>
      <c r="E167" s="845"/>
      <c r="F167" s="845"/>
      <c r="G167" s="845"/>
      <c r="H167" s="845"/>
    </row>
    <row r="168" spans="1:13" ht="18" x14ac:dyDescent="0.25">
      <c r="A168" s="845" t="s">
        <v>537</v>
      </c>
      <c r="B168" s="845"/>
      <c r="C168" s="845"/>
      <c r="D168" s="845"/>
      <c r="E168" s="845"/>
      <c r="F168" s="845"/>
      <c r="G168" s="845"/>
      <c r="H168" s="845"/>
    </row>
    <row r="169" spans="1:13" x14ac:dyDescent="0.2">
      <c r="A169" s="363"/>
      <c r="B169" s="363"/>
      <c r="C169" s="364"/>
      <c r="D169" s="364"/>
      <c r="E169" s="364"/>
      <c r="F169" s="364"/>
      <c r="G169" s="364"/>
      <c r="H169" s="364"/>
    </row>
    <row r="170" spans="1:13" ht="15.75" x14ac:dyDescent="0.25">
      <c r="A170" s="846" t="s">
        <v>184</v>
      </c>
      <c r="B170" s="846"/>
      <c r="C170" s="846"/>
      <c r="D170" s="846"/>
      <c r="E170" s="846"/>
      <c r="F170" s="846"/>
      <c r="G170" s="846"/>
      <c r="H170" s="846"/>
    </row>
    <row r="171" spans="1:13" ht="15.75" x14ac:dyDescent="0.25">
      <c r="A171" s="190" t="s">
        <v>394</v>
      </c>
      <c r="B171" s="190"/>
      <c r="C171" s="847" t="s">
        <v>443</v>
      </c>
      <c r="D171" s="847"/>
      <c r="E171" s="190"/>
      <c r="F171" s="190"/>
      <c r="G171" s="190"/>
      <c r="H171" s="190"/>
      <c r="I171" s="597"/>
      <c r="J171" s="597"/>
      <c r="K171" s="597"/>
      <c r="L171" s="597"/>
      <c r="M171" s="597"/>
    </row>
    <row r="172" spans="1:13" x14ac:dyDescent="0.2">
      <c r="A172" s="160"/>
      <c r="B172" s="160"/>
      <c r="C172" s="162"/>
      <c r="D172" s="162"/>
      <c r="E172" s="162"/>
      <c r="F172" s="162"/>
      <c r="G172" s="162"/>
      <c r="H172" s="162"/>
      <c r="I172" s="597"/>
      <c r="J172" s="597" t="s">
        <v>347</v>
      </c>
      <c r="K172" s="597"/>
      <c r="L172" s="597">
        <f>360*100/10.5</f>
        <v>3428.5714285714284</v>
      </c>
      <c r="M172" s="597"/>
    </row>
    <row r="173" spans="1:13" x14ac:dyDescent="0.2">
      <c r="A173" s="163" t="s">
        <v>185</v>
      </c>
      <c r="B173" s="164" t="s">
        <v>186</v>
      </c>
      <c r="C173" s="161">
        <f>L180</f>
        <v>279899.96999999997</v>
      </c>
      <c r="D173" s="162" t="s">
        <v>187</v>
      </c>
      <c r="E173" s="162"/>
      <c r="F173" s="162"/>
      <c r="G173" s="162"/>
      <c r="H173" s="162"/>
      <c r="I173" s="597"/>
      <c r="J173" s="597"/>
      <c r="K173" s="597"/>
      <c r="L173" s="597"/>
      <c r="M173" s="597"/>
    </row>
    <row r="174" spans="1:13" x14ac:dyDescent="0.2">
      <c r="A174" s="161" t="s">
        <v>510</v>
      </c>
      <c r="B174" s="160"/>
      <c r="C174" s="165">
        <v>0.105</v>
      </c>
      <c r="D174" s="162" t="s">
        <v>100</v>
      </c>
      <c r="E174" s="162"/>
      <c r="F174" s="162"/>
      <c r="G174" s="162"/>
      <c r="H174" s="162"/>
      <c r="I174" s="597"/>
      <c r="J174" s="597"/>
      <c r="K174" s="597"/>
      <c r="L174" s="597"/>
      <c r="M174" s="597"/>
    </row>
    <row r="175" spans="1:13" x14ac:dyDescent="0.2">
      <c r="A175" s="161" t="s">
        <v>189</v>
      </c>
      <c r="B175" s="160"/>
      <c r="C175" s="161">
        <v>0</v>
      </c>
      <c r="D175" s="162" t="s">
        <v>190</v>
      </c>
      <c r="E175" s="162"/>
      <c r="F175" s="162"/>
      <c r="G175" s="162"/>
      <c r="H175" s="162"/>
      <c r="I175" s="597"/>
      <c r="J175" s="597"/>
      <c r="K175" s="597"/>
      <c r="L175" s="597"/>
      <c r="M175" s="597"/>
    </row>
    <row r="176" spans="1:13" x14ac:dyDescent="0.2">
      <c r="A176" s="161" t="s">
        <v>191</v>
      </c>
      <c r="B176" s="164" t="s">
        <v>186</v>
      </c>
      <c r="C176" s="161">
        <v>5437</v>
      </c>
      <c r="D176" s="162" t="s">
        <v>190</v>
      </c>
      <c r="E176" s="162"/>
      <c r="F176" s="162"/>
      <c r="G176" s="162"/>
      <c r="H176" s="162"/>
      <c r="I176" s="597"/>
      <c r="J176" s="597"/>
      <c r="K176" s="597"/>
      <c r="L176" s="597"/>
      <c r="M176" s="597"/>
    </row>
    <row r="177" spans="1:16" ht="13.5" thickBot="1" x14ac:dyDescent="0.25">
      <c r="A177" s="160"/>
      <c r="B177" s="162"/>
      <c r="C177" s="162"/>
      <c r="D177" s="162"/>
      <c r="E177" s="162"/>
      <c r="F177" s="162"/>
      <c r="G177" s="162"/>
      <c r="H177" s="162"/>
      <c r="I177" s="597"/>
      <c r="J177" s="597"/>
      <c r="K177" s="597"/>
      <c r="L177" s="597"/>
      <c r="M177" s="597"/>
    </row>
    <row r="178" spans="1:16" x14ac:dyDescent="0.2">
      <c r="A178" s="166"/>
      <c r="B178" s="167"/>
      <c r="C178" s="836" t="s">
        <v>192</v>
      </c>
      <c r="D178" s="837"/>
      <c r="E178" s="836" t="s">
        <v>193</v>
      </c>
      <c r="F178" s="838"/>
      <c r="G178" s="837"/>
      <c r="H178" s="168"/>
      <c r="I178" s="597"/>
      <c r="J178" s="597" t="s">
        <v>558</v>
      </c>
      <c r="K178" s="597"/>
      <c r="L178" s="599">
        <v>279899.96999999997</v>
      </c>
      <c r="M178" s="597"/>
    </row>
    <row r="179" spans="1:16" x14ac:dyDescent="0.2">
      <c r="A179" s="169"/>
      <c r="B179" s="170"/>
      <c r="C179" s="839" t="s">
        <v>194</v>
      </c>
      <c r="D179" s="840"/>
      <c r="E179" s="171" t="s">
        <v>195</v>
      </c>
      <c r="F179" s="171" t="s">
        <v>196</v>
      </c>
      <c r="G179" s="841" t="s">
        <v>346</v>
      </c>
      <c r="H179" s="172" t="s">
        <v>198</v>
      </c>
      <c r="I179" s="597"/>
      <c r="J179" s="597" t="s">
        <v>541</v>
      </c>
      <c r="K179" s="597"/>
      <c r="L179" s="599">
        <v>0</v>
      </c>
      <c r="M179" s="597"/>
    </row>
    <row r="180" spans="1:16" ht="13.5" thickBot="1" x14ac:dyDescent="0.25">
      <c r="A180" s="173" t="s">
        <v>199</v>
      </c>
      <c r="B180" s="174" t="s">
        <v>200</v>
      </c>
      <c r="C180" s="175" t="s">
        <v>207</v>
      </c>
      <c r="D180" s="175" t="s">
        <v>201</v>
      </c>
      <c r="E180" s="176" t="s">
        <v>202</v>
      </c>
      <c r="F180" s="175" t="s">
        <v>203</v>
      </c>
      <c r="G180" s="842"/>
      <c r="H180" s="177" t="s">
        <v>205</v>
      </c>
      <c r="I180" s="597"/>
      <c r="J180" s="597" t="s">
        <v>533</v>
      </c>
      <c r="K180" s="597"/>
      <c r="L180" s="599">
        <f>SUM(L178-L179)</f>
        <v>279899.96999999997</v>
      </c>
      <c r="M180" s="597"/>
      <c r="P180" s="597">
        <v>313663.49</v>
      </c>
    </row>
    <row r="181" spans="1:16" x14ac:dyDescent="0.2">
      <c r="A181" s="178">
        <v>43466</v>
      </c>
      <c r="B181" s="170">
        <v>0</v>
      </c>
      <c r="C181" s="179">
        <v>0</v>
      </c>
      <c r="D181" s="179">
        <v>0</v>
      </c>
      <c r="E181" s="179">
        <v>0</v>
      </c>
      <c r="F181" s="179"/>
      <c r="G181" s="179"/>
      <c r="H181" s="180">
        <f>C173</f>
        <v>279899.96999999997</v>
      </c>
      <c r="I181" s="597"/>
      <c r="J181" s="597"/>
      <c r="K181" s="597"/>
      <c r="L181" s="599"/>
      <c r="M181" s="597"/>
    </row>
    <row r="182" spans="1:16" x14ac:dyDescent="0.2">
      <c r="A182" s="181">
        <v>43496</v>
      </c>
      <c r="B182" s="182">
        <v>31</v>
      </c>
      <c r="C182" s="183">
        <f>SUM(H181*31/3428.57)</f>
        <v>2530.7632832347008</v>
      </c>
      <c r="D182" s="183">
        <f>SUM(C176-C182)</f>
        <v>2906.2367167652992</v>
      </c>
      <c r="E182" s="184">
        <f>SUM(C182:D182)</f>
        <v>5437</v>
      </c>
      <c r="F182" s="183"/>
      <c r="G182" s="183">
        <f t="shared" ref="G182:G193" si="15">SUM(E182:F182)</f>
        <v>5437</v>
      </c>
      <c r="H182" s="185">
        <f t="shared" ref="H182:H193" si="16">+H181-D182</f>
        <v>276993.73328323464</v>
      </c>
      <c r="I182" s="597"/>
      <c r="J182" s="597"/>
      <c r="K182" s="597"/>
      <c r="L182" s="599"/>
      <c r="M182" s="597"/>
    </row>
    <row r="183" spans="1:16" x14ac:dyDescent="0.2">
      <c r="A183" s="181">
        <v>43524</v>
      </c>
      <c r="B183" s="182">
        <v>28</v>
      </c>
      <c r="C183" s="183">
        <f t="shared" ref="C183:C193" si="17">SUM(H182*31/3428.57)</f>
        <v>2504.4860486384332</v>
      </c>
      <c r="D183" s="183">
        <f>SUM(C176-C183)</f>
        <v>2932.5139513615668</v>
      </c>
      <c r="E183" s="184">
        <f>SUM(C183:D183)</f>
        <v>5437</v>
      </c>
      <c r="F183" s="183"/>
      <c r="G183" s="183">
        <f t="shared" si="15"/>
        <v>5437</v>
      </c>
      <c r="H183" s="185">
        <f t="shared" si="16"/>
        <v>274061.21933187306</v>
      </c>
      <c r="I183" s="597"/>
      <c r="J183" s="597"/>
      <c r="K183" s="597"/>
      <c r="L183" s="599"/>
      <c r="M183" s="597"/>
    </row>
    <row r="184" spans="1:16" x14ac:dyDescent="0.2">
      <c r="A184" s="181">
        <v>43555</v>
      </c>
      <c r="B184" s="182">
        <v>31</v>
      </c>
      <c r="C184" s="183">
        <f t="shared" si="17"/>
        <v>2477.9712239470286</v>
      </c>
      <c r="D184" s="183">
        <f>SUM(C176-C184)</f>
        <v>2959.0287760529714</v>
      </c>
      <c r="E184" s="184">
        <f t="shared" ref="E184:E193" si="18">SUM(C184:D184)</f>
        <v>5437</v>
      </c>
      <c r="F184" s="183"/>
      <c r="G184" s="183">
        <f t="shared" si="15"/>
        <v>5437</v>
      </c>
      <c r="H184" s="185">
        <f t="shared" si="16"/>
        <v>271102.19055582007</v>
      </c>
      <c r="I184" s="597"/>
      <c r="J184" s="597"/>
      <c r="K184" s="597"/>
      <c r="L184" s="598"/>
      <c r="M184" s="597"/>
    </row>
    <row r="185" spans="1:16" x14ac:dyDescent="0.2">
      <c r="A185" s="181">
        <v>43585</v>
      </c>
      <c r="B185" s="182">
        <v>30</v>
      </c>
      <c r="C185" s="183">
        <f t="shared" si="17"/>
        <v>2451.2166609491483</v>
      </c>
      <c r="D185" s="183">
        <f>SUM(C176-C185)</f>
        <v>2985.7833390508517</v>
      </c>
      <c r="E185" s="184">
        <f t="shared" si="18"/>
        <v>5437</v>
      </c>
      <c r="F185" s="183"/>
      <c r="G185" s="183">
        <f t="shared" si="15"/>
        <v>5437</v>
      </c>
      <c r="H185" s="185">
        <f t="shared" si="16"/>
        <v>268116.40721676924</v>
      </c>
      <c r="I185" s="597"/>
      <c r="J185" s="597"/>
      <c r="K185" s="597"/>
      <c r="L185" s="598"/>
      <c r="M185" s="597"/>
    </row>
    <row r="186" spans="1:16" x14ac:dyDescent="0.2">
      <c r="A186" s="181">
        <v>43616</v>
      </c>
      <c r="B186" s="182">
        <v>31</v>
      </c>
      <c r="C186" s="183">
        <f t="shared" si="17"/>
        <v>2424.2201920100351</v>
      </c>
      <c r="D186" s="183">
        <f>SUM(C176-C186)</f>
        <v>3012.7798079899649</v>
      </c>
      <c r="E186" s="184">
        <f t="shared" si="18"/>
        <v>5437</v>
      </c>
      <c r="F186" s="183"/>
      <c r="G186" s="183">
        <f t="shared" si="15"/>
        <v>5437</v>
      </c>
      <c r="H186" s="185">
        <f t="shared" si="16"/>
        <v>265103.62740877928</v>
      </c>
      <c r="I186" s="597"/>
      <c r="J186" s="597"/>
      <c r="K186" s="597"/>
      <c r="L186" s="598"/>
      <c r="M186" s="597"/>
    </row>
    <row r="187" spans="1:16" x14ac:dyDescent="0.2">
      <c r="A187" s="181">
        <v>43646</v>
      </c>
      <c r="B187" s="182">
        <v>30</v>
      </c>
      <c r="C187" s="183">
        <f t="shared" si="17"/>
        <v>2396.9796298958918</v>
      </c>
      <c r="D187" s="183">
        <f>SUM(C176-C187)</f>
        <v>3040.0203701041082</v>
      </c>
      <c r="E187" s="184">
        <f t="shared" si="18"/>
        <v>5437</v>
      </c>
      <c r="F187" s="183"/>
      <c r="G187" s="183">
        <f t="shared" si="15"/>
        <v>5437</v>
      </c>
      <c r="H187" s="185">
        <f t="shared" si="16"/>
        <v>262063.60703867517</v>
      </c>
      <c r="I187" s="597"/>
      <c r="J187" s="597"/>
      <c r="K187" s="597"/>
      <c r="L187" s="598"/>
      <c r="M187" s="597"/>
    </row>
    <row r="188" spans="1:16" x14ac:dyDescent="0.2">
      <c r="A188" s="181">
        <v>43677</v>
      </c>
      <c r="B188" s="182">
        <v>31</v>
      </c>
      <c r="C188" s="183">
        <f t="shared" si="17"/>
        <v>2369.4927675966746</v>
      </c>
      <c r="D188" s="183">
        <f>SUM(C176-C188)</f>
        <v>3067.5072324033254</v>
      </c>
      <c r="E188" s="184">
        <f t="shared" si="18"/>
        <v>5437</v>
      </c>
      <c r="F188" s="183"/>
      <c r="G188" s="183">
        <f t="shared" si="15"/>
        <v>5437</v>
      </c>
      <c r="H188" s="185">
        <f t="shared" si="16"/>
        <v>258996.09980627184</v>
      </c>
      <c r="L188" s="90"/>
    </row>
    <row r="189" spans="1:16" x14ac:dyDescent="0.2">
      <c r="A189" s="181">
        <v>43708</v>
      </c>
      <c r="B189" s="182">
        <v>31</v>
      </c>
      <c r="C189" s="183">
        <f t="shared" si="17"/>
        <v>2341.757378147282</v>
      </c>
      <c r="D189" s="183">
        <f>SUM(C176-C189)</f>
        <v>3095.242621852718</v>
      </c>
      <c r="E189" s="184">
        <f t="shared" si="18"/>
        <v>5437</v>
      </c>
      <c r="F189" s="183"/>
      <c r="G189" s="183">
        <f t="shared" si="15"/>
        <v>5437</v>
      </c>
      <c r="H189" s="185">
        <f t="shared" si="16"/>
        <v>255900.85718441912</v>
      </c>
      <c r="L189" s="90"/>
    </row>
    <row r="190" spans="1:16" x14ac:dyDescent="0.2">
      <c r="A190" s="181">
        <v>43738</v>
      </c>
      <c r="B190" s="182">
        <v>30</v>
      </c>
      <c r="C190" s="183">
        <f t="shared" si="17"/>
        <v>2313.7712144471288</v>
      </c>
      <c r="D190" s="183">
        <f>SUM(C176-C190)</f>
        <v>3123.2287855528712</v>
      </c>
      <c r="E190" s="184">
        <f t="shared" si="18"/>
        <v>5437</v>
      </c>
      <c r="F190" s="183"/>
      <c r="G190" s="183">
        <f t="shared" si="15"/>
        <v>5437</v>
      </c>
      <c r="H190" s="185">
        <f t="shared" si="16"/>
        <v>252777.62839886625</v>
      </c>
      <c r="L190" s="90"/>
    </row>
    <row r="191" spans="1:16" x14ac:dyDescent="0.2">
      <c r="A191" s="181">
        <v>43769</v>
      </c>
      <c r="B191" s="182">
        <v>31</v>
      </c>
      <c r="C191" s="183">
        <f t="shared" si="17"/>
        <v>2285.532009078086</v>
      </c>
      <c r="D191" s="183">
        <f>SUM(C176-C191)</f>
        <v>3151.467990921914</v>
      </c>
      <c r="E191" s="184">
        <f t="shared" si="18"/>
        <v>5437</v>
      </c>
      <c r="F191" s="183"/>
      <c r="G191" s="183">
        <f t="shared" si="15"/>
        <v>5437</v>
      </c>
      <c r="H191" s="185">
        <f t="shared" si="16"/>
        <v>249626.16040794432</v>
      </c>
      <c r="L191" s="90"/>
    </row>
    <row r="192" spans="1:16" x14ac:dyDescent="0.2">
      <c r="A192" s="181">
        <v>43799</v>
      </c>
      <c r="B192" s="182">
        <v>30</v>
      </c>
      <c r="C192" s="183">
        <f t="shared" si="17"/>
        <v>2257.0374741207775</v>
      </c>
      <c r="D192" s="183">
        <f>SUM(C176-C192)</f>
        <v>3179.9625258792225</v>
      </c>
      <c r="E192" s="184">
        <f t="shared" si="18"/>
        <v>5437</v>
      </c>
      <c r="F192" s="183"/>
      <c r="G192" s="183">
        <f t="shared" si="15"/>
        <v>5437</v>
      </c>
      <c r="H192" s="185">
        <f t="shared" si="16"/>
        <v>246446.19788206508</v>
      </c>
      <c r="L192" s="90"/>
    </row>
    <row r="193" spans="1:12" x14ac:dyDescent="0.2">
      <c r="A193" s="181">
        <v>43830</v>
      </c>
      <c r="B193" s="182">
        <v>31</v>
      </c>
      <c r="C193" s="183">
        <f t="shared" si="17"/>
        <v>2228.2853009692135</v>
      </c>
      <c r="D193" s="183">
        <f>SUM(C176-C193)</f>
        <v>3208.7146990307865</v>
      </c>
      <c r="E193" s="184">
        <f t="shared" si="18"/>
        <v>5437</v>
      </c>
      <c r="F193" s="183"/>
      <c r="G193" s="183">
        <f t="shared" si="15"/>
        <v>5437</v>
      </c>
      <c r="H193" s="185">
        <f t="shared" si="16"/>
        <v>243237.48318303429</v>
      </c>
      <c r="L193" s="90"/>
    </row>
    <row r="194" spans="1:12" x14ac:dyDescent="0.2">
      <c r="A194" s="181"/>
      <c r="B194" s="182"/>
      <c r="C194" s="183"/>
      <c r="D194" s="183"/>
      <c r="E194" s="184"/>
      <c r="F194" s="183"/>
      <c r="G194" s="183"/>
      <c r="H194" s="185"/>
      <c r="L194" s="90"/>
    </row>
    <row r="195" spans="1:12" ht="15.75" thickBot="1" x14ac:dyDescent="0.4">
      <c r="A195" s="186"/>
      <c r="B195" s="187">
        <f t="shared" ref="B195:G195" si="19">SUM(B181:B194)</f>
        <v>365</v>
      </c>
      <c r="C195" s="188">
        <f t="shared" si="19"/>
        <v>28581.513183034396</v>
      </c>
      <c r="D195" s="188">
        <f t="shared" si="19"/>
        <v>36662.486816965597</v>
      </c>
      <c r="E195" s="188">
        <f t="shared" si="19"/>
        <v>65244</v>
      </c>
      <c r="F195" s="188">
        <f t="shared" si="19"/>
        <v>0</v>
      </c>
      <c r="G195" s="188">
        <f t="shared" si="19"/>
        <v>65244</v>
      </c>
      <c r="H195" s="189"/>
      <c r="L195" s="90"/>
    </row>
    <row r="196" spans="1:12" x14ac:dyDescent="0.2">
      <c r="A196" s="158"/>
      <c r="B196" s="158"/>
      <c r="C196" s="159"/>
      <c r="D196" s="159"/>
      <c r="E196" s="159"/>
      <c r="F196" s="159"/>
      <c r="G196" s="159"/>
      <c r="H196" s="159"/>
      <c r="L196" s="90"/>
    </row>
    <row r="197" spans="1:12" x14ac:dyDescent="0.2">
      <c r="A197" s="158" t="s">
        <v>563</v>
      </c>
      <c r="B197" s="158"/>
      <c r="C197" s="254">
        <f>+C195+C141+C86+C29</f>
        <v>132318.86343939864</v>
      </c>
      <c r="D197" s="254">
        <f>+D195+D141+D86+D29</f>
        <v>107818.29656060133</v>
      </c>
      <c r="E197" s="254">
        <f>+E195+E141+E86+E29</f>
        <v>240137.16</v>
      </c>
      <c r="F197" s="159"/>
      <c r="G197" s="159"/>
      <c r="H197" s="159"/>
    </row>
    <row r="198" spans="1:12" x14ac:dyDescent="0.2">
      <c r="A198" s="158"/>
      <c r="B198" s="158"/>
      <c r="C198" s="159"/>
      <c r="D198" s="159"/>
      <c r="E198" s="159"/>
      <c r="F198" s="159"/>
      <c r="G198" s="159"/>
      <c r="H198" s="159"/>
    </row>
    <row r="199" spans="1:12" x14ac:dyDescent="0.2">
      <c r="A199" s="158"/>
      <c r="B199" s="158"/>
      <c r="C199" s="159"/>
      <c r="D199" s="159"/>
      <c r="E199" s="159"/>
      <c r="F199" s="159"/>
      <c r="G199" s="159"/>
      <c r="H199" s="159"/>
    </row>
    <row r="200" spans="1:12" x14ac:dyDescent="0.2">
      <c r="A200" s="158"/>
      <c r="B200" s="158"/>
      <c r="C200" s="159"/>
      <c r="D200" s="159"/>
      <c r="E200" s="159"/>
      <c r="F200" s="159"/>
      <c r="G200" s="159"/>
      <c r="H200" s="159"/>
    </row>
    <row r="201" spans="1:12" x14ac:dyDescent="0.2">
      <c r="B201" s="158"/>
      <c r="D201" s="159"/>
      <c r="E201" s="159"/>
      <c r="F201" s="159"/>
      <c r="G201" s="159"/>
      <c r="H201" s="159"/>
    </row>
    <row r="202" spans="1:12" x14ac:dyDescent="0.2">
      <c r="A202" s="159"/>
      <c r="B202" s="158"/>
      <c r="C202" s="159"/>
      <c r="E202" s="159"/>
      <c r="F202" s="159"/>
      <c r="G202" s="159"/>
      <c r="H202" s="159"/>
    </row>
    <row r="203" spans="1:12" x14ac:dyDescent="0.2">
      <c r="A203" s="158"/>
      <c r="B203" s="158"/>
      <c r="C203" s="159"/>
      <c r="D203" s="159"/>
      <c r="E203" s="159"/>
      <c r="F203" s="159"/>
      <c r="G203" s="159"/>
      <c r="H203" s="159"/>
    </row>
    <row r="204" spans="1:12" x14ac:dyDescent="0.2">
      <c r="A204" s="158"/>
      <c r="B204" s="158"/>
      <c r="C204" s="159"/>
      <c r="D204" s="159"/>
      <c r="E204" s="159"/>
      <c r="F204" s="159"/>
      <c r="G204" s="159"/>
      <c r="H204" s="159"/>
    </row>
    <row r="205" spans="1:12" x14ac:dyDescent="0.2">
      <c r="A205" s="158"/>
      <c r="B205" s="158"/>
      <c r="C205" s="159"/>
      <c r="D205" s="159"/>
      <c r="E205" s="159"/>
      <c r="F205" s="159"/>
      <c r="G205" s="159"/>
      <c r="H205" s="159"/>
    </row>
    <row r="206" spans="1:12" x14ac:dyDescent="0.2">
      <c r="A206" s="158"/>
      <c r="B206" s="158"/>
      <c r="C206" s="159"/>
      <c r="D206" s="159"/>
      <c r="E206" s="159"/>
      <c r="F206" s="159"/>
      <c r="G206" s="159"/>
      <c r="H206" s="159"/>
    </row>
    <row r="207" spans="1:12" x14ac:dyDescent="0.2">
      <c r="A207" s="158"/>
      <c r="B207" s="158"/>
      <c r="C207" s="159"/>
      <c r="D207" s="159"/>
      <c r="E207" s="159"/>
      <c r="F207" s="159"/>
      <c r="G207" s="159"/>
      <c r="H207" s="159"/>
    </row>
    <row r="208" spans="1:12" x14ac:dyDescent="0.2">
      <c r="A208" s="158"/>
      <c r="B208" s="158"/>
      <c r="C208" s="159"/>
      <c r="D208" s="159"/>
      <c r="E208" s="159"/>
      <c r="F208" s="159"/>
      <c r="G208" s="159"/>
      <c r="H208" s="159"/>
    </row>
    <row r="209" spans="1:8" x14ac:dyDescent="0.2">
      <c r="A209" s="158"/>
      <c r="B209" s="158"/>
      <c r="C209" s="159"/>
      <c r="D209" s="159"/>
      <c r="E209" s="159"/>
      <c r="F209" s="159"/>
      <c r="G209" s="159"/>
      <c r="H209" s="159"/>
    </row>
    <row r="210" spans="1:8" x14ac:dyDescent="0.2">
      <c r="A210" s="158"/>
      <c r="B210" s="158"/>
      <c r="C210" s="159"/>
      <c r="D210" s="159"/>
      <c r="E210" s="159"/>
      <c r="F210" s="159"/>
      <c r="G210" s="159"/>
      <c r="H210" s="159"/>
    </row>
    <row r="211" spans="1:8" x14ac:dyDescent="0.2">
      <c r="A211" s="158"/>
      <c r="B211" s="158"/>
      <c r="C211" s="159"/>
      <c r="D211" s="159"/>
      <c r="E211" s="159"/>
      <c r="F211" s="159"/>
      <c r="G211" s="159"/>
      <c r="H211" s="159"/>
    </row>
    <row r="212" spans="1:8" x14ac:dyDescent="0.2">
      <c r="A212" s="158"/>
      <c r="B212" s="158"/>
      <c r="C212" s="159"/>
      <c r="D212" s="159"/>
      <c r="E212" s="159"/>
      <c r="F212" s="159"/>
      <c r="G212" s="159"/>
      <c r="H212" s="159"/>
    </row>
    <row r="213" spans="1:8" x14ac:dyDescent="0.2">
      <c r="A213" s="158"/>
      <c r="B213" s="158"/>
      <c r="C213" s="159"/>
      <c r="D213" s="159"/>
      <c r="E213" s="159"/>
      <c r="F213" s="159"/>
      <c r="G213" s="159"/>
      <c r="H213" s="159"/>
    </row>
    <row r="214" spans="1:8" x14ac:dyDescent="0.2">
      <c r="A214" s="158"/>
      <c r="B214" s="158"/>
      <c r="C214" s="159"/>
      <c r="D214" s="159"/>
      <c r="E214" s="159"/>
      <c r="F214" s="159"/>
      <c r="G214" s="159"/>
      <c r="H214" s="159"/>
    </row>
    <row r="215" spans="1:8" x14ac:dyDescent="0.2">
      <c r="A215" s="158"/>
      <c r="B215" s="158"/>
      <c r="C215" s="159"/>
      <c r="D215" s="159"/>
      <c r="E215" s="159"/>
      <c r="F215" s="159"/>
      <c r="G215" s="159"/>
      <c r="H215" s="159"/>
    </row>
    <row r="216" spans="1:8" x14ac:dyDescent="0.2">
      <c r="A216" s="158"/>
      <c r="B216" s="158"/>
      <c r="C216" s="159"/>
      <c r="D216" s="159"/>
      <c r="E216" s="159"/>
      <c r="F216" s="159"/>
      <c r="G216" s="159"/>
      <c r="H216" s="159"/>
    </row>
    <row r="217" spans="1:8" x14ac:dyDescent="0.2">
      <c r="A217" s="158"/>
      <c r="B217" s="158"/>
      <c r="C217" s="159"/>
      <c r="D217" s="159"/>
      <c r="E217" s="159"/>
      <c r="F217" s="159"/>
      <c r="G217" s="159"/>
      <c r="H217" s="159"/>
    </row>
    <row r="218" spans="1:8" x14ac:dyDescent="0.2">
      <c r="A218" s="158"/>
      <c r="B218" s="158"/>
      <c r="C218" s="159"/>
      <c r="D218" s="159"/>
      <c r="E218" s="159"/>
      <c r="F218" s="159"/>
      <c r="G218" s="159"/>
      <c r="H218" s="159"/>
    </row>
    <row r="219" spans="1:8" x14ac:dyDescent="0.2">
      <c r="A219" s="158"/>
      <c r="B219" s="158"/>
      <c r="C219" s="159"/>
      <c r="D219" s="159"/>
      <c r="E219" s="159"/>
      <c r="F219" s="159"/>
      <c r="G219" s="159"/>
      <c r="H219" s="159"/>
    </row>
    <row r="220" spans="1:8" x14ac:dyDescent="0.2">
      <c r="A220" s="158"/>
      <c r="B220" s="158"/>
      <c r="C220" s="159"/>
      <c r="D220" s="159"/>
      <c r="E220" s="159"/>
      <c r="F220" s="159"/>
      <c r="G220" s="159"/>
      <c r="H220" s="159"/>
    </row>
    <row r="221" spans="1:8" x14ac:dyDescent="0.2">
      <c r="A221" s="158"/>
      <c r="B221" s="158"/>
      <c r="C221" s="159"/>
      <c r="D221" s="159"/>
      <c r="E221" s="159"/>
      <c r="F221" s="159"/>
      <c r="G221" s="159"/>
      <c r="H221" s="159"/>
    </row>
    <row r="222" spans="1:8" x14ac:dyDescent="0.2">
      <c r="A222" s="158"/>
      <c r="B222" s="158"/>
      <c r="C222" s="159"/>
      <c r="D222" s="159"/>
      <c r="E222" s="159"/>
      <c r="F222" s="159"/>
      <c r="G222" s="159"/>
      <c r="H222" s="159"/>
    </row>
    <row r="223" spans="1:8" ht="18" x14ac:dyDescent="0.25">
      <c r="A223" s="844" t="s">
        <v>426</v>
      </c>
      <c r="B223" s="844"/>
      <c r="C223" s="844"/>
      <c r="D223" s="844"/>
      <c r="E223" s="844"/>
      <c r="F223" s="844"/>
      <c r="G223" s="844"/>
      <c r="H223" s="844"/>
    </row>
    <row r="224" spans="1:8" ht="18" x14ac:dyDescent="0.25">
      <c r="A224" s="845" t="s">
        <v>439</v>
      </c>
      <c r="B224" s="845"/>
      <c r="C224" s="845"/>
      <c r="D224" s="845"/>
      <c r="E224" s="845"/>
      <c r="F224" s="845"/>
      <c r="G224" s="845"/>
      <c r="H224" s="845"/>
    </row>
    <row r="225" spans="1:16" ht="18" x14ac:dyDescent="0.25">
      <c r="A225" s="845" t="s">
        <v>537</v>
      </c>
      <c r="B225" s="845"/>
      <c r="C225" s="845"/>
      <c r="D225" s="845"/>
      <c r="E225" s="845"/>
      <c r="F225" s="845"/>
      <c r="G225" s="845"/>
      <c r="H225" s="845"/>
    </row>
    <row r="226" spans="1:16" x14ac:dyDescent="0.2">
      <c r="A226" s="365"/>
      <c r="B226" s="365"/>
      <c r="C226" s="366"/>
      <c r="D226" s="366"/>
      <c r="E226" s="366"/>
      <c r="F226" s="366"/>
      <c r="G226" s="366"/>
      <c r="H226" s="366"/>
    </row>
    <row r="227" spans="1:16" ht="15.75" x14ac:dyDescent="0.25">
      <c r="A227" s="846" t="s">
        <v>184</v>
      </c>
      <c r="B227" s="846"/>
      <c r="C227" s="846"/>
      <c r="D227" s="846"/>
      <c r="E227" s="846"/>
      <c r="F227" s="846"/>
      <c r="G227" s="846"/>
      <c r="H227" s="846"/>
      <c r="I227" s="597"/>
      <c r="J227" s="597"/>
      <c r="K227" s="597"/>
      <c r="L227" s="597"/>
      <c r="M227" s="597"/>
      <c r="N227" s="597"/>
    </row>
    <row r="228" spans="1:16" ht="15.75" x14ac:dyDescent="0.25">
      <c r="A228" s="250" t="s">
        <v>394</v>
      </c>
      <c r="B228" s="250"/>
      <c r="C228" s="847" t="s">
        <v>478</v>
      </c>
      <c r="D228" s="847"/>
      <c r="E228" s="250"/>
      <c r="F228" s="250"/>
      <c r="G228" s="250"/>
      <c r="H228" s="250"/>
      <c r="I228" s="597"/>
      <c r="J228" s="597"/>
      <c r="K228" s="597"/>
      <c r="L228" s="597"/>
      <c r="M228" s="597"/>
      <c r="N228" s="597"/>
    </row>
    <row r="229" spans="1:16" x14ac:dyDescent="0.2">
      <c r="A229" s="160"/>
      <c r="B229" s="160"/>
      <c r="C229" s="162"/>
      <c r="D229" s="162"/>
      <c r="E229" s="162"/>
      <c r="F229" s="162"/>
      <c r="G229" s="162"/>
      <c r="H229" s="162"/>
      <c r="I229" s="597"/>
      <c r="J229" s="597" t="s">
        <v>347</v>
      </c>
      <c r="K229" s="597"/>
      <c r="L229" s="597">
        <f>360*100/6.25</f>
        <v>5760</v>
      </c>
      <c r="M229" s="597"/>
      <c r="N229" s="597"/>
    </row>
    <row r="230" spans="1:16" x14ac:dyDescent="0.2">
      <c r="A230" s="163" t="s">
        <v>185</v>
      </c>
      <c r="B230" s="164" t="s">
        <v>186</v>
      </c>
      <c r="C230" s="161">
        <f>L237</f>
        <v>213441.31</v>
      </c>
      <c r="D230" s="162" t="s">
        <v>187</v>
      </c>
      <c r="E230" s="162"/>
      <c r="F230" s="162"/>
      <c r="G230" s="162"/>
      <c r="H230" s="162"/>
      <c r="I230" s="597"/>
      <c r="J230" s="597"/>
      <c r="K230" s="597"/>
      <c r="L230" s="597"/>
      <c r="M230" s="597"/>
      <c r="N230" s="597"/>
    </row>
    <row r="231" spans="1:16" x14ac:dyDescent="0.2">
      <c r="A231" s="161" t="s">
        <v>188</v>
      </c>
      <c r="B231" s="160"/>
      <c r="C231" s="165">
        <v>6.25E-2</v>
      </c>
      <c r="D231" s="162" t="s">
        <v>100</v>
      </c>
      <c r="E231" s="162"/>
      <c r="F231" s="162"/>
      <c r="G231" s="162"/>
      <c r="H231" s="162"/>
      <c r="I231" s="597"/>
      <c r="J231" s="597"/>
      <c r="K231" s="597"/>
      <c r="L231" s="597"/>
      <c r="M231" s="597"/>
      <c r="N231" s="597"/>
    </row>
    <row r="232" spans="1:16" x14ac:dyDescent="0.2">
      <c r="A232" s="161" t="s">
        <v>189</v>
      </c>
      <c r="B232" s="160"/>
      <c r="C232" s="161">
        <v>0</v>
      </c>
      <c r="D232" s="162" t="s">
        <v>190</v>
      </c>
      <c r="E232" s="162"/>
      <c r="F232" s="162"/>
      <c r="G232" s="162"/>
      <c r="H232" s="162"/>
      <c r="I232" s="597"/>
      <c r="J232" s="597"/>
      <c r="K232" s="597"/>
      <c r="L232" s="597"/>
      <c r="M232" s="597"/>
      <c r="N232" s="597"/>
    </row>
    <row r="233" spans="1:16" x14ac:dyDescent="0.2">
      <c r="A233" s="161" t="s">
        <v>191</v>
      </c>
      <c r="B233" s="164" t="s">
        <v>186</v>
      </c>
      <c r="C233" s="161">
        <v>8579.7800000000007</v>
      </c>
      <c r="D233" s="162" t="s">
        <v>190</v>
      </c>
      <c r="E233" s="162"/>
      <c r="F233" s="162"/>
      <c r="G233" s="162"/>
      <c r="H233" s="162"/>
      <c r="I233" s="597"/>
      <c r="J233" s="597"/>
      <c r="K233" s="597"/>
      <c r="L233" s="597"/>
      <c r="M233" s="597"/>
      <c r="N233" s="597"/>
    </row>
    <row r="234" spans="1:16" ht="13.5" thickBot="1" x14ac:dyDescent="0.25">
      <c r="A234" s="160"/>
      <c r="B234" s="162"/>
      <c r="C234" s="162"/>
      <c r="D234" s="162"/>
      <c r="E234" s="162"/>
      <c r="F234" s="162"/>
      <c r="G234" s="162"/>
      <c r="H234" s="162"/>
      <c r="I234" s="597"/>
      <c r="J234" s="597"/>
      <c r="K234" s="597"/>
      <c r="L234" s="597"/>
      <c r="M234" s="597"/>
      <c r="N234" s="597"/>
    </row>
    <row r="235" spans="1:16" x14ac:dyDescent="0.2">
      <c r="A235" s="166"/>
      <c r="B235" s="167"/>
      <c r="C235" s="836" t="s">
        <v>192</v>
      </c>
      <c r="D235" s="837"/>
      <c r="E235" s="836" t="s">
        <v>193</v>
      </c>
      <c r="F235" s="838"/>
      <c r="G235" s="837"/>
      <c r="H235" s="168"/>
      <c r="I235" s="597"/>
      <c r="J235" s="597" t="s">
        <v>538</v>
      </c>
      <c r="K235" s="597"/>
      <c r="L235" s="599">
        <v>213441.31</v>
      </c>
      <c r="M235" s="597"/>
      <c r="N235" s="597"/>
    </row>
    <row r="236" spans="1:16" x14ac:dyDescent="0.2">
      <c r="A236" s="169"/>
      <c r="B236" s="170"/>
      <c r="C236" s="839" t="s">
        <v>194</v>
      </c>
      <c r="D236" s="840"/>
      <c r="E236" s="171" t="s">
        <v>195</v>
      </c>
      <c r="F236" s="171" t="s">
        <v>196</v>
      </c>
      <c r="G236" s="841" t="s">
        <v>346</v>
      </c>
      <c r="H236" s="172" t="s">
        <v>198</v>
      </c>
      <c r="I236" s="597"/>
      <c r="J236" s="597" t="s">
        <v>477</v>
      </c>
      <c r="K236" s="597"/>
      <c r="L236" s="599">
        <v>0</v>
      </c>
      <c r="M236" s="597"/>
      <c r="N236" s="597"/>
    </row>
    <row r="237" spans="1:16" ht="13.5" thickBot="1" x14ac:dyDescent="0.25">
      <c r="A237" s="173" t="s">
        <v>199</v>
      </c>
      <c r="B237" s="174" t="s">
        <v>200</v>
      </c>
      <c r="C237" s="175" t="s">
        <v>207</v>
      </c>
      <c r="D237" s="175" t="s">
        <v>201</v>
      </c>
      <c r="E237" s="176" t="s">
        <v>202</v>
      </c>
      <c r="F237" s="175" t="s">
        <v>203</v>
      </c>
      <c r="G237" s="842"/>
      <c r="H237" s="177" t="s">
        <v>205</v>
      </c>
      <c r="I237" s="597"/>
      <c r="J237" s="597" t="s">
        <v>509</v>
      </c>
      <c r="K237" s="597"/>
      <c r="L237" s="599">
        <f>SUM(L235-L236)</f>
        <v>213441.31</v>
      </c>
      <c r="M237" s="597"/>
      <c r="N237" s="597"/>
      <c r="P237" s="39">
        <v>300024.32000000001</v>
      </c>
    </row>
    <row r="238" spans="1:16" x14ac:dyDescent="0.2">
      <c r="A238" s="178">
        <v>43466</v>
      </c>
      <c r="B238" s="170">
        <v>0</v>
      </c>
      <c r="C238" s="179">
        <v>0</v>
      </c>
      <c r="D238" s="179">
        <v>0</v>
      </c>
      <c r="E238" s="179">
        <v>0</v>
      </c>
      <c r="F238" s="179"/>
      <c r="G238" s="179"/>
      <c r="H238" s="180">
        <f>C230</f>
        <v>213441.31</v>
      </c>
      <c r="I238" s="597"/>
      <c r="J238" s="597"/>
      <c r="K238" s="597"/>
      <c r="L238" s="599"/>
      <c r="M238" s="597"/>
      <c r="N238" s="597"/>
    </row>
    <row r="239" spans="1:16" x14ac:dyDescent="0.2">
      <c r="A239" s="181">
        <v>43496</v>
      </c>
      <c r="B239" s="182">
        <v>31</v>
      </c>
      <c r="C239" s="183">
        <f>SUM(H238*31/5760)</f>
        <v>1148.7292725694444</v>
      </c>
      <c r="D239" s="183">
        <f>SUM(C233-C239)</f>
        <v>7431.0507274305564</v>
      </c>
      <c r="E239" s="184">
        <f>SUM(C239:D239)</f>
        <v>8579.7800000000007</v>
      </c>
      <c r="F239" s="183"/>
      <c r="G239" s="183">
        <f t="shared" ref="G239:G250" si="20">SUM(E239:F239)</f>
        <v>8579.7800000000007</v>
      </c>
      <c r="H239" s="185">
        <f t="shared" ref="H239:H250" si="21">+H238-D239</f>
        <v>206010.25927256944</v>
      </c>
      <c r="I239" s="597"/>
      <c r="J239" s="597"/>
      <c r="K239" s="597"/>
      <c r="L239" s="598"/>
      <c r="M239" s="597"/>
      <c r="N239" s="597"/>
    </row>
    <row r="240" spans="1:16" x14ac:dyDescent="0.2">
      <c r="A240" s="181">
        <v>43524</v>
      </c>
      <c r="B240" s="182">
        <v>28</v>
      </c>
      <c r="C240" s="183">
        <f t="shared" ref="C240:C250" si="22">SUM(H239*31/5760)</f>
        <v>1108.7357703905645</v>
      </c>
      <c r="D240" s="183">
        <f>SUM(C233-C240)</f>
        <v>7471.0442296094361</v>
      </c>
      <c r="E240" s="184">
        <f>SUM(C240:D240)</f>
        <v>8579.7800000000007</v>
      </c>
      <c r="F240" s="183"/>
      <c r="G240" s="183">
        <f t="shared" si="20"/>
        <v>8579.7800000000007</v>
      </c>
      <c r="H240" s="185">
        <f t="shared" si="21"/>
        <v>198539.21504296002</v>
      </c>
      <c r="I240" s="597"/>
      <c r="J240" s="597"/>
      <c r="K240" s="597"/>
      <c r="L240" s="598"/>
      <c r="M240" s="597"/>
      <c r="N240" s="597"/>
    </row>
    <row r="241" spans="1:12" x14ac:dyDescent="0.2">
      <c r="A241" s="181">
        <v>43555</v>
      </c>
      <c r="B241" s="182">
        <v>31</v>
      </c>
      <c r="C241" s="183">
        <f t="shared" si="22"/>
        <v>1068.5270254048196</v>
      </c>
      <c r="D241" s="183">
        <f>SUM(C233-C241)</f>
        <v>7511.2529745951815</v>
      </c>
      <c r="E241" s="184">
        <f t="shared" ref="E241:E250" si="23">SUM(C241:D241)</f>
        <v>8579.7800000000007</v>
      </c>
      <c r="F241" s="183"/>
      <c r="G241" s="183">
        <f t="shared" si="20"/>
        <v>8579.7800000000007</v>
      </c>
      <c r="H241" s="185">
        <f t="shared" si="21"/>
        <v>191027.96206836484</v>
      </c>
      <c r="L241" s="90"/>
    </row>
    <row r="242" spans="1:12" x14ac:dyDescent="0.2">
      <c r="A242" s="181">
        <v>43585</v>
      </c>
      <c r="B242" s="182">
        <v>30</v>
      </c>
      <c r="C242" s="183">
        <f t="shared" si="22"/>
        <v>1028.1018791873803</v>
      </c>
      <c r="D242" s="183">
        <f>SUM(C233-C242)</f>
        <v>7551.6781208126204</v>
      </c>
      <c r="E242" s="184">
        <f t="shared" si="23"/>
        <v>8579.7800000000007</v>
      </c>
      <c r="F242" s="183"/>
      <c r="G242" s="183">
        <f t="shared" si="20"/>
        <v>8579.7800000000007</v>
      </c>
      <c r="H242" s="185">
        <f t="shared" si="21"/>
        <v>183476.28394755221</v>
      </c>
      <c r="L242" s="90"/>
    </row>
    <row r="243" spans="1:12" x14ac:dyDescent="0.2">
      <c r="A243" s="181">
        <v>43616</v>
      </c>
      <c r="B243" s="182">
        <v>31</v>
      </c>
      <c r="C243" s="183">
        <f t="shared" si="22"/>
        <v>987.45916707883998</v>
      </c>
      <c r="D243" s="183">
        <f>SUM(C233-C243)</f>
        <v>7592.3208329211611</v>
      </c>
      <c r="E243" s="184">
        <f t="shared" si="23"/>
        <v>8579.7800000000007</v>
      </c>
      <c r="F243" s="183"/>
      <c r="G243" s="183">
        <f t="shared" si="20"/>
        <v>8579.7800000000007</v>
      </c>
      <c r="H243" s="185">
        <f t="shared" si="21"/>
        <v>175883.96311463104</v>
      </c>
      <c r="L243" s="90"/>
    </row>
    <row r="244" spans="1:12" x14ac:dyDescent="0.2">
      <c r="A244" s="181">
        <v>43646</v>
      </c>
      <c r="B244" s="182">
        <v>30</v>
      </c>
      <c r="C244" s="183">
        <f t="shared" si="22"/>
        <v>946.59771815166005</v>
      </c>
      <c r="D244" s="183">
        <f>SUM(C233-C244)</f>
        <v>7633.1822818483406</v>
      </c>
      <c r="E244" s="184">
        <f t="shared" si="23"/>
        <v>8579.7800000000007</v>
      </c>
      <c r="F244" s="183"/>
      <c r="G244" s="183">
        <f t="shared" si="20"/>
        <v>8579.7800000000007</v>
      </c>
      <c r="H244" s="185">
        <f t="shared" si="21"/>
        <v>168250.78083278271</v>
      </c>
      <c r="L244" s="90"/>
    </row>
    <row r="245" spans="1:12" x14ac:dyDescent="0.2">
      <c r="A245" s="181">
        <v>43677</v>
      </c>
      <c r="B245" s="182">
        <v>31</v>
      </c>
      <c r="C245" s="183">
        <f t="shared" si="22"/>
        <v>905.51635517643479</v>
      </c>
      <c r="D245" s="183">
        <f>SUM(C233-C245)</f>
        <v>7674.2636448235662</v>
      </c>
      <c r="E245" s="184">
        <f t="shared" si="23"/>
        <v>8579.7800000000007</v>
      </c>
      <c r="F245" s="183"/>
      <c r="G245" s="183">
        <f t="shared" si="20"/>
        <v>8579.7800000000007</v>
      </c>
      <c r="H245" s="185">
        <f t="shared" si="21"/>
        <v>160576.51718795914</v>
      </c>
      <c r="L245" s="90"/>
    </row>
    <row r="246" spans="1:12" x14ac:dyDescent="0.2">
      <c r="A246" s="181">
        <v>43708</v>
      </c>
      <c r="B246" s="182">
        <v>31</v>
      </c>
      <c r="C246" s="183">
        <f t="shared" si="22"/>
        <v>864.21389458797444</v>
      </c>
      <c r="D246" s="183">
        <f>SUM(C233-C246)</f>
        <v>7715.5661054120264</v>
      </c>
      <c r="E246" s="184">
        <f t="shared" si="23"/>
        <v>8579.7800000000007</v>
      </c>
      <c r="F246" s="183"/>
      <c r="G246" s="183">
        <f t="shared" si="20"/>
        <v>8579.7800000000007</v>
      </c>
      <c r="H246" s="185">
        <f t="shared" si="21"/>
        <v>152860.95108254711</v>
      </c>
      <c r="L246" s="90"/>
    </row>
    <row r="247" spans="1:12" x14ac:dyDescent="0.2">
      <c r="A247" s="181">
        <v>43738</v>
      </c>
      <c r="B247" s="182">
        <v>30</v>
      </c>
      <c r="C247" s="183">
        <f t="shared" si="22"/>
        <v>822.68914645120833</v>
      </c>
      <c r="D247" s="183">
        <f>SUM(C233-C247)</f>
        <v>7757.0908535487924</v>
      </c>
      <c r="E247" s="184">
        <f t="shared" si="23"/>
        <v>8579.7800000000007</v>
      </c>
      <c r="F247" s="183"/>
      <c r="G247" s="183">
        <f t="shared" si="20"/>
        <v>8579.7800000000007</v>
      </c>
      <c r="H247" s="185">
        <f t="shared" si="21"/>
        <v>145103.86022899832</v>
      </c>
      <c r="L247" s="90"/>
    </row>
    <row r="248" spans="1:12" x14ac:dyDescent="0.2">
      <c r="A248" s="181">
        <v>43769</v>
      </c>
      <c r="B248" s="182">
        <v>31</v>
      </c>
      <c r="C248" s="183">
        <f t="shared" si="22"/>
        <v>780.94091442690069</v>
      </c>
      <c r="D248" s="183">
        <f>SUM(C233-C248)</f>
        <v>7798.8390855730995</v>
      </c>
      <c r="E248" s="184">
        <f t="shared" si="23"/>
        <v>8579.7800000000007</v>
      </c>
      <c r="F248" s="183"/>
      <c r="G248" s="183">
        <f t="shared" si="20"/>
        <v>8579.7800000000007</v>
      </c>
      <c r="H248" s="185">
        <f t="shared" si="21"/>
        <v>137305.02114342523</v>
      </c>
      <c r="L248" s="90"/>
    </row>
    <row r="249" spans="1:12" x14ac:dyDescent="0.2">
      <c r="A249" s="181">
        <v>43799</v>
      </c>
      <c r="B249" s="182">
        <v>30</v>
      </c>
      <c r="C249" s="183">
        <f t="shared" si="22"/>
        <v>738.96799573718442</v>
      </c>
      <c r="D249" s="183">
        <f>SUM(C233-C249)</f>
        <v>7840.8120042628161</v>
      </c>
      <c r="E249" s="184">
        <f t="shared" si="23"/>
        <v>8579.7800000000007</v>
      </c>
      <c r="F249" s="183"/>
      <c r="G249" s="183">
        <f t="shared" si="20"/>
        <v>8579.7800000000007</v>
      </c>
      <c r="H249" s="185">
        <f t="shared" si="21"/>
        <v>129464.20913916241</v>
      </c>
      <c r="L249" s="90"/>
    </row>
    <row r="250" spans="1:12" x14ac:dyDescent="0.2">
      <c r="A250" s="181">
        <v>43830</v>
      </c>
      <c r="B250" s="182">
        <v>31</v>
      </c>
      <c r="C250" s="183">
        <f t="shared" si="22"/>
        <v>696.76918113090881</v>
      </c>
      <c r="D250" s="183">
        <f>SUM(C233-C250)</f>
        <v>7883.010818869092</v>
      </c>
      <c r="E250" s="184">
        <f t="shared" si="23"/>
        <v>8579.7800000000007</v>
      </c>
      <c r="F250" s="183"/>
      <c r="G250" s="183">
        <f t="shared" si="20"/>
        <v>8579.7800000000007</v>
      </c>
      <c r="H250" s="185">
        <f t="shared" si="21"/>
        <v>121581.19832029332</v>
      </c>
      <c r="L250" s="90"/>
    </row>
    <row r="251" spans="1:12" x14ac:dyDescent="0.2">
      <c r="A251" s="181"/>
      <c r="B251" s="182"/>
      <c r="C251" s="183"/>
      <c r="D251" s="183"/>
      <c r="E251" s="184"/>
      <c r="F251" s="183"/>
      <c r="G251" s="183"/>
      <c r="H251" s="185"/>
      <c r="L251" s="90"/>
    </row>
    <row r="252" spans="1:12" ht="15.75" thickBot="1" x14ac:dyDescent="0.4">
      <c r="A252" s="186"/>
      <c r="B252" s="187">
        <f t="shared" ref="B252:G252" si="24">SUM(B238:B251)</f>
        <v>365</v>
      </c>
      <c r="C252" s="188">
        <f t="shared" si="24"/>
        <v>11097.24832029332</v>
      </c>
      <c r="D252" s="188">
        <f t="shared" si="24"/>
        <v>91860.111679706693</v>
      </c>
      <c r="E252" s="188">
        <f t="shared" si="24"/>
        <v>102957.36</v>
      </c>
      <c r="F252" s="188">
        <f t="shared" si="24"/>
        <v>0</v>
      </c>
      <c r="G252" s="188">
        <f t="shared" si="24"/>
        <v>102957.36</v>
      </c>
      <c r="H252" s="189"/>
      <c r="L252" s="90"/>
    </row>
    <row r="253" spans="1:12" ht="30.75" customHeight="1" x14ac:dyDescent="0.2">
      <c r="A253" s="158"/>
      <c r="B253" s="158"/>
      <c r="C253" s="159"/>
      <c r="D253" s="159"/>
      <c r="E253" s="159"/>
      <c r="F253" s="159"/>
      <c r="G253" s="159"/>
      <c r="H253" s="159"/>
      <c r="L253" s="90"/>
    </row>
    <row r="254" spans="1:12" ht="27.75" customHeight="1" x14ac:dyDescent="0.2">
      <c r="A254" s="158"/>
      <c r="B254" s="158"/>
      <c r="C254" s="590" t="s">
        <v>512</v>
      </c>
      <c r="D254" s="590" t="s">
        <v>513</v>
      </c>
      <c r="E254" s="590" t="s">
        <v>514</v>
      </c>
      <c r="F254" s="850" t="s">
        <v>511</v>
      </c>
      <c r="G254" s="851"/>
      <c r="H254" s="591">
        <f>+H238+H181+H127+H72+H15</f>
        <v>1452637.13</v>
      </c>
      <c r="I254" s="158"/>
    </row>
    <row r="255" spans="1:12" ht="27.75" customHeight="1" x14ac:dyDescent="0.2">
      <c r="A255" s="158"/>
      <c r="B255" s="158"/>
      <c r="C255" s="341">
        <f>C252+C197</f>
        <v>143416.11175969196</v>
      </c>
      <c r="D255" s="161">
        <f t="shared" ref="D255:E255" si="25">D252+D197</f>
        <v>199678.40824030802</v>
      </c>
      <c r="E255" s="341">
        <f t="shared" si="25"/>
        <v>343094.52</v>
      </c>
      <c r="F255" s="170" t="s">
        <v>540</v>
      </c>
      <c r="G255" s="340"/>
      <c r="H255" s="592">
        <f>D255</f>
        <v>199678.40824030802</v>
      </c>
      <c r="I255" s="158"/>
    </row>
    <row r="256" spans="1:12" ht="25.5" customHeight="1" x14ac:dyDescent="0.2">
      <c r="A256" s="158"/>
      <c r="B256" s="158"/>
      <c r="C256" s="593"/>
      <c r="D256" s="594"/>
      <c r="E256" s="593"/>
      <c r="F256" s="595" t="s">
        <v>539</v>
      </c>
      <c r="G256" s="595"/>
      <c r="H256" s="596">
        <f>H254-H255</f>
        <v>1252958.7217596918</v>
      </c>
      <c r="I256" s="158"/>
    </row>
    <row r="257" spans="1:16" x14ac:dyDescent="0.2">
      <c r="A257" s="158"/>
      <c r="B257" s="158"/>
      <c r="C257" s="159"/>
      <c r="D257" s="159"/>
      <c r="E257" s="159"/>
      <c r="F257" s="159"/>
      <c r="G257" s="159"/>
      <c r="H257" s="159"/>
      <c r="I257" s="158"/>
    </row>
    <row r="258" spans="1:16" x14ac:dyDescent="0.2">
      <c r="A258" s="158"/>
      <c r="B258" s="158"/>
      <c r="C258" s="159"/>
      <c r="D258" s="159"/>
      <c r="E258" s="159"/>
      <c r="F258" s="159"/>
      <c r="G258" s="159"/>
      <c r="H258" s="159"/>
      <c r="I258" s="158"/>
      <c r="P258" s="39">
        <f>SUM(P13:P251)</f>
        <v>1649516.47</v>
      </c>
    </row>
    <row r="259" spans="1:16" x14ac:dyDescent="0.2">
      <c r="A259" s="158"/>
      <c r="B259" s="158"/>
      <c r="C259" s="159"/>
      <c r="D259" s="159"/>
      <c r="E259" s="159"/>
      <c r="F259" s="159"/>
      <c r="G259" s="159"/>
      <c r="H259" s="159"/>
    </row>
    <row r="260" spans="1:16" x14ac:dyDescent="0.2">
      <c r="A260" s="158"/>
      <c r="B260" s="158"/>
      <c r="C260" s="159"/>
      <c r="D260" s="159"/>
      <c r="E260" s="159"/>
      <c r="F260" s="159"/>
      <c r="G260" s="159"/>
      <c r="H260" s="159"/>
    </row>
    <row r="261" spans="1:16" x14ac:dyDescent="0.2">
      <c r="A261" s="158"/>
      <c r="B261" s="158"/>
      <c r="C261" s="159"/>
      <c r="D261" s="159"/>
      <c r="E261" s="159"/>
      <c r="F261" s="159"/>
      <c r="G261" s="159"/>
      <c r="H261" s="159"/>
    </row>
    <row r="262" spans="1:16" x14ac:dyDescent="0.2">
      <c r="A262" s="158"/>
      <c r="B262" s="158"/>
      <c r="C262" s="159"/>
      <c r="D262" s="159"/>
      <c r="E262" s="159"/>
      <c r="F262" s="159"/>
      <c r="G262" s="159"/>
      <c r="H262" s="159"/>
    </row>
    <row r="263" spans="1:16" x14ac:dyDescent="0.2">
      <c r="A263" s="158"/>
      <c r="B263" s="158"/>
      <c r="C263" s="159"/>
      <c r="D263" s="159"/>
      <c r="E263" s="159"/>
      <c r="F263" s="159"/>
      <c r="G263" s="159"/>
      <c r="H263" s="159"/>
    </row>
    <row r="264" spans="1:16" x14ac:dyDescent="0.2">
      <c r="A264" s="158"/>
      <c r="B264" s="158"/>
      <c r="C264" s="159"/>
      <c r="D264" s="159"/>
      <c r="E264" s="159"/>
      <c r="F264" s="159"/>
      <c r="G264" s="159"/>
      <c r="H264" s="159"/>
    </row>
    <row r="265" spans="1:16" x14ac:dyDescent="0.2">
      <c r="A265" s="158"/>
      <c r="B265" s="158"/>
      <c r="C265" s="159"/>
      <c r="D265" s="159"/>
      <c r="E265" s="159"/>
      <c r="F265" s="159"/>
      <c r="G265" s="159"/>
      <c r="H265" s="159"/>
    </row>
    <row r="266" spans="1:16" x14ac:dyDescent="0.2">
      <c r="A266" s="158"/>
      <c r="B266" s="158"/>
      <c r="C266" s="159"/>
      <c r="D266" s="159"/>
      <c r="E266" s="159"/>
      <c r="F266" s="159"/>
      <c r="G266" s="159"/>
      <c r="H266" s="159"/>
    </row>
    <row r="267" spans="1:16" x14ac:dyDescent="0.2">
      <c r="A267" s="158"/>
      <c r="B267" s="158"/>
      <c r="C267" s="159"/>
      <c r="D267" s="159"/>
      <c r="E267" s="159"/>
      <c r="F267" s="159"/>
      <c r="G267" s="159"/>
      <c r="H267" s="159"/>
    </row>
    <row r="268" spans="1:16" x14ac:dyDescent="0.2">
      <c r="A268" s="158"/>
      <c r="B268" s="158"/>
      <c r="C268" s="159"/>
      <c r="D268" s="159"/>
      <c r="E268" s="159"/>
      <c r="F268" s="159"/>
      <c r="G268" s="159"/>
      <c r="H268" s="159"/>
    </row>
    <row r="269" spans="1:16" x14ac:dyDescent="0.2">
      <c r="A269" s="158"/>
      <c r="B269" s="158"/>
      <c r="C269" s="159"/>
      <c r="D269" s="159"/>
      <c r="E269" s="159"/>
      <c r="F269" s="159"/>
      <c r="G269" s="159"/>
      <c r="H269" s="159"/>
    </row>
    <row r="270" spans="1:16" x14ac:dyDescent="0.2">
      <c r="A270" s="158"/>
      <c r="B270" s="158"/>
      <c r="C270" s="159"/>
      <c r="D270" s="159"/>
      <c r="E270" s="159"/>
      <c r="F270" s="159"/>
      <c r="G270" s="159"/>
      <c r="H270" s="159"/>
    </row>
    <row r="271" spans="1:16" x14ac:dyDescent="0.2">
      <c r="A271" s="158"/>
      <c r="B271" s="158"/>
      <c r="C271" s="159"/>
      <c r="D271" s="159"/>
      <c r="E271" s="159"/>
      <c r="F271" s="159"/>
      <c r="G271" s="159"/>
      <c r="H271" s="159"/>
    </row>
    <row r="272" spans="1:16" x14ac:dyDescent="0.2">
      <c r="A272" s="158"/>
      <c r="B272" s="158"/>
      <c r="C272" s="159"/>
      <c r="D272" s="159"/>
      <c r="E272" s="159"/>
      <c r="F272" s="159"/>
      <c r="G272" s="159"/>
      <c r="H272" s="159"/>
    </row>
    <row r="273" spans="1:8" x14ac:dyDescent="0.2">
      <c r="A273" s="158"/>
      <c r="B273" s="158"/>
      <c r="C273" s="159"/>
      <c r="D273" s="159"/>
      <c r="E273" s="159"/>
      <c r="F273" s="159"/>
      <c r="G273" s="159"/>
      <c r="H273" s="159"/>
    </row>
    <row r="274" spans="1:8" x14ac:dyDescent="0.2">
      <c r="A274" s="158"/>
      <c r="B274" s="158"/>
      <c r="C274" s="159"/>
      <c r="D274" s="159"/>
      <c r="E274" s="159"/>
      <c r="F274" s="159"/>
      <c r="G274" s="159"/>
      <c r="H274" s="159"/>
    </row>
    <row r="275" spans="1:8" x14ac:dyDescent="0.2">
      <c r="A275" s="158"/>
      <c r="B275" s="158"/>
      <c r="C275" s="159"/>
      <c r="D275" s="159"/>
      <c r="E275" s="159"/>
      <c r="F275" s="159"/>
      <c r="G275" s="159"/>
      <c r="H275" s="159"/>
    </row>
    <row r="276" spans="1:8" x14ac:dyDescent="0.2">
      <c r="A276" s="158"/>
      <c r="B276" s="158"/>
      <c r="C276" s="159"/>
      <c r="D276" s="159"/>
      <c r="E276" s="159"/>
      <c r="F276" s="159"/>
      <c r="G276" s="159"/>
      <c r="H276" s="159"/>
    </row>
    <row r="277" spans="1:8" x14ac:dyDescent="0.2">
      <c r="A277" s="158"/>
      <c r="B277" s="158"/>
      <c r="C277" s="159"/>
      <c r="D277" s="159"/>
      <c r="E277" s="159"/>
      <c r="F277" s="159"/>
      <c r="G277" s="159"/>
      <c r="H277" s="159"/>
    </row>
    <row r="278" spans="1:8" x14ac:dyDescent="0.2">
      <c r="A278" s="158"/>
      <c r="B278" s="158"/>
      <c r="C278" s="159"/>
      <c r="D278" s="159"/>
      <c r="E278" s="159"/>
      <c r="F278" s="159"/>
      <c r="G278" s="159"/>
      <c r="H278" s="159"/>
    </row>
    <row r="279" spans="1:8" x14ac:dyDescent="0.2">
      <c r="A279" s="158"/>
      <c r="B279" s="158"/>
      <c r="C279" s="159"/>
      <c r="D279" s="159"/>
      <c r="E279" s="159"/>
      <c r="F279" s="159"/>
      <c r="G279" s="159"/>
      <c r="H279" s="159"/>
    </row>
    <row r="280" spans="1:8" x14ac:dyDescent="0.2">
      <c r="A280" s="158"/>
      <c r="B280" s="158"/>
      <c r="C280" s="159"/>
      <c r="D280" s="159"/>
      <c r="E280" s="159"/>
      <c r="F280" s="159"/>
      <c r="G280" s="159"/>
      <c r="H280" s="159"/>
    </row>
    <row r="281" spans="1:8" x14ac:dyDescent="0.2">
      <c r="A281" s="158"/>
      <c r="B281" s="158"/>
      <c r="C281" s="159"/>
      <c r="D281" s="159"/>
      <c r="E281" s="159"/>
      <c r="F281" s="159"/>
      <c r="G281" s="159"/>
      <c r="H281" s="159"/>
    </row>
  </sheetData>
  <sheetProtection sheet="1" formatCells="0" formatColumns="0" formatRows="0" insertColumns="0" insertRows="0" insertHyperlinks="0" deleteColumns="0" deleteRows="0" sort="0" autoFilter="0" pivotTables="0"/>
  <mergeCells count="49">
    <mergeCell ref="F254:G254"/>
    <mergeCell ref="C235:D235"/>
    <mergeCell ref="E235:G235"/>
    <mergeCell ref="C236:D236"/>
    <mergeCell ref="G236:G237"/>
    <mergeCell ref="A223:H223"/>
    <mergeCell ref="A224:H224"/>
    <mergeCell ref="A225:H225"/>
    <mergeCell ref="A227:H227"/>
    <mergeCell ref="C228:D228"/>
    <mergeCell ref="C13:D13"/>
    <mergeCell ref="G13:G14"/>
    <mergeCell ref="D53:F53"/>
    <mergeCell ref="A1:H1"/>
    <mergeCell ref="A2:H2"/>
    <mergeCell ref="A3:H3"/>
    <mergeCell ref="A5:H5"/>
    <mergeCell ref="C12:D12"/>
    <mergeCell ref="E12:G12"/>
    <mergeCell ref="C6:E6"/>
    <mergeCell ref="A57:H57"/>
    <mergeCell ref="A58:H58"/>
    <mergeCell ref="A59:H59"/>
    <mergeCell ref="A61:H61"/>
    <mergeCell ref="C69:D69"/>
    <mergeCell ref="E69:G69"/>
    <mergeCell ref="C62:F62"/>
    <mergeCell ref="C70:D70"/>
    <mergeCell ref="G70:G71"/>
    <mergeCell ref="D88:F88"/>
    <mergeCell ref="A112:H112"/>
    <mergeCell ref="A113:H113"/>
    <mergeCell ref="A114:H114"/>
    <mergeCell ref="A116:H116"/>
    <mergeCell ref="C124:D124"/>
    <mergeCell ref="E124:G124"/>
    <mergeCell ref="C125:D125"/>
    <mergeCell ref="G125:G126"/>
    <mergeCell ref="C117:F117"/>
    <mergeCell ref="C178:D178"/>
    <mergeCell ref="E178:G178"/>
    <mergeCell ref="C179:D179"/>
    <mergeCell ref="G179:G180"/>
    <mergeCell ref="D143:F143"/>
    <mergeCell ref="A166:H166"/>
    <mergeCell ref="A167:H167"/>
    <mergeCell ref="A168:H168"/>
    <mergeCell ref="A170:H170"/>
    <mergeCell ref="C171:D171"/>
  </mergeCells>
  <printOptions horizontalCentered="1"/>
  <pageMargins left="0.59055118110236227" right="0.11811023622047245" top="0.94488188976377963" bottom="0.74803149606299213" header="0.31496062992125984" footer="0.31496062992125984"/>
  <pageSetup scale="90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F81"/>
  <sheetViews>
    <sheetView zoomScale="110" zoomScaleNormal="110" workbookViewId="0">
      <pane ySplit="1" topLeftCell="A2" activePane="bottomLeft" state="frozen"/>
      <selection activeCell="X1" sqref="X1"/>
      <selection pane="bottomLeft" activeCell="M10" sqref="M10"/>
    </sheetView>
  </sheetViews>
  <sheetFormatPr baseColWidth="10" defaultColWidth="11.42578125" defaultRowHeight="12.75" x14ac:dyDescent="0.2"/>
  <cols>
    <col min="1" max="1" width="4.5703125" customWidth="1"/>
    <col min="2" max="2" width="60.85546875" customWidth="1"/>
    <col min="3" max="3" width="12.5703125" customWidth="1"/>
    <col min="4" max="4" width="12.28515625" customWidth="1"/>
    <col min="5" max="5" width="12.85546875" customWidth="1"/>
    <col min="6" max="6" width="8.42578125" customWidth="1"/>
    <col min="7" max="9" width="8.28515625" customWidth="1"/>
    <col min="10" max="10" width="6.7109375" customWidth="1"/>
    <col min="11" max="11" width="6" customWidth="1"/>
    <col min="12" max="12" width="8" customWidth="1"/>
    <col min="13" max="13" width="9.42578125" customWidth="1"/>
    <col min="14" max="15" width="6.85546875" customWidth="1"/>
    <col min="16" max="16" width="5.85546875" customWidth="1"/>
    <col min="17" max="17" width="8.28515625" customWidth="1"/>
    <col min="18" max="18" width="9.5703125" bestFit="1" customWidth="1"/>
    <col min="19" max="19" width="10.140625" customWidth="1"/>
    <col min="20" max="20" width="7.140625" customWidth="1"/>
    <col min="21" max="21" width="7.28515625" customWidth="1"/>
    <col min="22" max="22" width="6.140625" customWidth="1"/>
    <col min="23" max="26" width="7.42578125" customWidth="1"/>
    <col min="27" max="27" width="5.85546875" customWidth="1"/>
    <col min="28" max="28" width="8" customWidth="1"/>
    <col min="29" max="29" width="6.5703125" bestFit="1" customWidth="1"/>
    <col min="30" max="30" width="7" customWidth="1"/>
    <col min="31" max="31" width="7.85546875" customWidth="1"/>
    <col min="32" max="32" width="8.7109375" customWidth="1"/>
    <col min="33" max="33" width="8.42578125" customWidth="1"/>
    <col min="34" max="34" width="9.140625" customWidth="1"/>
    <col min="35" max="35" width="8.5703125" customWidth="1"/>
    <col min="36" max="36" width="6.42578125" customWidth="1"/>
    <col min="37" max="38" width="9" customWidth="1"/>
    <col min="39" max="39" width="6.85546875" customWidth="1"/>
    <col min="40" max="45" width="5.85546875" customWidth="1"/>
    <col min="46" max="46" width="11" customWidth="1"/>
    <col min="47" max="47" width="5.85546875" customWidth="1"/>
    <col min="48" max="48" width="6.28515625" customWidth="1"/>
    <col min="49" max="50" width="8.7109375" customWidth="1"/>
    <col min="51" max="51" width="6.28515625" customWidth="1"/>
    <col min="52" max="52" width="14.42578125" customWidth="1"/>
    <col min="53" max="53" width="18.140625" customWidth="1"/>
  </cols>
  <sheetData>
    <row r="1" spans="1:58" ht="54.75" customHeight="1" x14ac:dyDescent="0.2">
      <c r="A1" s="854" t="s">
        <v>467</v>
      </c>
      <c r="B1" s="854"/>
      <c r="C1" s="854"/>
      <c r="D1" s="854"/>
      <c r="E1" s="854"/>
      <c r="F1" s="616" t="str">
        <f>'Egr.FODES 75%'!E10</f>
        <v>Sueldos</v>
      </c>
      <c r="G1" s="616" t="s">
        <v>419</v>
      </c>
      <c r="H1" s="616" t="s">
        <v>589</v>
      </c>
      <c r="I1" s="616" t="s">
        <v>590</v>
      </c>
      <c r="J1" s="617" t="str">
        <f>'Egr.FODES 75%'!E12</f>
        <v>Contribuciones patronales a Instit. Sector Publico</v>
      </c>
      <c r="K1" s="617" t="str">
        <f>'Egr.FODES 75%'!E13</f>
        <v>Contrib. Patronales a institucionesl del Sector Priv.</v>
      </c>
      <c r="L1" s="617" t="str">
        <f>'Egr.FODES 75%'!E14</f>
        <v>Salarios por Jornal</v>
      </c>
      <c r="M1" s="617" t="str">
        <f>'Egr.FODES 75%'!E15</f>
        <v>Honorarios</v>
      </c>
      <c r="N1" s="617" t="s">
        <v>376</v>
      </c>
      <c r="O1" s="617" t="str">
        <f>'Egr.FODES 75%'!E17</f>
        <v>Productos Agropecuarios y Forestales</v>
      </c>
      <c r="P1" s="617" t="s">
        <v>383</v>
      </c>
      <c r="Q1" s="617" t="s">
        <v>384</v>
      </c>
      <c r="R1" s="617" t="str">
        <f>'Egr.FODES 75%'!E22</f>
        <v>Combustibles y Lubricantes</v>
      </c>
      <c r="S1" s="617" t="str">
        <f>'Egr.FODES 75%'!E23</f>
        <v>Miner. No Metalicos y Prod. Der.</v>
      </c>
      <c r="T1" s="617" t="str">
        <f>'Egr.FODES 75%'!E25</f>
        <v>Materiales de Oficina</v>
      </c>
      <c r="U1" s="617" t="s">
        <v>464</v>
      </c>
      <c r="V1" s="617" t="s">
        <v>80</v>
      </c>
      <c r="W1" s="617" t="str">
        <f>'Egr.FODES 75%'!E28</f>
        <v>Herramientas, Repuestos y Accesorios</v>
      </c>
      <c r="X1" s="617" t="s">
        <v>519</v>
      </c>
      <c r="Y1" s="617" t="s">
        <v>520</v>
      </c>
      <c r="Z1" s="617" t="s">
        <v>521</v>
      </c>
      <c r="AA1" s="617" t="str">
        <f>'Egr.FODES 75%'!E29</f>
        <v>Materiales Electricos</v>
      </c>
      <c r="AB1" s="617" t="str">
        <f>'Egr.FODES 75%'!E30</f>
        <v>Bienes de Uso y Consumo Diverso</v>
      </c>
      <c r="AC1" s="617" t="str">
        <f>'Egr.FODES 75%'!E33</f>
        <v>Mantenimiento  y Repar. de Bienes  Muebles</v>
      </c>
      <c r="AD1" s="617" t="s">
        <v>480</v>
      </c>
      <c r="AE1" s="617" t="str">
        <f>'Egr.FODES 75%'!E36</f>
        <v>Transportes Fletes y almacenamientos</v>
      </c>
      <c r="AF1" s="617" t="str">
        <f>'Egr.FODES 75%'!E41</f>
        <v>Atenciones Oficiales</v>
      </c>
      <c r="AG1" s="617" t="str">
        <f>'Egr.FODES 75%'!E43</f>
        <v>Servicios Generales y Arrendamientos Diversos</v>
      </c>
      <c r="AH1" s="617" t="str">
        <f>'Egr.FODES 75%'!E51</f>
        <v>A Personas Naturales</v>
      </c>
      <c r="AI1" s="617" t="str">
        <f>'Egr.FODES 75%'!E52</f>
        <v>Becas</v>
      </c>
      <c r="AJ1" s="617" t="str">
        <f>'Egr.FODES 75%'!E54</f>
        <v>Maquinaria y Equipos (61102)</v>
      </c>
      <c r="AK1" s="617" t="s">
        <v>374</v>
      </c>
      <c r="AL1" s="617" t="s">
        <v>465</v>
      </c>
      <c r="AM1" s="617" t="s">
        <v>375</v>
      </c>
      <c r="AN1" s="617" t="s">
        <v>377</v>
      </c>
      <c r="AO1" s="617" t="s">
        <v>378</v>
      </c>
      <c r="AP1" s="617" t="s">
        <v>379</v>
      </c>
      <c r="AQ1" s="617" t="s">
        <v>380</v>
      </c>
      <c r="AR1" s="617" t="s">
        <v>385</v>
      </c>
      <c r="AS1" s="617" t="s">
        <v>225</v>
      </c>
      <c r="AT1" s="617" t="s">
        <v>470</v>
      </c>
      <c r="AU1" s="617" t="s">
        <v>471</v>
      </c>
      <c r="AV1" s="617" t="s">
        <v>373</v>
      </c>
      <c r="AW1" s="617" t="s">
        <v>481</v>
      </c>
      <c r="AX1" s="617" t="s">
        <v>591</v>
      </c>
      <c r="AY1" s="617" t="s">
        <v>472</v>
      </c>
      <c r="AZ1" s="853"/>
      <c r="BA1" s="852"/>
      <c r="BB1" s="133"/>
      <c r="BC1" s="133"/>
      <c r="BD1" s="133"/>
      <c r="BE1" s="133"/>
      <c r="BF1" s="133"/>
    </row>
    <row r="2" spans="1:58" ht="16.5" customHeight="1" x14ac:dyDescent="0.2">
      <c r="A2" s="855" t="s">
        <v>553</v>
      </c>
      <c r="B2" s="855"/>
      <c r="C2" s="855"/>
      <c r="D2" s="855"/>
      <c r="E2" s="855"/>
      <c r="F2" s="616"/>
      <c r="G2" s="616"/>
      <c r="H2" s="616"/>
      <c r="I2" s="616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  <c r="AF2" s="617"/>
      <c r="AG2" s="617"/>
      <c r="AH2" s="617"/>
      <c r="AI2" s="617"/>
      <c r="AJ2" s="617"/>
      <c r="AK2" s="617"/>
      <c r="AL2" s="617"/>
      <c r="AM2" s="617"/>
      <c r="AN2" s="617"/>
      <c r="AO2" s="617"/>
      <c r="AP2" s="617"/>
      <c r="AQ2" s="617"/>
      <c r="AR2" s="617"/>
      <c r="AS2" s="617"/>
      <c r="AT2" s="617"/>
      <c r="AU2" s="617"/>
      <c r="AV2" s="617"/>
      <c r="AW2" s="617"/>
      <c r="AX2" s="617"/>
      <c r="AY2" s="617"/>
      <c r="AZ2" s="853"/>
      <c r="BA2" s="852"/>
      <c r="BB2" s="133"/>
      <c r="BC2" s="133"/>
      <c r="BD2" s="133"/>
      <c r="BE2" s="133"/>
      <c r="BF2" s="133"/>
    </row>
    <row r="3" spans="1:58" ht="21" customHeight="1" x14ac:dyDescent="0.2">
      <c r="A3" s="448"/>
      <c r="B3" s="442"/>
      <c r="C3" s="476" t="s">
        <v>565</v>
      </c>
      <c r="D3" s="438">
        <v>2019</v>
      </c>
      <c r="E3" s="608" t="s">
        <v>331</v>
      </c>
      <c r="F3" s="618"/>
      <c r="G3" s="618"/>
      <c r="H3" s="618"/>
      <c r="I3" s="618"/>
      <c r="J3" s="619"/>
      <c r="K3" s="619"/>
      <c r="L3" s="619"/>
      <c r="M3" s="619"/>
      <c r="N3" s="619"/>
      <c r="O3" s="619"/>
      <c r="P3" s="619"/>
      <c r="Q3" s="620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  <c r="AC3" s="619"/>
      <c r="AD3" s="619"/>
      <c r="AE3" s="619"/>
      <c r="AF3" s="619"/>
      <c r="AG3" s="619"/>
      <c r="AH3" s="619"/>
      <c r="AI3" s="619"/>
      <c r="AJ3" s="619"/>
      <c r="AK3" s="619"/>
      <c r="AL3" s="619"/>
      <c r="AM3" s="619"/>
      <c r="AN3" s="619"/>
      <c r="AO3" s="619"/>
      <c r="AP3" s="619"/>
      <c r="AQ3" s="619"/>
      <c r="AR3" s="619"/>
      <c r="AS3" s="619"/>
      <c r="AT3" s="619"/>
      <c r="AU3" s="619"/>
      <c r="AV3" s="619"/>
      <c r="AW3" s="619"/>
      <c r="AX3" s="619"/>
      <c r="AY3" s="619"/>
      <c r="AZ3" s="619"/>
      <c r="BA3" s="621"/>
      <c r="BB3" s="133"/>
      <c r="BC3" s="133"/>
      <c r="BD3" s="133"/>
      <c r="BE3" s="133"/>
      <c r="BF3" s="133"/>
    </row>
    <row r="4" spans="1:58" ht="18" customHeight="1" x14ac:dyDescent="0.2">
      <c r="A4" s="449"/>
      <c r="B4" s="475" t="s">
        <v>515</v>
      </c>
      <c r="C4" s="457"/>
      <c r="D4" s="458">
        <f>Ingresos!D51</f>
        <v>879200.21000000008</v>
      </c>
      <c r="E4" s="609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7"/>
      <c r="R4" s="606"/>
      <c r="S4" s="606"/>
      <c r="T4" s="606"/>
      <c r="U4" s="606"/>
      <c r="V4" s="606"/>
      <c r="W4" s="606"/>
      <c r="X4" s="606"/>
      <c r="Y4" s="606"/>
      <c r="Z4" s="606"/>
      <c r="AA4" s="606"/>
      <c r="AB4" s="606"/>
      <c r="AC4" s="606"/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606"/>
      <c r="AP4" s="606"/>
      <c r="AQ4" s="606"/>
      <c r="AR4" s="606"/>
      <c r="AS4" s="606"/>
      <c r="AT4" s="606"/>
      <c r="AU4" s="606"/>
      <c r="AV4" s="606"/>
      <c r="AW4" s="606"/>
      <c r="AX4" s="606"/>
      <c r="AY4" s="606"/>
      <c r="AZ4" s="606"/>
      <c r="BA4" s="606"/>
    </row>
    <row r="5" spans="1:58" ht="18" customHeight="1" x14ac:dyDescent="0.2">
      <c r="A5" s="449">
        <v>1</v>
      </c>
      <c r="B5" s="440" t="s">
        <v>530</v>
      </c>
      <c r="C5" s="459"/>
      <c r="D5" s="460">
        <v>47200</v>
      </c>
      <c r="E5" s="610">
        <f t="shared" ref="E5:E15" si="0">SUM(F5:AY5)</f>
        <v>47200</v>
      </c>
      <c r="F5" s="606"/>
      <c r="G5" s="606"/>
      <c r="H5" s="606"/>
      <c r="I5" s="606"/>
      <c r="J5" s="606"/>
      <c r="K5" s="606"/>
      <c r="L5" s="606"/>
      <c r="M5" s="607">
        <v>7200</v>
      </c>
      <c r="N5" s="606"/>
      <c r="O5" s="606"/>
      <c r="P5" s="606"/>
      <c r="Q5" s="607"/>
      <c r="R5" s="606"/>
      <c r="S5" s="606"/>
      <c r="T5" s="606"/>
      <c r="U5" s="606"/>
      <c r="V5" s="606"/>
      <c r="W5" s="606"/>
      <c r="X5" s="606"/>
      <c r="Y5" s="606"/>
      <c r="Z5" s="606"/>
      <c r="AA5" s="606"/>
      <c r="AB5" s="606"/>
      <c r="AC5" s="606"/>
      <c r="AD5" s="606"/>
      <c r="AE5" s="607"/>
      <c r="AF5" s="607"/>
      <c r="AG5" s="607"/>
      <c r="AH5" s="607"/>
      <c r="AI5" s="607"/>
      <c r="AJ5" s="606"/>
      <c r="AK5" s="606"/>
      <c r="AL5" s="606"/>
      <c r="AM5" s="606"/>
      <c r="AN5" s="606"/>
      <c r="AO5" s="606"/>
      <c r="AP5" s="606"/>
      <c r="AQ5" s="606"/>
      <c r="AR5" s="606"/>
      <c r="AS5" s="606"/>
      <c r="AT5" s="606"/>
      <c r="AU5" s="606"/>
      <c r="AV5" s="606"/>
      <c r="AW5" s="607">
        <v>40000</v>
      </c>
      <c r="AX5" s="607"/>
      <c r="AY5" s="607"/>
      <c r="AZ5" s="607">
        <f t="shared" ref="AZ5:AZ13" si="1">SUM(F5:AV5)</f>
        <v>7200</v>
      </c>
      <c r="BA5" s="607">
        <f t="shared" ref="BA5:BA12" si="2">SUM(F5:AV5)</f>
        <v>7200</v>
      </c>
      <c r="BC5" s="136"/>
    </row>
    <row r="6" spans="1:58" ht="18" customHeight="1" x14ac:dyDescent="0.2">
      <c r="A6" s="450">
        <f>A5+1</f>
        <v>2</v>
      </c>
      <c r="B6" s="439" t="s">
        <v>559</v>
      </c>
      <c r="C6" s="461" t="s">
        <v>563</v>
      </c>
      <c r="D6" s="460">
        <v>33800</v>
      </c>
      <c r="E6" s="610">
        <f t="shared" si="0"/>
        <v>33800</v>
      </c>
      <c r="F6" s="606"/>
      <c r="G6" s="606"/>
      <c r="H6" s="606"/>
      <c r="I6" s="606"/>
      <c r="J6" s="606"/>
      <c r="K6" s="606"/>
      <c r="L6" s="606"/>
      <c r="M6" s="607"/>
      <c r="N6" s="606"/>
      <c r="O6" s="606"/>
      <c r="P6" s="606"/>
      <c r="Q6" s="607"/>
      <c r="R6" s="606"/>
      <c r="S6" s="606"/>
      <c r="T6" s="607"/>
      <c r="U6" s="607">
        <v>5000</v>
      </c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607">
        <v>28800</v>
      </c>
      <c r="AJ6" s="607"/>
      <c r="AK6" s="607"/>
      <c r="AL6" s="607"/>
      <c r="AM6" s="606"/>
      <c r="AN6" s="606"/>
      <c r="AO6" s="606"/>
      <c r="AP6" s="606"/>
      <c r="AQ6" s="606"/>
      <c r="AR6" s="606"/>
      <c r="AS6" s="606"/>
      <c r="AT6" s="606"/>
      <c r="AU6" s="606"/>
      <c r="AV6" s="606"/>
      <c r="AW6" s="607"/>
      <c r="AX6" s="607"/>
      <c r="AY6" s="607"/>
      <c r="AZ6" s="607">
        <f t="shared" si="1"/>
        <v>33800</v>
      </c>
      <c r="BA6" s="607">
        <f t="shared" si="2"/>
        <v>33800</v>
      </c>
    </row>
    <row r="7" spans="1:58" ht="18" customHeight="1" x14ac:dyDescent="0.2">
      <c r="A7" s="450">
        <f t="shared" ref="A7:A22" si="3">A6+1</f>
        <v>3</v>
      </c>
      <c r="B7" s="439" t="s">
        <v>571</v>
      </c>
      <c r="C7" s="461"/>
      <c r="D7" s="462">
        <v>221517.75</v>
      </c>
      <c r="E7" s="610">
        <f t="shared" si="0"/>
        <v>221517.75</v>
      </c>
      <c r="F7" s="607">
        <v>42479.64</v>
      </c>
      <c r="G7" s="607">
        <v>3539.97</v>
      </c>
      <c r="H7" s="607">
        <v>3185.97</v>
      </c>
      <c r="I7" s="607">
        <v>3292.17</v>
      </c>
      <c r="J7" s="606"/>
      <c r="K7" s="606"/>
      <c r="L7" s="606"/>
      <c r="M7" s="606"/>
      <c r="N7" s="606"/>
      <c r="O7" s="606"/>
      <c r="P7" s="606"/>
      <c r="Q7" s="607"/>
      <c r="R7" s="606"/>
      <c r="S7" s="606"/>
      <c r="T7" s="607"/>
      <c r="U7" s="606"/>
      <c r="V7" s="607"/>
      <c r="W7" s="607"/>
      <c r="X7" s="607"/>
      <c r="Y7" s="607"/>
      <c r="Z7" s="607"/>
      <c r="AA7" s="607"/>
      <c r="AB7" s="607"/>
      <c r="AC7" s="607"/>
      <c r="AD7" s="607"/>
      <c r="AE7" s="607"/>
      <c r="AF7" s="607"/>
      <c r="AG7" s="607"/>
      <c r="AH7" s="607"/>
      <c r="AI7" s="607"/>
      <c r="AJ7" s="607"/>
      <c r="AK7" s="607">
        <v>108000</v>
      </c>
      <c r="AL7" s="607">
        <v>61020</v>
      </c>
      <c r="AM7" s="606"/>
      <c r="AN7" s="606"/>
      <c r="AO7" s="606"/>
      <c r="AP7" s="606"/>
      <c r="AQ7" s="606"/>
      <c r="AR7" s="606"/>
      <c r="AS7" s="606"/>
      <c r="AT7" s="606"/>
      <c r="AU7" s="606"/>
      <c r="AV7" s="606"/>
      <c r="AW7" s="607"/>
      <c r="AX7" s="607"/>
      <c r="AY7" s="607"/>
      <c r="AZ7" s="607">
        <f t="shared" si="1"/>
        <v>221517.75</v>
      </c>
      <c r="BA7" s="607">
        <f t="shared" si="2"/>
        <v>221517.75</v>
      </c>
    </row>
    <row r="8" spans="1:58" ht="18" customHeight="1" x14ac:dyDescent="0.2">
      <c r="A8" s="450">
        <f t="shared" si="3"/>
        <v>4</v>
      </c>
      <c r="B8" s="439" t="s">
        <v>531</v>
      </c>
      <c r="C8" s="461"/>
      <c r="D8" s="462">
        <v>40000</v>
      </c>
      <c r="E8" s="610">
        <f t="shared" si="0"/>
        <v>45000</v>
      </c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7"/>
      <c r="R8" s="606"/>
      <c r="S8" s="606"/>
      <c r="T8" s="607"/>
      <c r="U8" s="606"/>
      <c r="V8" s="607"/>
      <c r="W8" s="607"/>
      <c r="X8" s="607"/>
      <c r="Y8" s="607"/>
      <c r="Z8" s="607"/>
      <c r="AA8" s="607"/>
      <c r="AB8" s="607"/>
      <c r="AC8" s="607"/>
      <c r="AD8" s="607"/>
      <c r="AE8" s="607"/>
      <c r="AF8" s="607">
        <v>45000</v>
      </c>
      <c r="AG8" s="607"/>
      <c r="AH8" s="607"/>
      <c r="AI8" s="607"/>
      <c r="AJ8" s="607"/>
      <c r="AK8" s="607"/>
      <c r="AL8" s="607"/>
      <c r="AM8" s="606"/>
      <c r="AN8" s="606"/>
      <c r="AO8" s="606"/>
      <c r="AP8" s="606"/>
      <c r="AQ8" s="606"/>
      <c r="AR8" s="606"/>
      <c r="AS8" s="606"/>
      <c r="AT8" s="606"/>
      <c r="AU8" s="606"/>
      <c r="AV8" s="606"/>
      <c r="AW8" s="607"/>
      <c r="AX8" s="607"/>
      <c r="AY8" s="607"/>
      <c r="AZ8" s="607">
        <f t="shared" si="1"/>
        <v>45000</v>
      </c>
      <c r="BA8" s="607"/>
    </row>
    <row r="9" spans="1:58" ht="18" customHeight="1" x14ac:dyDescent="0.2">
      <c r="A9" s="450">
        <f t="shared" si="3"/>
        <v>5</v>
      </c>
      <c r="B9" s="439" t="s">
        <v>550</v>
      </c>
      <c r="C9" s="461"/>
      <c r="D9" s="462">
        <f t="shared" ref="D9" si="4">E9</f>
        <v>6000</v>
      </c>
      <c r="E9" s="610">
        <f t="shared" si="0"/>
        <v>6000</v>
      </c>
      <c r="F9" s="606"/>
      <c r="G9" s="606"/>
      <c r="H9" s="606"/>
      <c r="I9" s="606"/>
      <c r="J9" s="606"/>
      <c r="K9" s="606"/>
      <c r="L9" s="606"/>
      <c r="M9" s="607">
        <v>2000</v>
      </c>
      <c r="N9" s="607"/>
      <c r="O9" s="607"/>
      <c r="P9" s="606"/>
      <c r="Q9" s="607"/>
      <c r="R9" s="606"/>
      <c r="S9" s="606"/>
      <c r="T9" s="607">
        <v>1000</v>
      </c>
      <c r="U9" s="606"/>
      <c r="V9" s="607"/>
      <c r="W9" s="607"/>
      <c r="X9" s="607"/>
      <c r="Y9" s="607"/>
      <c r="Z9" s="607"/>
      <c r="AA9" s="607"/>
      <c r="AB9" s="607">
        <v>1000</v>
      </c>
      <c r="AC9" s="607"/>
      <c r="AD9" s="607"/>
      <c r="AE9" s="607">
        <v>1000</v>
      </c>
      <c r="AF9" s="607">
        <v>1000</v>
      </c>
      <c r="AG9" s="607"/>
      <c r="AH9" s="607"/>
      <c r="AI9" s="607"/>
      <c r="AJ9" s="607"/>
      <c r="AK9" s="607"/>
      <c r="AL9" s="607"/>
      <c r="AM9" s="606"/>
      <c r="AN9" s="606"/>
      <c r="AO9" s="606"/>
      <c r="AP9" s="606"/>
      <c r="AQ9" s="606"/>
      <c r="AR9" s="606"/>
      <c r="AS9" s="606"/>
      <c r="AT9" s="606"/>
      <c r="AU9" s="606"/>
      <c r="AV9" s="606"/>
      <c r="AW9" s="607"/>
      <c r="AX9" s="607"/>
      <c r="AY9" s="607"/>
      <c r="AZ9" s="607">
        <f t="shared" si="1"/>
        <v>6000</v>
      </c>
      <c r="BA9" s="607">
        <f t="shared" si="2"/>
        <v>6000</v>
      </c>
    </row>
    <row r="10" spans="1:58" ht="18" customHeight="1" x14ac:dyDescent="0.2">
      <c r="A10" s="450">
        <f t="shared" si="3"/>
        <v>6</v>
      </c>
      <c r="B10" s="439" t="s">
        <v>549</v>
      </c>
      <c r="C10" s="461"/>
      <c r="D10" s="462">
        <v>7000</v>
      </c>
      <c r="E10" s="610">
        <f t="shared" si="0"/>
        <v>7000</v>
      </c>
      <c r="F10" s="606"/>
      <c r="G10" s="606"/>
      <c r="H10" s="606"/>
      <c r="I10" s="606"/>
      <c r="J10" s="606"/>
      <c r="K10" s="606"/>
      <c r="L10" s="606"/>
      <c r="M10" s="607">
        <v>2000</v>
      </c>
      <c r="N10" s="607"/>
      <c r="O10" s="607"/>
      <c r="P10" s="606"/>
      <c r="Q10" s="607"/>
      <c r="R10" s="606"/>
      <c r="S10" s="606"/>
      <c r="T10" s="607">
        <v>1500</v>
      </c>
      <c r="U10" s="606"/>
      <c r="V10" s="607"/>
      <c r="W10" s="607"/>
      <c r="X10" s="607"/>
      <c r="Y10" s="607"/>
      <c r="Z10" s="607"/>
      <c r="AA10" s="607"/>
      <c r="AB10" s="607">
        <v>1000</v>
      </c>
      <c r="AC10" s="607"/>
      <c r="AD10" s="607"/>
      <c r="AE10" s="607">
        <v>1000</v>
      </c>
      <c r="AF10" s="607">
        <v>1500</v>
      </c>
      <c r="AG10" s="607"/>
      <c r="AH10" s="607"/>
      <c r="AI10" s="607"/>
      <c r="AJ10" s="607"/>
      <c r="AK10" s="607"/>
      <c r="AL10" s="607"/>
      <c r="AM10" s="606"/>
      <c r="AN10" s="606"/>
      <c r="AO10" s="606"/>
      <c r="AP10" s="606"/>
      <c r="AQ10" s="606"/>
      <c r="AR10" s="606"/>
      <c r="AS10" s="606"/>
      <c r="AT10" s="606"/>
      <c r="AU10" s="606"/>
      <c r="AV10" s="606"/>
      <c r="AW10" s="607"/>
      <c r="AX10" s="607"/>
      <c r="AY10" s="607"/>
      <c r="AZ10" s="607">
        <f t="shared" si="1"/>
        <v>7000</v>
      </c>
      <c r="BA10" s="607">
        <f t="shared" si="2"/>
        <v>7000</v>
      </c>
    </row>
    <row r="11" spans="1:58" ht="18" customHeight="1" x14ac:dyDescent="0.2">
      <c r="A11" s="450">
        <f t="shared" si="3"/>
        <v>7</v>
      </c>
      <c r="B11" s="439" t="s">
        <v>516</v>
      </c>
      <c r="C11" s="461"/>
      <c r="D11" s="462">
        <v>15000</v>
      </c>
      <c r="E11" s="610">
        <f t="shared" si="0"/>
        <v>15000</v>
      </c>
      <c r="F11" s="606"/>
      <c r="G11" s="606"/>
      <c r="H11" s="606"/>
      <c r="I11" s="606"/>
      <c r="J11" s="606"/>
      <c r="K11" s="606"/>
      <c r="L11" s="606"/>
      <c r="M11" s="606"/>
      <c r="N11" s="606"/>
      <c r="O11" s="606"/>
      <c r="P11" s="606"/>
      <c r="Q11" s="607"/>
      <c r="R11" s="606"/>
      <c r="S11" s="606"/>
      <c r="T11" s="607"/>
      <c r="U11" s="606"/>
      <c r="V11" s="607"/>
      <c r="W11" s="607"/>
      <c r="X11" s="607"/>
      <c r="Y11" s="607"/>
      <c r="Z11" s="607"/>
      <c r="AA11" s="607"/>
      <c r="AB11" s="607"/>
      <c r="AC11" s="607"/>
      <c r="AD11" s="607"/>
      <c r="AE11" s="607"/>
      <c r="AF11" s="607"/>
      <c r="AG11" s="607"/>
      <c r="AH11" s="607"/>
      <c r="AI11" s="607"/>
      <c r="AJ11" s="607"/>
      <c r="AK11" s="607"/>
      <c r="AL11" s="607"/>
      <c r="AM11" s="606"/>
      <c r="AN11" s="606"/>
      <c r="AO11" s="606"/>
      <c r="AP11" s="606"/>
      <c r="AQ11" s="606"/>
      <c r="AR11" s="606"/>
      <c r="AS11" s="606"/>
      <c r="AT11" s="606"/>
      <c r="AU11" s="606"/>
      <c r="AV11" s="606"/>
      <c r="AW11" s="607">
        <v>15000</v>
      </c>
      <c r="AX11" s="607"/>
      <c r="AY11" s="607"/>
      <c r="AZ11" s="607">
        <f t="shared" si="1"/>
        <v>0</v>
      </c>
      <c r="BA11" s="607">
        <f t="shared" si="2"/>
        <v>0</v>
      </c>
    </row>
    <row r="12" spans="1:58" ht="18" customHeight="1" x14ac:dyDescent="0.2">
      <c r="A12" s="450">
        <f t="shared" si="3"/>
        <v>8</v>
      </c>
      <c r="B12" s="439" t="s">
        <v>555</v>
      </c>
      <c r="C12" s="461"/>
      <c r="D12" s="462">
        <v>15000</v>
      </c>
      <c r="E12" s="610">
        <f t="shared" si="0"/>
        <v>15000</v>
      </c>
      <c r="F12" s="606"/>
      <c r="G12" s="606"/>
      <c r="H12" s="606"/>
      <c r="I12" s="606"/>
      <c r="J12" s="606"/>
      <c r="K12" s="606"/>
      <c r="L12" s="606"/>
      <c r="M12" s="606"/>
      <c r="N12" s="606"/>
      <c r="O12" s="606"/>
      <c r="P12" s="606"/>
      <c r="Q12" s="607">
        <v>15000</v>
      </c>
      <c r="R12" s="606"/>
      <c r="S12" s="606"/>
      <c r="T12" s="607"/>
      <c r="U12" s="606"/>
      <c r="V12" s="606"/>
      <c r="W12" s="606"/>
      <c r="X12" s="606"/>
      <c r="Y12" s="606"/>
      <c r="Z12" s="606"/>
      <c r="AA12" s="606"/>
      <c r="AB12" s="606"/>
      <c r="AC12" s="606"/>
      <c r="AD12" s="606"/>
      <c r="AE12" s="606"/>
      <c r="AF12" s="606"/>
      <c r="AG12" s="606"/>
      <c r="AH12" s="606"/>
      <c r="AI12" s="606"/>
      <c r="AJ12" s="606"/>
      <c r="AK12" s="606"/>
      <c r="AL12" s="606"/>
      <c r="AM12" s="606"/>
      <c r="AN12" s="606"/>
      <c r="AO12" s="606"/>
      <c r="AP12" s="606"/>
      <c r="AQ12" s="606"/>
      <c r="AR12" s="606"/>
      <c r="AS12" s="606"/>
      <c r="AT12" s="606"/>
      <c r="AU12" s="606"/>
      <c r="AV12" s="606"/>
      <c r="AW12" s="606"/>
      <c r="AX12" s="606"/>
      <c r="AY12" s="606"/>
      <c r="AZ12" s="607">
        <f t="shared" si="1"/>
        <v>15000</v>
      </c>
      <c r="BA12" s="607">
        <f t="shared" si="2"/>
        <v>15000</v>
      </c>
    </row>
    <row r="13" spans="1:58" ht="18" customHeight="1" x14ac:dyDescent="0.2">
      <c r="A13" s="450">
        <f t="shared" si="3"/>
        <v>9</v>
      </c>
      <c r="B13" s="439" t="s">
        <v>556</v>
      </c>
      <c r="C13" s="461"/>
      <c r="D13" s="462">
        <v>30000</v>
      </c>
      <c r="E13" s="610">
        <f t="shared" si="0"/>
        <v>30000</v>
      </c>
      <c r="F13" s="606"/>
      <c r="G13" s="606"/>
      <c r="H13" s="606"/>
      <c r="I13" s="606"/>
      <c r="J13" s="606"/>
      <c r="K13" s="606"/>
      <c r="L13" s="606"/>
      <c r="M13" s="606"/>
      <c r="N13" s="606"/>
      <c r="O13" s="606"/>
      <c r="P13" s="606"/>
      <c r="Q13" s="607"/>
      <c r="R13" s="606"/>
      <c r="S13" s="606"/>
      <c r="T13" s="607"/>
      <c r="U13" s="606"/>
      <c r="V13" s="606"/>
      <c r="W13" s="606"/>
      <c r="X13" s="606"/>
      <c r="Y13" s="606"/>
      <c r="Z13" s="606"/>
      <c r="AA13" s="606"/>
      <c r="AB13" s="606"/>
      <c r="AC13" s="606"/>
      <c r="AD13" s="606"/>
      <c r="AE13" s="606"/>
      <c r="AF13" s="606"/>
      <c r="AG13" s="606"/>
      <c r="AH13" s="606"/>
      <c r="AI13" s="606"/>
      <c r="AJ13" s="606"/>
      <c r="AK13" s="606"/>
      <c r="AL13" s="606"/>
      <c r="AM13" s="606"/>
      <c r="AN13" s="606"/>
      <c r="AO13" s="606"/>
      <c r="AP13" s="606"/>
      <c r="AQ13" s="606"/>
      <c r="AR13" s="606"/>
      <c r="AS13" s="606"/>
      <c r="AT13" s="606"/>
      <c r="AU13" s="606"/>
      <c r="AV13" s="606"/>
      <c r="AW13" s="607">
        <v>30000</v>
      </c>
      <c r="AX13" s="606"/>
      <c r="AY13" s="606"/>
      <c r="AZ13" s="607">
        <f t="shared" si="1"/>
        <v>0</v>
      </c>
      <c r="BA13" s="622"/>
    </row>
    <row r="14" spans="1:58" ht="18" customHeight="1" x14ac:dyDescent="0.2">
      <c r="A14" s="450">
        <f t="shared" si="3"/>
        <v>10</v>
      </c>
      <c r="B14" s="439" t="s">
        <v>543</v>
      </c>
      <c r="C14" s="461"/>
      <c r="D14" s="462">
        <v>30000</v>
      </c>
      <c r="E14" s="610">
        <f t="shared" si="0"/>
        <v>30000</v>
      </c>
      <c r="F14" s="606"/>
      <c r="G14" s="606"/>
      <c r="H14" s="606"/>
      <c r="I14" s="606"/>
      <c r="J14" s="606"/>
      <c r="K14" s="606"/>
      <c r="L14" s="606"/>
      <c r="M14" s="606"/>
      <c r="N14" s="606"/>
      <c r="O14" s="606"/>
      <c r="P14" s="606"/>
      <c r="Q14" s="607"/>
      <c r="R14" s="606"/>
      <c r="S14" s="606"/>
      <c r="T14" s="607"/>
      <c r="U14" s="606"/>
      <c r="V14" s="606"/>
      <c r="W14" s="606"/>
      <c r="X14" s="606"/>
      <c r="Y14" s="606"/>
      <c r="Z14" s="606"/>
      <c r="AA14" s="606"/>
      <c r="AB14" s="606"/>
      <c r="AC14" s="606"/>
      <c r="AD14" s="606"/>
      <c r="AE14" s="606"/>
      <c r="AF14" s="607">
        <v>30000</v>
      </c>
      <c r="AG14" s="606"/>
      <c r="AH14" s="606"/>
      <c r="AI14" s="606"/>
      <c r="AJ14" s="606"/>
      <c r="AK14" s="606"/>
      <c r="AL14" s="606"/>
      <c r="AM14" s="606"/>
      <c r="AN14" s="606"/>
      <c r="AO14" s="606"/>
      <c r="AP14" s="606"/>
      <c r="AQ14" s="606"/>
      <c r="AR14" s="606"/>
      <c r="AS14" s="606"/>
      <c r="AT14" s="606"/>
      <c r="AU14" s="606"/>
      <c r="AV14" s="606"/>
      <c r="AW14" s="606"/>
      <c r="AX14" s="606"/>
      <c r="AY14" s="606"/>
      <c r="AZ14" s="606"/>
      <c r="BA14" s="622"/>
    </row>
    <row r="15" spans="1:58" ht="18" customHeight="1" x14ac:dyDescent="0.2">
      <c r="A15" s="450">
        <f>A14+1</f>
        <v>11</v>
      </c>
      <c r="B15" s="439" t="s">
        <v>564</v>
      </c>
      <c r="C15" s="461"/>
      <c r="D15" s="462">
        <v>5000</v>
      </c>
      <c r="E15" s="610">
        <f t="shared" si="0"/>
        <v>5000</v>
      </c>
      <c r="F15" s="606"/>
      <c r="G15" s="607"/>
      <c r="H15" s="606"/>
      <c r="I15" s="606"/>
      <c r="J15" s="606"/>
      <c r="K15" s="606"/>
      <c r="L15" s="606"/>
      <c r="M15" s="623">
        <v>1000</v>
      </c>
      <c r="N15" s="606"/>
      <c r="O15" s="606"/>
      <c r="P15" s="606"/>
      <c r="Q15" s="607"/>
      <c r="R15" s="606"/>
      <c r="S15" s="606"/>
      <c r="T15" s="607"/>
      <c r="U15" s="606"/>
      <c r="V15" s="606"/>
      <c r="W15" s="606"/>
      <c r="X15" s="606"/>
      <c r="Y15" s="606"/>
      <c r="Z15" s="606"/>
      <c r="AA15" s="606"/>
      <c r="AB15" s="606"/>
      <c r="AC15" s="606"/>
      <c r="AD15" s="606"/>
      <c r="AE15" s="607">
        <v>1000</v>
      </c>
      <c r="AF15" s="607">
        <v>3000</v>
      </c>
      <c r="AG15" s="606"/>
      <c r="AH15" s="606"/>
      <c r="AI15" s="606"/>
      <c r="AJ15" s="606"/>
      <c r="AK15" s="606"/>
      <c r="AL15" s="606"/>
      <c r="AM15" s="606"/>
      <c r="AN15" s="606"/>
      <c r="AO15" s="606"/>
      <c r="AP15" s="606"/>
      <c r="AQ15" s="606"/>
      <c r="AR15" s="606"/>
      <c r="AS15" s="606"/>
      <c r="AT15" s="606"/>
      <c r="AU15" s="606"/>
      <c r="AV15" s="606"/>
      <c r="AW15" s="606"/>
      <c r="AX15" s="606"/>
      <c r="AY15" s="606"/>
      <c r="AZ15" s="606"/>
      <c r="BA15" s="622"/>
    </row>
    <row r="16" spans="1:58" ht="18" customHeight="1" x14ac:dyDescent="0.2">
      <c r="A16" s="450">
        <f t="shared" si="3"/>
        <v>12</v>
      </c>
      <c r="B16" s="439" t="s">
        <v>566</v>
      </c>
      <c r="C16" s="462">
        <v>16652.05</v>
      </c>
      <c r="D16" s="462"/>
      <c r="E16" s="610"/>
      <c r="F16" s="606"/>
      <c r="G16" s="606"/>
      <c r="H16" s="606"/>
      <c r="I16" s="606"/>
      <c r="J16" s="606"/>
      <c r="K16" s="606"/>
      <c r="L16" s="606"/>
      <c r="M16" s="606"/>
      <c r="N16" s="606"/>
      <c r="O16" s="606"/>
      <c r="P16" s="606"/>
      <c r="Q16" s="607"/>
      <c r="R16" s="606"/>
      <c r="S16" s="606"/>
      <c r="T16" s="607"/>
      <c r="U16" s="606"/>
      <c r="V16" s="606"/>
      <c r="W16" s="606"/>
      <c r="X16" s="606"/>
      <c r="Y16" s="606"/>
      <c r="Z16" s="606"/>
      <c r="AA16" s="606"/>
      <c r="AB16" s="606"/>
      <c r="AC16" s="606"/>
      <c r="AD16" s="606"/>
      <c r="AE16" s="606"/>
      <c r="AF16" s="606"/>
      <c r="AG16" s="606"/>
      <c r="AH16" s="606"/>
      <c r="AI16" s="606"/>
      <c r="AJ16" s="606"/>
      <c r="AK16" s="606"/>
      <c r="AL16" s="606"/>
      <c r="AM16" s="606"/>
      <c r="AN16" s="606"/>
      <c r="AO16" s="606"/>
      <c r="AP16" s="606"/>
      <c r="AQ16" s="606"/>
      <c r="AR16" s="606"/>
      <c r="AS16" s="606"/>
      <c r="AT16" s="606"/>
      <c r="AU16" s="606"/>
      <c r="AV16" s="606"/>
      <c r="AW16" s="606"/>
      <c r="AX16" s="606"/>
      <c r="AY16" s="606"/>
      <c r="AZ16" s="606"/>
      <c r="BA16" s="622"/>
    </row>
    <row r="17" spans="1:53" ht="18" customHeight="1" x14ac:dyDescent="0.2">
      <c r="A17" s="450">
        <f t="shared" si="3"/>
        <v>13</v>
      </c>
      <c r="B17" s="439" t="s">
        <v>567</v>
      </c>
      <c r="C17" s="462">
        <v>980</v>
      </c>
      <c r="D17" s="462"/>
      <c r="E17" s="610"/>
      <c r="F17" s="606"/>
      <c r="G17" s="606"/>
      <c r="H17" s="606"/>
      <c r="I17" s="606"/>
      <c r="J17" s="606"/>
      <c r="K17" s="606"/>
      <c r="L17" s="606"/>
      <c r="M17" s="606"/>
      <c r="N17" s="606"/>
      <c r="O17" s="606"/>
      <c r="P17" s="606"/>
      <c r="Q17" s="607"/>
      <c r="R17" s="606"/>
      <c r="S17" s="606"/>
      <c r="T17" s="607"/>
      <c r="U17" s="606"/>
      <c r="V17" s="606"/>
      <c r="W17" s="606"/>
      <c r="X17" s="606"/>
      <c r="Y17" s="606"/>
      <c r="Z17" s="606"/>
      <c r="AA17" s="606"/>
      <c r="AB17" s="606"/>
      <c r="AC17" s="606"/>
      <c r="AD17" s="606"/>
      <c r="AE17" s="606"/>
      <c r="AF17" s="606"/>
      <c r="AG17" s="606"/>
      <c r="AH17" s="606"/>
      <c r="AI17" s="606"/>
      <c r="AJ17" s="606"/>
      <c r="AK17" s="606"/>
      <c r="AL17" s="606"/>
      <c r="AM17" s="606"/>
      <c r="AN17" s="606"/>
      <c r="AO17" s="606"/>
      <c r="AP17" s="606"/>
      <c r="AQ17" s="606"/>
      <c r="AR17" s="606"/>
      <c r="AS17" s="606"/>
      <c r="AT17" s="606"/>
      <c r="AU17" s="606"/>
      <c r="AV17" s="606"/>
      <c r="AW17" s="606"/>
      <c r="AX17" s="606"/>
      <c r="AY17" s="606"/>
      <c r="AZ17" s="606"/>
      <c r="BA17" s="622"/>
    </row>
    <row r="18" spans="1:53" ht="18" customHeight="1" x14ac:dyDescent="0.2">
      <c r="A18" s="450">
        <f t="shared" si="3"/>
        <v>14</v>
      </c>
      <c r="B18" s="439" t="s">
        <v>568</v>
      </c>
      <c r="C18" s="462">
        <v>24054</v>
      </c>
      <c r="D18" s="462"/>
      <c r="E18" s="610"/>
      <c r="F18" s="606"/>
      <c r="G18" s="606"/>
      <c r="H18" s="606"/>
      <c r="I18" s="606"/>
      <c r="J18" s="606"/>
      <c r="K18" s="606"/>
      <c r="L18" s="606"/>
      <c r="M18" s="606"/>
      <c r="N18" s="606"/>
      <c r="O18" s="606"/>
      <c r="P18" s="606"/>
      <c r="Q18" s="607"/>
      <c r="R18" s="606"/>
      <c r="S18" s="606"/>
      <c r="T18" s="607"/>
      <c r="U18" s="606"/>
      <c r="V18" s="606"/>
      <c r="W18" s="606"/>
      <c r="X18" s="606"/>
      <c r="Y18" s="606"/>
      <c r="Z18" s="606"/>
      <c r="AA18" s="606"/>
      <c r="AB18" s="606"/>
      <c r="AC18" s="606"/>
      <c r="AD18" s="606"/>
      <c r="AE18" s="606"/>
      <c r="AF18" s="606"/>
      <c r="AG18" s="606"/>
      <c r="AH18" s="606"/>
      <c r="AI18" s="606"/>
      <c r="AJ18" s="606"/>
      <c r="AK18" s="606"/>
      <c r="AL18" s="606"/>
      <c r="AM18" s="606"/>
      <c r="AN18" s="606"/>
      <c r="AO18" s="606"/>
      <c r="AP18" s="606"/>
      <c r="AQ18" s="606"/>
      <c r="AR18" s="606"/>
      <c r="AS18" s="606"/>
      <c r="AT18" s="606"/>
      <c r="AU18" s="606"/>
      <c r="AV18" s="606"/>
      <c r="AW18" s="606"/>
      <c r="AX18" s="606"/>
      <c r="AY18" s="606"/>
      <c r="AZ18" s="606"/>
      <c r="BA18" s="622"/>
    </row>
    <row r="19" spans="1:53" ht="18" customHeight="1" x14ac:dyDescent="0.2">
      <c r="A19" s="450">
        <f t="shared" si="3"/>
        <v>15</v>
      </c>
      <c r="B19" s="439" t="s">
        <v>569</v>
      </c>
      <c r="C19" s="462">
        <v>11250</v>
      </c>
      <c r="D19" s="462"/>
      <c r="E19" s="610"/>
      <c r="F19" s="606"/>
      <c r="G19" s="606"/>
      <c r="H19" s="606"/>
      <c r="I19" s="606"/>
      <c r="J19" s="606"/>
      <c r="K19" s="606"/>
      <c r="L19" s="606"/>
      <c r="M19" s="606"/>
      <c r="N19" s="606"/>
      <c r="O19" s="606"/>
      <c r="P19" s="606"/>
      <c r="Q19" s="607"/>
      <c r="R19" s="606"/>
      <c r="S19" s="606"/>
      <c r="T19" s="607"/>
      <c r="U19" s="606"/>
      <c r="V19" s="606"/>
      <c r="W19" s="606"/>
      <c r="X19" s="606"/>
      <c r="Y19" s="606"/>
      <c r="Z19" s="606"/>
      <c r="AA19" s="606"/>
      <c r="AB19" s="606"/>
      <c r="AC19" s="606"/>
      <c r="AD19" s="606"/>
      <c r="AE19" s="606"/>
      <c r="AF19" s="606"/>
      <c r="AG19" s="606"/>
      <c r="AH19" s="606"/>
      <c r="AI19" s="606"/>
      <c r="AJ19" s="606"/>
      <c r="AK19" s="606"/>
      <c r="AL19" s="606"/>
      <c r="AM19" s="606"/>
      <c r="AN19" s="606"/>
      <c r="AO19" s="606"/>
      <c r="AP19" s="606"/>
      <c r="AQ19" s="606"/>
      <c r="AR19" s="606"/>
      <c r="AS19" s="606"/>
      <c r="AT19" s="606"/>
      <c r="AU19" s="606"/>
      <c r="AV19" s="606"/>
      <c r="AW19" s="606"/>
      <c r="AX19" s="606"/>
      <c r="AY19" s="606"/>
      <c r="AZ19" s="606"/>
      <c r="BA19" s="622"/>
    </row>
    <row r="20" spans="1:53" ht="18" customHeight="1" x14ac:dyDescent="0.2">
      <c r="A20" s="450">
        <f t="shared" si="3"/>
        <v>16</v>
      </c>
      <c r="B20" s="439" t="s">
        <v>570</v>
      </c>
      <c r="C20" s="462">
        <f>145.51+61.5</f>
        <v>207.01</v>
      </c>
      <c r="D20" s="462"/>
      <c r="E20" s="610"/>
      <c r="F20" s="606"/>
      <c r="G20" s="606"/>
      <c r="H20" s="606"/>
      <c r="I20" s="606"/>
      <c r="J20" s="606"/>
      <c r="K20" s="606"/>
      <c r="L20" s="606"/>
      <c r="M20" s="606"/>
      <c r="N20" s="606"/>
      <c r="O20" s="606"/>
      <c r="P20" s="606"/>
      <c r="Q20" s="607"/>
      <c r="R20" s="606"/>
      <c r="S20" s="606"/>
      <c r="T20" s="607"/>
      <c r="U20" s="606"/>
      <c r="V20" s="606"/>
      <c r="W20" s="606"/>
      <c r="X20" s="606"/>
      <c r="Y20" s="606"/>
      <c r="Z20" s="606"/>
      <c r="AA20" s="606"/>
      <c r="AB20" s="606"/>
      <c r="AC20" s="606"/>
      <c r="AD20" s="606"/>
      <c r="AE20" s="606"/>
      <c r="AF20" s="606"/>
      <c r="AG20" s="606"/>
      <c r="AH20" s="606"/>
      <c r="AI20" s="606"/>
      <c r="AJ20" s="606"/>
      <c r="AK20" s="606"/>
      <c r="AL20" s="606"/>
      <c r="AM20" s="606"/>
      <c r="AN20" s="606"/>
      <c r="AO20" s="606"/>
      <c r="AP20" s="606"/>
      <c r="AQ20" s="606"/>
      <c r="AR20" s="606"/>
      <c r="AS20" s="606"/>
      <c r="AT20" s="606"/>
      <c r="AU20" s="606"/>
      <c r="AV20" s="606"/>
      <c r="AW20" s="606"/>
      <c r="AX20" s="606"/>
      <c r="AY20" s="606"/>
      <c r="AZ20" s="606"/>
      <c r="BA20" s="622"/>
    </row>
    <row r="21" spans="1:53" ht="18" customHeight="1" x14ac:dyDescent="0.2">
      <c r="A21" s="450">
        <f t="shared" si="3"/>
        <v>17</v>
      </c>
      <c r="B21" s="439" t="s">
        <v>518</v>
      </c>
      <c r="C21" s="462">
        <v>18524.5</v>
      </c>
      <c r="D21" s="462"/>
      <c r="E21" s="610"/>
      <c r="F21" s="606"/>
      <c r="G21" s="606"/>
      <c r="H21" s="606"/>
      <c r="I21" s="606"/>
      <c r="J21" s="606"/>
      <c r="K21" s="606"/>
      <c r="L21" s="606"/>
      <c r="M21" s="606"/>
      <c r="N21" s="606"/>
      <c r="O21" s="606"/>
      <c r="P21" s="606"/>
      <c r="Q21" s="607"/>
      <c r="R21" s="606"/>
      <c r="S21" s="606"/>
      <c r="T21" s="607"/>
      <c r="U21" s="606"/>
      <c r="V21" s="606"/>
      <c r="W21" s="606"/>
      <c r="X21" s="606"/>
      <c r="Y21" s="606"/>
      <c r="Z21" s="606"/>
      <c r="AA21" s="606"/>
      <c r="AB21" s="606"/>
      <c r="AC21" s="606"/>
      <c r="AD21" s="606"/>
      <c r="AE21" s="606"/>
      <c r="AF21" s="606"/>
      <c r="AG21" s="606"/>
      <c r="AH21" s="606"/>
      <c r="AI21" s="606"/>
      <c r="AJ21" s="606"/>
      <c r="AK21" s="606"/>
      <c r="AL21" s="606"/>
      <c r="AM21" s="606"/>
      <c r="AN21" s="606"/>
      <c r="AO21" s="606"/>
      <c r="AP21" s="606"/>
      <c r="AQ21" s="606"/>
      <c r="AR21" s="606"/>
      <c r="AS21" s="606"/>
      <c r="AT21" s="606"/>
      <c r="AU21" s="606"/>
      <c r="AV21" s="606"/>
      <c r="AW21" s="606"/>
      <c r="AX21" s="606"/>
      <c r="AY21" s="606"/>
      <c r="AZ21" s="606"/>
      <c r="BA21" s="622"/>
    </row>
    <row r="22" spans="1:53" ht="18" customHeight="1" x14ac:dyDescent="0.2">
      <c r="A22" s="450">
        <f t="shared" si="3"/>
        <v>18</v>
      </c>
      <c r="B22" s="439" t="s">
        <v>572</v>
      </c>
      <c r="C22" s="462">
        <v>759</v>
      </c>
      <c r="D22" s="462"/>
      <c r="E22" s="610"/>
      <c r="F22" s="606"/>
      <c r="G22" s="606"/>
      <c r="H22" s="606"/>
      <c r="I22" s="606"/>
      <c r="J22" s="606"/>
      <c r="K22" s="606"/>
      <c r="L22" s="606"/>
      <c r="M22" s="606"/>
      <c r="N22" s="606"/>
      <c r="O22" s="606"/>
      <c r="P22" s="606"/>
      <c r="Q22" s="607"/>
      <c r="R22" s="606"/>
      <c r="S22" s="606"/>
      <c r="T22" s="607"/>
      <c r="U22" s="606"/>
      <c r="V22" s="606"/>
      <c r="W22" s="606"/>
      <c r="X22" s="606"/>
      <c r="Y22" s="606"/>
      <c r="Z22" s="606"/>
      <c r="AA22" s="606"/>
      <c r="AB22" s="606"/>
      <c r="AC22" s="606"/>
      <c r="AD22" s="606"/>
      <c r="AE22" s="606"/>
      <c r="AF22" s="606"/>
      <c r="AG22" s="606"/>
      <c r="AH22" s="606"/>
      <c r="AI22" s="606"/>
      <c r="AJ22" s="606"/>
      <c r="AK22" s="606"/>
      <c r="AL22" s="606"/>
      <c r="AM22" s="606"/>
      <c r="AN22" s="606"/>
      <c r="AO22" s="606"/>
      <c r="AP22" s="606"/>
      <c r="AQ22" s="606"/>
      <c r="AR22" s="606"/>
      <c r="AS22" s="606"/>
      <c r="AT22" s="606"/>
      <c r="AU22" s="606"/>
      <c r="AV22" s="606"/>
      <c r="AW22" s="606"/>
      <c r="AX22" s="606"/>
      <c r="AY22" s="606"/>
      <c r="AZ22" s="606"/>
      <c r="BA22" s="622"/>
    </row>
    <row r="23" spans="1:53" ht="18" customHeight="1" x14ac:dyDescent="0.2">
      <c r="A23" s="450"/>
      <c r="B23" s="443" t="s">
        <v>493</v>
      </c>
      <c r="C23" s="463">
        <f>SUM(C16:C22)</f>
        <v>72426.559999999998</v>
      </c>
      <c r="D23" s="463">
        <f>SUM(D5:D22)</f>
        <v>450517.75</v>
      </c>
      <c r="E23" s="611"/>
      <c r="F23" s="606"/>
      <c r="G23" s="606"/>
      <c r="H23" s="606"/>
      <c r="I23" s="606"/>
      <c r="J23" s="606"/>
      <c r="K23" s="606"/>
      <c r="L23" s="606"/>
      <c r="M23" s="606"/>
      <c r="N23" s="606"/>
      <c r="O23" s="606"/>
      <c r="P23" s="606"/>
      <c r="Q23" s="607"/>
      <c r="R23" s="606"/>
      <c r="S23" s="606"/>
      <c r="T23" s="607"/>
      <c r="U23" s="606"/>
      <c r="V23" s="606"/>
      <c r="W23" s="606"/>
      <c r="X23" s="606"/>
      <c r="Y23" s="606"/>
      <c r="Z23" s="606"/>
      <c r="AA23" s="606"/>
      <c r="AB23" s="606"/>
      <c r="AC23" s="606"/>
      <c r="AD23" s="606"/>
      <c r="AE23" s="606"/>
      <c r="AF23" s="606"/>
      <c r="AG23" s="606"/>
      <c r="AH23" s="606"/>
      <c r="AI23" s="606"/>
      <c r="AJ23" s="606"/>
      <c r="AK23" s="606"/>
      <c r="AL23" s="606"/>
      <c r="AM23" s="606"/>
      <c r="AN23" s="606"/>
      <c r="AO23" s="606"/>
      <c r="AP23" s="606"/>
      <c r="AQ23" s="606"/>
      <c r="AR23" s="606"/>
      <c r="AS23" s="606"/>
      <c r="AT23" s="606"/>
      <c r="AU23" s="606"/>
      <c r="AV23" s="606"/>
      <c r="AW23" s="606"/>
      <c r="AX23" s="606"/>
      <c r="AY23" s="606"/>
      <c r="AZ23" s="606"/>
      <c r="BA23" s="622"/>
    </row>
    <row r="24" spans="1:53" ht="18" customHeight="1" x14ac:dyDescent="0.2">
      <c r="A24" s="445"/>
      <c r="B24" s="446" t="s">
        <v>544</v>
      </c>
      <c r="C24" s="446"/>
      <c r="D24" s="464">
        <f>SUM(C23:D23)</f>
        <v>522944.31</v>
      </c>
      <c r="E24" s="612"/>
      <c r="F24" s="606"/>
      <c r="G24" s="606"/>
      <c r="H24" s="606"/>
      <c r="I24" s="606"/>
      <c r="J24" s="606"/>
      <c r="K24" s="606"/>
      <c r="L24" s="606"/>
      <c r="M24" s="606"/>
      <c r="N24" s="606"/>
      <c r="O24" s="606"/>
      <c r="P24" s="606"/>
      <c r="Q24" s="607"/>
      <c r="R24" s="606"/>
      <c r="S24" s="606"/>
      <c r="T24" s="607"/>
      <c r="U24" s="606"/>
      <c r="V24" s="606"/>
      <c r="W24" s="606"/>
      <c r="X24" s="606"/>
      <c r="Y24" s="606"/>
      <c r="Z24" s="606"/>
      <c r="AA24" s="606"/>
      <c r="AB24" s="606"/>
      <c r="AC24" s="606"/>
      <c r="AD24" s="606"/>
      <c r="AE24" s="606"/>
      <c r="AF24" s="606"/>
      <c r="AG24" s="606"/>
      <c r="AH24" s="606"/>
      <c r="AI24" s="606"/>
      <c r="AJ24" s="606"/>
      <c r="AK24" s="606"/>
      <c r="AL24" s="606"/>
      <c r="AM24" s="606"/>
      <c r="AN24" s="606"/>
      <c r="AO24" s="606"/>
      <c r="AP24" s="606"/>
      <c r="AQ24" s="606"/>
      <c r="AR24" s="606"/>
      <c r="AS24" s="606"/>
      <c r="AT24" s="606"/>
      <c r="AU24" s="606"/>
      <c r="AV24" s="606"/>
      <c r="AW24" s="606"/>
      <c r="AX24" s="606"/>
      <c r="AY24" s="606"/>
      <c r="AZ24" s="606"/>
      <c r="BA24" s="622"/>
    </row>
    <row r="25" spans="1:53" ht="18" customHeight="1" x14ac:dyDescent="0.2">
      <c r="A25" s="445"/>
      <c r="B25" s="446" t="s">
        <v>545</v>
      </c>
      <c r="C25" s="447"/>
      <c r="D25" s="465">
        <f>D4-D24</f>
        <v>356255.90000000008</v>
      </c>
      <c r="E25" s="612"/>
      <c r="F25" s="606"/>
      <c r="G25" s="606"/>
      <c r="H25" s="606"/>
      <c r="I25" s="606"/>
      <c r="J25" s="606"/>
      <c r="K25" s="606"/>
      <c r="L25" s="606"/>
      <c r="M25" s="606"/>
      <c r="N25" s="606"/>
      <c r="O25" s="606"/>
      <c r="P25" s="606"/>
      <c r="Q25" s="607"/>
      <c r="R25" s="606"/>
      <c r="S25" s="606"/>
      <c r="T25" s="607"/>
      <c r="U25" s="606"/>
      <c r="V25" s="606"/>
      <c r="W25" s="606"/>
      <c r="X25" s="606"/>
      <c r="Y25" s="606"/>
      <c r="Z25" s="606"/>
      <c r="AA25" s="606"/>
      <c r="AB25" s="606"/>
      <c r="AC25" s="606"/>
      <c r="AD25" s="606"/>
      <c r="AE25" s="606"/>
      <c r="AF25" s="606"/>
      <c r="AG25" s="606"/>
      <c r="AH25" s="606"/>
      <c r="AI25" s="606"/>
      <c r="AJ25" s="606"/>
      <c r="AK25" s="606"/>
      <c r="AL25" s="606"/>
      <c r="AM25" s="606"/>
      <c r="AN25" s="606"/>
      <c r="AO25" s="606"/>
      <c r="AP25" s="606"/>
      <c r="AQ25" s="606"/>
      <c r="AR25" s="606"/>
      <c r="AS25" s="606"/>
      <c r="AT25" s="606"/>
      <c r="AU25" s="606"/>
      <c r="AV25" s="606"/>
      <c r="AW25" s="606"/>
      <c r="AX25" s="606"/>
      <c r="AY25" s="606"/>
      <c r="AZ25" s="606"/>
      <c r="BA25" s="622"/>
    </row>
    <row r="26" spans="1:53" ht="18" customHeight="1" x14ac:dyDescent="0.2">
      <c r="A26" s="449">
        <f>A22+1</f>
        <v>19</v>
      </c>
      <c r="B26" s="439" t="s">
        <v>574</v>
      </c>
      <c r="C26" s="466"/>
      <c r="D26" s="456">
        <v>31796.02</v>
      </c>
      <c r="E26" s="613">
        <f t="shared" ref="E26" si="5">SUM(F26:AY26)</f>
        <v>31796.02</v>
      </c>
      <c r="F26" s="606"/>
      <c r="G26" s="606"/>
      <c r="H26" s="606"/>
      <c r="I26" s="606"/>
      <c r="J26" s="606"/>
      <c r="K26" s="606"/>
      <c r="L26" s="607">
        <v>6000</v>
      </c>
      <c r="M26" s="606"/>
      <c r="N26" s="606"/>
      <c r="O26" s="606"/>
      <c r="P26" s="606"/>
      <c r="Q26" s="607"/>
      <c r="R26" s="607">
        <v>900</v>
      </c>
      <c r="S26" s="607">
        <v>20000</v>
      </c>
      <c r="T26" s="607"/>
      <c r="U26" s="606"/>
      <c r="V26" s="606"/>
      <c r="W26" s="607">
        <v>300</v>
      </c>
      <c r="X26" s="606"/>
      <c r="Y26" s="606"/>
      <c r="Z26" s="606"/>
      <c r="AA26" s="606"/>
      <c r="AB26" s="606"/>
      <c r="AC26" s="606"/>
      <c r="AD26" s="606"/>
      <c r="AE26" s="606"/>
      <c r="AF26" s="606"/>
      <c r="AG26" s="607">
        <v>1596.02</v>
      </c>
      <c r="AH26" s="606"/>
      <c r="AI26" s="606"/>
      <c r="AJ26" s="606"/>
      <c r="AK26" s="606"/>
      <c r="AL26" s="606"/>
      <c r="AM26" s="606"/>
      <c r="AN26" s="606"/>
      <c r="AO26" s="606"/>
      <c r="AP26" s="606"/>
      <c r="AQ26" s="606"/>
      <c r="AR26" s="606"/>
      <c r="AS26" s="606"/>
      <c r="AT26" s="607">
        <v>3000</v>
      </c>
      <c r="AU26" s="606"/>
      <c r="AV26" s="606"/>
      <c r="AW26" s="606"/>
      <c r="AX26" s="606"/>
      <c r="AY26" s="606"/>
      <c r="AZ26" s="606"/>
      <c r="BA26" s="622"/>
    </row>
    <row r="27" spans="1:53" ht="18" customHeight="1" x14ac:dyDescent="0.2">
      <c r="A27" s="449">
        <f t="shared" ref="A27:A46" si="6">A26+1</f>
        <v>20</v>
      </c>
      <c r="B27" s="439" t="s">
        <v>575</v>
      </c>
      <c r="C27" s="456">
        <v>3103.07</v>
      </c>
      <c r="D27" s="456"/>
      <c r="E27" s="613"/>
      <c r="F27" s="606"/>
      <c r="G27" s="606"/>
      <c r="H27" s="606"/>
      <c r="I27" s="606"/>
      <c r="J27" s="606"/>
      <c r="K27" s="606"/>
      <c r="L27" s="606"/>
      <c r="M27" s="606"/>
      <c r="N27" s="606"/>
      <c r="O27" s="606"/>
      <c r="P27" s="606"/>
      <c r="Q27" s="607"/>
      <c r="R27" s="606"/>
      <c r="S27" s="606"/>
      <c r="T27" s="607"/>
      <c r="U27" s="606"/>
      <c r="V27" s="606"/>
      <c r="W27" s="606"/>
      <c r="X27" s="606"/>
      <c r="Y27" s="606"/>
      <c r="Z27" s="606"/>
      <c r="AA27" s="606"/>
      <c r="AB27" s="606"/>
      <c r="AC27" s="606"/>
      <c r="AD27" s="606"/>
      <c r="AE27" s="606"/>
      <c r="AF27" s="606"/>
      <c r="AG27" s="606"/>
      <c r="AH27" s="606"/>
      <c r="AI27" s="606"/>
      <c r="AJ27" s="606"/>
      <c r="AK27" s="606"/>
      <c r="AL27" s="606"/>
      <c r="AM27" s="606"/>
      <c r="AN27" s="606"/>
      <c r="AO27" s="606"/>
      <c r="AP27" s="606"/>
      <c r="AQ27" s="606"/>
      <c r="AR27" s="606"/>
      <c r="AS27" s="606"/>
      <c r="AT27" s="606"/>
      <c r="AU27" s="606"/>
      <c r="AV27" s="606"/>
      <c r="AW27" s="606"/>
      <c r="AX27" s="606"/>
      <c r="AY27" s="606"/>
      <c r="AZ27" s="606"/>
      <c r="BA27" s="622"/>
    </row>
    <row r="28" spans="1:53" ht="18" customHeight="1" x14ac:dyDescent="0.2">
      <c r="A28" s="449">
        <f t="shared" si="6"/>
        <v>21</v>
      </c>
      <c r="B28" s="439" t="s">
        <v>576</v>
      </c>
      <c r="C28" s="456"/>
      <c r="D28" s="467">
        <v>46761.62</v>
      </c>
      <c r="E28" s="613">
        <f t="shared" ref="E28:E31" si="7">SUM(F28:AY28)</f>
        <v>46761.62</v>
      </c>
      <c r="F28" s="606"/>
      <c r="G28" s="606"/>
      <c r="H28" s="606"/>
      <c r="I28" s="606"/>
      <c r="J28" s="606"/>
      <c r="K28" s="606"/>
      <c r="L28" s="606"/>
      <c r="M28" s="606"/>
      <c r="N28" s="606"/>
      <c r="O28" s="606"/>
      <c r="P28" s="606"/>
      <c r="Q28" s="607"/>
      <c r="R28" s="606"/>
      <c r="S28" s="606"/>
      <c r="T28" s="607"/>
      <c r="U28" s="606"/>
      <c r="V28" s="606"/>
      <c r="W28" s="606"/>
      <c r="X28" s="606"/>
      <c r="Y28" s="606"/>
      <c r="Z28" s="606"/>
      <c r="AA28" s="606"/>
      <c r="AB28" s="606"/>
      <c r="AC28" s="606"/>
      <c r="AD28" s="606"/>
      <c r="AE28" s="606"/>
      <c r="AF28" s="606"/>
      <c r="AG28" s="606"/>
      <c r="AH28" s="606"/>
      <c r="AI28" s="606"/>
      <c r="AJ28" s="606"/>
      <c r="AK28" s="606"/>
      <c r="AL28" s="606"/>
      <c r="AM28" s="606"/>
      <c r="AN28" s="606"/>
      <c r="AO28" s="606"/>
      <c r="AP28" s="606"/>
      <c r="AQ28" s="606"/>
      <c r="AR28" s="606"/>
      <c r="AS28" s="606"/>
      <c r="AT28" s="606"/>
      <c r="AU28" s="606"/>
      <c r="AV28" s="606"/>
      <c r="AW28" s="606"/>
      <c r="AX28" s="607">
        <v>46761.62</v>
      </c>
      <c r="AY28" s="606"/>
      <c r="AZ28" s="606"/>
      <c r="BA28" s="622"/>
    </row>
    <row r="29" spans="1:53" ht="18" customHeight="1" x14ac:dyDescent="0.2">
      <c r="A29" s="449">
        <f t="shared" si="6"/>
        <v>22</v>
      </c>
      <c r="B29" s="439" t="s">
        <v>546</v>
      </c>
      <c r="C29" s="456"/>
      <c r="D29" s="456">
        <v>1399.36</v>
      </c>
      <c r="E29" s="613">
        <f t="shared" si="7"/>
        <v>1399.36</v>
      </c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7"/>
      <c r="R29" s="606"/>
      <c r="S29" s="606"/>
      <c r="T29" s="607"/>
      <c r="U29" s="606"/>
      <c r="V29" s="606"/>
      <c r="W29" s="606"/>
      <c r="X29" s="606"/>
      <c r="Y29" s="606"/>
      <c r="Z29" s="606"/>
      <c r="AA29" s="606"/>
      <c r="AB29" s="606"/>
      <c r="AC29" s="606"/>
      <c r="AD29" s="606"/>
      <c r="AE29" s="606"/>
      <c r="AF29" s="606"/>
      <c r="AG29" s="606"/>
      <c r="AH29" s="606"/>
      <c r="AI29" s="606"/>
      <c r="AJ29" s="606"/>
      <c r="AK29" s="606"/>
      <c r="AL29" s="606"/>
      <c r="AM29" s="606"/>
      <c r="AN29" s="606"/>
      <c r="AO29" s="606"/>
      <c r="AP29" s="606"/>
      <c r="AQ29" s="606"/>
      <c r="AR29" s="606"/>
      <c r="AS29" s="606"/>
      <c r="AT29" s="607">
        <v>1399.36</v>
      </c>
      <c r="AU29" s="606"/>
      <c r="AV29" s="606"/>
      <c r="AW29" s="606"/>
      <c r="AX29" s="606"/>
      <c r="AY29" s="606"/>
      <c r="AZ29" s="606"/>
      <c r="BA29" s="622"/>
    </row>
    <row r="30" spans="1:53" ht="18" customHeight="1" x14ac:dyDescent="0.2">
      <c r="A30" s="449">
        <f t="shared" si="6"/>
        <v>23</v>
      </c>
      <c r="B30" s="444" t="s">
        <v>551</v>
      </c>
      <c r="C30" s="468"/>
      <c r="D30" s="456">
        <v>35000</v>
      </c>
      <c r="E30" s="613">
        <f t="shared" si="7"/>
        <v>35000</v>
      </c>
      <c r="F30" s="606"/>
      <c r="G30" s="606"/>
      <c r="H30" s="606"/>
      <c r="I30" s="606"/>
      <c r="J30" s="606"/>
      <c r="K30" s="606"/>
      <c r="L30" s="607">
        <v>5000</v>
      </c>
      <c r="M30" s="606"/>
      <c r="N30" s="606"/>
      <c r="O30" s="606"/>
      <c r="P30" s="606"/>
      <c r="Q30" s="607"/>
      <c r="R30" s="606"/>
      <c r="S30" s="624">
        <v>25000</v>
      </c>
      <c r="T30" s="607"/>
      <c r="U30" s="606"/>
      <c r="V30" s="606"/>
      <c r="W30" s="606"/>
      <c r="X30" s="606"/>
      <c r="Y30" s="606"/>
      <c r="Z30" s="606"/>
      <c r="AA30" s="606"/>
      <c r="AB30" s="606"/>
      <c r="AC30" s="606"/>
      <c r="AD30" s="606"/>
      <c r="AE30" s="606"/>
      <c r="AF30" s="606"/>
      <c r="AG30" s="607">
        <v>5000</v>
      </c>
      <c r="AH30" s="606"/>
      <c r="AI30" s="606"/>
      <c r="AJ30" s="606"/>
      <c r="AK30" s="606"/>
      <c r="AL30" s="606"/>
      <c r="AM30" s="606"/>
      <c r="AN30" s="606"/>
      <c r="AO30" s="606"/>
      <c r="AP30" s="606"/>
      <c r="AQ30" s="606"/>
      <c r="AR30" s="606"/>
      <c r="AS30" s="606"/>
      <c r="AT30" s="606"/>
      <c r="AU30" s="606"/>
      <c r="AV30" s="606"/>
      <c r="AW30" s="606"/>
      <c r="AX30" s="606"/>
      <c r="AY30" s="606"/>
      <c r="AZ30" s="606"/>
      <c r="BA30" s="622"/>
    </row>
    <row r="31" spans="1:53" ht="18" customHeight="1" x14ac:dyDescent="0.2">
      <c r="A31" s="449">
        <f t="shared" si="6"/>
        <v>24</v>
      </c>
      <c r="B31" s="439" t="s">
        <v>552</v>
      </c>
      <c r="C31" s="455"/>
      <c r="D31" s="469">
        <v>35000</v>
      </c>
      <c r="E31" s="613">
        <f t="shared" si="7"/>
        <v>35000</v>
      </c>
      <c r="F31" s="606"/>
      <c r="G31" s="606"/>
      <c r="H31" s="606"/>
      <c r="I31" s="606"/>
      <c r="J31" s="606"/>
      <c r="K31" s="606"/>
      <c r="L31" s="607">
        <v>6000</v>
      </c>
      <c r="M31" s="606"/>
      <c r="N31" s="606"/>
      <c r="O31" s="606"/>
      <c r="P31" s="606"/>
      <c r="Q31" s="607"/>
      <c r="R31" s="606"/>
      <c r="S31" s="607">
        <v>25000</v>
      </c>
      <c r="T31" s="607"/>
      <c r="U31" s="606"/>
      <c r="V31" s="606"/>
      <c r="W31" s="606"/>
      <c r="X31" s="606"/>
      <c r="Y31" s="606"/>
      <c r="Z31" s="606"/>
      <c r="AA31" s="606"/>
      <c r="AB31" s="606"/>
      <c r="AC31" s="606"/>
      <c r="AD31" s="606"/>
      <c r="AE31" s="606"/>
      <c r="AF31" s="606"/>
      <c r="AG31" s="607">
        <v>4000</v>
      </c>
      <c r="AH31" s="606"/>
      <c r="AI31" s="606"/>
      <c r="AJ31" s="606"/>
      <c r="AK31" s="606"/>
      <c r="AL31" s="606"/>
      <c r="AM31" s="606"/>
      <c r="AN31" s="606"/>
      <c r="AO31" s="606"/>
      <c r="AP31" s="606"/>
      <c r="AQ31" s="606"/>
      <c r="AR31" s="606"/>
      <c r="AS31" s="606"/>
      <c r="AT31" s="606"/>
      <c r="AU31" s="606"/>
      <c r="AV31" s="606"/>
      <c r="AW31" s="606"/>
      <c r="AX31" s="606"/>
      <c r="AY31" s="606"/>
      <c r="AZ31" s="606"/>
      <c r="BA31" s="622"/>
    </row>
    <row r="32" spans="1:53" ht="0.75" customHeight="1" x14ac:dyDescent="0.2">
      <c r="A32" s="449">
        <f t="shared" si="6"/>
        <v>25</v>
      </c>
      <c r="B32" s="439"/>
      <c r="C32" s="455"/>
      <c r="D32" s="456"/>
      <c r="E32" s="613"/>
      <c r="F32" s="606"/>
      <c r="G32" s="606"/>
      <c r="H32" s="606"/>
      <c r="I32" s="606"/>
      <c r="J32" s="606"/>
      <c r="K32" s="606"/>
      <c r="L32" s="606"/>
      <c r="M32" s="606"/>
      <c r="N32" s="606"/>
      <c r="O32" s="606"/>
      <c r="P32" s="606"/>
      <c r="Q32" s="607"/>
      <c r="R32" s="606"/>
      <c r="S32" s="606"/>
      <c r="T32" s="607"/>
      <c r="U32" s="606"/>
      <c r="V32" s="606"/>
      <c r="W32" s="606"/>
      <c r="X32" s="606"/>
      <c r="Y32" s="606"/>
      <c r="Z32" s="606"/>
      <c r="AA32" s="606"/>
      <c r="AB32" s="606"/>
      <c r="AC32" s="606"/>
      <c r="AD32" s="606"/>
      <c r="AE32" s="606"/>
      <c r="AF32" s="606"/>
      <c r="AG32" s="606"/>
      <c r="AH32" s="606"/>
      <c r="AI32" s="606"/>
      <c r="AJ32" s="606"/>
      <c r="AK32" s="606"/>
      <c r="AL32" s="606"/>
      <c r="AM32" s="606"/>
      <c r="AN32" s="606"/>
      <c r="AO32" s="606"/>
      <c r="AP32" s="606"/>
      <c r="AQ32" s="606"/>
      <c r="AR32" s="606"/>
      <c r="AS32" s="606"/>
      <c r="AT32" s="606"/>
      <c r="AU32" s="606"/>
      <c r="AV32" s="606"/>
      <c r="AW32" s="606"/>
      <c r="AX32" s="606"/>
      <c r="AY32" s="606"/>
      <c r="AZ32" s="606"/>
      <c r="BA32" s="622"/>
    </row>
    <row r="33" spans="1:53" ht="18" customHeight="1" x14ac:dyDescent="0.2">
      <c r="A33" s="449">
        <f t="shared" si="6"/>
        <v>26</v>
      </c>
      <c r="B33" s="439" t="s">
        <v>612</v>
      </c>
      <c r="C33" s="456">
        <v>6572</v>
      </c>
      <c r="D33" s="504">
        <v>5667.1</v>
      </c>
      <c r="E33" s="613"/>
      <c r="F33" s="606"/>
      <c r="G33" s="606"/>
      <c r="H33" s="606"/>
      <c r="I33" s="606"/>
      <c r="J33" s="606"/>
      <c r="K33" s="606"/>
      <c r="L33" s="606"/>
      <c r="M33" s="606"/>
      <c r="N33" s="606"/>
      <c r="O33" s="606"/>
      <c r="P33" s="606"/>
      <c r="Q33" s="607"/>
      <c r="R33" s="606"/>
      <c r="S33" s="606"/>
      <c r="T33" s="607"/>
      <c r="U33" s="606"/>
      <c r="V33" s="606"/>
      <c r="W33" s="606"/>
      <c r="X33" s="606"/>
      <c r="Y33" s="606"/>
      <c r="Z33" s="606"/>
      <c r="AA33" s="625">
        <v>5667.1</v>
      </c>
      <c r="AB33" s="606"/>
      <c r="AC33" s="606"/>
      <c r="AD33" s="606"/>
      <c r="AE33" s="606"/>
      <c r="AF33" s="606"/>
      <c r="AG33" s="606"/>
      <c r="AH33" s="606"/>
      <c r="AI33" s="606"/>
      <c r="AJ33" s="606"/>
      <c r="AK33" s="606"/>
      <c r="AL33" s="606"/>
      <c r="AM33" s="606"/>
      <c r="AN33" s="606"/>
      <c r="AO33" s="606"/>
      <c r="AP33" s="606"/>
      <c r="AQ33" s="606"/>
      <c r="AR33" s="606"/>
      <c r="AS33" s="606"/>
      <c r="AT33" s="606"/>
      <c r="AU33" s="606"/>
      <c r="AV33" s="606"/>
      <c r="AW33" s="606"/>
      <c r="AX33" s="606"/>
      <c r="AY33" s="606"/>
      <c r="AZ33" s="606"/>
      <c r="BA33" s="622"/>
    </row>
    <row r="34" spans="1:53" ht="18" customHeight="1" x14ac:dyDescent="0.2">
      <c r="A34" s="449">
        <f t="shared" si="6"/>
        <v>27</v>
      </c>
      <c r="B34" s="439" t="s">
        <v>577</v>
      </c>
      <c r="C34" s="456">
        <v>11960</v>
      </c>
      <c r="D34" s="456"/>
      <c r="E34" s="613"/>
      <c r="F34" s="606"/>
      <c r="G34" s="606"/>
      <c r="H34" s="606"/>
      <c r="I34" s="606"/>
      <c r="J34" s="606"/>
      <c r="K34" s="606"/>
      <c r="L34" s="606"/>
      <c r="M34" s="606"/>
      <c r="N34" s="606"/>
      <c r="O34" s="606"/>
      <c r="P34" s="606"/>
      <c r="Q34" s="607"/>
      <c r="R34" s="606"/>
      <c r="S34" s="606"/>
      <c r="T34" s="607"/>
      <c r="U34" s="606"/>
      <c r="V34" s="606"/>
      <c r="W34" s="606"/>
      <c r="X34" s="606"/>
      <c r="Y34" s="606"/>
      <c r="Z34" s="606"/>
      <c r="AA34" s="606"/>
      <c r="AB34" s="606"/>
      <c r="AC34" s="606"/>
      <c r="AD34" s="606"/>
      <c r="AE34" s="606"/>
      <c r="AF34" s="606"/>
      <c r="AG34" s="606"/>
      <c r="AH34" s="606"/>
      <c r="AI34" s="606"/>
      <c r="AJ34" s="606"/>
      <c r="AK34" s="606"/>
      <c r="AL34" s="606"/>
      <c r="AM34" s="606"/>
      <c r="AN34" s="606"/>
      <c r="AO34" s="606"/>
      <c r="AP34" s="606"/>
      <c r="AQ34" s="606"/>
      <c r="AR34" s="606"/>
      <c r="AS34" s="606"/>
      <c r="AT34" s="606"/>
      <c r="AU34" s="606"/>
      <c r="AV34" s="606"/>
      <c r="AW34" s="606"/>
      <c r="AX34" s="606"/>
      <c r="AY34" s="606"/>
      <c r="AZ34" s="606"/>
      <c r="BA34" s="622"/>
    </row>
    <row r="35" spans="1:53" ht="18" customHeight="1" x14ac:dyDescent="0.2">
      <c r="A35" s="449">
        <f t="shared" si="6"/>
        <v>28</v>
      </c>
      <c r="B35" s="439" t="s">
        <v>578</v>
      </c>
      <c r="C35" s="456">
        <v>20760</v>
      </c>
      <c r="D35" s="456"/>
      <c r="E35" s="613"/>
      <c r="F35" s="606"/>
      <c r="G35" s="606"/>
      <c r="H35" s="606"/>
      <c r="I35" s="606"/>
      <c r="J35" s="606"/>
      <c r="K35" s="606"/>
      <c r="L35" s="606"/>
      <c r="M35" s="606"/>
      <c r="N35" s="606"/>
      <c r="O35" s="606"/>
      <c r="P35" s="606"/>
      <c r="Q35" s="607"/>
      <c r="R35" s="606"/>
      <c r="S35" s="606"/>
      <c r="T35" s="607"/>
      <c r="U35" s="606"/>
      <c r="V35" s="606"/>
      <c r="W35" s="606"/>
      <c r="X35" s="606"/>
      <c r="Y35" s="606"/>
      <c r="Z35" s="606"/>
      <c r="AA35" s="606"/>
      <c r="AB35" s="606"/>
      <c r="AC35" s="606"/>
      <c r="AD35" s="606"/>
      <c r="AE35" s="606"/>
      <c r="AF35" s="606"/>
      <c r="AG35" s="606"/>
      <c r="AH35" s="606"/>
      <c r="AI35" s="606"/>
      <c r="AJ35" s="606"/>
      <c r="AK35" s="606"/>
      <c r="AL35" s="606"/>
      <c r="AM35" s="606"/>
      <c r="AN35" s="606"/>
      <c r="AO35" s="606"/>
      <c r="AP35" s="606"/>
      <c r="AQ35" s="606"/>
      <c r="AR35" s="606"/>
      <c r="AS35" s="606"/>
      <c r="AT35" s="626"/>
      <c r="AU35" s="606"/>
      <c r="AV35" s="606"/>
      <c r="AW35" s="606"/>
      <c r="AX35" s="606"/>
      <c r="AY35" s="606"/>
      <c r="AZ35" s="606">
        <f>SUM(F35:AV35)</f>
        <v>0</v>
      </c>
      <c r="BA35" s="622">
        <f>SUM(F35:AV35)</f>
        <v>0</v>
      </c>
    </row>
    <row r="36" spans="1:53" ht="18" customHeight="1" x14ac:dyDescent="0.2">
      <c r="A36" s="449">
        <f t="shared" si="6"/>
        <v>29</v>
      </c>
      <c r="B36" s="439" t="s">
        <v>579</v>
      </c>
      <c r="C36" s="470">
        <v>26301.5</v>
      </c>
      <c r="D36" s="471"/>
      <c r="E36" s="613"/>
      <c r="F36" s="606"/>
      <c r="G36" s="606"/>
      <c r="H36" s="606"/>
      <c r="I36" s="606"/>
      <c r="J36" s="606"/>
      <c r="K36" s="606"/>
      <c r="L36" s="606"/>
      <c r="M36" s="606"/>
      <c r="N36" s="606"/>
      <c r="O36" s="606"/>
      <c r="P36" s="606"/>
      <c r="Q36" s="607"/>
      <c r="R36" s="606"/>
      <c r="S36" s="606"/>
      <c r="T36" s="607"/>
      <c r="U36" s="606"/>
      <c r="V36" s="606"/>
      <c r="W36" s="606"/>
      <c r="X36" s="606"/>
      <c r="Y36" s="606"/>
      <c r="Z36" s="606"/>
      <c r="AA36" s="606"/>
      <c r="AB36" s="606"/>
      <c r="AC36" s="606"/>
      <c r="AD36" s="606"/>
      <c r="AE36" s="606"/>
      <c r="AF36" s="606"/>
      <c r="AG36" s="606"/>
      <c r="AH36" s="606"/>
      <c r="AI36" s="606"/>
      <c r="AJ36" s="606"/>
      <c r="AK36" s="606"/>
      <c r="AL36" s="606"/>
      <c r="AM36" s="606"/>
      <c r="AN36" s="606"/>
      <c r="AO36" s="606"/>
      <c r="AP36" s="606"/>
      <c r="AQ36" s="606"/>
      <c r="AR36" s="606"/>
      <c r="AS36" s="606"/>
      <c r="AT36" s="606"/>
      <c r="AU36" s="606"/>
      <c r="AV36" s="606"/>
      <c r="AW36" s="606"/>
      <c r="AX36" s="606"/>
      <c r="AY36" s="606"/>
      <c r="AZ36" s="606"/>
      <c r="BA36" s="622"/>
    </row>
    <row r="37" spans="1:53" ht="18" customHeight="1" x14ac:dyDescent="0.2">
      <c r="A37" s="449">
        <f t="shared" si="6"/>
        <v>30</v>
      </c>
      <c r="B37" s="439" t="s">
        <v>580</v>
      </c>
      <c r="C37" s="456">
        <v>21710</v>
      </c>
      <c r="D37" s="456"/>
      <c r="E37" s="613"/>
      <c r="F37" s="606"/>
      <c r="G37" s="606"/>
      <c r="H37" s="606"/>
      <c r="I37" s="606"/>
      <c r="J37" s="606"/>
      <c r="K37" s="606"/>
      <c r="L37" s="606"/>
      <c r="M37" s="606"/>
      <c r="N37" s="606"/>
      <c r="O37" s="606"/>
      <c r="P37" s="606"/>
      <c r="Q37" s="607"/>
      <c r="R37" s="606"/>
      <c r="S37" s="606"/>
      <c r="T37" s="607"/>
      <c r="U37" s="606"/>
      <c r="V37" s="606"/>
      <c r="W37" s="606"/>
      <c r="X37" s="606"/>
      <c r="Y37" s="606"/>
      <c r="Z37" s="606"/>
      <c r="AA37" s="606"/>
      <c r="AB37" s="606"/>
      <c r="AC37" s="606"/>
      <c r="AD37" s="606"/>
      <c r="AE37" s="606"/>
      <c r="AF37" s="606"/>
      <c r="AG37" s="606"/>
      <c r="AH37" s="606"/>
      <c r="AI37" s="606"/>
      <c r="AJ37" s="606"/>
      <c r="AK37" s="606"/>
      <c r="AL37" s="606"/>
      <c r="AM37" s="606"/>
      <c r="AN37" s="606"/>
      <c r="AO37" s="606"/>
      <c r="AP37" s="606"/>
      <c r="AQ37" s="606"/>
      <c r="AR37" s="606"/>
      <c r="AS37" s="606"/>
      <c r="AT37" s="606"/>
      <c r="AU37" s="606"/>
      <c r="AV37" s="606"/>
      <c r="AW37" s="606"/>
      <c r="AX37" s="606"/>
      <c r="AY37" s="606"/>
      <c r="AZ37" s="606"/>
      <c r="BA37" s="622"/>
    </row>
    <row r="38" spans="1:53" ht="18" customHeight="1" x14ac:dyDescent="0.2">
      <c r="A38" s="449">
        <f t="shared" si="6"/>
        <v>31</v>
      </c>
      <c r="B38" s="442" t="s">
        <v>546</v>
      </c>
      <c r="C38" s="456">
        <v>666.97</v>
      </c>
      <c r="D38" s="469"/>
      <c r="E38" s="613"/>
      <c r="F38" s="606"/>
      <c r="G38" s="606"/>
      <c r="H38" s="606"/>
      <c r="I38" s="606"/>
      <c r="J38" s="606"/>
      <c r="K38" s="606"/>
      <c r="L38" s="606"/>
      <c r="M38" s="606"/>
      <c r="N38" s="606"/>
      <c r="O38" s="606"/>
      <c r="P38" s="606"/>
      <c r="Q38" s="607"/>
      <c r="R38" s="606"/>
      <c r="S38" s="606"/>
      <c r="T38" s="607"/>
      <c r="U38" s="606"/>
      <c r="V38" s="606"/>
      <c r="W38" s="606"/>
      <c r="X38" s="606"/>
      <c r="Y38" s="606"/>
      <c r="Z38" s="606"/>
      <c r="AA38" s="606"/>
      <c r="AB38" s="606"/>
      <c r="AC38" s="606"/>
      <c r="AD38" s="606"/>
      <c r="AE38" s="606"/>
      <c r="AF38" s="606"/>
      <c r="AG38" s="606"/>
      <c r="AH38" s="606"/>
      <c r="AI38" s="606"/>
      <c r="AJ38" s="606"/>
      <c r="AK38" s="606"/>
      <c r="AL38" s="606"/>
      <c r="AM38" s="606"/>
      <c r="AN38" s="606"/>
      <c r="AO38" s="606"/>
      <c r="AP38" s="606"/>
      <c r="AQ38" s="606"/>
      <c r="AR38" s="606"/>
      <c r="AS38" s="606"/>
      <c r="AT38" s="606"/>
      <c r="AU38" s="606"/>
      <c r="AV38" s="606"/>
      <c r="AW38" s="606"/>
      <c r="AX38" s="606"/>
      <c r="AY38" s="606"/>
      <c r="AZ38" s="606"/>
      <c r="BA38" s="622"/>
    </row>
    <row r="39" spans="1:53" ht="18" customHeight="1" x14ac:dyDescent="0.2">
      <c r="A39" s="449">
        <f t="shared" si="6"/>
        <v>32</v>
      </c>
      <c r="B39" s="439" t="s">
        <v>581</v>
      </c>
      <c r="C39" s="456">
        <v>24997.8</v>
      </c>
      <c r="D39" s="456"/>
      <c r="E39" s="613"/>
      <c r="F39" s="606"/>
      <c r="G39" s="606"/>
      <c r="H39" s="606"/>
      <c r="I39" s="606"/>
      <c r="J39" s="606"/>
      <c r="K39" s="606"/>
      <c r="L39" s="606"/>
      <c r="M39" s="606"/>
      <c r="N39" s="606"/>
      <c r="O39" s="606"/>
      <c r="P39" s="606"/>
      <c r="Q39" s="607"/>
      <c r="R39" s="606"/>
      <c r="S39" s="606"/>
      <c r="T39" s="607"/>
      <c r="U39" s="606"/>
      <c r="V39" s="606"/>
      <c r="W39" s="606"/>
      <c r="X39" s="606"/>
      <c r="Y39" s="606"/>
      <c r="Z39" s="606"/>
      <c r="AA39" s="606"/>
      <c r="AB39" s="606"/>
      <c r="AC39" s="606"/>
      <c r="AD39" s="606"/>
      <c r="AE39" s="606"/>
      <c r="AF39" s="606"/>
      <c r="AG39" s="606"/>
      <c r="AH39" s="606"/>
      <c r="AI39" s="606"/>
      <c r="AJ39" s="606"/>
      <c r="AK39" s="606"/>
      <c r="AL39" s="606"/>
      <c r="AM39" s="606"/>
      <c r="AN39" s="606"/>
      <c r="AO39" s="606"/>
      <c r="AP39" s="606"/>
      <c r="AQ39" s="606"/>
      <c r="AR39" s="606"/>
      <c r="AS39" s="606"/>
      <c r="AT39" s="606"/>
      <c r="AU39" s="606"/>
      <c r="AV39" s="606"/>
      <c r="AW39" s="606"/>
      <c r="AX39" s="606"/>
      <c r="AY39" s="606"/>
      <c r="AZ39" s="606"/>
      <c r="BA39" s="622"/>
    </row>
    <row r="40" spans="1:53" ht="18" customHeight="1" x14ac:dyDescent="0.2">
      <c r="A40" s="449">
        <f t="shared" si="6"/>
        <v>33</v>
      </c>
      <c r="B40" s="439" t="s">
        <v>582</v>
      </c>
      <c r="C40" s="456">
        <v>6300</v>
      </c>
      <c r="D40" s="456"/>
      <c r="E40" s="613"/>
      <c r="F40" s="606"/>
      <c r="G40" s="606"/>
      <c r="H40" s="606"/>
      <c r="I40" s="606"/>
      <c r="J40" s="606"/>
      <c r="K40" s="606"/>
      <c r="L40" s="606"/>
      <c r="M40" s="606"/>
      <c r="N40" s="606"/>
      <c r="O40" s="606"/>
      <c r="P40" s="606"/>
      <c r="Q40" s="607"/>
      <c r="R40" s="606"/>
      <c r="S40" s="606"/>
      <c r="T40" s="607"/>
      <c r="U40" s="606"/>
      <c r="V40" s="606"/>
      <c r="W40" s="606"/>
      <c r="X40" s="606"/>
      <c r="Y40" s="606"/>
      <c r="Z40" s="606"/>
      <c r="AA40" s="606"/>
      <c r="AB40" s="606"/>
      <c r="AC40" s="606"/>
      <c r="AD40" s="606"/>
      <c r="AE40" s="606"/>
      <c r="AF40" s="606"/>
      <c r="AG40" s="606"/>
      <c r="AH40" s="606"/>
      <c r="AI40" s="606"/>
      <c r="AJ40" s="606"/>
      <c r="AK40" s="606"/>
      <c r="AL40" s="606"/>
      <c r="AM40" s="606"/>
      <c r="AN40" s="606"/>
      <c r="AO40" s="606"/>
      <c r="AP40" s="606"/>
      <c r="AQ40" s="606"/>
      <c r="AR40" s="606"/>
      <c r="AS40" s="606"/>
      <c r="AT40" s="606"/>
      <c r="AU40" s="606"/>
      <c r="AV40" s="606"/>
      <c r="AW40" s="606"/>
      <c r="AX40" s="606"/>
      <c r="AY40" s="606"/>
      <c r="AZ40" s="606"/>
      <c r="BA40" s="622"/>
    </row>
    <row r="41" spans="1:53" ht="18" customHeight="1" x14ac:dyDescent="0.2">
      <c r="A41" s="449">
        <f t="shared" si="6"/>
        <v>34</v>
      </c>
      <c r="B41" s="439" t="s">
        <v>609</v>
      </c>
      <c r="C41" s="456">
        <v>1549.92</v>
      </c>
      <c r="D41" s="456"/>
      <c r="E41" s="613"/>
      <c r="F41" s="606"/>
      <c r="G41" s="606"/>
      <c r="H41" s="606"/>
      <c r="I41" s="606"/>
      <c r="J41" s="606"/>
      <c r="K41" s="606"/>
      <c r="L41" s="606"/>
      <c r="M41" s="606"/>
      <c r="N41" s="606"/>
      <c r="O41" s="606"/>
      <c r="P41" s="606"/>
      <c r="Q41" s="607"/>
      <c r="R41" s="606"/>
      <c r="S41" s="606"/>
      <c r="T41" s="607"/>
      <c r="U41" s="606"/>
      <c r="V41" s="606"/>
      <c r="W41" s="606"/>
      <c r="X41" s="606"/>
      <c r="Y41" s="606"/>
      <c r="Z41" s="606"/>
      <c r="AA41" s="606"/>
      <c r="AB41" s="606"/>
      <c r="AC41" s="606"/>
      <c r="AD41" s="606"/>
      <c r="AE41" s="606"/>
      <c r="AF41" s="606"/>
      <c r="AG41" s="606"/>
      <c r="AH41" s="606"/>
      <c r="AI41" s="606"/>
      <c r="AJ41" s="606"/>
      <c r="AK41" s="606"/>
      <c r="AL41" s="606"/>
      <c r="AM41" s="606"/>
      <c r="AN41" s="606"/>
      <c r="AO41" s="606"/>
      <c r="AP41" s="606"/>
      <c r="AQ41" s="606"/>
      <c r="AR41" s="606"/>
      <c r="AS41" s="606"/>
      <c r="AT41" s="606"/>
      <c r="AU41" s="606"/>
      <c r="AV41" s="606"/>
      <c r="AW41" s="606"/>
      <c r="AX41" s="606"/>
      <c r="AY41" s="606"/>
      <c r="AZ41" s="606"/>
      <c r="BA41" s="622"/>
    </row>
    <row r="42" spans="1:53" ht="18" customHeight="1" x14ac:dyDescent="0.2">
      <c r="A42" s="449">
        <f t="shared" si="6"/>
        <v>35</v>
      </c>
      <c r="B42" s="439" t="s">
        <v>583</v>
      </c>
      <c r="C42" s="456">
        <v>9400</v>
      </c>
      <c r="D42" s="456"/>
      <c r="E42" s="613"/>
      <c r="F42" s="606"/>
      <c r="G42" s="606"/>
      <c r="H42" s="606"/>
      <c r="I42" s="606"/>
      <c r="J42" s="606"/>
      <c r="K42" s="606"/>
      <c r="L42" s="606"/>
      <c r="M42" s="606"/>
      <c r="N42" s="606"/>
      <c r="O42" s="606"/>
      <c r="P42" s="606"/>
      <c r="Q42" s="607"/>
      <c r="R42" s="606"/>
      <c r="S42" s="606"/>
      <c r="T42" s="607"/>
      <c r="U42" s="606"/>
      <c r="V42" s="606"/>
      <c r="W42" s="606"/>
      <c r="X42" s="606"/>
      <c r="Y42" s="606"/>
      <c r="Z42" s="606"/>
      <c r="AA42" s="606"/>
      <c r="AB42" s="606"/>
      <c r="AC42" s="606"/>
      <c r="AD42" s="606"/>
      <c r="AE42" s="606"/>
      <c r="AF42" s="606"/>
      <c r="AG42" s="606"/>
      <c r="AH42" s="606"/>
      <c r="AI42" s="606"/>
      <c r="AJ42" s="606"/>
      <c r="AK42" s="606"/>
      <c r="AL42" s="606"/>
      <c r="AM42" s="606"/>
      <c r="AN42" s="606"/>
      <c r="AO42" s="606"/>
      <c r="AP42" s="606"/>
      <c r="AQ42" s="606"/>
      <c r="AR42" s="606"/>
      <c r="AS42" s="606"/>
      <c r="AT42" s="606"/>
      <c r="AU42" s="606"/>
      <c r="AV42" s="606"/>
      <c r="AW42" s="606"/>
      <c r="AX42" s="606"/>
      <c r="AY42" s="606"/>
      <c r="AZ42" s="606"/>
      <c r="BA42" s="622"/>
    </row>
    <row r="43" spans="1:53" ht="18" customHeight="1" x14ac:dyDescent="0.2">
      <c r="A43" s="449">
        <f t="shared" si="6"/>
        <v>36</v>
      </c>
      <c r="B43" s="439" t="s">
        <v>584</v>
      </c>
      <c r="C43" s="456">
        <v>11760</v>
      </c>
      <c r="D43" s="456"/>
      <c r="E43" s="613"/>
      <c r="F43" s="606"/>
      <c r="G43" s="606"/>
      <c r="H43" s="606"/>
      <c r="I43" s="606"/>
      <c r="J43" s="606"/>
      <c r="K43" s="606"/>
      <c r="L43" s="606"/>
      <c r="M43" s="606"/>
      <c r="N43" s="606"/>
      <c r="O43" s="606"/>
      <c r="P43" s="606"/>
      <c r="Q43" s="607"/>
      <c r="R43" s="606"/>
      <c r="S43" s="606"/>
      <c r="T43" s="607"/>
      <c r="U43" s="606"/>
      <c r="V43" s="606"/>
      <c r="W43" s="606"/>
      <c r="X43" s="606"/>
      <c r="Y43" s="606"/>
      <c r="Z43" s="606"/>
      <c r="AA43" s="606"/>
      <c r="AB43" s="606"/>
      <c r="AC43" s="606"/>
      <c r="AD43" s="606"/>
      <c r="AE43" s="606"/>
      <c r="AF43" s="606"/>
      <c r="AG43" s="606"/>
      <c r="AH43" s="606"/>
      <c r="AI43" s="606"/>
      <c r="AJ43" s="606"/>
      <c r="AK43" s="606"/>
      <c r="AL43" s="606"/>
      <c r="AM43" s="606"/>
      <c r="AN43" s="606"/>
      <c r="AO43" s="606"/>
      <c r="AP43" s="606"/>
      <c r="AQ43" s="606"/>
      <c r="AR43" s="606"/>
      <c r="AS43" s="606"/>
      <c r="AT43" s="606"/>
      <c r="AU43" s="606"/>
      <c r="AV43" s="606"/>
      <c r="AW43" s="606"/>
      <c r="AX43" s="606"/>
      <c r="AY43" s="606"/>
      <c r="AZ43" s="606"/>
      <c r="BA43" s="622"/>
    </row>
    <row r="44" spans="1:53" ht="18" customHeight="1" x14ac:dyDescent="0.2">
      <c r="A44" s="449">
        <f t="shared" si="6"/>
        <v>37</v>
      </c>
      <c r="B44" s="439" t="s">
        <v>585</v>
      </c>
      <c r="C44" s="456">
        <v>5000</v>
      </c>
      <c r="D44" s="456"/>
      <c r="E44" s="613"/>
      <c r="F44" s="606"/>
      <c r="G44" s="606"/>
      <c r="H44" s="606"/>
      <c r="I44" s="606"/>
      <c r="J44" s="606"/>
      <c r="K44" s="606"/>
      <c r="L44" s="606"/>
      <c r="M44" s="606"/>
      <c r="N44" s="606"/>
      <c r="O44" s="606"/>
      <c r="P44" s="606"/>
      <c r="Q44" s="607"/>
      <c r="R44" s="606"/>
      <c r="S44" s="606"/>
      <c r="T44" s="607"/>
      <c r="U44" s="606"/>
      <c r="V44" s="606"/>
      <c r="W44" s="606"/>
      <c r="X44" s="606"/>
      <c r="Y44" s="606"/>
      <c r="Z44" s="606"/>
      <c r="AA44" s="606"/>
      <c r="AB44" s="606"/>
      <c r="AC44" s="606"/>
      <c r="AD44" s="606"/>
      <c r="AE44" s="606"/>
      <c r="AF44" s="606"/>
      <c r="AG44" s="606"/>
      <c r="AH44" s="606"/>
      <c r="AI44" s="606"/>
      <c r="AJ44" s="606"/>
      <c r="AK44" s="606"/>
      <c r="AL44" s="606"/>
      <c r="AM44" s="606"/>
      <c r="AN44" s="606"/>
      <c r="AO44" s="606"/>
      <c r="AP44" s="606"/>
      <c r="AQ44" s="606"/>
      <c r="AR44" s="606"/>
      <c r="AS44" s="606"/>
      <c r="AT44" s="606"/>
      <c r="AU44" s="606"/>
      <c r="AV44" s="606"/>
      <c r="AW44" s="606"/>
      <c r="AX44" s="606"/>
      <c r="AY44" s="606"/>
      <c r="AZ44" s="606"/>
      <c r="BA44" s="622"/>
    </row>
    <row r="45" spans="1:53" ht="18" customHeight="1" x14ac:dyDescent="0.2">
      <c r="A45" s="449">
        <f t="shared" si="6"/>
        <v>38</v>
      </c>
      <c r="B45" s="439" t="s">
        <v>586</v>
      </c>
      <c r="C45" s="456">
        <v>21300</v>
      </c>
      <c r="D45" s="456"/>
      <c r="E45" s="613"/>
      <c r="F45" s="606"/>
      <c r="G45" s="606"/>
      <c r="H45" s="606"/>
      <c r="I45" s="606"/>
      <c r="J45" s="606"/>
      <c r="K45" s="606"/>
      <c r="L45" s="606"/>
      <c r="M45" s="606"/>
      <c r="N45" s="606"/>
      <c r="O45" s="606"/>
      <c r="P45" s="606"/>
      <c r="Q45" s="607"/>
      <c r="R45" s="606"/>
      <c r="S45" s="606"/>
      <c r="T45" s="607"/>
      <c r="U45" s="606"/>
      <c r="V45" s="606"/>
      <c r="W45" s="606"/>
      <c r="X45" s="606"/>
      <c r="Y45" s="606"/>
      <c r="Z45" s="606"/>
      <c r="AA45" s="606"/>
      <c r="AB45" s="606"/>
      <c r="AC45" s="606"/>
      <c r="AD45" s="606"/>
      <c r="AE45" s="606"/>
      <c r="AF45" s="606"/>
      <c r="AG45" s="606"/>
      <c r="AH45" s="606"/>
      <c r="AI45" s="606"/>
      <c r="AJ45" s="606"/>
      <c r="AK45" s="606"/>
      <c r="AL45" s="606"/>
      <c r="AM45" s="606"/>
      <c r="AN45" s="606"/>
      <c r="AO45" s="606"/>
      <c r="AP45" s="606"/>
      <c r="AQ45" s="606"/>
      <c r="AR45" s="606"/>
      <c r="AS45" s="606"/>
      <c r="AT45" s="606"/>
      <c r="AU45" s="606"/>
      <c r="AV45" s="606"/>
      <c r="AW45" s="606"/>
      <c r="AX45" s="606"/>
      <c r="AY45" s="606"/>
      <c r="AZ45" s="606"/>
      <c r="BA45" s="622"/>
    </row>
    <row r="46" spans="1:53" ht="18" customHeight="1" x14ac:dyDescent="0.2">
      <c r="A46" s="449">
        <f t="shared" si="6"/>
        <v>39</v>
      </c>
      <c r="B46" s="439" t="s">
        <v>587</v>
      </c>
      <c r="C46" s="456">
        <v>830</v>
      </c>
      <c r="D46" s="456"/>
      <c r="E46" s="613"/>
      <c r="F46" s="606"/>
      <c r="G46" s="606"/>
      <c r="H46" s="606"/>
      <c r="I46" s="606"/>
      <c r="J46" s="606"/>
      <c r="K46" s="606"/>
      <c r="L46" s="606"/>
      <c r="M46" s="606"/>
      <c r="N46" s="606"/>
      <c r="O46" s="606"/>
      <c r="P46" s="606"/>
      <c r="Q46" s="607"/>
      <c r="R46" s="606"/>
      <c r="S46" s="606"/>
      <c r="T46" s="607"/>
      <c r="U46" s="606"/>
      <c r="V46" s="606"/>
      <c r="W46" s="606"/>
      <c r="X46" s="606"/>
      <c r="Y46" s="606"/>
      <c r="Z46" s="606"/>
      <c r="AA46" s="606"/>
      <c r="AB46" s="606"/>
      <c r="AC46" s="606"/>
      <c r="AD46" s="606"/>
      <c r="AE46" s="606"/>
      <c r="AF46" s="606"/>
      <c r="AG46" s="606"/>
      <c r="AH46" s="606"/>
      <c r="AI46" s="606"/>
      <c r="AJ46" s="606"/>
      <c r="AK46" s="606"/>
      <c r="AL46" s="606"/>
      <c r="AM46" s="606"/>
      <c r="AN46" s="606"/>
      <c r="AO46" s="606"/>
      <c r="AP46" s="606"/>
      <c r="AQ46" s="606"/>
      <c r="AR46" s="606"/>
      <c r="AS46" s="606"/>
      <c r="AT46" s="606"/>
      <c r="AU46" s="606"/>
      <c r="AV46" s="606"/>
      <c r="AW46" s="606"/>
      <c r="AX46" s="606"/>
      <c r="AY46" s="606"/>
      <c r="AZ46" s="606"/>
      <c r="BA46" s="622"/>
    </row>
    <row r="47" spans="1:53" ht="18" customHeight="1" x14ac:dyDescent="0.2">
      <c r="A47" s="450"/>
      <c r="B47" s="439"/>
      <c r="C47" s="456"/>
      <c r="D47" s="456"/>
      <c r="E47" s="613"/>
      <c r="F47" s="606"/>
      <c r="G47" s="606"/>
      <c r="H47" s="606"/>
      <c r="I47" s="606"/>
      <c r="J47" s="606"/>
      <c r="K47" s="606"/>
      <c r="L47" s="606"/>
      <c r="M47" s="606"/>
      <c r="N47" s="606"/>
      <c r="O47" s="606"/>
      <c r="P47" s="606"/>
      <c r="Q47" s="607"/>
      <c r="R47" s="606"/>
      <c r="S47" s="606"/>
      <c r="T47" s="607"/>
      <c r="U47" s="606"/>
      <c r="V47" s="606"/>
      <c r="W47" s="606"/>
      <c r="X47" s="606"/>
      <c r="Y47" s="606"/>
      <c r="Z47" s="606"/>
      <c r="AA47" s="606"/>
      <c r="AB47" s="606"/>
      <c r="AC47" s="606"/>
      <c r="AD47" s="606"/>
      <c r="AE47" s="606"/>
      <c r="AF47" s="606"/>
      <c r="AG47" s="606"/>
      <c r="AH47" s="606"/>
      <c r="AI47" s="606"/>
      <c r="AJ47" s="606"/>
      <c r="AK47" s="606"/>
      <c r="AL47" s="606"/>
      <c r="AM47" s="606"/>
      <c r="AN47" s="606"/>
      <c r="AO47" s="606"/>
      <c r="AP47" s="606"/>
      <c r="AQ47" s="606"/>
      <c r="AR47" s="606"/>
      <c r="AS47" s="606"/>
      <c r="AT47" s="606"/>
      <c r="AU47" s="606"/>
      <c r="AV47" s="606"/>
      <c r="AW47" s="606"/>
      <c r="AX47" s="606"/>
      <c r="AY47" s="606"/>
      <c r="AZ47" s="606"/>
      <c r="BA47" s="622"/>
    </row>
    <row r="48" spans="1:53" ht="18" customHeight="1" x14ac:dyDescent="0.2">
      <c r="A48" s="449"/>
      <c r="B48" s="441" t="s">
        <v>492</v>
      </c>
      <c r="C48" s="472">
        <f>SUM(C26:C47)</f>
        <v>172211.26</v>
      </c>
      <c r="D48" s="472">
        <f>SUM(D26:D47)</f>
        <v>155624.1</v>
      </c>
      <c r="E48" s="613"/>
      <c r="F48" s="606"/>
      <c r="G48" s="606"/>
      <c r="H48" s="606"/>
      <c r="I48" s="606"/>
      <c r="J48" s="606"/>
      <c r="K48" s="606"/>
      <c r="L48" s="606"/>
      <c r="M48" s="606"/>
      <c r="N48" s="606"/>
      <c r="O48" s="606"/>
      <c r="P48" s="606"/>
      <c r="Q48" s="607"/>
      <c r="R48" s="606"/>
      <c r="S48" s="606"/>
      <c r="T48" s="607"/>
      <c r="U48" s="606"/>
      <c r="V48" s="606"/>
      <c r="W48" s="606"/>
      <c r="X48" s="606"/>
      <c r="Y48" s="606"/>
      <c r="Z48" s="606"/>
      <c r="AA48" s="606"/>
      <c r="AB48" s="606"/>
      <c r="AC48" s="606"/>
      <c r="AD48" s="606"/>
      <c r="AE48" s="606"/>
      <c r="AF48" s="606"/>
      <c r="AG48" s="606"/>
      <c r="AH48" s="606"/>
      <c r="AI48" s="606"/>
      <c r="AJ48" s="606"/>
      <c r="AK48" s="606"/>
      <c r="AL48" s="606"/>
      <c r="AM48" s="606"/>
      <c r="AN48" s="606"/>
      <c r="AO48" s="606"/>
      <c r="AP48" s="606"/>
      <c r="AQ48" s="606"/>
      <c r="AR48" s="606"/>
      <c r="AS48" s="606"/>
      <c r="AT48" s="606"/>
      <c r="AU48" s="606"/>
      <c r="AV48" s="606"/>
      <c r="AW48" s="606"/>
      <c r="AX48" s="606"/>
      <c r="AY48" s="606"/>
      <c r="AZ48" s="606"/>
      <c r="BA48" s="622"/>
    </row>
    <row r="49" spans="1:53" ht="18" hidden="1" customHeight="1" x14ac:dyDescent="0.2">
      <c r="A49" s="449"/>
      <c r="B49" s="440" t="s">
        <v>482</v>
      </c>
      <c r="C49" s="473"/>
      <c r="D49" s="473"/>
      <c r="E49" s="614"/>
      <c r="F49" s="606"/>
      <c r="G49" s="606"/>
      <c r="H49" s="606"/>
      <c r="I49" s="606"/>
      <c r="J49" s="606"/>
      <c r="K49" s="606"/>
      <c r="L49" s="606"/>
      <c r="M49" s="606"/>
      <c r="N49" s="606"/>
      <c r="O49" s="606"/>
      <c r="P49" s="606"/>
      <c r="Q49" s="606"/>
      <c r="R49" s="606"/>
      <c r="S49" s="606"/>
      <c r="T49" s="606"/>
      <c r="U49" s="606"/>
      <c r="V49" s="606"/>
      <c r="W49" s="606"/>
      <c r="X49" s="606"/>
      <c r="Y49" s="606"/>
      <c r="Z49" s="606"/>
      <c r="AA49" s="606"/>
      <c r="AB49" s="606"/>
      <c r="AC49" s="606"/>
      <c r="AD49" s="606"/>
      <c r="AE49" s="606"/>
      <c r="AF49" s="606"/>
      <c r="AG49" s="606"/>
      <c r="AH49" s="606"/>
      <c r="AI49" s="606"/>
      <c r="AJ49" s="606"/>
      <c r="AK49" s="606"/>
      <c r="AL49" s="606"/>
      <c r="AM49" s="606"/>
      <c r="AN49" s="606"/>
      <c r="AO49" s="606"/>
      <c r="AP49" s="606"/>
      <c r="AQ49" s="606"/>
      <c r="AR49" s="606"/>
      <c r="AS49" s="606"/>
      <c r="AT49" s="606"/>
      <c r="AU49" s="606"/>
      <c r="AV49" s="606"/>
      <c r="AW49" s="606"/>
      <c r="AX49" s="606"/>
      <c r="AY49" s="606"/>
      <c r="AZ49" s="606"/>
      <c r="BA49" s="622"/>
    </row>
    <row r="50" spans="1:53" ht="18" hidden="1" customHeight="1" x14ac:dyDescent="0.2">
      <c r="A50" s="449"/>
      <c r="B50" s="440" t="s">
        <v>404</v>
      </c>
      <c r="C50" s="473"/>
      <c r="D50" s="473"/>
      <c r="E50" s="614"/>
      <c r="F50" s="606"/>
      <c r="G50" s="606"/>
      <c r="H50" s="606"/>
      <c r="I50" s="606"/>
      <c r="J50" s="606"/>
      <c r="K50" s="606"/>
      <c r="L50" s="606"/>
      <c r="M50" s="606"/>
      <c r="N50" s="606"/>
      <c r="O50" s="606"/>
      <c r="P50" s="606"/>
      <c r="Q50" s="606"/>
      <c r="R50" s="606"/>
      <c r="S50" s="606"/>
      <c r="T50" s="606"/>
      <c r="U50" s="606"/>
      <c r="V50" s="606"/>
      <c r="W50" s="606"/>
      <c r="X50" s="606"/>
      <c r="Y50" s="606"/>
      <c r="Z50" s="606"/>
      <c r="AA50" s="606"/>
      <c r="AB50" s="606"/>
      <c r="AC50" s="606"/>
      <c r="AD50" s="606"/>
      <c r="AE50" s="606"/>
      <c r="AF50" s="606"/>
      <c r="AG50" s="606"/>
      <c r="AH50" s="606"/>
      <c r="AI50" s="606"/>
      <c r="AJ50" s="606"/>
      <c r="AK50" s="606"/>
      <c r="AL50" s="606"/>
      <c r="AM50" s="606"/>
      <c r="AN50" s="606"/>
      <c r="AO50" s="606"/>
      <c r="AP50" s="606"/>
      <c r="AQ50" s="606"/>
      <c r="AR50" s="606"/>
      <c r="AS50" s="606"/>
      <c r="AT50" s="606"/>
      <c r="AU50" s="606"/>
      <c r="AV50" s="606"/>
      <c r="AW50" s="606"/>
      <c r="AX50" s="606"/>
      <c r="AY50" s="606"/>
      <c r="AZ50" s="627">
        <f>SUM(E50:AV50)</f>
        <v>0</v>
      </c>
      <c r="BA50" s="622">
        <v>10000</v>
      </c>
    </row>
    <row r="51" spans="1:53" ht="18" hidden="1" customHeight="1" x14ac:dyDescent="0.2">
      <c r="A51" s="449"/>
      <c r="B51" s="440" t="s">
        <v>483</v>
      </c>
      <c r="C51" s="473"/>
      <c r="D51" s="454"/>
      <c r="E51" s="614"/>
      <c r="F51" s="606"/>
      <c r="G51" s="606"/>
      <c r="H51" s="606"/>
      <c r="I51" s="606"/>
      <c r="J51" s="606"/>
      <c r="K51" s="606"/>
      <c r="L51" s="606"/>
      <c r="M51" s="606"/>
      <c r="N51" s="606"/>
      <c r="O51" s="606"/>
      <c r="P51" s="606"/>
      <c r="Q51" s="606"/>
      <c r="R51" s="606"/>
      <c r="S51" s="606"/>
      <c r="T51" s="606"/>
      <c r="U51" s="606"/>
      <c r="V51" s="606"/>
      <c r="W51" s="606"/>
      <c r="X51" s="606"/>
      <c r="Y51" s="606"/>
      <c r="Z51" s="606"/>
      <c r="AA51" s="606"/>
      <c r="AB51" s="606"/>
      <c r="AC51" s="606"/>
      <c r="AD51" s="606"/>
      <c r="AE51" s="606"/>
      <c r="AF51" s="606"/>
      <c r="AG51" s="606"/>
      <c r="AH51" s="606"/>
      <c r="AI51" s="606"/>
      <c r="AJ51" s="606"/>
      <c r="AK51" s="606"/>
      <c r="AL51" s="606"/>
      <c r="AM51" s="606"/>
      <c r="AN51" s="606"/>
      <c r="AO51" s="606"/>
      <c r="AP51" s="606"/>
      <c r="AQ51" s="606"/>
      <c r="AR51" s="606"/>
      <c r="AS51" s="606"/>
      <c r="AT51" s="606"/>
      <c r="AU51" s="606"/>
      <c r="AV51" s="606"/>
      <c r="AW51" s="606"/>
      <c r="AX51" s="606"/>
      <c r="AY51" s="606"/>
      <c r="AZ51" s="627">
        <f>SUM(E51:AV51)</f>
        <v>0</v>
      </c>
      <c r="BA51" s="622">
        <f>SUM(F51:AV51)</f>
        <v>0</v>
      </c>
    </row>
    <row r="52" spans="1:53" ht="18" customHeight="1" x14ac:dyDescent="0.2">
      <c r="A52" s="449"/>
      <c r="B52" s="440"/>
      <c r="C52" s="473"/>
      <c r="D52" s="454">
        <f>+C48+D48</f>
        <v>327835.36</v>
      </c>
      <c r="E52" s="614"/>
      <c r="F52" s="606"/>
      <c r="G52" s="606"/>
      <c r="H52" s="606"/>
      <c r="I52" s="606"/>
      <c r="J52" s="606"/>
      <c r="K52" s="606"/>
      <c r="L52" s="606"/>
      <c r="M52" s="606"/>
      <c r="N52" s="606"/>
      <c r="O52" s="606"/>
      <c r="P52" s="606"/>
      <c r="Q52" s="606"/>
      <c r="R52" s="606"/>
      <c r="S52" s="606"/>
      <c r="T52" s="606"/>
      <c r="U52" s="606"/>
      <c r="V52" s="606"/>
      <c r="W52" s="606"/>
      <c r="X52" s="606"/>
      <c r="Y52" s="606"/>
      <c r="Z52" s="606"/>
      <c r="AA52" s="606"/>
      <c r="AB52" s="606"/>
      <c r="AC52" s="606"/>
      <c r="AD52" s="606"/>
      <c r="AE52" s="606"/>
      <c r="AF52" s="606"/>
      <c r="AG52" s="606"/>
      <c r="AH52" s="606"/>
      <c r="AI52" s="606"/>
      <c r="AJ52" s="606"/>
      <c r="AK52" s="606"/>
      <c r="AL52" s="606"/>
      <c r="AM52" s="606"/>
      <c r="AN52" s="606"/>
      <c r="AO52" s="606"/>
      <c r="AP52" s="606"/>
      <c r="AQ52" s="606"/>
      <c r="AR52" s="606"/>
      <c r="AS52" s="606"/>
      <c r="AT52" s="606"/>
      <c r="AU52" s="606"/>
      <c r="AV52" s="606"/>
      <c r="AW52" s="606"/>
      <c r="AX52" s="606"/>
      <c r="AY52" s="606"/>
      <c r="AZ52" s="627"/>
      <c r="BA52" s="622"/>
    </row>
    <row r="53" spans="1:53" ht="18" customHeight="1" x14ac:dyDescent="0.2">
      <c r="A53" s="449"/>
      <c r="B53" s="440" t="s">
        <v>588</v>
      </c>
      <c r="C53" s="473"/>
      <c r="D53" s="453">
        <f>D25-D52</f>
        <v>28420.540000000095</v>
      </c>
      <c r="E53" s="614"/>
      <c r="F53" s="606"/>
      <c r="G53" s="606"/>
      <c r="H53" s="606"/>
      <c r="I53" s="606"/>
      <c r="J53" s="606"/>
      <c r="K53" s="606"/>
      <c r="L53" s="606"/>
      <c r="M53" s="606"/>
      <c r="N53" s="606"/>
      <c r="O53" s="606"/>
      <c r="P53" s="606"/>
      <c r="Q53" s="606"/>
      <c r="R53" s="606"/>
      <c r="S53" s="606"/>
      <c r="T53" s="606"/>
      <c r="U53" s="606"/>
      <c r="V53" s="606"/>
      <c r="W53" s="606"/>
      <c r="X53" s="606"/>
      <c r="Y53" s="606"/>
      <c r="Z53" s="606"/>
      <c r="AA53" s="606"/>
      <c r="AB53" s="606"/>
      <c r="AC53" s="606"/>
      <c r="AD53" s="606"/>
      <c r="AE53" s="606"/>
      <c r="AF53" s="606"/>
      <c r="AG53" s="606"/>
      <c r="AH53" s="606"/>
      <c r="AI53" s="606"/>
      <c r="AJ53" s="606"/>
      <c r="AK53" s="606"/>
      <c r="AL53" s="606"/>
      <c r="AM53" s="606"/>
      <c r="AN53" s="606"/>
      <c r="AO53" s="606"/>
      <c r="AP53" s="606"/>
      <c r="AQ53" s="606"/>
      <c r="AR53" s="606"/>
      <c r="AS53" s="606"/>
      <c r="AT53" s="606"/>
      <c r="AU53" s="606"/>
      <c r="AV53" s="606"/>
      <c r="AW53" s="606"/>
      <c r="AX53" s="606"/>
      <c r="AY53" s="606"/>
      <c r="AZ53" s="627"/>
      <c r="BA53" s="622"/>
    </row>
    <row r="54" spans="1:53" ht="18" customHeight="1" x14ac:dyDescent="0.2">
      <c r="A54" s="449"/>
      <c r="B54" s="440" t="s">
        <v>484</v>
      </c>
      <c r="C54" s="473"/>
      <c r="D54" s="454">
        <v>20000</v>
      </c>
      <c r="E54" s="613">
        <v>1000</v>
      </c>
      <c r="F54" s="606"/>
      <c r="G54" s="606"/>
      <c r="H54" s="606"/>
      <c r="I54" s="606"/>
      <c r="J54" s="606"/>
      <c r="K54" s="606"/>
      <c r="L54" s="606"/>
      <c r="M54" s="606"/>
      <c r="N54" s="606"/>
      <c r="O54" s="606"/>
      <c r="P54" s="606"/>
      <c r="Q54" s="606"/>
      <c r="R54" s="606"/>
      <c r="S54" s="606"/>
      <c r="T54" s="606"/>
      <c r="U54" s="606"/>
      <c r="V54" s="606"/>
      <c r="W54" s="606"/>
      <c r="X54" s="606"/>
      <c r="Y54" s="606"/>
      <c r="Z54" s="606"/>
      <c r="AA54" s="606"/>
      <c r="AB54" s="606"/>
      <c r="AC54" s="606"/>
      <c r="AD54" s="606"/>
      <c r="AE54" s="606"/>
      <c r="AF54" s="606"/>
      <c r="AG54" s="606"/>
      <c r="AH54" s="606"/>
      <c r="AI54" s="606"/>
      <c r="AJ54" s="606"/>
      <c r="AK54" s="606"/>
      <c r="AL54" s="606"/>
      <c r="AM54" s="606"/>
      <c r="AN54" s="606"/>
      <c r="AO54" s="606"/>
      <c r="AP54" s="606"/>
      <c r="AQ54" s="606"/>
      <c r="AR54" s="606"/>
      <c r="AS54" s="606"/>
      <c r="AT54" s="606"/>
      <c r="AU54" s="606"/>
      <c r="AV54" s="606"/>
      <c r="AW54" s="606"/>
      <c r="AX54" s="606"/>
      <c r="AY54" s="606"/>
      <c r="AZ54" s="627">
        <f t="shared" ref="AZ54:AZ61" si="8">SUM(E54:AV54)</f>
        <v>1000</v>
      </c>
      <c r="BA54" s="622">
        <v>15000</v>
      </c>
    </row>
    <row r="55" spans="1:53" ht="18" customHeight="1" x14ac:dyDescent="0.2">
      <c r="A55" s="449"/>
      <c r="B55" s="440" t="s">
        <v>485</v>
      </c>
      <c r="C55" s="473"/>
      <c r="D55" s="454">
        <v>1000</v>
      </c>
      <c r="E55" s="613">
        <v>20000</v>
      </c>
      <c r="F55" s="606"/>
      <c r="G55" s="606"/>
      <c r="H55" s="606"/>
      <c r="I55" s="606"/>
      <c r="J55" s="606"/>
      <c r="K55" s="606"/>
      <c r="L55" s="606"/>
      <c r="M55" s="606"/>
      <c r="N55" s="606"/>
      <c r="O55" s="606"/>
      <c r="P55" s="606"/>
      <c r="Q55" s="606"/>
      <c r="R55" s="606"/>
      <c r="S55" s="606"/>
      <c r="T55" s="606"/>
      <c r="U55" s="606"/>
      <c r="V55" s="606"/>
      <c r="W55" s="606"/>
      <c r="X55" s="606"/>
      <c r="Y55" s="606"/>
      <c r="Z55" s="606"/>
      <c r="AA55" s="606"/>
      <c r="AB55" s="606"/>
      <c r="AC55" s="606"/>
      <c r="AD55" s="606"/>
      <c r="AE55" s="606"/>
      <c r="AF55" s="606"/>
      <c r="AG55" s="606"/>
      <c r="AH55" s="606"/>
      <c r="AI55" s="606"/>
      <c r="AJ55" s="606"/>
      <c r="AK55" s="606"/>
      <c r="AL55" s="606"/>
      <c r="AM55" s="606"/>
      <c r="AN55" s="606"/>
      <c r="AO55" s="606"/>
      <c r="AP55" s="606"/>
      <c r="AQ55" s="606"/>
      <c r="AR55" s="606"/>
      <c r="AS55" s="606"/>
      <c r="AT55" s="606"/>
      <c r="AU55" s="606"/>
      <c r="AV55" s="606"/>
      <c r="AW55" s="606"/>
      <c r="AX55" s="606"/>
      <c r="AY55" s="606"/>
      <c r="AZ55" s="627">
        <f t="shared" si="8"/>
        <v>20000</v>
      </c>
      <c r="BA55" s="622">
        <v>5000</v>
      </c>
    </row>
    <row r="56" spans="1:53" ht="18" hidden="1" customHeight="1" x14ac:dyDescent="0.2">
      <c r="A56" s="449"/>
      <c r="B56" s="440" t="s">
        <v>486</v>
      </c>
      <c r="C56" s="473"/>
      <c r="D56" s="454"/>
      <c r="E56" s="613"/>
      <c r="F56" s="606"/>
      <c r="G56" s="606"/>
      <c r="H56" s="606"/>
      <c r="I56" s="606"/>
      <c r="J56" s="606"/>
      <c r="K56" s="606"/>
      <c r="L56" s="606"/>
      <c r="M56" s="606"/>
      <c r="N56" s="606"/>
      <c r="O56" s="606"/>
      <c r="P56" s="606"/>
      <c r="Q56" s="606"/>
      <c r="R56" s="606"/>
      <c r="S56" s="606"/>
      <c r="T56" s="606"/>
      <c r="U56" s="606"/>
      <c r="V56" s="606"/>
      <c r="W56" s="606"/>
      <c r="X56" s="606"/>
      <c r="Y56" s="606"/>
      <c r="Z56" s="606"/>
      <c r="AA56" s="606"/>
      <c r="AB56" s="606"/>
      <c r="AC56" s="606"/>
      <c r="AD56" s="606"/>
      <c r="AE56" s="606"/>
      <c r="AF56" s="606"/>
      <c r="AG56" s="606"/>
      <c r="AH56" s="606"/>
      <c r="AI56" s="606"/>
      <c r="AJ56" s="606"/>
      <c r="AK56" s="606"/>
      <c r="AL56" s="606"/>
      <c r="AM56" s="606"/>
      <c r="AN56" s="606"/>
      <c r="AO56" s="606"/>
      <c r="AP56" s="606"/>
      <c r="AQ56" s="606"/>
      <c r="AR56" s="606"/>
      <c r="AS56" s="606"/>
      <c r="AT56" s="606"/>
      <c r="AU56" s="606"/>
      <c r="AV56" s="606"/>
      <c r="AW56" s="606"/>
      <c r="AX56" s="606"/>
      <c r="AY56" s="606"/>
      <c r="AZ56" s="627">
        <f t="shared" si="8"/>
        <v>0</v>
      </c>
      <c r="BA56" s="622">
        <v>20000</v>
      </c>
    </row>
    <row r="57" spans="1:53" ht="18" hidden="1" customHeight="1" x14ac:dyDescent="0.2">
      <c r="A57" s="449"/>
      <c r="B57" s="440" t="s">
        <v>487</v>
      </c>
      <c r="C57" s="473"/>
      <c r="D57" s="454"/>
      <c r="E57" s="613"/>
      <c r="F57" s="606"/>
      <c r="G57" s="606"/>
      <c r="H57" s="606"/>
      <c r="I57" s="606"/>
      <c r="J57" s="606"/>
      <c r="K57" s="606"/>
      <c r="L57" s="606"/>
      <c r="M57" s="606"/>
      <c r="N57" s="606"/>
      <c r="O57" s="606"/>
      <c r="P57" s="606"/>
      <c r="Q57" s="606"/>
      <c r="R57" s="606"/>
      <c r="S57" s="606"/>
      <c r="T57" s="606"/>
      <c r="U57" s="606"/>
      <c r="V57" s="606"/>
      <c r="W57" s="606"/>
      <c r="X57" s="606"/>
      <c r="Y57" s="606"/>
      <c r="Z57" s="606"/>
      <c r="AA57" s="606"/>
      <c r="AB57" s="606"/>
      <c r="AC57" s="606"/>
      <c r="AD57" s="606"/>
      <c r="AE57" s="606"/>
      <c r="AF57" s="606"/>
      <c r="AG57" s="606"/>
      <c r="AH57" s="606"/>
      <c r="AI57" s="606"/>
      <c r="AJ57" s="606"/>
      <c r="AK57" s="606"/>
      <c r="AL57" s="606"/>
      <c r="AM57" s="606"/>
      <c r="AN57" s="606"/>
      <c r="AO57" s="606"/>
      <c r="AP57" s="606"/>
      <c r="AQ57" s="606"/>
      <c r="AR57" s="606"/>
      <c r="AS57" s="606"/>
      <c r="AT57" s="606"/>
      <c r="AU57" s="606"/>
      <c r="AV57" s="606"/>
      <c r="AW57" s="606"/>
      <c r="AX57" s="606"/>
      <c r="AY57" s="606"/>
      <c r="AZ57" s="627">
        <f t="shared" si="8"/>
        <v>0</v>
      </c>
      <c r="BA57" s="622">
        <v>9000</v>
      </c>
    </row>
    <row r="58" spans="1:53" ht="18" hidden="1" customHeight="1" x14ac:dyDescent="0.2">
      <c r="A58" s="449"/>
      <c r="B58" s="440" t="s">
        <v>488</v>
      </c>
      <c r="C58" s="473"/>
      <c r="D58" s="454"/>
      <c r="E58" s="613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  <c r="T58" s="606"/>
      <c r="U58" s="606"/>
      <c r="V58" s="606"/>
      <c r="W58" s="606"/>
      <c r="X58" s="606"/>
      <c r="Y58" s="606"/>
      <c r="Z58" s="606"/>
      <c r="AA58" s="606"/>
      <c r="AB58" s="606"/>
      <c r="AC58" s="606"/>
      <c r="AD58" s="606"/>
      <c r="AE58" s="606"/>
      <c r="AF58" s="606"/>
      <c r="AG58" s="606"/>
      <c r="AH58" s="606"/>
      <c r="AI58" s="606"/>
      <c r="AJ58" s="606"/>
      <c r="AK58" s="606"/>
      <c r="AL58" s="606"/>
      <c r="AM58" s="606"/>
      <c r="AN58" s="606"/>
      <c r="AO58" s="606"/>
      <c r="AP58" s="606"/>
      <c r="AQ58" s="606"/>
      <c r="AR58" s="606"/>
      <c r="AS58" s="606"/>
      <c r="AT58" s="606"/>
      <c r="AU58" s="606"/>
      <c r="AV58" s="606"/>
      <c r="AW58" s="606"/>
      <c r="AX58" s="606"/>
      <c r="AY58" s="606"/>
      <c r="AZ58" s="627">
        <f t="shared" si="8"/>
        <v>0</v>
      </c>
      <c r="BA58" s="622">
        <v>8000</v>
      </c>
    </row>
    <row r="59" spans="1:53" ht="18" hidden="1" customHeight="1" x14ac:dyDescent="0.2">
      <c r="A59" s="449"/>
      <c r="B59" s="440" t="s">
        <v>489</v>
      </c>
      <c r="C59" s="473"/>
      <c r="D59" s="454"/>
      <c r="E59" s="613"/>
      <c r="F59" s="606"/>
      <c r="G59" s="606"/>
      <c r="H59" s="606"/>
      <c r="I59" s="606"/>
      <c r="J59" s="606"/>
      <c r="K59" s="606"/>
      <c r="L59" s="606"/>
      <c r="M59" s="606"/>
      <c r="N59" s="606"/>
      <c r="O59" s="606"/>
      <c r="P59" s="606"/>
      <c r="Q59" s="606"/>
      <c r="R59" s="606"/>
      <c r="S59" s="606"/>
      <c r="T59" s="606"/>
      <c r="U59" s="606"/>
      <c r="V59" s="606"/>
      <c r="W59" s="606"/>
      <c r="X59" s="606"/>
      <c r="Y59" s="606"/>
      <c r="Z59" s="606"/>
      <c r="AA59" s="606"/>
      <c r="AB59" s="606"/>
      <c r="AC59" s="606"/>
      <c r="AD59" s="606"/>
      <c r="AE59" s="606"/>
      <c r="AF59" s="606"/>
      <c r="AG59" s="606"/>
      <c r="AH59" s="606"/>
      <c r="AI59" s="606"/>
      <c r="AJ59" s="606"/>
      <c r="AK59" s="606"/>
      <c r="AL59" s="606"/>
      <c r="AM59" s="606"/>
      <c r="AN59" s="606"/>
      <c r="AO59" s="606"/>
      <c r="AP59" s="606"/>
      <c r="AQ59" s="606"/>
      <c r="AR59" s="606"/>
      <c r="AS59" s="606"/>
      <c r="AT59" s="606"/>
      <c r="AU59" s="606"/>
      <c r="AV59" s="606"/>
      <c r="AW59" s="606"/>
      <c r="AX59" s="606"/>
      <c r="AY59" s="606"/>
      <c r="AZ59" s="627">
        <f t="shared" si="8"/>
        <v>0</v>
      </c>
      <c r="BA59" s="622">
        <v>10000</v>
      </c>
    </row>
    <row r="60" spans="1:53" ht="18" customHeight="1" x14ac:dyDescent="0.2">
      <c r="A60" s="449"/>
      <c r="B60" s="440" t="s">
        <v>490</v>
      </c>
      <c r="C60" s="473"/>
      <c r="D60" s="454">
        <v>5000</v>
      </c>
      <c r="E60" s="613">
        <v>5000</v>
      </c>
      <c r="F60" s="606"/>
      <c r="G60" s="606"/>
      <c r="H60" s="606"/>
      <c r="I60" s="606"/>
      <c r="J60" s="606"/>
      <c r="K60" s="606"/>
      <c r="L60" s="606"/>
      <c r="M60" s="606"/>
      <c r="N60" s="606"/>
      <c r="O60" s="606"/>
      <c r="P60" s="606"/>
      <c r="Q60" s="606"/>
      <c r="R60" s="606"/>
      <c r="S60" s="606"/>
      <c r="T60" s="606"/>
      <c r="U60" s="606"/>
      <c r="V60" s="606"/>
      <c r="W60" s="606"/>
      <c r="X60" s="606"/>
      <c r="Y60" s="606"/>
      <c r="Z60" s="606"/>
      <c r="AA60" s="606"/>
      <c r="AB60" s="606"/>
      <c r="AC60" s="606"/>
      <c r="AD60" s="606"/>
      <c r="AE60" s="606"/>
      <c r="AF60" s="606"/>
      <c r="AG60" s="606"/>
      <c r="AH60" s="606"/>
      <c r="AI60" s="606"/>
      <c r="AJ60" s="606"/>
      <c r="AK60" s="606"/>
      <c r="AL60" s="606"/>
      <c r="AM60" s="606"/>
      <c r="AN60" s="606"/>
      <c r="AO60" s="606"/>
      <c r="AP60" s="606"/>
      <c r="AQ60" s="606"/>
      <c r="AR60" s="606"/>
      <c r="AS60" s="606"/>
      <c r="AT60" s="606"/>
      <c r="AU60" s="606"/>
      <c r="AV60" s="606"/>
      <c r="AW60" s="606"/>
      <c r="AX60" s="606"/>
      <c r="AY60" s="606"/>
      <c r="AZ60" s="627">
        <f t="shared" si="8"/>
        <v>5000</v>
      </c>
      <c r="BA60" s="622">
        <v>25000</v>
      </c>
    </row>
    <row r="61" spans="1:53" ht="18" customHeight="1" x14ac:dyDescent="0.2">
      <c r="A61" s="449"/>
      <c r="B61" s="440" t="s">
        <v>491</v>
      </c>
      <c r="C61" s="473"/>
      <c r="D61" s="454">
        <f>D53-D54-D55-D60</f>
        <v>2420.5400000000955</v>
      </c>
      <c r="E61" s="613">
        <f>8087.64-5667.1</f>
        <v>2420.54</v>
      </c>
      <c r="F61" s="606"/>
      <c r="G61" s="606"/>
      <c r="H61" s="606"/>
      <c r="I61" s="606"/>
      <c r="J61" s="606"/>
      <c r="K61" s="606"/>
      <c r="L61" s="606"/>
      <c r="M61" s="606"/>
      <c r="N61" s="606"/>
      <c r="O61" s="606"/>
      <c r="P61" s="606"/>
      <c r="Q61" s="606"/>
      <c r="R61" s="606"/>
      <c r="S61" s="606"/>
      <c r="T61" s="606"/>
      <c r="U61" s="606"/>
      <c r="V61" s="606"/>
      <c r="W61" s="606"/>
      <c r="X61" s="606"/>
      <c r="Y61" s="606"/>
      <c r="Z61" s="606"/>
      <c r="AA61" s="606"/>
      <c r="AB61" s="606"/>
      <c r="AC61" s="606"/>
      <c r="AD61" s="606"/>
      <c r="AE61" s="606"/>
      <c r="AF61" s="606"/>
      <c r="AG61" s="606"/>
      <c r="AH61" s="606"/>
      <c r="AI61" s="606"/>
      <c r="AJ61" s="606"/>
      <c r="AK61" s="606"/>
      <c r="AL61" s="606"/>
      <c r="AM61" s="606"/>
      <c r="AN61" s="606"/>
      <c r="AO61" s="606"/>
      <c r="AP61" s="606"/>
      <c r="AQ61" s="606"/>
      <c r="AR61" s="606"/>
      <c r="AS61" s="606"/>
      <c r="AT61" s="606"/>
      <c r="AU61" s="606"/>
      <c r="AV61" s="606"/>
      <c r="AW61" s="606"/>
      <c r="AX61" s="606"/>
      <c r="AY61" s="606"/>
      <c r="AZ61" s="627">
        <f t="shared" si="8"/>
        <v>2420.54</v>
      </c>
      <c r="BA61" s="622">
        <v>51730.74</v>
      </c>
    </row>
    <row r="62" spans="1:53" ht="18" customHeight="1" x14ac:dyDescent="0.2">
      <c r="A62" s="449"/>
      <c r="B62" s="441"/>
      <c r="C62" s="452"/>
      <c r="D62" s="453">
        <f>SUM(D54:D61)</f>
        <v>28420.540000000095</v>
      </c>
      <c r="E62" s="613">
        <f>SUM(E5:E61)</f>
        <v>633895.29</v>
      </c>
      <c r="F62" s="606"/>
      <c r="G62" s="606"/>
      <c r="H62" s="606"/>
      <c r="I62" s="606"/>
      <c r="J62" s="606"/>
      <c r="K62" s="606"/>
      <c r="L62" s="606"/>
      <c r="M62" s="606"/>
      <c r="N62" s="606"/>
      <c r="O62" s="606"/>
      <c r="P62" s="606"/>
      <c r="Q62" s="606"/>
      <c r="R62" s="606"/>
      <c r="S62" s="606"/>
      <c r="T62" s="606"/>
      <c r="U62" s="606"/>
      <c r="V62" s="606"/>
      <c r="W62" s="606"/>
      <c r="X62" s="606"/>
      <c r="Y62" s="606"/>
      <c r="Z62" s="606"/>
      <c r="AA62" s="606"/>
      <c r="AB62" s="606"/>
      <c r="AC62" s="606"/>
      <c r="AD62" s="606"/>
      <c r="AE62" s="606"/>
      <c r="AF62" s="606"/>
      <c r="AG62" s="606"/>
      <c r="AH62" s="606"/>
      <c r="AI62" s="606"/>
      <c r="AJ62" s="606"/>
      <c r="AK62" s="606"/>
      <c r="AL62" s="606"/>
      <c r="AM62" s="606"/>
      <c r="AN62" s="606"/>
      <c r="AO62" s="606"/>
      <c r="AP62" s="606"/>
      <c r="AQ62" s="606"/>
      <c r="AR62" s="606"/>
      <c r="AS62" s="606"/>
      <c r="AT62" s="606"/>
      <c r="AU62" s="606"/>
      <c r="AV62" s="606"/>
      <c r="AW62" s="606"/>
      <c r="AX62" s="606"/>
      <c r="AY62" s="606"/>
      <c r="AZ62" s="627">
        <f>SUM(AZ5:AZ61)</f>
        <v>363938.29</v>
      </c>
      <c r="BA62" s="627">
        <f>SUM(BA5:BA61)</f>
        <v>444248.49</v>
      </c>
    </row>
    <row r="63" spans="1:53" ht="18" customHeight="1" x14ac:dyDescent="0.2">
      <c r="A63" s="449"/>
      <c r="B63" s="441"/>
      <c r="C63" s="452"/>
      <c r="D63" s="453"/>
      <c r="E63" s="613">
        <f>SUM(F63:AY63)+34087.64</f>
        <v>645229.49</v>
      </c>
      <c r="F63" s="628">
        <f t="shared" ref="F63:AY63" si="9">SUM(F5:F62)</f>
        <v>42479.64</v>
      </c>
      <c r="G63" s="628">
        <f t="shared" si="9"/>
        <v>3539.97</v>
      </c>
      <c r="H63" s="628">
        <f t="shared" si="9"/>
        <v>3185.97</v>
      </c>
      <c r="I63" s="628">
        <f t="shared" si="9"/>
        <v>3292.17</v>
      </c>
      <c r="J63" s="628">
        <f t="shared" si="9"/>
        <v>0</v>
      </c>
      <c r="K63" s="628">
        <f t="shared" si="9"/>
        <v>0</v>
      </c>
      <c r="L63" s="628">
        <f t="shared" si="9"/>
        <v>17000</v>
      </c>
      <c r="M63" s="628">
        <f t="shared" si="9"/>
        <v>12200</v>
      </c>
      <c r="N63" s="628">
        <f t="shared" si="9"/>
        <v>0</v>
      </c>
      <c r="O63" s="628">
        <f t="shared" si="9"/>
        <v>0</v>
      </c>
      <c r="P63" s="628">
        <f t="shared" si="9"/>
        <v>0</v>
      </c>
      <c r="Q63" s="628">
        <f t="shared" si="9"/>
        <v>15000</v>
      </c>
      <c r="R63" s="628">
        <f t="shared" si="9"/>
        <v>900</v>
      </c>
      <c r="S63" s="628">
        <f t="shared" si="9"/>
        <v>70000</v>
      </c>
      <c r="T63" s="628">
        <f t="shared" si="9"/>
        <v>2500</v>
      </c>
      <c r="U63" s="628">
        <f t="shared" si="9"/>
        <v>5000</v>
      </c>
      <c r="V63" s="628">
        <f t="shared" si="9"/>
        <v>0</v>
      </c>
      <c r="W63" s="628">
        <f t="shared" si="9"/>
        <v>300</v>
      </c>
      <c r="X63" s="628">
        <f t="shared" si="9"/>
        <v>0</v>
      </c>
      <c r="Y63" s="628">
        <f t="shared" si="9"/>
        <v>0</v>
      </c>
      <c r="Z63" s="628">
        <f t="shared" si="9"/>
        <v>0</v>
      </c>
      <c r="AA63" s="628">
        <f t="shared" si="9"/>
        <v>5667.1</v>
      </c>
      <c r="AB63" s="628">
        <f t="shared" si="9"/>
        <v>2000</v>
      </c>
      <c r="AC63" s="628">
        <f t="shared" si="9"/>
        <v>0</v>
      </c>
      <c r="AD63" s="628">
        <f t="shared" si="9"/>
        <v>0</v>
      </c>
      <c r="AE63" s="628">
        <f t="shared" si="9"/>
        <v>3000</v>
      </c>
      <c r="AF63" s="628">
        <f t="shared" si="9"/>
        <v>80500</v>
      </c>
      <c r="AG63" s="628">
        <f t="shared" si="9"/>
        <v>10596.02</v>
      </c>
      <c r="AH63" s="628">
        <f t="shared" si="9"/>
        <v>0</v>
      </c>
      <c r="AI63" s="628">
        <f t="shared" si="9"/>
        <v>28800</v>
      </c>
      <c r="AJ63" s="628">
        <f t="shared" si="9"/>
        <v>0</v>
      </c>
      <c r="AK63" s="628">
        <f t="shared" si="9"/>
        <v>108000</v>
      </c>
      <c r="AL63" s="628">
        <f t="shared" si="9"/>
        <v>61020</v>
      </c>
      <c r="AM63" s="628">
        <f t="shared" si="9"/>
        <v>0</v>
      </c>
      <c r="AN63" s="628">
        <f t="shared" si="9"/>
        <v>0</v>
      </c>
      <c r="AO63" s="628">
        <f t="shared" si="9"/>
        <v>0</v>
      </c>
      <c r="AP63" s="628">
        <f t="shared" si="9"/>
        <v>0</v>
      </c>
      <c r="AQ63" s="628">
        <f t="shared" si="9"/>
        <v>0</v>
      </c>
      <c r="AR63" s="628">
        <f t="shared" si="9"/>
        <v>0</v>
      </c>
      <c r="AS63" s="628">
        <f t="shared" si="9"/>
        <v>0</v>
      </c>
      <c r="AT63" s="628">
        <f t="shared" si="9"/>
        <v>4399.3599999999997</v>
      </c>
      <c r="AU63" s="628">
        <f t="shared" si="9"/>
        <v>0</v>
      </c>
      <c r="AV63" s="628">
        <f t="shared" si="9"/>
        <v>0</v>
      </c>
      <c r="AW63" s="628">
        <f t="shared" si="9"/>
        <v>85000</v>
      </c>
      <c r="AX63" s="628">
        <f t="shared" si="9"/>
        <v>46761.62</v>
      </c>
      <c r="AY63" s="628">
        <f t="shared" si="9"/>
        <v>0</v>
      </c>
      <c r="AZ63" s="622">
        <f>SUM(F63:AV63)</f>
        <v>479380.23</v>
      </c>
      <c r="BA63" s="627">
        <f>SUM(F63:AY63)</f>
        <v>611141.85</v>
      </c>
    </row>
    <row r="64" spans="1:53" ht="21.75" customHeight="1" x14ac:dyDescent="0.2">
      <c r="A64" s="451"/>
      <c r="B64" s="475" t="s">
        <v>554</v>
      </c>
      <c r="C64" s="474">
        <f>+C48+C23</f>
        <v>244637.82</v>
      </c>
      <c r="D64" s="474">
        <f>D53+D52+D24</f>
        <v>879200.21000000008</v>
      </c>
      <c r="E64" s="615">
        <f>SUM(C64:D64)</f>
        <v>1123838.03</v>
      </c>
      <c r="F64" s="606">
        <f>F63+F24</f>
        <v>42479.64</v>
      </c>
      <c r="G64" s="606">
        <f>G63+G24</f>
        <v>3539.97</v>
      </c>
      <c r="H64" s="606"/>
      <c r="I64" s="606"/>
      <c r="J64" s="606">
        <f t="shared" ref="J64:AW64" si="10">J63+J24</f>
        <v>0</v>
      </c>
      <c r="K64" s="606">
        <f t="shared" si="10"/>
        <v>0</v>
      </c>
      <c r="L64" s="606">
        <f t="shared" si="10"/>
        <v>17000</v>
      </c>
      <c r="M64" s="606">
        <f t="shared" si="10"/>
        <v>12200</v>
      </c>
      <c r="N64" s="606">
        <f t="shared" si="10"/>
        <v>0</v>
      </c>
      <c r="O64" s="606">
        <f t="shared" si="10"/>
        <v>0</v>
      </c>
      <c r="P64" s="606">
        <f t="shared" si="10"/>
        <v>0</v>
      </c>
      <c r="Q64" s="606">
        <f t="shared" si="10"/>
        <v>15000</v>
      </c>
      <c r="R64" s="606">
        <f t="shared" si="10"/>
        <v>900</v>
      </c>
      <c r="S64" s="606">
        <f t="shared" si="10"/>
        <v>70000</v>
      </c>
      <c r="T64" s="606">
        <f t="shared" si="10"/>
        <v>2500</v>
      </c>
      <c r="U64" s="606">
        <f t="shared" si="10"/>
        <v>5000</v>
      </c>
      <c r="V64" s="606">
        <f t="shared" si="10"/>
        <v>0</v>
      </c>
      <c r="W64" s="606">
        <f t="shared" si="10"/>
        <v>300</v>
      </c>
      <c r="X64" s="606">
        <f t="shared" si="10"/>
        <v>0</v>
      </c>
      <c r="Y64" s="606">
        <f t="shared" si="10"/>
        <v>0</v>
      </c>
      <c r="Z64" s="606">
        <f t="shared" si="10"/>
        <v>0</v>
      </c>
      <c r="AA64" s="606">
        <f t="shared" si="10"/>
        <v>5667.1</v>
      </c>
      <c r="AB64" s="606">
        <f t="shared" si="10"/>
        <v>2000</v>
      </c>
      <c r="AC64" s="606">
        <f t="shared" si="10"/>
        <v>0</v>
      </c>
      <c r="AD64" s="606">
        <f t="shared" si="10"/>
        <v>0</v>
      </c>
      <c r="AE64" s="606">
        <f t="shared" si="10"/>
        <v>3000</v>
      </c>
      <c r="AF64" s="606">
        <f t="shared" si="10"/>
        <v>80500</v>
      </c>
      <c r="AG64" s="606">
        <f t="shared" si="10"/>
        <v>10596.02</v>
      </c>
      <c r="AH64" s="606">
        <f t="shared" si="10"/>
        <v>0</v>
      </c>
      <c r="AI64" s="606">
        <f t="shared" si="10"/>
        <v>28800</v>
      </c>
      <c r="AJ64" s="606">
        <f t="shared" si="10"/>
        <v>0</v>
      </c>
      <c r="AK64" s="606">
        <f t="shared" si="10"/>
        <v>108000</v>
      </c>
      <c r="AL64" s="606">
        <f t="shared" si="10"/>
        <v>61020</v>
      </c>
      <c r="AM64" s="606">
        <f t="shared" si="10"/>
        <v>0</v>
      </c>
      <c r="AN64" s="606">
        <f t="shared" si="10"/>
        <v>0</v>
      </c>
      <c r="AO64" s="606">
        <f t="shared" si="10"/>
        <v>0</v>
      </c>
      <c r="AP64" s="606">
        <f t="shared" si="10"/>
        <v>0</v>
      </c>
      <c r="AQ64" s="606">
        <f t="shared" si="10"/>
        <v>0</v>
      </c>
      <c r="AR64" s="606">
        <f t="shared" si="10"/>
        <v>0</v>
      </c>
      <c r="AS64" s="606">
        <f t="shared" si="10"/>
        <v>0</v>
      </c>
      <c r="AT64" s="606">
        <f t="shared" si="10"/>
        <v>4399.3599999999997</v>
      </c>
      <c r="AU64" s="606">
        <f t="shared" si="10"/>
        <v>0</v>
      </c>
      <c r="AV64" s="606">
        <f t="shared" si="10"/>
        <v>0</v>
      </c>
      <c r="AW64" s="606">
        <f t="shared" si="10"/>
        <v>85000</v>
      </c>
      <c r="AX64" s="606"/>
      <c r="AY64" s="606">
        <f>AY63+AY24</f>
        <v>0</v>
      </c>
      <c r="AZ64" s="606"/>
      <c r="BA64" s="627"/>
    </row>
    <row r="65" spans="1:53" ht="21.75" customHeight="1" x14ac:dyDescent="0.25">
      <c r="A65" s="14"/>
      <c r="D65" s="630">
        <f>D4-D64</f>
        <v>0</v>
      </c>
      <c r="E65" s="88"/>
      <c r="F65" s="606"/>
      <c r="G65" s="606"/>
      <c r="H65" s="606"/>
      <c r="I65" s="606"/>
      <c r="J65" s="606"/>
      <c r="K65" s="606"/>
      <c r="L65" s="606"/>
      <c r="M65" s="606"/>
      <c r="N65" s="606"/>
      <c r="O65" s="606"/>
      <c r="P65" s="606"/>
      <c r="Q65" s="606"/>
      <c r="R65" s="606"/>
      <c r="S65" s="606"/>
      <c r="T65" s="606"/>
      <c r="U65" s="606"/>
      <c r="V65" s="606"/>
      <c r="W65" s="606"/>
      <c r="X65" s="606"/>
      <c r="Y65" s="606"/>
      <c r="Z65" s="606"/>
      <c r="AA65" s="606"/>
      <c r="AB65" s="606"/>
      <c r="AC65" s="606"/>
      <c r="AD65" s="606"/>
      <c r="AE65" s="606"/>
      <c r="AF65" s="606"/>
      <c r="AG65" s="606"/>
      <c r="AH65" s="606"/>
      <c r="AI65" s="606"/>
      <c r="AJ65" s="606"/>
      <c r="AK65" s="606"/>
      <c r="AL65" s="606"/>
      <c r="AM65" s="606"/>
      <c r="AN65" s="606"/>
      <c r="AO65" s="606"/>
      <c r="AP65" s="606"/>
      <c r="AQ65" s="606"/>
      <c r="AR65" s="606"/>
      <c r="AS65" s="606"/>
      <c r="AT65" s="606"/>
      <c r="AU65" s="606"/>
      <c r="AV65" s="606"/>
      <c r="AW65" s="606"/>
      <c r="AX65" s="606"/>
      <c r="AY65" s="606"/>
      <c r="AZ65" s="606"/>
      <c r="BA65" s="627"/>
    </row>
    <row r="66" spans="1:53" ht="21.75" customHeight="1" x14ac:dyDescent="0.25">
      <c r="A66" s="14"/>
      <c r="D66" s="342"/>
      <c r="E66" s="629">
        <f>634562.39+500000</f>
        <v>1134562.3900000001</v>
      </c>
      <c r="F66" s="606"/>
      <c r="G66" s="606"/>
      <c r="H66" s="606"/>
      <c r="I66" s="606"/>
      <c r="J66" s="606"/>
      <c r="K66" s="606"/>
      <c r="L66" s="606">
        <v>1</v>
      </c>
      <c r="M66" s="606"/>
      <c r="N66" s="606"/>
      <c r="O66" s="606"/>
      <c r="P66" s="606"/>
      <c r="Q66" s="606"/>
      <c r="R66" s="606">
        <v>2</v>
      </c>
      <c r="S66" s="606">
        <v>3</v>
      </c>
      <c r="T66" s="606"/>
      <c r="U66" s="606"/>
      <c r="V66" s="606"/>
      <c r="W66" s="606">
        <v>4</v>
      </c>
      <c r="X66" s="606">
        <v>5</v>
      </c>
      <c r="Y66" s="606">
        <v>6</v>
      </c>
      <c r="Z66" s="606">
        <v>7</v>
      </c>
      <c r="AA66" s="606"/>
      <c r="AB66" s="606"/>
      <c r="AC66" s="606"/>
      <c r="AD66" s="606">
        <v>8</v>
      </c>
      <c r="AE66" s="606"/>
      <c r="AF66" s="606"/>
      <c r="AG66" s="606">
        <v>9</v>
      </c>
      <c r="AH66" s="606"/>
      <c r="AI66" s="606"/>
      <c r="AJ66" s="606"/>
      <c r="AK66" s="606"/>
      <c r="AL66" s="606"/>
      <c r="AM66" s="606"/>
      <c r="AN66" s="606"/>
      <c r="AO66" s="606"/>
      <c r="AP66" s="606"/>
      <c r="AQ66" s="606"/>
      <c r="AR66" s="606"/>
      <c r="AS66" s="606"/>
      <c r="AT66" s="606">
        <v>10</v>
      </c>
      <c r="AU66" s="606"/>
      <c r="AV66" s="606"/>
      <c r="AW66" s="606"/>
      <c r="AX66" s="606"/>
      <c r="AY66" s="606"/>
      <c r="AZ66" s="606"/>
      <c r="BA66" s="627"/>
    </row>
    <row r="67" spans="1:53" ht="21.75" customHeight="1" x14ac:dyDescent="0.25">
      <c r="A67" s="14"/>
      <c r="D67" s="342"/>
      <c r="E67" s="88"/>
      <c r="BA67" s="135"/>
    </row>
    <row r="68" spans="1:53" ht="21.75" customHeight="1" x14ac:dyDescent="0.25">
      <c r="A68" s="14"/>
      <c r="D68" s="342"/>
      <c r="E68" s="629">
        <f>500000+34087.64</f>
        <v>534087.64</v>
      </c>
      <c r="BA68" s="135"/>
    </row>
    <row r="69" spans="1:53" ht="21.75" customHeight="1" x14ac:dyDescent="0.25">
      <c r="A69" s="14"/>
      <c r="D69" s="342"/>
      <c r="E69" s="88"/>
      <c r="BA69" s="135"/>
    </row>
    <row r="70" spans="1:53" x14ac:dyDescent="0.2">
      <c r="A70" s="14"/>
      <c r="E70" s="88"/>
      <c r="BA70" s="135"/>
    </row>
    <row r="71" spans="1:53" x14ac:dyDescent="0.2">
      <c r="A71" s="14"/>
      <c r="E71" s="88"/>
      <c r="BA71" s="135"/>
    </row>
    <row r="72" spans="1:53" x14ac:dyDescent="0.2">
      <c r="A72" s="14"/>
      <c r="B72" s="14"/>
      <c r="C72" s="14"/>
      <c r="D72" s="14"/>
      <c r="E72" s="88"/>
      <c r="BA72" s="135"/>
    </row>
    <row r="73" spans="1:53" x14ac:dyDescent="0.2">
      <c r="A73" s="14"/>
      <c r="B73" s="14"/>
      <c r="C73" s="14"/>
      <c r="D73" s="14"/>
      <c r="E73" s="88"/>
      <c r="L73" s="136"/>
      <c r="M73" s="15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</row>
    <row r="74" spans="1:53" x14ac:dyDescent="0.2">
      <c r="A74" s="14"/>
      <c r="B74" s="137"/>
      <c r="C74" s="137"/>
      <c r="D74" s="137"/>
      <c r="E74" s="255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</row>
    <row r="75" spans="1:53" x14ac:dyDescent="0.2">
      <c r="B75" s="331"/>
      <c r="C75" s="331"/>
      <c r="D75" s="331"/>
      <c r="E75" s="144"/>
    </row>
    <row r="76" spans="1:53" x14ac:dyDescent="0.2">
      <c r="B76" s="331"/>
      <c r="C76" s="331"/>
      <c r="D76" s="331"/>
      <c r="E76" s="144"/>
    </row>
    <row r="77" spans="1:53" x14ac:dyDescent="0.2">
      <c r="B77" s="134"/>
      <c r="C77" s="134"/>
      <c r="D77" s="134"/>
      <c r="E77" s="144"/>
    </row>
    <row r="78" spans="1:53" x14ac:dyDescent="0.2">
      <c r="B78" s="134"/>
      <c r="C78" s="134"/>
      <c r="D78" s="134"/>
      <c r="E78" s="144"/>
    </row>
    <row r="79" spans="1:53" x14ac:dyDescent="0.2">
      <c r="B79" s="134"/>
      <c r="C79" s="134"/>
      <c r="D79" s="134"/>
      <c r="E79" s="255"/>
    </row>
    <row r="80" spans="1:53" x14ac:dyDescent="0.2">
      <c r="B80" s="134"/>
      <c r="C80" s="134"/>
      <c r="D80" s="134"/>
      <c r="E80" s="144"/>
    </row>
    <row r="81" spans="2:5" x14ac:dyDescent="0.2">
      <c r="B81" s="134"/>
      <c r="C81" s="134"/>
      <c r="D81" s="134"/>
      <c r="E81" s="14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A1:BA2"/>
    <mergeCell ref="AZ1:AZ2"/>
    <mergeCell ref="A1:E1"/>
    <mergeCell ref="A2:E2"/>
  </mergeCells>
  <pageMargins left="0.59055118110236227" right="0.19685039370078741" top="0.23622047244094491" bottom="0.74803149606299213" header="0.31496062992125984" footer="0.31496062992125984"/>
  <pageSetup orientation="portrait" horizontalDpi="4294967293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</sheetPr>
  <dimension ref="A1:G33"/>
  <sheetViews>
    <sheetView zoomScale="140" zoomScaleNormal="140" workbookViewId="0">
      <selection activeCell="D8" sqref="D8"/>
    </sheetView>
  </sheetViews>
  <sheetFormatPr baseColWidth="10" defaultColWidth="18.7109375" defaultRowHeight="12.75" x14ac:dyDescent="0.2"/>
  <cols>
    <col min="1" max="1" width="12.5703125" style="32" customWidth="1"/>
    <col min="2" max="2" width="40.140625" style="32" customWidth="1"/>
    <col min="3" max="3" width="23.5703125" style="32" customWidth="1"/>
    <col min="4" max="16384" width="18.7109375" style="32"/>
  </cols>
  <sheetData>
    <row r="1" spans="1:6" ht="26.25" customHeight="1" x14ac:dyDescent="0.2">
      <c r="A1" s="651" t="s">
        <v>427</v>
      </c>
      <c r="B1" s="651"/>
      <c r="C1" s="651"/>
      <c r="D1" s="31"/>
      <c r="E1" s="31"/>
      <c r="F1" s="31"/>
    </row>
    <row r="2" spans="1:6" ht="24.75" customHeight="1" x14ac:dyDescent="0.2">
      <c r="A2" s="652" t="s">
        <v>426</v>
      </c>
      <c r="B2" s="652"/>
      <c r="C2" s="652"/>
      <c r="D2" s="33"/>
      <c r="E2" s="33"/>
      <c r="F2" s="33"/>
    </row>
    <row r="3" spans="1:6" ht="24" customHeight="1" x14ac:dyDescent="0.2">
      <c r="A3" s="653" t="s">
        <v>561</v>
      </c>
      <c r="B3" s="653"/>
      <c r="C3" s="653"/>
      <c r="D3" s="34"/>
      <c r="E3" s="34"/>
      <c r="F3" s="34"/>
    </row>
    <row r="4" spans="1:6" ht="26.25" customHeight="1" thickBot="1" x14ac:dyDescent="0.25">
      <c r="A4" s="647" t="s">
        <v>497</v>
      </c>
      <c r="B4" s="647"/>
      <c r="C4" s="647"/>
      <c r="D4" s="34"/>
      <c r="E4" s="34"/>
      <c r="F4" s="34"/>
    </row>
    <row r="5" spans="1:6" s="35" customFormat="1" ht="37.5" customHeight="1" thickBot="1" x14ac:dyDescent="0.25">
      <c r="A5" s="387" t="s">
        <v>155</v>
      </c>
      <c r="B5" s="388" t="s">
        <v>110</v>
      </c>
      <c r="C5" s="388" t="s">
        <v>156</v>
      </c>
      <c r="D5" s="30"/>
      <c r="E5" s="30"/>
      <c r="F5" s="30"/>
    </row>
    <row r="6" spans="1:6" s="36" customFormat="1" ht="24.95" customHeight="1" x14ac:dyDescent="0.2">
      <c r="A6" s="258">
        <v>11</v>
      </c>
      <c r="B6" s="259" t="s">
        <v>157</v>
      </c>
      <c r="C6" s="260">
        <f>SUM(Ingresos!K10)</f>
        <v>283161.74</v>
      </c>
    </row>
    <row r="7" spans="1:6" s="36" customFormat="1" ht="24.95" customHeight="1" x14ac:dyDescent="0.2">
      <c r="A7" s="261">
        <v>12</v>
      </c>
      <c r="B7" s="262" t="s">
        <v>158</v>
      </c>
      <c r="C7" s="263">
        <f>SUM(Ingresos!K12)</f>
        <v>680611.28499999992</v>
      </c>
    </row>
    <row r="8" spans="1:6" s="36" customFormat="1" ht="24.95" customHeight="1" x14ac:dyDescent="0.2">
      <c r="A8" s="261">
        <v>14</v>
      </c>
      <c r="B8" s="262" t="s">
        <v>159</v>
      </c>
      <c r="C8" s="263">
        <f>SUM(Ingresos!K13)</f>
        <v>2946.7829999999999</v>
      </c>
    </row>
    <row r="9" spans="1:6" s="36" customFormat="1" ht="24.95" customHeight="1" x14ac:dyDescent="0.2">
      <c r="A9" s="261">
        <v>15</v>
      </c>
      <c r="B9" s="262" t="s">
        <v>160</v>
      </c>
      <c r="C9" s="263">
        <f>SUM(Ingresos!K14)</f>
        <v>60002.446000000004</v>
      </c>
    </row>
    <row r="10" spans="1:6" s="36" customFormat="1" ht="24.95" customHeight="1" x14ac:dyDescent="0.2">
      <c r="A10" s="261">
        <v>16</v>
      </c>
      <c r="B10" s="262" t="s">
        <v>162</v>
      </c>
      <c r="C10" s="263">
        <f>SUM(Ingresos!K15)+Ingresos!C48</f>
        <v>369541.19999999995</v>
      </c>
      <c r="D10" s="84"/>
    </row>
    <row r="11" spans="1:6" s="36" customFormat="1" ht="24.95" customHeight="1" x14ac:dyDescent="0.2">
      <c r="A11" s="261">
        <v>22</v>
      </c>
      <c r="B11" s="262" t="s">
        <v>161</v>
      </c>
      <c r="C11" s="263">
        <f>SUM(Ingresos!K16)+Ingresos!D48</f>
        <v>1201009.03</v>
      </c>
    </row>
    <row r="12" spans="1:6" s="36" customFormat="1" ht="24.95" customHeight="1" x14ac:dyDescent="0.2">
      <c r="A12" s="261">
        <v>31</v>
      </c>
      <c r="B12" s="262" t="s">
        <v>563</v>
      </c>
      <c r="C12" s="263">
        <f>Ingresos!H49</f>
        <v>500000</v>
      </c>
    </row>
    <row r="13" spans="1:6" s="36" customFormat="1" ht="24.95" customHeight="1" thickBot="1" x14ac:dyDescent="0.25">
      <c r="A13" s="264">
        <v>32</v>
      </c>
      <c r="B13" s="265" t="s">
        <v>163</v>
      </c>
      <c r="C13" s="266">
        <f>Ingresos!I47</f>
        <v>29999.32</v>
      </c>
    </row>
    <row r="14" spans="1:6" s="36" customFormat="1" ht="24.95" customHeight="1" thickBot="1" x14ac:dyDescent="0.25">
      <c r="A14" s="648" t="s">
        <v>164</v>
      </c>
      <c r="B14" s="649"/>
      <c r="C14" s="389">
        <f>SUM(C6:C13)</f>
        <v>3127271.804</v>
      </c>
    </row>
    <row r="15" spans="1:6" s="36" customFormat="1" ht="12.75" customHeight="1" x14ac:dyDescent="0.2">
      <c r="A15" s="267"/>
      <c r="B15" s="267"/>
      <c r="C15" s="268"/>
    </row>
    <row r="16" spans="1:6" s="36" customFormat="1" ht="26.25" customHeight="1" thickBot="1" x14ac:dyDescent="0.25">
      <c r="A16" s="650" t="s">
        <v>498</v>
      </c>
      <c r="B16" s="650"/>
      <c r="C16" s="650"/>
    </row>
    <row r="17" spans="1:7" s="36" customFormat="1" ht="37.5" customHeight="1" thickBot="1" x14ac:dyDescent="0.25">
      <c r="A17" s="387" t="s">
        <v>155</v>
      </c>
      <c r="B17" s="390" t="s">
        <v>110</v>
      </c>
      <c r="C17" s="388" t="s">
        <v>156</v>
      </c>
    </row>
    <row r="18" spans="1:7" s="36" customFormat="1" ht="24.95" customHeight="1" x14ac:dyDescent="0.2">
      <c r="A18" s="258">
        <v>51</v>
      </c>
      <c r="B18" s="269" t="s">
        <v>166</v>
      </c>
      <c r="C18" s="260">
        <f>'Egresos F.P. '!O3+'Egr. FODES 25%'!O11+'Egr.FODES 75%'!L10</f>
        <v>1047543.385</v>
      </c>
    </row>
    <row r="19" spans="1:7" s="36" customFormat="1" ht="32.25" customHeight="1" x14ac:dyDescent="0.2">
      <c r="A19" s="261">
        <v>54</v>
      </c>
      <c r="B19" s="270" t="s">
        <v>167</v>
      </c>
      <c r="C19" s="263">
        <f>'Egresos F.P. '!O4+'Egr. FODES 25%'!O12+'Egr.FODES 75%'!L12</f>
        <v>729807.53</v>
      </c>
      <c r="E19" s="248"/>
    </row>
    <row r="20" spans="1:7" s="36" customFormat="1" ht="24.95" customHeight="1" x14ac:dyDescent="0.2">
      <c r="A20" s="261">
        <v>55</v>
      </c>
      <c r="B20" s="270" t="s">
        <v>168</v>
      </c>
      <c r="C20" s="329">
        <f>SUM('Egresos F.P. '!O5+'Egr. FODES 25%'!O13+'Egr.FODES 75%'!L13+'Deuda Pub 75%'!K10)</f>
        <v>163385.82175969199</v>
      </c>
      <c r="E20" s="399"/>
    </row>
    <row r="21" spans="1:7" s="36" customFormat="1" ht="24.95" customHeight="1" x14ac:dyDescent="0.2">
      <c r="A21" s="261">
        <v>56</v>
      </c>
      <c r="B21" s="270" t="s">
        <v>162</v>
      </c>
      <c r="C21" s="329">
        <f>'Egresos F.P. '!O6+'Egr. FODES 25%'!O14+'Egr.FODES 75%'!L14</f>
        <v>154115.26</v>
      </c>
      <c r="E21" s="84"/>
    </row>
    <row r="22" spans="1:7" s="36" customFormat="1" ht="24.95" customHeight="1" x14ac:dyDescent="0.2">
      <c r="A22" s="261">
        <v>61</v>
      </c>
      <c r="B22" s="270" t="s">
        <v>369</v>
      </c>
      <c r="C22" s="329">
        <f>'Egresos F.P. '!O7+'Egr. FODES 25%'!O15+'Egr.FODES 75%'!L15</f>
        <v>588103.57000000018</v>
      </c>
    </row>
    <row r="23" spans="1:7" ht="24.95" customHeight="1" x14ac:dyDescent="0.2">
      <c r="A23" s="261">
        <v>62</v>
      </c>
      <c r="B23" s="270" t="s">
        <v>161</v>
      </c>
      <c r="C23" s="329"/>
    </row>
    <row r="24" spans="1:7" ht="34.5" customHeight="1" x14ac:dyDescent="0.2">
      <c r="A24" s="261">
        <v>71</v>
      </c>
      <c r="B24" s="270" t="s">
        <v>169</v>
      </c>
      <c r="C24" s="329">
        <f>SUM('Deuda Pub 75%'!K11)</f>
        <v>199678.40824030802</v>
      </c>
      <c r="E24" s="249"/>
      <c r="G24" s="328"/>
    </row>
    <row r="25" spans="1:7" ht="36" customHeight="1" thickBot="1" x14ac:dyDescent="0.25">
      <c r="A25" s="264">
        <v>72</v>
      </c>
      <c r="B25" s="271" t="s">
        <v>170</v>
      </c>
      <c r="C25" s="400">
        <f>proyectos!C64</f>
        <v>244637.82</v>
      </c>
      <c r="E25" s="249"/>
    </row>
    <row r="26" spans="1:7" ht="24.95" customHeight="1" thickBot="1" x14ac:dyDescent="0.25">
      <c r="A26" s="648" t="s">
        <v>165</v>
      </c>
      <c r="B26" s="649"/>
      <c r="C26" s="389">
        <f>SUM(C18:C25)</f>
        <v>3127271.7949999999</v>
      </c>
      <c r="D26" s="145"/>
      <c r="E26" s="249"/>
    </row>
    <row r="27" spans="1:7" ht="18" customHeight="1" x14ac:dyDescent="0.2">
      <c r="A27" s="272"/>
      <c r="B27" s="272"/>
      <c r="C27" s="272"/>
    </row>
    <row r="28" spans="1:7" ht="18" customHeight="1" x14ac:dyDescent="0.2"/>
    <row r="33" spans="3:3" x14ac:dyDescent="0.2">
      <c r="C33" s="339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A4:C4"/>
    <mergeCell ref="A14:B14"/>
    <mergeCell ref="A16:C16"/>
    <mergeCell ref="A26:B26"/>
    <mergeCell ref="A1:C1"/>
    <mergeCell ref="A2:C2"/>
    <mergeCell ref="A3:C3"/>
  </mergeCells>
  <printOptions horizontalCentered="1"/>
  <pageMargins left="0.59055118110236227" right="0.31496062992125984" top="0.23622047244094491" bottom="0.11811023622047245" header="0.31496062992125984" footer="0.31496062992125984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rgb="FF00B0F0"/>
  </sheetPr>
  <dimension ref="A1:P64"/>
  <sheetViews>
    <sheetView view="pageBreakPreview" zoomScale="120" zoomScaleSheetLayoutView="120" workbookViewId="0">
      <selection activeCell="K6" sqref="K6"/>
    </sheetView>
  </sheetViews>
  <sheetFormatPr baseColWidth="10" defaultColWidth="11.42578125" defaultRowHeight="12.75" x14ac:dyDescent="0.2"/>
  <cols>
    <col min="1" max="1" width="8.140625" style="24" customWidth="1"/>
    <col min="2" max="2" width="33.28515625" style="18" customWidth="1"/>
    <col min="3" max="3" width="16.140625" style="18" customWidth="1"/>
    <col min="4" max="4" width="18" style="18" customWidth="1"/>
    <col min="5" max="5" width="14.42578125" style="18" customWidth="1"/>
    <col min="6" max="6" width="17.42578125" style="18" customWidth="1"/>
    <col min="7" max="7" width="11.42578125" style="18" customWidth="1"/>
    <col min="8" max="8" width="15.28515625" style="18" customWidth="1"/>
    <col min="9" max="9" width="19" style="23" customWidth="1"/>
    <col min="10" max="10" width="13.5703125" style="19" bestFit="1" customWidth="1"/>
    <col min="11" max="11" width="14.85546875" style="19" customWidth="1"/>
    <col min="12" max="12" width="6" style="19" customWidth="1"/>
    <col min="13" max="13" width="11.42578125" style="19"/>
    <col min="14" max="14" width="15.5703125" style="19" customWidth="1"/>
    <col min="15" max="16384" width="11.42578125" style="19"/>
  </cols>
  <sheetData>
    <row r="1" spans="1:15" ht="18" x14ac:dyDescent="0.2">
      <c r="A1" s="655" t="s">
        <v>461</v>
      </c>
      <c r="B1" s="655"/>
      <c r="C1" s="655"/>
      <c r="D1" s="655"/>
      <c r="E1" s="655"/>
      <c r="F1" s="655"/>
      <c r="G1" s="655"/>
      <c r="H1" s="655"/>
      <c r="I1" s="655"/>
    </row>
    <row r="2" spans="1:15" ht="18" x14ac:dyDescent="0.2">
      <c r="A2" s="657" t="s">
        <v>462</v>
      </c>
      <c r="B2" s="657"/>
      <c r="C2" s="657"/>
      <c r="D2" s="657"/>
      <c r="E2" s="657"/>
      <c r="F2" s="657"/>
      <c r="G2" s="657"/>
      <c r="H2" s="657"/>
      <c r="I2" s="657"/>
      <c r="K2" s="107"/>
      <c r="L2" s="108"/>
    </row>
    <row r="3" spans="1:15" ht="18" x14ac:dyDescent="0.2">
      <c r="A3" s="655" t="s">
        <v>529</v>
      </c>
      <c r="B3" s="655"/>
      <c r="C3" s="655"/>
      <c r="D3" s="655"/>
      <c r="E3" s="655"/>
      <c r="F3" s="655"/>
      <c r="G3" s="655"/>
      <c r="H3" s="655"/>
      <c r="I3" s="655"/>
      <c r="L3" s="108"/>
    </row>
    <row r="4" spans="1:15" ht="18" x14ac:dyDescent="0.2">
      <c r="A4" s="655" t="s">
        <v>11</v>
      </c>
      <c r="B4" s="655"/>
      <c r="C4" s="655"/>
      <c r="D4" s="655"/>
      <c r="E4" s="655"/>
      <c r="F4" s="655"/>
      <c r="G4" s="655"/>
      <c r="H4" s="655"/>
      <c r="I4" s="655"/>
      <c r="L4" s="108"/>
    </row>
    <row r="5" spans="1:15" ht="18" x14ac:dyDescent="0.2">
      <c r="A5" s="655" t="s">
        <v>16</v>
      </c>
      <c r="B5" s="655"/>
      <c r="C5" s="655"/>
      <c r="D5" s="655"/>
      <c r="E5" s="655"/>
      <c r="F5" s="655"/>
      <c r="G5" s="655"/>
      <c r="H5" s="655"/>
      <c r="I5" s="655"/>
      <c r="L5" s="108"/>
    </row>
    <row r="6" spans="1:15" ht="15.75" customHeight="1" x14ac:dyDescent="0.2">
      <c r="A6" s="656" t="s">
        <v>118</v>
      </c>
      <c r="B6" s="658" t="s">
        <v>119</v>
      </c>
      <c r="C6" s="659" t="s">
        <v>121</v>
      </c>
      <c r="D6" s="659"/>
      <c r="E6" s="659"/>
      <c r="F6" s="656" t="s">
        <v>123</v>
      </c>
      <c r="G6" s="656" t="s">
        <v>126</v>
      </c>
      <c r="H6" s="656" t="s">
        <v>124</v>
      </c>
      <c r="I6" s="660" t="s">
        <v>125</v>
      </c>
      <c r="L6" s="108"/>
    </row>
    <row r="7" spans="1:15" ht="33" customHeight="1" x14ac:dyDescent="0.2">
      <c r="A7" s="656"/>
      <c r="B7" s="658"/>
      <c r="C7" s="661" t="s">
        <v>120</v>
      </c>
      <c r="D7" s="661"/>
      <c r="E7" s="394" t="s">
        <v>122</v>
      </c>
      <c r="F7" s="656"/>
      <c r="G7" s="656"/>
      <c r="H7" s="656"/>
      <c r="I7" s="660"/>
      <c r="L7" s="108"/>
    </row>
    <row r="8" spans="1:15" s="20" customFormat="1" ht="99.75" customHeight="1" x14ac:dyDescent="0.2">
      <c r="A8" s="656"/>
      <c r="B8" s="658"/>
      <c r="C8" s="395" t="s">
        <v>127</v>
      </c>
      <c r="D8" s="395" t="s">
        <v>128</v>
      </c>
      <c r="E8" s="395" t="s">
        <v>73</v>
      </c>
      <c r="F8" s="656"/>
      <c r="G8" s="656"/>
      <c r="H8" s="656"/>
      <c r="I8" s="660"/>
      <c r="J8" s="517"/>
      <c r="K8" s="517"/>
      <c r="L8" s="518"/>
      <c r="M8" s="517"/>
      <c r="N8" s="517"/>
      <c r="O8" s="517"/>
    </row>
    <row r="9" spans="1:15" ht="15.75" customHeight="1" x14ac:dyDescent="0.2">
      <c r="A9" s="275" t="s">
        <v>17</v>
      </c>
      <c r="B9" s="276" t="s">
        <v>18</v>
      </c>
      <c r="C9" s="273"/>
      <c r="D9" s="273"/>
      <c r="E9" s="273"/>
      <c r="F9" s="273">
        <f>SUM(ANALISIS!F7)</f>
        <v>42033.707500000004</v>
      </c>
      <c r="G9" s="274"/>
      <c r="H9" s="274"/>
      <c r="I9" s="274">
        <f t="shared" ref="I9:I47" si="0">SUM(C9:H9)</f>
        <v>42033.707500000004</v>
      </c>
      <c r="J9" s="511"/>
      <c r="K9" s="511" t="s">
        <v>330</v>
      </c>
      <c r="L9" s="511" t="s">
        <v>329</v>
      </c>
      <c r="M9" s="511"/>
      <c r="N9" s="519">
        <v>42783.39</v>
      </c>
      <c r="O9" s="511"/>
    </row>
    <row r="10" spans="1:15" ht="15.75" customHeight="1" x14ac:dyDescent="0.2">
      <c r="A10" s="275" t="s">
        <v>19</v>
      </c>
      <c r="B10" s="276" t="s">
        <v>20</v>
      </c>
      <c r="C10" s="273"/>
      <c r="D10" s="273"/>
      <c r="E10" s="273"/>
      <c r="F10" s="273">
        <f>SUM(ANALISIS!F8)</f>
        <v>216160.95749999999</v>
      </c>
      <c r="G10" s="274"/>
      <c r="H10" s="274"/>
      <c r="I10" s="274">
        <f t="shared" si="0"/>
        <v>216160.95749999999</v>
      </c>
      <c r="J10" s="511"/>
      <c r="K10" s="520">
        <f>SUM(I9:I16)</f>
        <v>283161.74</v>
      </c>
      <c r="L10" s="521">
        <v>11</v>
      </c>
      <c r="M10" s="511"/>
      <c r="N10" s="522">
        <v>108580.29</v>
      </c>
      <c r="O10" s="511"/>
    </row>
    <row r="11" spans="1:15" ht="15.75" customHeight="1" x14ac:dyDescent="0.2">
      <c r="A11" s="275">
        <v>11803</v>
      </c>
      <c r="B11" s="276" t="s">
        <v>428</v>
      </c>
      <c r="C11" s="273"/>
      <c r="D11" s="273"/>
      <c r="E11" s="273"/>
      <c r="F11" s="273">
        <f>ANALISIS!F9</f>
        <v>5042.75</v>
      </c>
      <c r="G11" s="274"/>
      <c r="H11" s="274"/>
      <c r="I11" s="274">
        <f t="shared" si="0"/>
        <v>5042.75</v>
      </c>
      <c r="J11" s="511"/>
      <c r="K11" s="520"/>
      <c r="L11" s="521"/>
      <c r="M11" s="511"/>
      <c r="N11" s="522">
        <v>4190.1000000000004</v>
      </c>
      <c r="O11" s="511"/>
    </row>
    <row r="12" spans="1:15" ht="15.75" customHeight="1" x14ac:dyDescent="0.2">
      <c r="A12" s="275" t="s">
        <v>21</v>
      </c>
      <c r="B12" s="276" t="s">
        <v>22</v>
      </c>
      <c r="C12" s="273"/>
      <c r="D12" s="273"/>
      <c r="E12" s="273"/>
      <c r="F12" s="273">
        <f>ANALISIS!F10</f>
        <v>4153.8</v>
      </c>
      <c r="G12" s="274"/>
      <c r="H12" s="274"/>
      <c r="I12" s="274">
        <f t="shared" si="0"/>
        <v>4153.8</v>
      </c>
      <c r="J12" s="511"/>
      <c r="K12" s="520">
        <f>SUM(I17:I31)</f>
        <v>680611.28499999992</v>
      </c>
      <c r="L12" s="521">
        <v>12</v>
      </c>
      <c r="M12" s="511"/>
      <c r="N12" s="522">
        <v>17520.349999999999</v>
      </c>
      <c r="O12" s="511"/>
    </row>
    <row r="13" spans="1:15" ht="15.75" customHeight="1" x14ac:dyDescent="0.2">
      <c r="A13" s="275" t="s">
        <v>129</v>
      </c>
      <c r="B13" s="276" t="s">
        <v>130</v>
      </c>
      <c r="C13" s="273"/>
      <c r="D13" s="273"/>
      <c r="E13" s="273"/>
      <c r="F13" s="273">
        <v>0</v>
      </c>
      <c r="G13" s="274"/>
      <c r="H13" s="274"/>
      <c r="I13" s="274">
        <f t="shared" si="0"/>
        <v>0</v>
      </c>
      <c r="J13" s="511"/>
      <c r="K13" s="520">
        <f>SUM(I32:I33)</f>
        <v>2946.7829999999999</v>
      </c>
      <c r="L13" s="521">
        <v>14</v>
      </c>
      <c r="M13" s="511"/>
      <c r="N13" s="522">
        <v>14388.68</v>
      </c>
      <c r="O13" s="511"/>
    </row>
    <row r="14" spans="1:15" ht="15.75" customHeight="1" x14ac:dyDescent="0.2">
      <c r="A14" s="277" t="s">
        <v>131</v>
      </c>
      <c r="B14" s="278" t="s">
        <v>133</v>
      </c>
      <c r="C14" s="273"/>
      <c r="D14" s="273"/>
      <c r="E14" s="273"/>
      <c r="F14" s="273">
        <v>0</v>
      </c>
      <c r="G14" s="274"/>
      <c r="H14" s="274"/>
      <c r="I14" s="274">
        <f t="shared" si="0"/>
        <v>0</v>
      </c>
      <c r="J14" s="511"/>
      <c r="K14" s="520">
        <f>SUM(I34:I41)</f>
        <v>60002.446000000004</v>
      </c>
      <c r="L14" s="521">
        <v>15</v>
      </c>
      <c r="M14" s="511"/>
      <c r="N14" s="522">
        <v>2642.61</v>
      </c>
      <c r="O14" s="511"/>
    </row>
    <row r="15" spans="1:15" ht="15.75" customHeight="1" x14ac:dyDescent="0.2">
      <c r="A15" s="275" t="s">
        <v>132</v>
      </c>
      <c r="B15" s="276" t="s">
        <v>134</v>
      </c>
      <c r="C15" s="273"/>
      <c r="D15" s="273"/>
      <c r="E15" s="273"/>
      <c r="F15" s="273">
        <f>ANALISIS!F11</f>
        <v>12737.779500000001</v>
      </c>
      <c r="G15" s="274"/>
      <c r="H15" s="274"/>
      <c r="I15" s="274">
        <f t="shared" si="0"/>
        <v>12737.779500000001</v>
      </c>
      <c r="J15" s="511"/>
      <c r="K15" s="520">
        <f>SUM(I42)</f>
        <v>369541.19999999995</v>
      </c>
      <c r="L15" s="521">
        <v>16</v>
      </c>
      <c r="M15" s="511"/>
      <c r="N15" s="522">
        <v>12197.84</v>
      </c>
      <c r="O15" s="511"/>
    </row>
    <row r="16" spans="1:15" ht="15.75" customHeight="1" x14ac:dyDescent="0.2">
      <c r="A16" s="277">
        <v>11818</v>
      </c>
      <c r="B16" s="278" t="s">
        <v>58</v>
      </c>
      <c r="C16" s="273"/>
      <c r="D16" s="273"/>
      <c r="E16" s="273"/>
      <c r="F16" s="273">
        <f>ANALISIS!F12</f>
        <v>3032.7455</v>
      </c>
      <c r="G16" s="274"/>
      <c r="H16" s="274"/>
      <c r="I16" s="274">
        <f t="shared" si="0"/>
        <v>3032.7455</v>
      </c>
      <c r="J16" s="511"/>
      <c r="K16" s="520">
        <f>SUM(I43)</f>
        <v>1108623.72</v>
      </c>
      <c r="L16" s="521">
        <v>22</v>
      </c>
      <c r="M16" s="511"/>
      <c r="N16" s="522">
        <v>4688.6000000000004</v>
      </c>
      <c r="O16" s="511"/>
    </row>
    <row r="17" spans="1:15" ht="15.75" customHeight="1" x14ac:dyDescent="0.2">
      <c r="A17" s="275">
        <v>12105</v>
      </c>
      <c r="B17" s="276" t="str">
        <f>ANALISIS!B13</f>
        <v>Por Serv. de Certif. o Visado de doc.</v>
      </c>
      <c r="C17" s="273"/>
      <c r="D17" s="273"/>
      <c r="E17" s="273"/>
      <c r="F17" s="273">
        <f>ANALISIS!F13</f>
        <v>14885.369999999999</v>
      </c>
      <c r="G17" s="274"/>
      <c r="H17" s="274"/>
      <c r="I17" s="274">
        <f t="shared" si="0"/>
        <v>14885.369999999999</v>
      </c>
      <c r="J17" s="511"/>
      <c r="K17" s="520">
        <f>SUM(I44:I45)</f>
        <v>500000</v>
      </c>
      <c r="L17" s="521">
        <v>31</v>
      </c>
      <c r="M17" s="511"/>
      <c r="N17" s="522">
        <v>67200.44</v>
      </c>
      <c r="O17" s="511"/>
    </row>
    <row r="18" spans="1:15" ht="15.75" customHeight="1" x14ac:dyDescent="0.2">
      <c r="A18" s="279">
        <v>12106</v>
      </c>
      <c r="B18" s="280" t="str">
        <f>ANALISIS!B14</f>
        <v>Por Expedic. Documentos de Identif.</v>
      </c>
      <c r="C18" s="273"/>
      <c r="D18" s="273"/>
      <c r="E18" s="273"/>
      <c r="F18" s="273">
        <f>ANALISIS!F14</f>
        <v>862.16650000000004</v>
      </c>
      <c r="G18" s="274"/>
      <c r="H18" s="274"/>
      <c r="I18" s="274">
        <f t="shared" si="0"/>
        <v>862.16650000000004</v>
      </c>
      <c r="J18" s="511"/>
      <c r="K18" s="523">
        <f>SUM(K10:K17)</f>
        <v>3004887.1739999996</v>
      </c>
      <c r="L18" s="511" t="s">
        <v>331</v>
      </c>
      <c r="M18" s="511"/>
      <c r="N18" s="522">
        <v>1167.98</v>
      </c>
      <c r="O18" s="511"/>
    </row>
    <row r="19" spans="1:15" ht="15.75" customHeight="1" x14ac:dyDescent="0.2">
      <c r="A19" s="279">
        <v>12108</v>
      </c>
      <c r="B19" s="280" t="s">
        <v>25</v>
      </c>
      <c r="C19" s="273"/>
      <c r="D19" s="273"/>
      <c r="E19" s="273"/>
      <c r="F19" s="273">
        <f>ANALISIS!F15</f>
        <v>87682.474500000011</v>
      </c>
      <c r="G19" s="274"/>
      <c r="H19" s="274"/>
      <c r="I19" s="274">
        <f t="shared" si="0"/>
        <v>87682.474500000011</v>
      </c>
      <c r="J19" s="511"/>
      <c r="K19" s="511"/>
      <c r="L19" s="511"/>
      <c r="M19" s="511"/>
      <c r="N19" s="522"/>
      <c r="O19" s="511"/>
    </row>
    <row r="20" spans="1:15" ht="15.75" customHeight="1" x14ac:dyDescent="0.2">
      <c r="A20" s="275" t="s">
        <v>23</v>
      </c>
      <c r="B20" s="276" t="s">
        <v>24</v>
      </c>
      <c r="C20" s="273"/>
      <c r="D20" s="273"/>
      <c r="E20" s="273"/>
      <c r="F20" s="273">
        <f>ANALISIS!F16</f>
        <v>131577.94</v>
      </c>
      <c r="G20" s="274"/>
      <c r="H20" s="274"/>
      <c r="I20" s="274">
        <f t="shared" si="0"/>
        <v>131577.94</v>
      </c>
      <c r="J20" s="511"/>
      <c r="K20" s="511"/>
      <c r="L20" s="511"/>
      <c r="M20" s="511"/>
      <c r="N20" s="522">
        <v>24801.02</v>
      </c>
      <c r="O20" s="511"/>
    </row>
    <row r="21" spans="1:15" ht="15.75" customHeight="1" x14ac:dyDescent="0.2">
      <c r="A21" s="277" t="s">
        <v>59</v>
      </c>
      <c r="B21" s="278" t="s">
        <v>60</v>
      </c>
      <c r="C21" s="273"/>
      <c r="D21" s="273"/>
      <c r="E21" s="273"/>
      <c r="F21" s="273">
        <f>ANALISIS!F17</f>
        <v>1674.8485000000001</v>
      </c>
      <c r="G21" s="274"/>
      <c r="H21" s="274"/>
      <c r="I21" s="274">
        <f t="shared" si="0"/>
        <v>1674.8485000000001</v>
      </c>
      <c r="J21" s="511"/>
      <c r="K21" s="511"/>
      <c r="L21" s="511"/>
      <c r="M21" s="511"/>
      <c r="N21" s="522">
        <v>7387.93</v>
      </c>
      <c r="O21" s="511"/>
    </row>
    <row r="22" spans="1:15" ht="15.75" customHeight="1" x14ac:dyDescent="0.2">
      <c r="A22" s="281" t="s">
        <v>135</v>
      </c>
      <c r="B22" s="278" t="s">
        <v>136</v>
      </c>
      <c r="C22" s="273"/>
      <c r="D22" s="273"/>
      <c r="E22" s="273"/>
      <c r="F22" s="273">
        <f>SUM(ANALISIS!F18)</f>
        <v>0</v>
      </c>
      <c r="G22" s="274"/>
      <c r="H22" s="274"/>
      <c r="I22" s="274">
        <f t="shared" si="0"/>
        <v>0</v>
      </c>
      <c r="J22" s="511"/>
      <c r="K22" s="511"/>
      <c r="L22" s="511"/>
      <c r="M22" s="511"/>
      <c r="N22" s="522">
        <v>23622.63</v>
      </c>
      <c r="O22" s="511"/>
    </row>
    <row r="23" spans="1:15" ht="15.75" customHeight="1" x14ac:dyDescent="0.2">
      <c r="A23" s="277" t="s">
        <v>61</v>
      </c>
      <c r="B23" s="278" t="s">
        <v>62</v>
      </c>
      <c r="C23" s="273"/>
      <c r="D23" s="273"/>
      <c r="E23" s="273"/>
      <c r="F23" s="273">
        <f>ANALISIS!F19</f>
        <v>36989.4395</v>
      </c>
      <c r="G23" s="274"/>
      <c r="H23" s="274"/>
      <c r="I23" s="274">
        <f t="shared" si="0"/>
        <v>36989.4395</v>
      </c>
      <c r="J23" s="511"/>
      <c r="K23" s="511"/>
      <c r="L23" s="511"/>
      <c r="M23" s="511"/>
      <c r="N23" s="522">
        <v>59325.65</v>
      </c>
      <c r="O23" s="511"/>
    </row>
    <row r="24" spans="1:15" ht="15.75" customHeight="1" x14ac:dyDescent="0.2">
      <c r="A24" s="277" t="s">
        <v>137</v>
      </c>
      <c r="B24" s="278" t="s">
        <v>138</v>
      </c>
      <c r="C24" s="273"/>
      <c r="D24" s="273"/>
      <c r="E24" s="273"/>
      <c r="F24" s="273">
        <f>ANALISIS!F20</f>
        <v>7702.5389999999998</v>
      </c>
      <c r="G24" s="274"/>
      <c r="H24" s="274"/>
      <c r="I24" s="274">
        <f t="shared" si="0"/>
        <v>7702.5389999999998</v>
      </c>
      <c r="J24" s="511"/>
      <c r="K24" s="511"/>
      <c r="L24" s="511"/>
      <c r="M24" s="511"/>
      <c r="N24" s="522">
        <v>142.97999999999999</v>
      </c>
      <c r="O24" s="511"/>
    </row>
    <row r="25" spans="1:15" ht="15.75" customHeight="1" x14ac:dyDescent="0.2">
      <c r="A25" s="281" t="s">
        <v>63</v>
      </c>
      <c r="B25" s="278" t="s">
        <v>64</v>
      </c>
      <c r="C25" s="273"/>
      <c r="D25" s="273"/>
      <c r="E25" s="273"/>
      <c r="F25" s="273">
        <f>SUM(ANALISIS!F21)</f>
        <v>45026.536500000002</v>
      </c>
      <c r="G25" s="274"/>
      <c r="H25" s="274"/>
      <c r="I25" s="274">
        <f t="shared" si="0"/>
        <v>45026.536500000002</v>
      </c>
      <c r="J25" s="511"/>
      <c r="K25" s="511"/>
      <c r="L25" s="511"/>
      <c r="M25" s="511"/>
      <c r="N25" s="522">
        <v>3666.68</v>
      </c>
      <c r="O25" s="511"/>
    </row>
    <row r="26" spans="1:15" ht="15.75" customHeight="1" x14ac:dyDescent="0.2">
      <c r="A26" s="281" t="s">
        <v>65</v>
      </c>
      <c r="B26" s="278" t="s">
        <v>66</v>
      </c>
      <c r="C26" s="273"/>
      <c r="D26" s="273"/>
      <c r="E26" s="273"/>
      <c r="F26" s="273">
        <f>ANALISIS!F22</f>
        <v>63891.688499999997</v>
      </c>
      <c r="G26" s="274"/>
      <c r="H26" s="274"/>
      <c r="I26" s="274">
        <f t="shared" si="0"/>
        <v>63891.688499999997</v>
      </c>
      <c r="J26" s="511"/>
      <c r="K26" s="511"/>
      <c r="L26" s="511"/>
      <c r="M26" s="511"/>
      <c r="N26" s="522"/>
      <c r="O26" s="511"/>
    </row>
    <row r="27" spans="1:15" ht="15.75" customHeight="1" x14ac:dyDescent="0.2">
      <c r="A27" s="277" t="s">
        <v>67</v>
      </c>
      <c r="B27" s="278" t="s">
        <v>68</v>
      </c>
      <c r="C27" s="273"/>
      <c r="D27" s="273"/>
      <c r="E27" s="273"/>
      <c r="F27" s="273">
        <f>ANALISIS!F23</f>
        <v>122.6015</v>
      </c>
      <c r="G27" s="274"/>
      <c r="H27" s="274"/>
      <c r="I27" s="274">
        <f t="shared" si="0"/>
        <v>122.6015</v>
      </c>
      <c r="J27" s="511"/>
      <c r="K27" s="511"/>
      <c r="L27" s="511"/>
      <c r="M27" s="511"/>
      <c r="N27" s="522">
        <v>86401.02</v>
      </c>
      <c r="O27" s="511"/>
    </row>
    <row r="28" spans="1:15" ht="15.75" customHeight="1" x14ac:dyDescent="0.2">
      <c r="A28" s="277" t="s">
        <v>140</v>
      </c>
      <c r="B28" s="278" t="str">
        <f>ANALISIS!B24</f>
        <v>Tasas Diversas</v>
      </c>
      <c r="C28" s="273"/>
      <c r="D28" s="273"/>
      <c r="E28" s="273"/>
      <c r="F28" s="273">
        <f>ANALISIS!F24</f>
        <v>148685.3285</v>
      </c>
      <c r="G28" s="274"/>
      <c r="H28" s="274"/>
      <c r="I28" s="274">
        <f t="shared" si="0"/>
        <v>148685.3285</v>
      </c>
      <c r="J28" s="511"/>
      <c r="K28" s="511"/>
      <c r="L28" s="511"/>
      <c r="M28" s="511"/>
      <c r="N28" s="522">
        <v>7.21</v>
      </c>
      <c r="O28" s="511"/>
    </row>
    <row r="29" spans="1:15" ht="15.75" customHeight="1" x14ac:dyDescent="0.2">
      <c r="A29" s="277">
        <v>12123</v>
      </c>
      <c r="B29" s="278" t="s">
        <v>326</v>
      </c>
      <c r="C29" s="273"/>
      <c r="D29" s="273"/>
      <c r="E29" s="273"/>
      <c r="F29" s="273">
        <f>SUM(ANALISIS!F25)</f>
        <v>0</v>
      </c>
      <c r="G29" s="274"/>
      <c r="H29" s="274"/>
      <c r="I29" s="274">
        <f t="shared" si="0"/>
        <v>0</v>
      </c>
      <c r="J29" s="511"/>
      <c r="K29" s="511"/>
      <c r="L29" s="511"/>
      <c r="M29" s="511"/>
      <c r="N29" s="522"/>
      <c r="O29" s="511"/>
    </row>
    <row r="30" spans="1:15" ht="15.75" customHeight="1" x14ac:dyDescent="0.2">
      <c r="A30" s="277" t="s">
        <v>117</v>
      </c>
      <c r="B30" s="278" t="s">
        <v>139</v>
      </c>
      <c r="C30" s="273"/>
      <c r="D30" s="273"/>
      <c r="E30" s="273"/>
      <c r="F30" s="273">
        <f>SUM(ANALISIS!F26)</f>
        <v>141505.867</v>
      </c>
      <c r="G30" s="274"/>
      <c r="H30" s="274"/>
      <c r="I30" s="274">
        <f t="shared" si="0"/>
        <v>141505.867</v>
      </c>
      <c r="J30" s="511"/>
      <c r="K30" s="511"/>
      <c r="L30" s="511"/>
      <c r="M30" s="511"/>
      <c r="N30" s="522"/>
      <c r="O30" s="511"/>
    </row>
    <row r="31" spans="1:15" ht="15.75" customHeight="1" x14ac:dyDescent="0.2">
      <c r="A31" s="277" t="s">
        <v>26</v>
      </c>
      <c r="B31" s="278" t="s">
        <v>27</v>
      </c>
      <c r="C31" s="273"/>
      <c r="D31" s="273"/>
      <c r="E31" s="273"/>
      <c r="F31" s="273">
        <f>SUM(ANALISIS!F27)</f>
        <v>4.4849999999999994</v>
      </c>
      <c r="G31" s="274"/>
      <c r="H31" s="274"/>
      <c r="I31" s="274">
        <f t="shared" si="0"/>
        <v>4.4849999999999994</v>
      </c>
      <c r="J31" s="511"/>
      <c r="K31" s="511"/>
      <c r="L31" s="511"/>
      <c r="M31" s="511"/>
      <c r="N31" s="522">
        <v>473.37</v>
      </c>
      <c r="O31" s="511"/>
    </row>
    <row r="32" spans="1:15" ht="15.75" customHeight="1" x14ac:dyDescent="0.2">
      <c r="A32" s="277" t="s">
        <v>141</v>
      </c>
      <c r="B32" s="278" t="s">
        <v>142</v>
      </c>
      <c r="C32" s="273"/>
      <c r="D32" s="273"/>
      <c r="E32" s="273"/>
      <c r="F32" s="273">
        <f>SUM(ANALISIS!F28)</f>
        <v>2371.7829999999999</v>
      </c>
      <c r="G32" s="274"/>
      <c r="H32" s="274"/>
      <c r="I32" s="274">
        <f t="shared" si="0"/>
        <v>2371.7829999999999</v>
      </c>
      <c r="J32" s="511"/>
      <c r="K32" s="511"/>
      <c r="L32" s="511"/>
      <c r="M32" s="511"/>
      <c r="N32" s="522">
        <v>6109.76</v>
      </c>
      <c r="O32" s="511"/>
    </row>
    <row r="33" spans="1:15" ht="15.75" customHeight="1" x14ac:dyDescent="0.2">
      <c r="A33" s="277" t="s">
        <v>28</v>
      </c>
      <c r="B33" s="278" t="s">
        <v>29</v>
      </c>
      <c r="C33" s="273"/>
      <c r="D33" s="273"/>
      <c r="E33" s="273"/>
      <c r="F33" s="273">
        <f>SUM(ANALISIS!F29)</f>
        <v>575</v>
      </c>
      <c r="G33" s="274"/>
      <c r="H33" s="274"/>
      <c r="I33" s="274">
        <f t="shared" si="0"/>
        <v>575</v>
      </c>
      <c r="J33" s="511"/>
      <c r="K33" s="511"/>
      <c r="L33" s="511"/>
      <c r="M33" s="511"/>
      <c r="N33" s="522">
        <v>1769.87</v>
      </c>
      <c r="O33" s="511"/>
    </row>
    <row r="34" spans="1:15" ht="15.75" customHeight="1" x14ac:dyDescent="0.2">
      <c r="A34" s="277" t="s">
        <v>30</v>
      </c>
      <c r="B34" s="278" t="s">
        <v>31</v>
      </c>
      <c r="C34" s="273"/>
      <c r="D34" s="273"/>
      <c r="E34" s="273"/>
      <c r="F34" s="273">
        <f>SUM(ANALISIS!F30)</f>
        <v>7697.2259999999997</v>
      </c>
      <c r="G34" s="274"/>
      <c r="H34" s="274"/>
      <c r="I34" s="274">
        <f t="shared" si="0"/>
        <v>7697.2259999999997</v>
      </c>
      <c r="J34" s="511"/>
      <c r="K34" s="511"/>
      <c r="L34" s="511"/>
      <c r="M34" s="511"/>
      <c r="N34" s="522">
        <v>44.13</v>
      </c>
      <c r="O34" s="511"/>
    </row>
    <row r="35" spans="1:15" ht="15.75" customHeight="1" x14ac:dyDescent="0.2">
      <c r="A35" s="277" t="s">
        <v>33</v>
      </c>
      <c r="B35" s="278" t="s">
        <v>32</v>
      </c>
      <c r="C35" s="273"/>
      <c r="D35" s="273"/>
      <c r="E35" s="273"/>
      <c r="F35" s="273">
        <f>SUM(ANALISIS!F31)</f>
        <v>9508.5910000000003</v>
      </c>
      <c r="G35" s="274"/>
      <c r="H35" s="274"/>
      <c r="I35" s="274">
        <f t="shared" si="0"/>
        <v>9508.5910000000003</v>
      </c>
      <c r="J35" s="511"/>
      <c r="K35" s="511"/>
      <c r="L35" s="511"/>
      <c r="M35" s="511"/>
      <c r="N35" s="522">
        <v>9277.0300000000007</v>
      </c>
      <c r="O35" s="511"/>
    </row>
    <row r="36" spans="1:15" ht="15.75" customHeight="1" x14ac:dyDescent="0.2">
      <c r="A36" s="277">
        <v>15310</v>
      </c>
      <c r="B36" s="278" t="str">
        <f>ANALISIS!B32</f>
        <v>Multas por Declaración Extemporanea</v>
      </c>
      <c r="C36" s="273"/>
      <c r="D36" s="273"/>
      <c r="E36" s="273"/>
      <c r="F36" s="273">
        <f>ANALISIS!F32</f>
        <v>785.3694999999999</v>
      </c>
      <c r="G36" s="274"/>
      <c r="H36" s="274"/>
      <c r="I36" s="274">
        <f t="shared" si="0"/>
        <v>785.3694999999999</v>
      </c>
      <c r="J36" s="511"/>
      <c r="K36" s="511"/>
      <c r="L36" s="511"/>
      <c r="M36" s="511"/>
      <c r="N36" s="522"/>
      <c r="O36" s="511"/>
    </row>
    <row r="37" spans="1:15" ht="14.25" x14ac:dyDescent="0.2">
      <c r="A37" s="277">
        <v>15312</v>
      </c>
      <c r="B37" s="278" t="s">
        <v>328</v>
      </c>
      <c r="C37" s="273"/>
      <c r="D37" s="273"/>
      <c r="E37" s="273"/>
      <c r="F37" s="273">
        <f>SUM(ANALISIS!F33)</f>
        <v>174.018</v>
      </c>
      <c r="G37" s="274"/>
      <c r="H37" s="274"/>
      <c r="I37" s="274">
        <f t="shared" si="0"/>
        <v>174.018</v>
      </c>
      <c r="J37" s="511"/>
      <c r="K37" s="511"/>
      <c r="L37" s="511"/>
      <c r="M37" s="511"/>
      <c r="N37" s="522"/>
      <c r="O37" s="511"/>
    </row>
    <row r="38" spans="1:15" ht="14.25" x14ac:dyDescent="0.2">
      <c r="A38" s="277" t="s">
        <v>105</v>
      </c>
      <c r="B38" s="278" t="s">
        <v>106</v>
      </c>
      <c r="C38" s="282"/>
      <c r="D38" s="273"/>
      <c r="E38" s="273"/>
      <c r="F38" s="273">
        <f>SUM(ANALISIS!F34)</f>
        <v>4420.3009999999995</v>
      </c>
      <c r="G38" s="274"/>
      <c r="H38" s="274"/>
      <c r="I38" s="274">
        <f t="shared" si="0"/>
        <v>4420.3009999999995</v>
      </c>
      <c r="J38" s="511"/>
      <c r="K38" s="511"/>
      <c r="L38" s="511"/>
      <c r="M38" s="511"/>
      <c r="N38" s="522"/>
      <c r="O38" s="511"/>
    </row>
    <row r="39" spans="1:15" ht="14.25" x14ac:dyDescent="0.2">
      <c r="A39" s="283">
        <v>15399</v>
      </c>
      <c r="B39" s="284" t="s">
        <v>311</v>
      </c>
      <c r="C39" s="273"/>
      <c r="D39" s="273"/>
      <c r="E39" s="273"/>
      <c r="F39" s="273">
        <f>SUM(ANALISIS!F35)</f>
        <v>0</v>
      </c>
      <c r="G39" s="274"/>
      <c r="H39" s="274"/>
      <c r="I39" s="274">
        <f t="shared" si="0"/>
        <v>0</v>
      </c>
      <c r="J39" s="511"/>
      <c r="K39" s="511"/>
      <c r="L39" s="511"/>
      <c r="M39" s="511"/>
      <c r="N39" s="522">
        <v>104.85</v>
      </c>
      <c r="O39" s="511"/>
    </row>
    <row r="40" spans="1:15" ht="14.25" x14ac:dyDescent="0.2">
      <c r="A40" s="283" t="s">
        <v>69</v>
      </c>
      <c r="B40" s="284" t="s">
        <v>70</v>
      </c>
      <c r="C40" s="273"/>
      <c r="D40" s="273"/>
      <c r="E40" s="273"/>
      <c r="F40" s="273">
        <f>SUM(ANALISIS!F36)</f>
        <v>0</v>
      </c>
      <c r="G40" s="274"/>
      <c r="H40" s="274"/>
      <c r="I40" s="274">
        <f t="shared" si="0"/>
        <v>0</v>
      </c>
      <c r="J40" s="511"/>
      <c r="K40" s="511"/>
      <c r="L40" s="511"/>
      <c r="M40" s="511"/>
      <c r="N40" s="522"/>
      <c r="O40" s="511"/>
    </row>
    <row r="41" spans="1:15" ht="14.25" x14ac:dyDescent="0.2">
      <c r="A41" s="283" t="s">
        <v>71</v>
      </c>
      <c r="B41" s="284" t="s">
        <v>72</v>
      </c>
      <c r="C41" s="273"/>
      <c r="D41" s="273"/>
      <c r="E41" s="273"/>
      <c r="F41" s="273">
        <f>ANALISIS!F37</f>
        <v>37416.940500000004</v>
      </c>
      <c r="G41" s="274"/>
      <c r="H41" s="274"/>
      <c r="I41" s="274">
        <f t="shared" si="0"/>
        <v>37416.940500000004</v>
      </c>
      <c r="J41" s="511"/>
      <c r="K41" s="520">
        <f>344447.4/12</f>
        <v>28703.95</v>
      </c>
      <c r="L41" s="511"/>
      <c r="M41" s="511"/>
      <c r="N41" s="522"/>
      <c r="O41" s="511"/>
    </row>
    <row r="42" spans="1:15" ht="14.25" x14ac:dyDescent="0.2">
      <c r="A42" s="277" t="s">
        <v>34</v>
      </c>
      <c r="B42" s="278" t="s">
        <v>257</v>
      </c>
      <c r="C42" s="273">
        <f>30795.1*12</f>
        <v>369541.19999999995</v>
      </c>
      <c r="D42" s="282"/>
      <c r="E42" s="282"/>
      <c r="F42" s="282"/>
      <c r="G42" s="285"/>
      <c r="H42" s="285"/>
      <c r="I42" s="285">
        <f t="shared" si="0"/>
        <v>369541.19999999995</v>
      </c>
      <c r="J42" s="511"/>
      <c r="K42" s="511"/>
      <c r="L42" s="511"/>
      <c r="M42" s="511"/>
      <c r="N42" s="522"/>
      <c r="O42" s="511"/>
    </row>
    <row r="43" spans="1:15" ht="14.25" x14ac:dyDescent="0.2">
      <c r="A43" s="283" t="s">
        <v>35</v>
      </c>
      <c r="B43" s="284" t="s">
        <v>258</v>
      </c>
      <c r="C43" s="273"/>
      <c r="D43" s="273">
        <f>92385.31*12</f>
        <v>1108623.72</v>
      </c>
      <c r="E43" s="273"/>
      <c r="F43" s="273"/>
      <c r="G43" s="274"/>
      <c r="H43" s="274"/>
      <c r="I43" s="274">
        <f t="shared" si="0"/>
        <v>1108623.72</v>
      </c>
      <c r="J43" s="511"/>
      <c r="K43" s="511"/>
      <c r="L43" s="511"/>
      <c r="M43" s="511"/>
      <c r="N43" s="522"/>
      <c r="O43" s="511"/>
    </row>
    <row r="44" spans="1:15" ht="14.25" x14ac:dyDescent="0.2">
      <c r="A44" s="283" t="s">
        <v>171</v>
      </c>
      <c r="B44" s="284" t="s">
        <v>143</v>
      </c>
      <c r="C44" s="273"/>
      <c r="D44" s="273"/>
      <c r="E44" s="273"/>
      <c r="F44" s="273"/>
      <c r="G44" s="274"/>
      <c r="H44" s="274">
        <v>500000</v>
      </c>
      <c r="I44" s="274">
        <f t="shared" si="0"/>
        <v>500000</v>
      </c>
      <c r="J44" s="511"/>
      <c r="K44" s="511"/>
      <c r="L44" s="511"/>
      <c r="M44" s="511"/>
      <c r="N44" s="522"/>
      <c r="O44" s="511"/>
    </row>
    <row r="45" spans="1:15" ht="14.25" x14ac:dyDescent="0.2">
      <c r="A45" s="283" t="s">
        <v>254</v>
      </c>
      <c r="B45" s="284" t="s">
        <v>255</v>
      </c>
      <c r="C45" s="273"/>
      <c r="D45" s="273"/>
      <c r="E45" s="273"/>
      <c r="F45" s="273"/>
      <c r="G45" s="274"/>
      <c r="H45" s="274"/>
      <c r="I45" s="274">
        <f t="shared" si="0"/>
        <v>0</v>
      </c>
      <c r="J45" s="511"/>
      <c r="K45" s="511"/>
      <c r="L45" s="511"/>
      <c r="M45" s="511"/>
      <c r="N45" s="522"/>
      <c r="O45" s="511"/>
    </row>
    <row r="46" spans="1:15" x14ac:dyDescent="0.2">
      <c r="A46" s="283" t="s">
        <v>250</v>
      </c>
      <c r="B46" s="284" t="s">
        <v>251</v>
      </c>
      <c r="C46" s="273"/>
      <c r="D46" s="273"/>
      <c r="E46" s="273"/>
      <c r="F46" s="273"/>
      <c r="G46" s="274"/>
      <c r="H46" s="274"/>
      <c r="I46" s="274">
        <f t="shared" si="0"/>
        <v>0</v>
      </c>
      <c r="J46" s="511"/>
      <c r="K46" s="511"/>
      <c r="L46" s="511"/>
      <c r="M46" s="511"/>
      <c r="N46" s="524">
        <f>SUM(N9:N45)</f>
        <v>498494.41000000003</v>
      </c>
      <c r="O46" s="511"/>
    </row>
    <row r="47" spans="1:15" x14ac:dyDescent="0.2">
      <c r="A47" s="283" t="s">
        <v>90</v>
      </c>
      <c r="B47" s="284" t="s">
        <v>256</v>
      </c>
      <c r="C47" s="273">
        <v>6754.02</v>
      </c>
      <c r="D47" s="273">
        <v>23245.3</v>
      </c>
      <c r="E47" s="273"/>
      <c r="F47" s="273"/>
      <c r="G47" s="274"/>
      <c r="H47" s="274">
        <v>0</v>
      </c>
      <c r="I47" s="274">
        <f t="shared" si="0"/>
        <v>29999.32</v>
      </c>
      <c r="J47" s="511"/>
      <c r="K47" s="520"/>
      <c r="L47" s="511"/>
      <c r="M47" s="511"/>
      <c r="N47" s="511"/>
      <c r="O47" s="511"/>
    </row>
    <row r="48" spans="1:15" ht="13.5" thickBot="1" x14ac:dyDescent="0.25">
      <c r="A48" s="283" t="s">
        <v>252</v>
      </c>
      <c r="B48" s="284" t="s">
        <v>91</v>
      </c>
      <c r="C48" s="273"/>
      <c r="D48" s="273">
        <v>92385.31</v>
      </c>
      <c r="E48" s="273"/>
      <c r="F48" s="273"/>
      <c r="G48" s="274"/>
      <c r="H48" s="274"/>
      <c r="I48" s="286">
        <f>SUM(C48:H48)</f>
        <v>92385.31</v>
      </c>
      <c r="J48" s="520"/>
      <c r="K48" s="511"/>
      <c r="L48" s="511"/>
      <c r="M48" s="511"/>
      <c r="N48" s="525">
        <f>K41-N46</f>
        <v>-469790.46</v>
      </c>
      <c r="O48" s="511"/>
    </row>
    <row r="49" spans="1:16" s="83" customFormat="1" ht="24.95" customHeight="1" thickBot="1" x14ac:dyDescent="0.25">
      <c r="A49" s="391"/>
      <c r="B49" s="392" t="s">
        <v>164</v>
      </c>
      <c r="C49" s="393">
        <f>SUM(C42:C48)</f>
        <v>376295.22</v>
      </c>
      <c r="D49" s="393">
        <f>SUM(D9:D48)</f>
        <v>1224254.33</v>
      </c>
      <c r="E49" s="393">
        <f>SUM(E9:E48)</f>
        <v>0</v>
      </c>
      <c r="F49" s="393">
        <f>SUM(F9:F48)-0.01</f>
        <v>1026722.2440000003</v>
      </c>
      <c r="G49" s="393">
        <f>SUM(G9:G48)</f>
        <v>0</v>
      </c>
      <c r="H49" s="393">
        <f>SUM(H9:H48)</f>
        <v>500000</v>
      </c>
      <c r="I49" s="424">
        <f>SUM(C49:H49)+0.01</f>
        <v>3127271.804</v>
      </c>
      <c r="J49" s="526"/>
      <c r="K49" s="526"/>
      <c r="L49" s="526"/>
      <c r="M49" s="526"/>
      <c r="N49" s="526"/>
      <c r="O49" s="526"/>
    </row>
    <row r="50" spans="1:16" ht="15" customHeight="1" x14ac:dyDescent="0.2">
      <c r="A50" s="505"/>
      <c r="B50" s="506"/>
      <c r="C50" s="507">
        <v>0.25</v>
      </c>
      <c r="D50" s="507">
        <v>0.75</v>
      </c>
      <c r="E50" s="508" t="s">
        <v>456</v>
      </c>
      <c r="F50" s="508" t="s">
        <v>457</v>
      </c>
      <c r="G50" s="509"/>
      <c r="H50" s="508" t="s">
        <v>458</v>
      </c>
      <c r="I50" s="510"/>
      <c r="J50" s="511"/>
      <c r="K50" s="511"/>
      <c r="L50" s="511"/>
      <c r="M50" s="511"/>
      <c r="N50" s="511"/>
      <c r="O50" s="511"/>
    </row>
    <row r="51" spans="1:16" s="13" customFormat="1" ht="20.25" customHeight="1" x14ac:dyDescent="0.2">
      <c r="A51" s="512" t="s">
        <v>14</v>
      </c>
      <c r="B51" s="510"/>
      <c r="C51" s="510"/>
      <c r="D51" s="513">
        <f>D49-'Deuda Pub 75%'!H18</f>
        <v>879200.21000000008</v>
      </c>
      <c r="E51" s="510"/>
      <c r="F51" s="510"/>
      <c r="G51" s="510"/>
      <c r="H51" s="510"/>
      <c r="I51" s="513">
        <f>SUM(I9:I48)</f>
        <v>3127271.8040000005</v>
      </c>
      <c r="J51" s="514"/>
    </row>
    <row r="52" spans="1:16" x14ac:dyDescent="0.2">
      <c r="A52" s="654" t="s">
        <v>3</v>
      </c>
      <c r="B52" s="654"/>
      <c r="C52" s="654"/>
      <c r="D52" s="654"/>
      <c r="E52" s="654"/>
      <c r="F52" s="654"/>
      <c r="G52" s="509"/>
      <c r="H52" s="509"/>
      <c r="I52" s="510"/>
      <c r="J52" s="511"/>
      <c r="P52" s="19">
        <f>60000*12</f>
        <v>720000</v>
      </c>
    </row>
    <row r="53" spans="1:16" x14ac:dyDescent="0.2">
      <c r="A53" s="654" t="s">
        <v>4</v>
      </c>
      <c r="B53" s="654"/>
      <c r="C53" s="654"/>
      <c r="D53" s="654"/>
      <c r="E53" s="654"/>
      <c r="F53" s="654"/>
      <c r="G53" s="509"/>
      <c r="H53" s="509"/>
      <c r="I53" s="510"/>
      <c r="J53" s="511"/>
    </row>
    <row r="54" spans="1:16" x14ac:dyDescent="0.2">
      <c r="A54" s="654" t="s">
        <v>1</v>
      </c>
      <c r="B54" s="654"/>
      <c r="C54" s="654"/>
      <c r="D54" s="654"/>
      <c r="E54" s="654"/>
      <c r="F54" s="654"/>
      <c r="G54" s="509"/>
      <c r="H54" s="509"/>
      <c r="I54" s="510"/>
      <c r="J54" s="511"/>
    </row>
    <row r="55" spans="1:16" x14ac:dyDescent="0.2">
      <c r="A55" s="654" t="s">
        <v>5</v>
      </c>
      <c r="B55" s="654"/>
      <c r="C55" s="654"/>
      <c r="D55" s="654"/>
      <c r="E55" s="654"/>
      <c r="F55" s="654"/>
      <c r="G55" s="509"/>
      <c r="H55" s="509"/>
      <c r="I55" s="510"/>
      <c r="J55" s="511"/>
    </row>
    <row r="56" spans="1:16" x14ac:dyDescent="0.2">
      <c r="A56" s="654" t="s">
        <v>6</v>
      </c>
      <c r="B56" s="654"/>
      <c r="C56" s="654"/>
      <c r="D56" s="654"/>
      <c r="E56" s="654"/>
      <c r="F56" s="654"/>
      <c r="G56" s="509"/>
      <c r="H56" s="509"/>
      <c r="I56" s="510"/>
      <c r="J56" s="511"/>
    </row>
    <row r="57" spans="1:16" x14ac:dyDescent="0.2">
      <c r="A57" s="654" t="s">
        <v>7</v>
      </c>
      <c r="B57" s="654"/>
      <c r="C57" s="654"/>
      <c r="D57" s="654"/>
      <c r="E57" s="654"/>
      <c r="F57" s="654"/>
      <c r="G57" s="509"/>
      <c r="H57" s="509"/>
      <c r="I57" s="510"/>
      <c r="J57" s="511"/>
    </row>
    <row r="58" spans="1:16" x14ac:dyDescent="0.2">
      <c r="A58" s="508"/>
      <c r="B58" s="509"/>
      <c r="C58" s="509"/>
      <c r="D58" s="509"/>
      <c r="E58" s="509"/>
      <c r="F58" s="509"/>
      <c r="G58" s="509"/>
      <c r="H58" s="509"/>
      <c r="I58" s="510"/>
      <c r="J58" s="511"/>
    </row>
    <row r="59" spans="1:16" x14ac:dyDescent="0.2">
      <c r="A59" s="508"/>
      <c r="B59" s="509"/>
      <c r="C59" s="509"/>
      <c r="D59" s="509"/>
      <c r="E59" s="509"/>
      <c r="F59" s="509"/>
      <c r="G59" s="509"/>
      <c r="H59" s="509"/>
      <c r="I59" s="510"/>
      <c r="J59" s="511"/>
    </row>
    <row r="60" spans="1:16" x14ac:dyDescent="0.2">
      <c r="A60" s="508"/>
      <c r="B60" s="509"/>
      <c r="C60" s="509"/>
      <c r="D60" s="509"/>
      <c r="E60" s="509"/>
      <c r="F60" s="515">
        <f>ANALISIS!D45</f>
        <v>1026722.2539999998</v>
      </c>
      <c r="G60" s="509"/>
      <c r="H60" s="509"/>
      <c r="I60" s="510"/>
      <c r="J60" s="511"/>
    </row>
    <row r="61" spans="1:16" x14ac:dyDescent="0.2">
      <c r="A61" s="508"/>
      <c r="B61" s="509"/>
      <c r="C61" s="509"/>
      <c r="D61" s="509"/>
      <c r="E61" s="509"/>
      <c r="F61" s="516">
        <f>F47</f>
        <v>0</v>
      </c>
      <c r="G61" s="509"/>
      <c r="H61" s="509"/>
      <c r="I61" s="510"/>
      <c r="J61" s="511"/>
    </row>
    <row r="62" spans="1:16" x14ac:dyDescent="0.2">
      <c r="A62" s="508"/>
      <c r="B62" s="509"/>
      <c r="C62" s="509"/>
      <c r="D62" s="509"/>
      <c r="E62" s="509"/>
      <c r="F62" s="515">
        <f>SUM(F60:F61)</f>
        <v>1026722.2539999998</v>
      </c>
      <c r="G62" s="509"/>
      <c r="H62" s="509"/>
      <c r="I62" s="510"/>
      <c r="J62" s="511"/>
    </row>
    <row r="63" spans="1:16" x14ac:dyDescent="0.2">
      <c r="A63" s="508"/>
      <c r="B63" s="509"/>
      <c r="C63" s="509"/>
      <c r="D63" s="509"/>
      <c r="E63" s="509"/>
      <c r="F63" s="509"/>
      <c r="G63" s="509"/>
      <c r="H63" s="509"/>
      <c r="I63" s="510"/>
      <c r="J63" s="511"/>
    </row>
    <row r="64" spans="1:16" x14ac:dyDescent="0.2">
      <c r="A64" s="508"/>
      <c r="B64" s="509"/>
      <c r="C64" s="509"/>
      <c r="D64" s="509"/>
      <c r="E64" s="509"/>
      <c r="F64" s="509"/>
      <c r="G64" s="509"/>
      <c r="H64" s="509"/>
      <c r="I64" s="510"/>
      <c r="J64" s="511"/>
    </row>
  </sheetData>
  <sheetProtection sheet="1" formatCells="0" formatColumns="0" formatRows="0" insertColumns="0" insertRows="0" insertHyperlinks="0" deleteColumns="0" deleteRows="0" sort="0" autoFilter="0" pivotTables="0"/>
  <autoFilter ref="A1:I49" xr:uid="{00000000-0009-0000-0000-000002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sortState ref="A10:B47">
    <sortCondition ref="A9"/>
  </sortState>
  <mergeCells count="19">
    <mergeCell ref="A4:I4"/>
    <mergeCell ref="F6:F8"/>
    <mergeCell ref="G6:G8"/>
    <mergeCell ref="H6:H8"/>
    <mergeCell ref="A1:I1"/>
    <mergeCell ref="A2:I2"/>
    <mergeCell ref="A3:I3"/>
    <mergeCell ref="A5:I5"/>
    <mergeCell ref="B6:B8"/>
    <mergeCell ref="C6:E6"/>
    <mergeCell ref="I6:I8"/>
    <mergeCell ref="A6:A8"/>
    <mergeCell ref="C7:D7"/>
    <mergeCell ref="A52:F52"/>
    <mergeCell ref="A57:F57"/>
    <mergeCell ref="A53:F53"/>
    <mergeCell ref="A54:F54"/>
    <mergeCell ref="A55:F55"/>
    <mergeCell ref="A56:F56"/>
  </mergeCells>
  <phoneticPr fontId="2" type="noConversion"/>
  <printOptions horizontalCentered="1"/>
  <pageMargins left="0.59055118110236227" right="0.78740157480314965" top="0.59055118110236227" bottom="0.59055118110236227" header="0" footer="0"/>
  <pageSetup scale="80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>
    <tabColor rgb="FFC00000"/>
  </sheetPr>
  <dimension ref="A1:U101"/>
  <sheetViews>
    <sheetView zoomScale="140" zoomScaleNormal="140" zoomScaleSheetLayoutView="96" zoomScalePageLayoutView="90" workbookViewId="0">
      <selection activeCell="O6" sqref="O6"/>
    </sheetView>
  </sheetViews>
  <sheetFormatPr baseColWidth="10" defaultColWidth="11.42578125" defaultRowHeight="12.75" x14ac:dyDescent="0.2"/>
  <cols>
    <col min="1" max="2" width="4.5703125" style="24" customWidth="1"/>
    <col min="3" max="3" width="6.140625" style="24" customWidth="1"/>
    <col min="4" max="4" width="7.42578125" style="24" customWidth="1"/>
    <col min="5" max="5" width="36.5703125" style="18" customWidth="1"/>
    <col min="6" max="6" width="13.85546875" style="18" customWidth="1"/>
    <col min="7" max="7" width="11.85546875" style="18" customWidth="1"/>
    <col min="8" max="8" width="13" style="18" customWidth="1"/>
    <col min="9" max="9" width="9" style="18" customWidth="1"/>
    <col min="10" max="10" width="12.140625" style="18" customWidth="1"/>
    <col min="11" max="11" width="11.7109375" style="18" customWidth="1"/>
    <col min="12" max="12" width="14.7109375" style="21" customWidth="1"/>
    <col min="13" max="13" width="2.85546875" style="18" customWidth="1"/>
    <col min="14" max="14" width="13.85546875" style="19" bestFit="1" customWidth="1"/>
    <col min="15" max="15" width="14.85546875" style="19" customWidth="1"/>
    <col min="16" max="16" width="11.7109375" style="19" bestFit="1" customWidth="1"/>
    <col min="17" max="17" width="13.140625" style="19" customWidth="1"/>
    <col min="18" max="16384" width="11.42578125" style="19"/>
  </cols>
  <sheetData>
    <row r="1" spans="1:18" ht="18" x14ac:dyDescent="0.2">
      <c r="A1" s="655" t="s">
        <v>461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76"/>
      <c r="N1" s="677"/>
      <c r="O1" s="677"/>
    </row>
    <row r="2" spans="1:18" ht="18" x14ac:dyDescent="0.2">
      <c r="A2" s="657" t="s">
        <v>426</v>
      </c>
      <c r="B2" s="657"/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76"/>
      <c r="N2" s="677"/>
      <c r="O2" s="677"/>
    </row>
    <row r="3" spans="1:18" ht="15.75" x14ac:dyDescent="0.2">
      <c r="A3" s="664" t="s">
        <v>228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N3" s="527">
        <v>51</v>
      </c>
      <c r="O3" s="528">
        <f>SUM(L10:L23)</f>
        <v>787270.505</v>
      </c>
      <c r="P3" s="67"/>
      <c r="Q3" s="67"/>
      <c r="R3" s="343"/>
    </row>
    <row r="4" spans="1:18" ht="15.75" x14ac:dyDescent="0.2">
      <c r="A4" s="665" t="s">
        <v>532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N4" s="527">
        <v>54</v>
      </c>
      <c r="O4" s="528">
        <f>SUM(L24:L66)</f>
        <v>186801.74</v>
      </c>
      <c r="P4" s="67"/>
      <c r="Q4" s="67"/>
    </row>
    <row r="5" spans="1:18" ht="15.75" x14ac:dyDescent="0.2">
      <c r="A5" s="667" t="s">
        <v>13</v>
      </c>
      <c r="B5" s="667"/>
      <c r="C5" s="667"/>
      <c r="D5" s="667"/>
      <c r="E5" s="667"/>
      <c r="F5" s="667"/>
      <c r="G5" s="667"/>
      <c r="H5" s="667"/>
      <c r="I5" s="667"/>
      <c r="J5" s="667"/>
      <c r="K5" s="667"/>
      <c r="L5" s="667"/>
      <c r="N5" s="527">
        <v>55</v>
      </c>
      <c r="O5" s="528">
        <f>SUM(L67:L72)</f>
        <v>14000</v>
      </c>
      <c r="Q5" s="67"/>
    </row>
    <row r="6" spans="1:18" ht="15.75" x14ac:dyDescent="0.2">
      <c r="A6" s="664" t="s">
        <v>15</v>
      </c>
      <c r="B6" s="664"/>
      <c r="C6" s="664"/>
      <c r="D6" s="664"/>
      <c r="E6" s="664"/>
      <c r="F6" s="664"/>
      <c r="G6" s="664"/>
      <c r="H6" s="664"/>
      <c r="I6" s="664"/>
      <c r="J6" s="664"/>
      <c r="K6" s="664"/>
      <c r="L6" s="664"/>
      <c r="N6" s="527">
        <v>56</v>
      </c>
      <c r="O6" s="528">
        <f>SUM(L73:L75)</f>
        <v>30000</v>
      </c>
      <c r="Q6" s="67"/>
    </row>
    <row r="7" spans="1:18" ht="16.5" thickBot="1" x14ac:dyDescent="0.25">
      <c r="A7" s="668" t="s">
        <v>55</v>
      </c>
      <c r="B7" s="668"/>
      <c r="C7" s="668"/>
      <c r="D7" s="668"/>
      <c r="E7" s="668"/>
      <c r="F7" s="668"/>
      <c r="G7" s="668"/>
      <c r="H7" s="668"/>
      <c r="I7" s="668"/>
      <c r="J7" s="668"/>
      <c r="K7" s="668"/>
      <c r="L7" s="668"/>
      <c r="N7" s="527">
        <v>61</v>
      </c>
      <c r="O7" s="529">
        <f>SUM(L76:L80)</f>
        <v>8650</v>
      </c>
      <c r="P7" s="67"/>
      <c r="Q7" s="67"/>
    </row>
    <row r="8" spans="1:18" ht="13.5" thickBot="1" x14ac:dyDescent="0.25">
      <c r="A8" s="669" t="s">
        <v>474</v>
      </c>
      <c r="B8" s="670"/>
      <c r="C8" s="670"/>
      <c r="D8" s="670"/>
      <c r="E8" s="671" t="s">
        <v>181</v>
      </c>
      <c r="F8" s="678" t="s">
        <v>333</v>
      </c>
      <c r="G8" s="678" t="s">
        <v>334</v>
      </c>
      <c r="H8" s="481"/>
      <c r="I8" s="678" t="s">
        <v>446</v>
      </c>
      <c r="J8" s="678" t="s">
        <v>447</v>
      </c>
      <c r="K8" s="481"/>
      <c r="L8" s="678" t="s">
        <v>82</v>
      </c>
      <c r="N8" s="527">
        <v>71</v>
      </c>
      <c r="O8" s="529">
        <f>SUM(O3:O7)</f>
        <v>1026722.245</v>
      </c>
      <c r="Q8" s="67"/>
    </row>
    <row r="9" spans="1:18" s="20" customFormat="1" ht="186" customHeight="1" thickBot="1" x14ac:dyDescent="0.25">
      <c r="A9" s="482" t="s">
        <v>172</v>
      </c>
      <c r="B9" s="483" t="s">
        <v>175</v>
      </c>
      <c r="C9" s="484" t="s">
        <v>183</v>
      </c>
      <c r="D9" s="485" t="s">
        <v>118</v>
      </c>
      <c r="E9" s="672"/>
      <c r="F9" s="679"/>
      <c r="G9" s="679"/>
      <c r="H9" s="486" t="s">
        <v>444</v>
      </c>
      <c r="I9" s="679"/>
      <c r="J9" s="679"/>
      <c r="K9" s="486" t="s">
        <v>445</v>
      </c>
      <c r="L9" s="679"/>
      <c r="M9" s="18"/>
      <c r="N9" s="530"/>
      <c r="O9" s="531"/>
      <c r="Q9" s="81"/>
    </row>
    <row r="10" spans="1:18" s="110" customFormat="1" ht="15.75" customHeight="1" x14ac:dyDescent="0.2">
      <c r="A10" s="492">
        <v>1</v>
      </c>
      <c r="B10" s="493" t="s">
        <v>50</v>
      </c>
      <c r="C10" s="493" t="s">
        <v>56</v>
      </c>
      <c r="D10" s="494">
        <v>51101</v>
      </c>
      <c r="E10" s="477" t="s">
        <v>37</v>
      </c>
      <c r="F10" s="487">
        <f>69600-36000</f>
        <v>33600</v>
      </c>
      <c r="G10" s="487">
        <v>113109.12</v>
      </c>
      <c r="H10" s="487">
        <v>213911.28</v>
      </c>
      <c r="I10" s="487"/>
      <c r="J10" s="487">
        <v>19778.400000000001</v>
      </c>
      <c r="K10" s="487">
        <v>200683.2</v>
      </c>
      <c r="L10" s="495">
        <f>SUM(F10:K10)</f>
        <v>581082</v>
      </c>
      <c r="M10" s="109"/>
      <c r="N10" s="532"/>
      <c r="O10" s="533">
        <f>SUM(L10:L23)</f>
        <v>787270.505</v>
      </c>
    </row>
    <row r="11" spans="1:18" s="110" customFormat="1" ht="15.75" customHeight="1" x14ac:dyDescent="0.2">
      <c r="A11" s="492">
        <f>A10+1</f>
        <v>2</v>
      </c>
      <c r="B11" s="493" t="s">
        <v>50</v>
      </c>
      <c r="C11" s="493" t="s">
        <v>56</v>
      </c>
      <c r="D11" s="494">
        <v>51103</v>
      </c>
      <c r="E11" s="503" t="s">
        <v>38</v>
      </c>
      <c r="F11" s="487">
        <f t="shared" ref="F11:K11" si="0">F10/12</f>
        <v>2800</v>
      </c>
      <c r="G11" s="487">
        <f t="shared" si="0"/>
        <v>9425.76</v>
      </c>
      <c r="H11" s="487">
        <f t="shared" si="0"/>
        <v>17825.939999999999</v>
      </c>
      <c r="I11" s="487"/>
      <c r="J11" s="487">
        <f t="shared" si="0"/>
        <v>1648.2</v>
      </c>
      <c r="K11" s="487">
        <f t="shared" si="0"/>
        <v>16723.600000000002</v>
      </c>
      <c r="L11" s="495">
        <f t="shared" ref="L11:L77" si="1">SUM(F11:K11)</f>
        <v>48423.5</v>
      </c>
      <c r="M11" s="109"/>
      <c r="N11" s="533"/>
      <c r="O11" s="532"/>
    </row>
    <row r="12" spans="1:18" s="110" customFormat="1" ht="15.75" customHeight="1" x14ac:dyDescent="0.2">
      <c r="A12" s="492">
        <f t="shared" ref="A12:A76" si="2">A11+1</f>
        <v>3</v>
      </c>
      <c r="B12" s="493" t="s">
        <v>50</v>
      </c>
      <c r="C12" s="493" t="s">
        <v>56</v>
      </c>
      <c r="D12" s="494">
        <v>51105</v>
      </c>
      <c r="E12" s="478" t="s">
        <v>75</v>
      </c>
      <c r="F12" s="487">
        <v>0</v>
      </c>
      <c r="G12" s="487"/>
      <c r="H12" s="487"/>
      <c r="I12" s="487"/>
      <c r="J12" s="487"/>
      <c r="K12" s="487"/>
      <c r="L12" s="495">
        <f t="shared" si="1"/>
        <v>0</v>
      </c>
      <c r="M12" s="109"/>
      <c r="N12" s="532"/>
      <c r="O12" s="150"/>
    </row>
    <row r="13" spans="1:18" s="110" customFormat="1" ht="15.75" customHeight="1" x14ac:dyDescent="0.2">
      <c r="A13" s="492">
        <f t="shared" si="2"/>
        <v>4</v>
      </c>
      <c r="B13" s="493" t="s">
        <v>50</v>
      </c>
      <c r="C13" s="493" t="s">
        <v>56</v>
      </c>
      <c r="D13" s="494">
        <v>51107</v>
      </c>
      <c r="E13" s="478" t="s">
        <v>338</v>
      </c>
      <c r="F13" s="487">
        <v>0</v>
      </c>
      <c r="G13" s="487"/>
      <c r="H13" s="487"/>
      <c r="I13" s="487"/>
      <c r="J13" s="487"/>
      <c r="K13" s="487"/>
      <c r="L13" s="495">
        <f t="shared" si="1"/>
        <v>0</v>
      </c>
      <c r="M13" s="109"/>
      <c r="N13" s="532"/>
    </row>
    <row r="14" spans="1:18" s="110" customFormat="1" ht="15.75" customHeight="1" x14ac:dyDescent="0.2">
      <c r="A14" s="492">
        <f t="shared" si="2"/>
        <v>5</v>
      </c>
      <c r="B14" s="493" t="s">
        <v>50</v>
      </c>
      <c r="C14" s="493" t="s">
        <v>56</v>
      </c>
      <c r="D14" s="494">
        <v>51201</v>
      </c>
      <c r="E14" s="478" t="s">
        <v>37</v>
      </c>
      <c r="F14" s="487"/>
      <c r="G14" s="487"/>
      <c r="H14" s="487"/>
      <c r="I14" s="487"/>
      <c r="J14" s="487"/>
      <c r="K14" s="487"/>
      <c r="L14" s="495">
        <f t="shared" si="1"/>
        <v>0</v>
      </c>
      <c r="M14" s="109"/>
      <c r="N14" s="532"/>
    </row>
    <row r="15" spans="1:18" s="110" customFormat="1" ht="15.75" customHeight="1" x14ac:dyDescent="0.2">
      <c r="A15" s="492">
        <f t="shared" si="2"/>
        <v>6</v>
      </c>
      <c r="B15" s="493" t="s">
        <v>50</v>
      </c>
      <c r="C15" s="496" t="s">
        <v>56</v>
      </c>
      <c r="D15" s="494">
        <v>51202</v>
      </c>
      <c r="E15" s="478" t="s">
        <v>209</v>
      </c>
      <c r="F15" s="487"/>
      <c r="G15" s="487">
        <v>0</v>
      </c>
      <c r="H15" s="487">
        <v>0</v>
      </c>
      <c r="I15" s="487"/>
      <c r="J15" s="487"/>
      <c r="K15" s="487">
        <v>1000</v>
      </c>
      <c r="L15" s="495">
        <f t="shared" si="1"/>
        <v>1000</v>
      </c>
      <c r="M15" s="109"/>
      <c r="N15" s="532"/>
    </row>
    <row r="16" spans="1:18" s="110" customFormat="1" ht="15.75" customHeight="1" x14ac:dyDescent="0.2">
      <c r="A16" s="492">
        <f t="shared" si="2"/>
        <v>7</v>
      </c>
      <c r="B16" s="493" t="s">
        <v>50</v>
      </c>
      <c r="C16" s="496" t="s">
        <v>56</v>
      </c>
      <c r="D16" s="494">
        <v>51301</v>
      </c>
      <c r="E16" s="478" t="s">
        <v>448</v>
      </c>
      <c r="F16" s="487">
        <v>0</v>
      </c>
      <c r="G16" s="487">
        <v>0</v>
      </c>
      <c r="H16" s="487">
        <v>1000</v>
      </c>
      <c r="I16" s="487"/>
      <c r="J16" s="487">
        <v>0</v>
      </c>
      <c r="K16" s="487">
        <v>2000</v>
      </c>
      <c r="L16" s="495">
        <f t="shared" si="1"/>
        <v>3000</v>
      </c>
      <c r="M16" s="109"/>
      <c r="N16" s="532"/>
    </row>
    <row r="17" spans="1:15" s="110" customFormat="1" ht="15.75" customHeight="1" x14ac:dyDescent="0.2">
      <c r="A17" s="492">
        <f t="shared" si="2"/>
        <v>8</v>
      </c>
      <c r="B17" s="493" t="s">
        <v>50</v>
      </c>
      <c r="C17" s="496" t="s">
        <v>56</v>
      </c>
      <c r="D17" s="494">
        <v>51401</v>
      </c>
      <c r="E17" s="478" t="s">
        <v>547</v>
      </c>
      <c r="F17" s="487">
        <f>F10*7.5%</f>
        <v>2520</v>
      </c>
      <c r="G17" s="487">
        <f t="shared" ref="G17:J17" si="3">G10*7.5%</f>
        <v>8483.1839999999993</v>
      </c>
      <c r="H17" s="487">
        <f t="shared" si="3"/>
        <v>16043.346</v>
      </c>
      <c r="I17" s="487"/>
      <c r="J17" s="487">
        <f t="shared" si="3"/>
        <v>1483.38</v>
      </c>
      <c r="K17" s="487">
        <f>K10*7.5%</f>
        <v>15051.24</v>
      </c>
      <c r="L17" s="495">
        <f t="shared" si="1"/>
        <v>43581.15</v>
      </c>
      <c r="M17" s="109"/>
      <c r="N17" s="532"/>
    </row>
    <row r="18" spans="1:15" s="110" customFormat="1" ht="15.75" customHeight="1" x14ac:dyDescent="0.2">
      <c r="A18" s="492">
        <f t="shared" si="2"/>
        <v>9</v>
      </c>
      <c r="B18" s="493" t="s">
        <v>50</v>
      </c>
      <c r="C18" s="496" t="s">
        <v>56</v>
      </c>
      <c r="D18" s="494">
        <v>51501</v>
      </c>
      <c r="E18" s="478" t="s">
        <v>548</v>
      </c>
      <c r="F18" s="487">
        <f>F10*7.75%</f>
        <v>2604</v>
      </c>
      <c r="G18" s="487">
        <f t="shared" ref="G18:J18" si="4">G10*7.75%</f>
        <v>8765.9567999999999</v>
      </c>
      <c r="H18" s="487">
        <f t="shared" si="4"/>
        <v>16578.124199999998</v>
      </c>
      <c r="I18" s="487"/>
      <c r="J18" s="487">
        <f t="shared" si="4"/>
        <v>1532.826</v>
      </c>
      <c r="K18" s="487">
        <f>K10*7.75%</f>
        <v>15552.948</v>
      </c>
      <c r="L18" s="495">
        <f t="shared" si="1"/>
        <v>45033.854999999996</v>
      </c>
      <c r="M18" s="109"/>
      <c r="N18" s="546">
        <f>SUM(L10:L23)</f>
        <v>787270.505</v>
      </c>
    </row>
    <row r="19" spans="1:15" s="110" customFormat="1" ht="15.75" customHeight="1" x14ac:dyDescent="0.2">
      <c r="A19" s="492">
        <f t="shared" si="2"/>
        <v>10</v>
      </c>
      <c r="B19" s="496" t="s">
        <v>50</v>
      </c>
      <c r="C19" s="496" t="s">
        <v>56</v>
      </c>
      <c r="D19" s="497">
        <v>51601</v>
      </c>
      <c r="E19" s="479" t="s">
        <v>260</v>
      </c>
      <c r="F19" s="488">
        <v>18000</v>
      </c>
      <c r="G19" s="488"/>
      <c r="H19" s="488"/>
      <c r="I19" s="488"/>
      <c r="J19" s="488"/>
      <c r="K19" s="487"/>
      <c r="L19" s="495">
        <f t="shared" si="1"/>
        <v>18000</v>
      </c>
      <c r="M19" s="109"/>
      <c r="N19" s="532"/>
    </row>
    <row r="20" spans="1:15" s="110" customFormat="1" ht="15.75" customHeight="1" x14ac:dyDescent="0.2">
      <c r="A20" s="492">
        <f t="shared" si="2"/>
        <v>11</v>
      </c>
      <c r="B20" s="496" t="s">
        <v>50</v>
      </c>
      <c r="C20" s="496" t="s">
        <v>56</v>
      </c>
      <c r="D20" s="497">
        <v>51602</v>
      </c>
      <c r="E20" s="479" t="s">
        <v>449</v>
      </c>
      <c r="F20" s="488">
        <v>2000</v>
      </c>
      <c r="G20" s="488"/>
      <c r="H20" s="488"/>
      <c r="I20" s="488"/>
      <c r="J20" s="488"/>
      <c r="K20" s="487"/>
      <c r="L20" s="495">
        <f t="shared" si="1"/>
        <v>2000</v>
      </c>
      <c r="M20" s="109"/>
      <c r="N20" s="533"/>
    </row>
    <row r="21" spans="1:15" s="110" customFormat="1" ht="15.75" customHeight="1" x14ac:dyDescent="0.2">
      <c r="A21" s="492">
        <f t="shared" si="2"/>
        <v>12</v>
      </c>
      <c r="B21" s="496" t="s">
        <v>50</v>
      </c>
      <c r="C21" s="496" t="s">
        <v>56</v>
      </c>
      <c r="D21" s="497">
        <v>51701</v>
      </c>
      <c r="E21" s="479" t="s">
        <v>337</v>
      </c>
      <c r="F21" s="488"/>
      <c r="G21" s="488">
        <v>3000</v>
      </c>
      <c r="H21" s="488">
        <v>5000</v>
      </c>
      <c r="I21" s="488"/>
      <c r="J21" s="488"/>
      <c r="K21" s="487">
        <v>8000</v>
      </c>
      <c r="L21" s="495">
        <f t="shared" si="1"/>
        <v>16000</v>
      </c>
      <c r="M21" s="109"/>
      <c r="N21" s="532"/>
    </row>
    <row r="22" spans="1:15" s="110" customFormat="1" ht="15.75" customHeight="1" x14ac:dyDescent="0.2">
      <c r="A22" s="492">
        <f t="shared" si="2"/>
        <v>13</v>
      </c>
      <c r="B22" s="496" t="s">
        <v>50</v>
      </c>
      <c r="C22" s="496" t="s">
        <v>56</v>
      </c>
      <c r="D22" s="497">
        <v>51901</v>
      </c>
      <c r="E22" s="479" t="s">
        <v>274</v>
      </c>
      <c r="F22" s="488">
        <v>22050</v>
      </c>
      <c r="G22" s="488">
        <v>6600</v>
      </c>
      <c r="H22" s="488"/>
      <c r="I22" s="488"/>
      <c r="J22" s="488">
        <v>0</v>
      </c>
      <c r="K22" s="487"/>
      <c r="L22" s="495">
        <f t="shared" si="1"/>
        <v>28650</v>
      </c>
      <c r="M22" s="109"/>
      <c r="N22" s="533"/>
    </row>
    <row r="23" spans="1:15" s="110" customFormat="1" ht="15.75" customHeight="1" x14ac:dyDescent="0.2">
      <c r="A23" s="492">
        <f t="shared" si="2"/>
        <v>14</v>
      </c>
      <c r="B23" s="496" t="s">
        <v>50</v>
      </c>
      <c r="C23" s="496" t="s">
        <v>56</v>
      </c>
      <c r="D23" s="497">
        <v>51999</v>
      </c>
      <c r="E23" s="479" t="s">
        <v>226</v>
      </c>
      <c r="F23" s="488">
        <v>500</v>
      </c>
      <c r="G23" s="488"/>
      <c r="H23" s="488"/>
      <c r="I23" s="488"/>
      <c r="J23" s="488"/>
      <c r="K23" s="487"/>
      <c r="L23" s="495">
        <f t="shared" si="1"/>
        <v>500</v>
      </c>
      <c r="M23" s="109"/>
      <c r="N23" s="547"/>
    </row>
    <row r="24" spans="1:15" s="110" customFormat="1" ht="15.75" customHeight="1" x14ac:dyDescent="0.2">
      <c r="A24" s="492">
        <f t="shared" si="2"/>
        <v>15</v>
      </c>
      <c r="B24" s="496" t="s">
        <v>50</v>
      </c>
      <c r="C24" s="496" t="s">
        <v>56</v>
      </c>
      <c r="D24" s="497">
        <v>54101</v>
      </c>
      <c r="E24" s="479" t="s">
        <v>40</v>
      </c>
      <c r="F24" s="488">
        <v>1500</v>
      </c>
      <c r="G24" s="488"/>
      <c r="H24" s="488"/>
      <c r="I24" s="488"/>
      <c r="J24" s="488"/>
      <c r="K24" s="487"/>
      <c r="L24" s="495">
        <f t="shared" si="1"/>
        <v>1500</v>
      </c>
      <c r="M24" s="109"/>
      <c r="N24" s="532"/>
      <c r="O24" s="150"/>
    </row>
    <row r="25" spans="1:15" s="110" customFormat="1" ht="15.75" customHeight="1" x14ac:dyDescent="0.2">
      <c r="A25" s="492">
        <f t="shared" si="2"/>
        <v>16</v>
      </c>
      <c r="B25" s="496" t="s">
        <v>50</v>
      </c>
      <c r="C25" s="496" t="s">
        <v>56</v>
      </c>
      <c r="D25" s="497">
        <v>54103</v>
      </c>
      <c r="E25" s="479" t="s">
        <v>230</v>
      </c>
      <c r="F25" s="489">
        <v>500</v>
      </c>
      <c r="G25" s="489"/>
      <c r="H25" s="489"/>
      <c r="I25" s="489"/>
      <c r="J25" s="489"/>
      <c r="K25" s="490"/>
      <c r="L25" s="495">
        <f t="shared" si="1"/>
        <v>500</v>
      </c>
      <c r="M25" s="109"/>
      <c r="N25" s="533"/>
    </row>
    <row r="26" spans="1:15" s="110" customFormat="1" ht="15.75" customHeight="1" x14ac:dyDescent="0.2">
      <c r="A26" s="492">
        <f t="shared" si="2"/>
        <v>17</v>
      </c>
      <c r="B26" s="496" t="s">
        <v>50</v>
      </c>
      <c r="C26" s="496" t="s">
        <v>56</v>
      </c>
      <c r="D26" s="497">
        <v>54104</v>
      </c>
      <c r="E26" s="479" t="s">
        <v>210</v>
      </c>
      <c r="F26" s="489">
        <v>2000</v>
      </c>
      <c r="G26" s="489"/>
      <c r="H26" s="489"/>
      <c r="I26" s="489"/>
      <c r="J26" s="489"/>
      <c r="K26" s="490"/>
      <c r="L26" s="495">
        <f t="shared" si="1"/>
        <v>2000</v>
      </c>
      <c r="M26" s="109"/>
      <c r="N26" s="532"/>
    </row>
    <row r="27" spans="1:15" s="110" customFormat="1" ht="15.75" customHeight="1" x14ac:dyDescent="0.2">
      <c r="A27" s="492">
        <f t="shared" si="2"/>
        <v>18</v>
      </c>
      <c r="B27" s="496" t="s">
        <v>50</v>
      </c>
      <c r="C27" s="496" t="s">
        <v>56</v>
      </c>
      <c r="D27" s="497">
        <v>54105</v>
      </c>
      <c r="E27" s="479" t="s">
        <v>41</v>
      </c>
      <c r="F27" s="489">
        <v>100</v>
      </c>
      <c r="G27" s="489"/>
      <c r="H27" s="489"/>
      <c r="I27" s="489"/>
      <c r="J27" s="489"/>
      <c r="K27" s="490"/>
      <c r="L27" s="495">
        <f t="shared" si="1"/>
        <v>100</v>
      </c>
      <c r="M27" s="109"/>
      <c r="N27" s="546">
        <f>SUM(L24:L66)</f>
        <v>186801.74</v>
      </c>
    </row>
    <row r="28" spans="1:15" s="110" customFormat="1" ht="15.75" customHeight="1" x14ac:dyDescent="0.2">
      <c r="A28" s="492">
        <f t="shared" si="2"/>
        <v>19</v>
      </c>
      <c r="B28" s="496" t="s">
        <v>50</v>
      </c>
      <c r="C28" s="496" t="s">
        <v>56</v>
      </c>
      <c r="D28" s="497">
        <v>54106</v>
      </c>
      <c r="E28" s="479" t="s">
        <v>211</v>
      </c>
      <c r="F28" s="489">
        <v>50</v>
      </c>
      <c r="G28" s="489"/>
      <c r="H28" s="489"/>
      <c r="I28" s="489"/>
      <c r="J28" s="489"/>
      <c r="K28" s="490"/>
      <c r="L28" s="495">
        <f t="shared" si="1"/>
        <v>50</v>
      </c>
      <c r="M28" s="109"/>
      <c r="N28" s="532"/>
    </row>
    <row r="29" spans="1:15" s="110" customFormat="1" ht="15.75" customHeight="1" x14ac:dyDescent="0.2">
      <c r="A29" s="492">
        <f t="shared" si="2"/>
        <v>20</v>
      </c>
      <c r="B29" s="496" t="s">
        <v>50</v>
      </c>
      <c r="C29" s="496" t="s">
        <v>56</v>
      </c>
      <c r="D29" s="497">
        <v>54107</v>
      </c>
      <c r="E29" s="479" t="s">
        <v>212</v>
      </c>
      <c r="F29" s="489">
        <f>2000+481.74</f>
        <v>2481.7399999999998</v>
      </c>
      <c r="G29" s="489"/>
      <c r="H29" s="489"/>
      <c r="I29" s="489"/>
      <c r="J29" s="489"/>
      <c r="K29" s="490"/>
      <c r="L29" s="495">
        <f t="shared" si="1"/>
        <v>2481.7399999999998</v>
      </c>
      <c r="M29" s="109"/>
      <c r="N29" s="533"/>
    </row>
    <row r="30" spans="1:15" s="110" customFormat="1" ht="15.75" customHeight="1" x14ac:dyDescent="0.2">
      <c r="A30" s="492">
        <f t="shared" si="2"/>
        <v>21</v>
      </c>
      <c r="B30" s="496" t="s">
        <v>50</v>
      </c>
      <c r="C30" s="496" t="s">
        <v>56</v>
      </c>
      <c r="D30" s="497">
        <v>54109</v>
      </c>
      <c r="E30" s="479" t="s">
        <v>213</v>
      </c>
      <c r="F30" s="489">
        <v>0</v>
      </c>
      <c r="G30" s="489"/>
      <c r="H30" s="489"/>
      <c r="I30" s="489">
        <v>0</v>
      </c>
      <c r="J30" s="489"/>
      <c r="K30" s="490">
        <v>0</v>
      </c>
      <c r="L30" s="495">
        <f t="shared" si="1"/>
        <v>0</v>
      </c>
      <c r="M30" s="109"/>
      <c r="N30" s="532"/>
    </row>
    <row r="31" spans="1:15" s="110" customFormat="1" ht="15.75" customHeight="1" x14ac:dyDescent="0.2">
      <c r="A31" s="492">
        <f t="shared" si="2"/>
        <v>22</v>
      </c>
      <c r="B31" s="496" t="s">
        <v>50</v>
      </c>
      <c r="C31" s="496" t="s">
        <v>56</v>
      </c>
      <c r="D31" s="497">
        <v>54110</v>
      </c>
      <c r="E31" s="479" t="s">
        <v>42</v>
      </c>
      <c r="F31" s="489">
        <v>500</v>
      </c>
      <c r="G31" s="489"/>
      <c r="H31" s="489"/>
      <c r="I31" s="489"/>
      <c r="J31" s="489"/>
      <c r="K31" s="490"/>
      <c r="L31" s="495">
        <f t="shared" si="1"/>
        <v>500</v>
      </c>
      <c r="M31" s="109"/>
      <c r="N31" s="532"/>
    </row>
    <row r="32" spans="1:15" s="110" customFormat="1" ht="15.75" customHeight="1" x14ac:dyDescent="0.2">
      <c r="A32" s="492">
        <f t="shared" si="2"/>
        <v>23</v>
      </c>
      <c r="B32" s="496" t="s">
        <v>50</v>
      </c>
      <c r="C32" s="496" t="s">
        <v>56</v>
      </c>
      <c r="D32" s="497">
        <v>54111</v>
      </c>
      <c r="E32" s="479" t="s">
        <v>214</v>
      </c>
      <c r="F32" s="489">
        <v>1000</v>
      </c>
      <c r="G32" s="489"/>
      <c r="H32" s="489"/>
      <c r="I32" s="489"/>
      <c r="J32" s="489"/>
      <c r="K32" s="490"/>
      <c r="L32" s="495">
        <f t="shared" si="1"/>
        <v>1000</v>
      </c>
      <c r="M32" s="109"/>
      <c r="N32" s="532"/>
    </row>
    <row r="33" spans="1:14" s="110" customFormat="1" ht="15.75" customHeight="1" x14ac:dyDescent="0.2">
      <c r="A33" s="492">
        <f t="shared" si="2"/>
        <v>24</v>
      </c>
      <c r="B33" s="496" t="s">
        <v>50</v>
      </c>
      <c r="C33" s="496" t="s">
        <v>56</v>
      </c>
      <c r="D33" s="497">
        <v>54112</v>
      </c>
      <c r="E33" s="479" t="s">
        <v>215</v>
      </c>
      <c r="F33" s="489">
        <v>1000</v>
      </c>
      <c r="G33" s="489"/>
      <c r="H33" s="489"/>
      <c r="I33" s="489"/>
      <c r="J33" s="489"/>
      <c r="K33" s="490"/>
      <c r="L33" s="495">
        <f t="shared" si="1"/>
        <v>1000</v>
      </c>
      <c r="M33" s="109"/>
      <c r="N33" s="532"/>
    </row>
    <row r="34" spans="1:14" s="110" customFormat="1" ht="15.75" customHeight="1" x14ac:dyDescent="0.2">
      <c r="A34" s="492">
        <f t="shared" si="2"/>
        <v>25</v>
      </c>
      <c r="B34" s="496" t="s">
        <v>50</v>
      </c>
      <c r="C34" s="496" t="s">
        <v>56</v>
      </c>
      <c r="D34" s="497">
        <v>54114</v>
      </c>
      <c r="E34" s="479" t="s">
        <v>43</v>
      </c>
      <c r="F34" s="489">
        <v>9000</v>
      </c>
      <c r="G34" s="489"/>
      <c r="H34" s="489"/>
      <c r="I34" s="489"/>
      <c r="J34" s="489"/>
      <c r="K34" s="490"/>
      <c r="L34" s="495">
        <f t="shared" si="1"/>
        <v>9000</v>
      </c>
      <c r="M34" s="109"/>
      <c r="N34" s="532"/>
    </row>
    <row r="35" spans="1:14" s="110" customFormat="1" ht="15.75" customHeight="1" x14ac:dyDescent="0.2">
      <c r="A35" s="492">
        <f t="shared" si="2"/>
        <v>26</v>
      </c>
      <c r="B35" s="496" t="s">
        <v>50</v>
      </c>
      <c r="C35" s="496" t="s">
        <v>56</v>
      </c>
      <c r="D35" s="497">
        <v>54115</v>
      </c>
      <c r="E35" s="479" t="s">
        <v>80</v>
      </c>
      <c r="F35" s="489">
        <v>5000</v>
      </c>
      <c r="G35" s="489"/>
      <c r="H35" s="489"/>
      <c r="I35" s="489"/>
      <c r="J35" s="489"/>
      <c r="K35" s="490"/>
      <c r="L35" s="495">
        <f t="shared" si="1"/>
        <v>5000</v>
      </c>
      <c r="M35" s="109"/>
      <c r="N35" s="532"/>
    </row>
    <row r="36" spans="1:14" s="110" customFormat="1" ht="15.75" customHeight="1" x14ac:dyDescent="0.2">
      <c r="A36" s="492">
        <f t="shared" si="2"/>
        <v>27</v>
      </c>
      <c r="B36" s="496" t="s">
        <v>50</v>
      </c>
      <c r="C36" s="496" t="s">
        <v>56</v>
      </c>
      <c r="D36" s="497">
        <v>54116</v>
      </c>
      <c r="E36" s="479" t="s">
        <v>475</v>
      </c>
      <c r="F36" s="489">
        <v>300</v>
      </c>
      <c r="G36" s="489"/>
      <c r="H36" s="489"/>
      <c r="I36" s="489"/>
      <c r="J36" s="489"/>
      <c r="K36" s="490"/>
      <c r="L36" s="495">
        <f t="shared" si="1"/>
        <v>300</v>
      </c>
      <c r="M36" s="109"/>
      <c r="N36" s="532"/>
    </row>
    <row r="37" spans="1:14" s="110" customFormat="1" ht="15.75" customHeight="1" x14ac:dyDescent="0.2">
      <c r="A37" s="492">
        <f t="shared" si="2"/>
        <v>28</v>
      </c>
      <c r="B37" s="496" t="s">
        <v>50</v>
      </c>
      <c r="C37" s="496" t="s">
        <v>56</v>
      </c>
      <c r="D37" s="497">
        <v>54117</v>
      </c>
      <c r="E37" s="479" t="s">
        <v>450</v>
      </c>
      <c r="F37" s="489">
        <v>0</v>
      </c>
      <c r="G37" s="489"/>
      <c r="H37" s="489"/>
      <c r="I37" s="489"/>
      <c r="J37" s="489"/>
      <c r="K37" s="490"/>
      <c r="L37" s="495">
        <f t="shared" si="1"/>
        <v>0</v>
      </c>
      <c r="M37" s="109"/>
      <c r="N37" s="532"/>
    </row>
    <row r="38" spans="1:14" s="110" customFormat="1" ht="15.75" customHeight="1" x14ac:dyDescent="0.2">
      <c r="A38" s="492">
        <f t="shared" si="2"/>
        <v>29</v>
      </c>
      <c r="B38" s="496" t="s">
        <v>50</v>
      </c>
      <c r="C38" s="496" t="s">
        <v>56</v>
      </c>
      <c r="D38" s="497">
        <v>54118</v>
      </c>
      <c r="E38" s="479" t="s">
        <v>216</v>
      </c>
      <c r="F38" s="489">
        <v>5000</v>
      </c>
      <c r="G38" s="489"/>
      <c r="H38" s="489"/>
      <c r="I38" s="489"/>
      <c r="J38" s="489"/>
      <c r="K38" s="490"/>
      <c r="L38" s="495">
        <f t="shared" si="1"/>
        <v>5000</v>
      </c>
      <c r="M38" s="109"/>
      <c r="N38" s="532"/>
    </row>
    <row r="39" spans="1:14" s="110" customFormat="1" ht="15.75" customHeight="1" x14ac:dyDescent="0.2">
      <c r="A39" s="492">
        <f t="shared" si="2"/>
        <v>30</v>
      </c>
      <c r="B39" s="496" t="s">
        <v>50</v>
      </c>
      <c r="C39" s="496" t="s">
        <v>56</v>
      </c>
      <c r="D39" s="497">
        <v>54119</v>
      </c>
      <c r="E39" s="479" t="s">
        <v>104</v>
      </c>
      <c r="F39" s="489">
        <v>1000</v>
      </c>
      <c r="G39" s="489"/>
      <c r="H39" s="489"/>
      <c r="I39" s="489"/>
      <c r="J39" s="489"/>
      <c r="K39" s="490"/>
      <c r="L39" s="495">
        <f t="shared" si="1"/>
        <v>1000</v>
      </c>
      <c r="M39" s="109"/>
      <c r="N39" s="532"/>
    </row>
    <row r="40" spans="1:14" s="110" customFormat="1" ht="15.75" customHeight="1" x14ac:dyDescent="0.2">
      <c r="A40" s="492">
        <f t="shared" si="2"/>
        <v>31</v>
      </c>
      <c r="B40" s="496" t="s">
        <v>50</v>
      </c>
      <c r="C40" s="496" t="s">
        <v>56</v>
      </c>
      <c r="D40" s="497">
        <v>54199</v>
      </c>
      <c r="E40" s="479" t="s">
        <v>217</v>
      </c>
      <c r="F40" s="489">
        <v>10000</v>
      </c>
      <c r="G40" s="489"/>
      <c r="H40" s="489"/>
      <c r="I40" s="489"/>
      <c r="J40" s="489"/>
      <c r="K40" s="490"/>
      <c r="L40" s="495">
        <f t="shared" si="1"/>
        <v>10000</v>
      </c>
      <c r="M40" s="109"/>
      <c r="N40" s="532"/>
    </row>
    <row r="41" spans="1:14" s="110" customFormat="1" ht="15.75" customHeight="1" x14ac:dyDescent="0.2">
      <c r="A41" s="492">
        <f t="shared" si="2"/>
        <v>32</v>
      </c>
      <c r="B41" s="496" t="s">
        <v>50</v>
      </c>
      <c r="C41" s="496" t="s">
        <v>56</v>
      </c>
      <c r="D41" s="497">
        <v>54201</v>
      </c>
      <c r="E41" s="479" t="s">
        <v>336</v>
      </c>
      <c r="F41" s="489"/>
      <c r="G41" s="489"/>
      <c r="H41" s="489"/>
      <c r="I41" s="489"/>
      <c r="J41" s="489"/>
      <c r="K41" s="490"/>
      <c r="L41" s="495">
        <f t="shared" si="1"/>
        <v>0</v>
      </c>
      <c r="M41" s="157"/>
      <c r="N41" s="548"/>
    </row>
    <row r="42" spans="1:14" s="110" customFormat="1" ht="15.75" customHeight="1" x14ac:dyDescent="0.2">
      <c r="A42" s="492">
        <f t="shared" si="2"/>
        <v>33</v>
      </c>
      <c r="B42" s="496" t="s">
        <v>50</v>
      </c>
      <c r="C42" s="496" t="s">
        <v>56</v>
      </c>
      <c r="D42" s="497">
        <v>54202</v>
      </c>
      <c r="E42" s="479" t="s">
        <v>45</v>
      </c>
      <c r="F42" s="489"/>
      <c r="G42" s="489"/>
      <c r="H42" s="489"/>
      <c r="I42" s="489"/>
      <c r="J42" s="489"/>
      <c r="K42" s="490"/>
      <c r="L42" s="495">
        <f t="shared" si="1"/>
        <v>0</v>
      </c>
      <c r="M42" s="157"/>
      <c r="N42" s="548"/>
    </row>
    <row r="43" spans="1:14" s="110" customFormat="1" ht="15.75" customHeight="1" x14ac:dyDescent="0.2">
      <c r="A43" s="492">
        <f t="shared" si="2"/>
        <v>34</v>
      </c>
      <c r="B43" s="496" t="s">
        <v>50</v>
      </c>
      <c r="C43" s="496" t="s">
        <v>56</v>
      </c>
      <c r="D43" s="497">
        <v>54203</v>
      </c>
      <c r="E43" s="479" t="s">
        <v>46</v>
      </c>
      <c r="F43" s="489"/>
      <c r="G43" s="489"/>
      <c r="H43" s="489"/>
      <c r="I43" s="489"/>
      <c r="J43" s="489"/>
      <c r="K43" s="490"/>
      <c r="L43" s="495">
        <f t="shared" si="1"/>
        <v>0</v>
      </c>
      <c r="M43" s="157"/>
      <c r="N43" s="157"/>
    </row>
    <row r="44" spans="1:14" s="110" customFormat="1" ht="15.75" customHeight="1" x14ac:dyDescent="0.2">
      <c r="A44" s="492">
        <f t="shared" si="2"/>
        <v>35</v>
      </c>
      <c r="B44" s="496" t="s">
        <v>50</v>
      </c>
      <c r="C44" s="496" t="s">
        <v>56</v>
      </c>
      <c r="D44" s="497">
        <v>54205</v>
      </c>
      <c r="E44" s="479" t="s">
        <v>25</v>
      </c>
      <c r="F44" s="489">
        <f>48000-2600</f>
        <v>45400</v>
      </c>
      <c r="G44" s="489"/>
      <c r="H44" s="489"/>
      <c r="I44" s="489"/>
      <c r="J44" s="489"/>
      <c r="K44" s="490"/>
      <c r="L44" s="495">
        <f t="shared" si="1"/>
        <v>45400</v>
      </c>
      <c r="M44" s="109"/>
    </row>
    <row r="45" spans="1:14" s="110" customFormat="1" ht="15.75" customHeight="1" x14ac:dyDescent="0.2">
      <c r="A45" s="492">
        <f t="shared" si="2"/>
        <v>36</v>
      </c>
      <c r="B45" s="496" t="s">
        <v>50</v>
      </c>
      <c r="C45" s="496" t="s">
        <v>56</v>
      </c>
      <c r="D45" s="497">
        <v>54301</v>
      </c>
      <c r="E45" s="479" t="s">
        <v>218</v>
      </c>
      <c r="F45" s="489">
        <v>2000</v>
      </c>
      <c r="G45" s="489"/>
      <c r="H45" s="489"/>
      <c r="I45" s="489"/>
      <c r="J45" s="489"/>
      <c r="K45" s="490"/>
      <c r="L45" s="495">
        <f t="shared" si="1"/>
        <v>2000</v>
      </c>
      <c r="M45" s="109"/>
    </row>
    <row r="46" spans="1:14" s="110" customFormat="1" ht="15.75" customHeight="1" x14ac:dyDescent="0.2">
      <c r="A46" s="492">
        <f t="shared" si="2"/>
        <v>37</v>
      </c>
      <c r="B46" s="496" t="s">
        <v>50</v>
      </c>
      <c r="C46" s="496" t="s">
        <v>56</v>
      </c>
      <c r="D46" s="497">
        <v>54302</v>
      </c>
      <c r="E46" s="479" t="s">
        <v>219</v>
      </c>
      <c r="F46" s="489">
        <v>0</v>
      </c>
      <c r="G46" s="489"/>
      <c r="H46" s="489"/>
      <c r="I46" s="489"/>
      <c r="J46" s="489"/>
      <c r="K46" s="490"/>
      <c r="L46" s="495">
        <f t="shared" si="1"/>
        <v>0</v>
      </c>
      <c r="M46" s="109"/>
    </row>
    <row r="47" spans="1:14" s="110" customFormat="1" ht="15.75" customHeight="1" x14ac:dyDescent="0.2">
      <c r="A47" s="492">
        <f t="shared" si="2"/>
        <v>38</v>
      </c>
      <c r="B47" s="496" t="s">
        <v>50</v>
      </c>
      <c r="C47" s="496" t="s">
        <v>56</v>
      </c>
      <c r="D47" s="497">
        <v>54303</v>
      </c>
      <c r="E47" s="479" t="s">
        <v>220</v>
      </c>
      <c r="F47" s="489"/>
      <c r="G47" s="489"/>
      <c r="H47" s="489"/>
      <c r="I47" s="489"/>
      <c r="J47" s="489"/>
      <c r="K47" s="490"/>
      <c r="L47" s="495">
        <f t="shared" si="1"/>
        <v>0</v>
      </c>
      <c r="M47" s="109"/>
    </row>
    <row r="48" spans="1:14" s="110" customFormat="1" ht="15.75" customHeight="1" x14ac:dyDescent="0.2">
      <c r="A48" s="492">
        <f t="shared" si="2"/>
        <v>39</v>
      </c>
      <c r="B48" s="496" t="s">
        <v>50</v>
      </c>
      <c r="C48" s="496" t="s">
        <v>56</v>
      </c>
      <c r="D48" s="497">
        <v>54304</v>
      </c>
      <c r="E48" s="479" t="s">
        <v>76</v>
      </c>
      <c r="F48" s="489">
        <v>7000</v>
      </c>
      <c r="G48" s="489"/>
      <c r="H48" s="489"/>
      <c r="I48" s="489"/>
      <c r="J48" s="489"/>
      <c r="K48" s="490"/>
      <c r="L48" s="495">
        <f t="shared" si="1"/>
        <v>7000</v>
      </c>
      <c r="M48" s="109"/>
    </row>
    <row r="49" spans="1:14" s="110" customFormat="1" ht="15.75" customHeight="1" x14ac:dyDescent="0.2">
      <c r="A49" s="492">
        <f t="shared" si="2"/>
        <v>40</v>
      </c>
      <c r="B49" s="496" t="s">
        <v>50</v>
      </c>
      <c r="C49" s="496" t="s">
        <v>56</v>
      </c>
      <c r="D49" s="497">
        <v>54305</v>
      </c>
      <c r="E49" s="479" t="s">
        <v>77</v>
      </c>
      <c r="F49" s="489">
        <v>800</v>
      </c>
      <c r="G49" s="489"/>
      <c r="H49" s="489"/>
      <c r="I49" s="489"/>
      <c r="J49" s="489"/>
      <c r="K49" s="490"/>
      <c r="L49" s="495">
        <f t="shared" si="1"/>
        <v>800</v>
      </c>
      <c r="M49" s="109"/>
    </row>
    <row r="50" spans="1:14" s="110" customFormat="1" ht="15.75" customHeight="1" x14ac:dyDescent="0.2">
      <c r="A50" s="492">
        <f t="shared" si="2"/>
        <v>41</v>
      </c>
      <c r="B50" s="496" t="s">
        <v>50</v>
      </c>
      <c r="C50" s="496" t="s">
        <v>56</v>
      </c>
      <c r="D50" s="497">
        <v>54307</v>
      </c>
      <c r="E50" s="479" t="s">
        <v>451</v>
      </c>
      <c r="F50" s="489">
        <v>500</v>
      </c>
      <c r="G50" s="489"/>
      <c r="H50" s="489"/>
      <c r="I50" s="489"/>
      <c r="J50" s="489"/>
      <c r="K50" s="490"/>
      <c r="L50" s="495">
        <f t="shared" si="1"/>
        <v>500</v>
      </c>
      <c r="M50" s="109"/>
    </row>
    <row r="51" spans="1:14" s="110" customFormat="1" ht="15.75" customHeight="1" x14ac:dyDescent="0.2">
      <c r="A51" s="492">
        <f t="shared" si="2"/>
        <v>42</v>
      </c>
      <c r="B51" s="496" t="s">
        <v>50</v>
      </c>
      <c r="C51" s="496" t="s">
        <v>56</v>
      </c>
      <c r="D51" s="497">
        <v>54308</v>
      </c>
      <c r="E51" s="479" t="s">
        <v>452</v>
      </c>
      <c r="F51" s="489">
        <v>0</v>
      </c>
      <c r="G51" s="489"/>
      <c r="H51" s="489"/>
      <c r="I51" s="489"/>
      <c r="J51" s="489"/>
      <c r="K51" s="490"/>
      <c r="L51" s="495">
        <f t="shared" si="1"/>
        <v>0</v>
      </c>
      <c r="M51" s="109"/>
    </row>
    <row r="52" spans="1:14" s="110" customFormat="1" ht="15.75" customHeight="1" x14ac:dyDescent="0.2">
      <c r="A52" s="492">
        <f t="shared" si="2"/>
        <v>43</v>
      </c>
      <c r="B52" s="496" t="s">
        <v>50</v>
      </c>
      <c r="C52" s="496" t="s">
        <v>56</v>
      </c>
      <c r="D52" s="497">
        <v>54310</v>
      </c>
      <c r="E52" s="479" t="s">
        <v>221</v>
      </c>
      <c r="F52" s="489">
        <v>2000</v>
      </c>
      <c r="G52" s="489"/>
      <c r="H52" s="489"/>
      <c r="I52" s="489"/>
      <c r="J52" s="489"/>
      <c r="K52" s="490"/>
      <c r="L52" s="495">
        <f t="shared" si="1"/>
        <v>2000</v>
      </c>
      <c r="M52" s="109"/>
    </row>
    <row r="53" spans="1:14" s="110" customFormat="1" ht="15.75" customHeight="1" x14ac:dyDescent="0.2">
      <c r="A53" s="492">
        <f t="shared" si="2"/>
        <v>44</v>
      </c>
      <c r="B53" s="496" t="s">
        <v>50</v>
      </c>
      <c r="C53" s="496" t="s">
        <v>56</v>
      </c>
      <c r="D53" s="497">
        <v>54313</v>
      </c>
      <c r="E53" s="479" t="s">
        <v>476</v>
      </c>
      <c r="F53" s="489">
        <v>800</v>
      </c>
      <c r="G53" s="489"/>
      <c r="H53" s="489"/>
      <c r="I53" s="489"/>
      <c r="J53" s="489"/>
      <c r="K53" s="490"/>
      <c r="L53" s="495">
        <f t="shared" si="1"/>
        <v>800</v>
      </c>
      <c r="M53" s="109"/>
    </row>
    <row r="54" spans="1:14" s="110" customFormat="1" ht="15.75" customHeight="1" x14ac:dyDescent="0.2">
      <c r="A54" s="492">
        <f t="shared" si="2"/>
        <v>45</v>
      </c>
      <c r="B54" s="496" t="s">
        <v>50</v>
      </c>
      <c r="C54" s="496" t="s">
        <v>56</v>
      </c>
      <c r="D54" s="497">
        <v>54314</v>
      </c>
      <c r="E54" s="479" t="s">
        <v>81</v>
      </c>
      <c r="F54" s="489">
        <v>12000</v>
      </c>
      <c r="G54" s="489"/>
      <c r="H54" s="489"/>
      <c r="I54" s="489"/>
      <c r="J54" s="489"/>
      <c r="K54" s="490"/>
      <c r="L54" s="495">
        <f t="shared" si="1"/>
        <v>12000</v>
      </c>
      <c r="M54" s="109"/>
      <c r="N54" s="150"/>
    </row>
    <row r="55" spans="1:14" s="110" customFormat="1" ht="15.75" customHeight="1" x14ac:dyDescent="0.2">
      <c r="A55" s="492">
        <f t="shared" si="2"/>
        <v>46</v>
      </c>
      <c r="B55" s="496" t="s">
        <v>50</v>
      </c>
      <c r="C55" s="496" t="s">
        <v>56</v>
      </c>
      <c r="D55" s="497">
        <v>54316</v>
      </c>
      <c r="E55" s="479" t="s">
        <v>453</v>
      </c>
      <c r="F55" s="489">
        <v>800</v>
      </c>
      <c r="G55" s="489"/>
      <c r="H55" s="489"/>
      <c r="I55" s="489"/>
      <c r="J55" s="489"/>
      <c r="K55" s="490"/>
      <c r="L55" s="495">
        <f t="shared" si="1"/>
        <v>800</v>
      </c>
      <c r="M55" s="109"/>
      <c r="N55" s="150"/>
    </row>
    <row r="56" spans="1:14" s="110" customFormat="1" ht="15.75" customHeight="1" x14ac:dyDescent="0.2">
      <c r="A56" s="492">
        <f t="shared" si="2"/>
        <v>47</v>
      </c>
      <c r="B56" s="496" t="s">
        <v>50</v>
      </c>
      <c r="C56" s="496" t="s">
        <v>56</v>
      </c>
      <c r="D56" s="497">
        <v>54399</v>
      </c>
      <c r="E56" s="479" t="s">
        <v>78</v>
      </c>
      <c r="F56" s="489">
        <v>5000</v>
      </c>
      <c r="G56" s="489"/>
      <c r="H56" s="489"/>
      <c r="I56" s="489"/>
      <c r="J56" s="489"/>
      <c r="K56" s="490"/>
      <c r="L56" s="495">
        <f t="shared" si="1"/>
        <v>5000</v>
      </c>
      <c r="M56" s="109"/>
    </row>
    <row r="57" spans="1:14" s="110" customFormat="1" ht="15.75" customHeight="1" x14ac:dyDescent="0.2">
      <c r="A57" s="492">
        <f t="shared" si="2"/>
        <v>48</v>
      </c>
      <c r="B57" s="496" t="s">
        <v>50</v>
      </c>
      <c r="C57" s="496" t="s">
        <v>56</v>
      </c>
      <c r="D57" s="497">
        <v>54401</v>
      </c>
      <c r="E57" s="479" t="s">
        <v>312</v>
      </c>
      <c r="F57" s="489">
        <v>300</v>
      </c>
      <c r="G57" s="489">
        <v>50</v>
      </c>
      <c r="H57" s="489">
        <v>50</v>
      </c>
      <c r="I57" s="489">
        <v>50</v>
      </c>
      <c r="J57" s="489">
        <v>50</v>
      </c>
      <c r="K57" s="490">
        <v>100</v>
      </c>
      <c r="L57" s="495">
        <f t="shared" si="1"/>
        <v>600</v>
      </c>
      <c r="M57" s="109"/>
    </row>
    <row r="58" spans="1:14" s="110" customFormat="1" ht="15.75" customHeight="1" x14ac:dyDescent="0.2">
      <c r="A58" s="492">
        <f t="shared" si="2"/>
        <v>49</v>
      </c>
      <c r="B58" s="496" t="s">
        <v>50</v>
      </c>
      <c r="C58" s="496" t="s">
        <v>56</v>
      </c>
      <c r="D58" s="497">
        <v>54403</v>
      </c>
      <c r="E58" s="479" t="s">
        <v>261</v>
      </c>
      <c r="F58" s="489">
        <v>500</v>
      </c>
      <c r="G58" s="489">
        <v>100</v>
      </c>
      <c r="H58" s="489">
        <v>100</v>
      </c>
      <c r="I58" s="489">
        <v>100</v>
      </c>
      <c r="J58" s="489">
        <v>50</v>
      </c>
      <c r="K58" s="490">
        <v>100</v>
      </c>
      <c r="L58" s="495">
        <f t="shared" si="1"/>
        <v>950</v>
      </c>
      <c r="M58" s="109"/>
    </row>
    <row r="59" spans="1:14" s="110" customFormat="1" ht="15.75" customHeight="1" x14ac:dyDescent="0.2">
      <c r="A59" s="492">
        <f t="shared" si="2"/>
        <v>50</v>
      </c>
      <c r="B59" s="496" t="s">
        <v>50</v>
      </c>
      <c r="C59" s="496" t="s">
        <v>56</v>
      </c>
      <c r="D59" s="497">
        <v>54404</v>
      </c>
      <c r="E59" s="479" t="s">
        <v>507</v>
      </c>
      <c r="F59" s="489">
        <v>3000</v>
      </c>
      <c r="G59" s="489"/>
      <c r="H59" s="489"/>
      <c r="I59" s="489"/>
      <c r="J59" s="489"/>
      <c r="K59" s="490"/>
      <c r="L59" s="495">
        <f t="shared" si="1"/>
        <v>3000</v>
      </c>
      <c r="M59" s="109"/>
    </row>
    <row r="60" spans="1:14" s="110" customFormat="1" ht="15.75" customHeight="1" x14ac:dyDescent="0.2">
      <c r="A60" s="492">
        <f t="shared" si="2"/>
        <v>51</v>
      </c>
      <c r="B60" s="496" t="s">
        <v>50</v>
      </c>
      <c r="C60" s="496" t="s">
        <v>56</v>
      </c>
      <c r="D60" s="497">
        <v>54503</v>
      </c>
      <c r="E60" s="479" t="s">
        <v>79</v>
      </c>
      <c r="F60" s="488">
        <v>1000</v>
      </c>
      <c r="G60" s="489"/>
      <c r="H60" s="489"/>
      <c r="I60" s="489"/>
      <c r="J60" s="489"/>
      <c r="K60" s="490"/>
      <c r="L60" s="495">
        <f t="shared" si="1"/>
        <v>1000</v>
      </c>
      <c r="M60" s="109"/>
    </row>
    <row r="61" spans="1:14" s="110" customFormat="1" ht="15.75" customHeight="1" x14ac:dyDescent="0.2">
      <c r="A61" s="492">
        <f t="shared" si="2"/>
        <v>52</v>
      </c>
      <c r="B61" s="496" t="s">
        <v>50</v>
      </c>
      <c r="C61" s="496" t="s">
        <v>56</v>
      </c>
      <c r="D61" s="497">
        <v>54504</v>
      </c>
      <c r="E61" s="479" t="s">
        <v>85</v>
      </c>
      <c r="F61" s="489">
        <v>1500</v>
      </c>
      <c r="G61" s="489"/>
      <c r="H61" s="489"/>
      <c r="I61" s="489"/>
      <c r="J61" s="489"/>
      <c r="K61" s="490"/>
      <c r="L61" s="495">
        <f t="shared" si="1"/>
        <v>1500</v>
      </c>
      <c r="M61" s="109"/>
    </row>
    <row r="62" spans="1:14" s="110" customFormat="1" ht="15.75" customHeight="1" x14ac:dyDescent="0.2">
      <c r="A62" s="492">
        <f t="shared" si="2"/>
        <v>53</v>
      </c>
      <c r="B62" s="496" t="s">
        <v>50</v>
      </c>
      <c r="C62" s="496" t="s">
        <v>56</v>
      </c>
      <c r="D62" s="497">
        <v>54505</v>
      </c>
      <c r="E62" s="479" t="s">
        <v>236</v>
      </c>
      <c r="F62" s="489">
        <v>2500</v>
      </c>
      <c r="G62" s="489"/>
      <c r="H62" s="489"/>
      <c r="I62" s="489"/>
      <c r="J62" s="489"/>
      <c r="K62" s="490"/>
      <c r="L62" s="495">
        <f t="shared" si="1"/>
        <v>2500</v>
      </c>
      <c r="M62" s="109"/>
    </row>
    <row r="63" spans="1:14" s="110" customFormat="1" ht="15.75" customHeight="1" x14ac:dyDescent="0.2">
      <c r="A63" s="492">
        <f t="shared" si="2"/>
        <v>54</v>
      </c>
      <c r="B63" s="496" t="s">
        <v>50</v>
      </c>
      <c r="C63" s="496" t="s">
        <v>56</v>
      </c>
      <c r="D63" s="497">
        <v>54508</v>
      </c>
      <c r="E63" s="479" t="s">
        <v>237</v>
      </c>
      <c r="F63" s="489"/>
      <c r="G63" s="489"/>
      <c r="H63" s="489"/>
      <c r="I63" s="489"/>
      <c r="J63" s="489"/>
      <c r="K63" s="490"/>
      <c r="L63" s="495">
        <f t="shared" si="1"/>
        <v>0</v>
      </c>
      <c r="M63" s="109"/>
    </row>
    <row r="64" spans="1:14" s="110" customFormat="1" ht="15.75" customHeight="1" x14ac:dyDescent="0.2">
      <c r="A64" s="492">
        <f t="shared" si="2"/>
        <v>55</v>
      </c>
      <c r="B64" s="496" t="s">
        <v>50</v>
      </c>
      <c r="C64" s="496" t="s">
        <v>56</v>
      </c>
      <c r="D64" s="497">
        <v>54601</v>
      </c>
      <c r="E64" s="479" t="s">
        <v>454</v>
      </c>
      <c r="F64" s="489">
        <v>0</v>
      </c>
      <c r="G64" s="489"/>
      <c r="H64" s="489"/>
      <c r="I64" s="489">
        <v>500</v>
      </c>
      <c r="J64" s="489"/>
      <c r="K64" s="490"/>
      <c r="L64" s="495">
        <f t="shared" si="1"/>
        <v>500</v>
      </c>
      <c r="M64" s="109"/>
    </row>
    <row r="65" spans="1:15" s="110" customFormat="1" ht="15.75" customHeight="1" x14ac:dyDescent="0.2">
      <c r="A65" s="492">
        <f t="shared" si="2"/>
        <v>56</v>
      </c>
      <c r="B65" s="496" t="s">
        <v>50</v>
      </c>
      <c r="C65" s="496" t="s">
        <v>56</v>
      </c>
      <c r="D65" s="497">
        <v>54602</v>
      </c>
      <c r="E65" s="479" t="s">
        <v>239</v>
      </c>
      <c r="F65" s="489">
        <v>0</v>
      </c>
      <c r="G65" s="489"/>
      <c r="H65" s="489"/>
      <c r="I65" s="489"/>
      <c r="J65" s="489"/>
      <c r="K65" s="490"/>
      <c r="L65" s="495">
        <f t="shared" si="1"/>
        <v>0</v>
      </c>
      <c r="M65" s="109"/>
    </row>
    <row r="66" spans="1:15" s="110" customFormat="1" ht="15.75" customHeight="1" x14ac:dyDescent="0.2">
      <c r="A66" s="492">
        <f t="shared" si="2"/>
        <v>57</v>
      </c>
      <c r="B66" s="496" t="s">
        <v>50</v>
      </c>
      <c r="C66" s="496" t="s">
        <v>56</v>
      </c>
      <c r="D66" s="497">
        <v>54603</v>
      </c>
      <c r="E66" s="479" t="s">
        <v>455</v>
      </c>
      <c r="F66" s="489">
        <v>61020</v>
      </c>
      <c r="G66" s="489"/>
      <c r="H66" s="489"/>
      <c r="I66" s="489"/>
      <c r="J66" s="489"/>
      <c r="K66" s="490"/>
      <c r="L66" s="495">
        <f t="shared" si="1"/>
        <v>61020</v>
      </c>
      <c r="M66" s="109"/>
      <c r="N66" s="532"/>
      <c r="O66" s="532"/>
    </row>
    <row r="67" spans="1:15" s="110" customFormat="1" ht="15.75" customHeight="1" x14ac:dyDescent="0.2">
      <c r="A67" s="492">
        <f t="shared" si="2"/>
        <v>58</v>
      </c>
      <c r="B67" s="496" t="s">
        <v>50</v>
      </c>
      <c r="C67" s="496" t="s">
        <v>56</v>
      </c>
      <c r="D67" s="497">
        <v>55401</v>
      </c>
      <c r="E67" s="479" t="s">
        <v>496</v>
      </c>
      <c r="F67" s="489">
        <v>0</v>
      </c>
      <c r="G67" s="489"/>
      <c r="H67" s="489"/>
      <c r="I67" s="489"/>
      <c r="J67" s="489"/>
      <c r="K67" s="490"/>
      <c r="L67" s="495">
        <f t="shared" si="1"/>
        <v>0</v>
      </c>
      <c r="M67" s="109"/>
      <c r="N67" s="533">
        <f>SUM(L67:L72)</f>
        <v>14000</v>
      </c>
      <c r="O67" s="533">
        <f>SUM(L67:L72)</f>
        <v>14000</v>
      </c>
    </row>
    <row r="68" spans="1:15" s="110" customFormat="1" ht="15.75" customHeight="1" x14ac:dyDescent="0.2">
      <c r="A68" s="492">
        <f t="shared" si="2"/>
        <v>59</v>
      </c>
      <c r="B68" s="496" t="s">
        <v>50</v>
      </c>
      <c r="C68" s="496" t="s">
        <v>56</v>
      </c>
      <c r="D68" s="497">
        <v>55508</v>
      </c>
      <c r="E68" s="479" t="s">
        <v>86</v>
      </c>
      <c r="F68" s="489">
        <v>2500</v>
      </c>
      <c r="G68" s="489"/>
      <c r="H68" s="489"/>
      <c r="I68" s="489"/>
      <c r="J68" s="489"/>
      <c r="K68" s="490"/>
      <c r="L68" s="495">
        <f t="shared" si="1"/>
        <v>2500</v>
      </c>
      <c r="M68" s="109"/>
      <c r="N68" s="532"/>
      <c r="O68" s="532"/>
    </row>
    <row r="69" spans="1:15" s="110" customFormat="1" ht="15.75" customHeight="1" x14ac:dyDescent="0.2">
      <c r="A69" s="492">
        <v>60</v>
      </c>
      <c r="B69" s="496" t="s">
        <v>50</v>
      </c>
      <c r="C69" s="496" t="s">
        <v>56</v>
      </c>
      <c r="D69" s="497">
        <v>55601</v>
      </c>
      <c r="E69" s="479" t="s">
        <v>573</v>
      </c>
      <c r="F69" s="489">
        <v>1500</v>
      </c>
      <c r="G69" s="489"/>
      <c r="H69" s="489"/>
      <c r="I69" s="489"/>
      <c r="J69" s="489"/>
      <c r="K69" s="490"/>
      <c r="L69" s="495">
        <f t="shared" si="1"/>
        <v>1500</v>
      </c>
      <c r="M69" s="109"/>
      <c r="N69" s="532"/>
      <c r="O69" s="532"/>
    </row>
    <row r="70" spans="1:15" s="110" customFormat="1" ht="15.75" customHeight="1" x14ac:dyDescent="0.2">
      <c r="A70" s="492">
        <v>61</v>
      </c>
      <c r="B70" s="496" t="s">
        <v>50</v>
      </c>
      <c r="C70" s="496" t="s">
        <v>56</v>
      </c>
      <c r="D70" s="497">
        <v>55602</v>
      </c>
      <c r="E70" s="479" t="s">
        <v>495</v>
      </c>
      <c r="F70" s="489">
        <v>4600</v>
      </c>
      <c r="G70" s="489"/>
      <c r="H70" s="489"/>
      <c r="I70" s="489"/>
      <c r="J70" s="489"/>
      <c r="K70" s="490"/>
      <c r="L70" s="495">
        <f t="shared" si="1"/>
        <v>4600</v>
      </c>
      <c r="M70" s="109"/>
      <c r="N70" s="532"/>
      <c r="O70" s="532"/>
    </row>
    <row r="71" spans="1:15" s="110" customFormat="1" ht="15.75" customHeight="1" x14ac:dyDescent="0.2">
      <c r="A71" s="492">
        <f t="shared" si="2"/>
        <v>62</v>
      </c>
      <c r="B71" s="496" t="s">
        <v>50</v>
      </c>
      <c r="C71" s="496" t="s">
        <v>56</v>
      </c>
      <c r="D71" s="497">
        <v>55603</v>
      </c>
      <c r="E71" s="479" t="s">
        <v>222</v>
      </c>
      <c r="F71" s="489">
        <v>400</v>
      </c>
      <c r="G71" s="489"/>
      <c r="H71" s="489"/>
      <c r="I71" s="489"/>
      <c r="J71" s="489"/>
      <c r="K71" s="490"/>
      <c r="L71" s="495">
        <f t="shared" si="1"/>
        <v>400</v>
      </c>
      <c r="M71" s="109"/>
      <c r="N71" s="532"/>
      <c r="O71" s="532"/>
    </row>
    <row r="72" spans="1:15" s="110" customFormat="1" ht="15.75" customHeight="1" x14ac:dyDescent="0.2">
      <c r="A72" s="492">
        <f t="shared" si="2"/>
        <v>63</v>
      </c>
      <c r="B72" s="496" t="s">
        <v>50</v>
      </c>
      <c r="C72" s="496" t="s">
        <v>56</v>
      </c>
      <c r="D72" s="497">
        <v>55703</v>
      </c>
      <c r="E72" s="479" t="s">
        <v>223</v>
      </c>
      <c r="F72" s="488">
        <v>5000</v>
      </c>
      <c r="G72" s="489"/>
      <c r="H72" s="489"/>
      <c r="I72" s="489"/>
      <c r="J72" s="489"/>
      <c r="K72" s="490"/>
      <c r="L72" s="495">
        <f t="shared" si="1"/>
        <v>5000</v>
      </c>
      <c r="M72" s="109"/>
      <c r="N72" s="532"/>
      <c r="O72" s="532"/>
    </row>
    <row r="73" spans="1:15" s="110" customFormat="1" ht="15.75" customHeight="1" x14ac:dyDescent="0.2">
      <c r="A73" s="492">
        <f t="shared" si="2"/>
        <v>64</v>
      </c>
      <c r="B73" s="496" t="s">
        <v>50</v>
      </c>
      <c r="C73" s="496" t="s">
        <v>56</v>
      </c>
      <c r="D73" s="497">
        <v>56201</v>
      </c>
      <c r="E73" s="479" t="s">
        <v>473</v>
      </c>
      <c r="F73" s="489">
        <v>1000</v>
      </c>
      <c r="G73" s="489"/>
      <c r="H73" s="489"/>
      <c r="I73" s="489"/>
      <c r="J73" s="489"/>
      <c r="K73" s="490"/>
      <c r="L73" s="495">
        <f t="shared" si="1"/>
        <v>1000</v>
      </c>
      <c r="M73" s="109"/>
      <c r="N73" s="533">
        <f>SUM(L73:L75)</f>
        <v>30000</v>
      </c>
      <c r="O73" s="532"/>
    </row>
    <row r="74" spans="1:15" s="110" customFormat="1" ht="15.75" customHeight="1" x14ac:dyDescent="0.2">
      <c r="A74" s="492">
        <f t="shared" si="2"/>
        <v>65</v>
      </c>
      <c r="B74" s="496" t="s">
        <v>50</v>
      </c>
      <c r="C74" s="496" t="s">
        <v>56</v>
      </c>
      <c r="D74" s="497">
        <v>56303</v>
      </c>
      <c r="E74" s="479" t="s">
        <v>313</v>
      </c>
      <c r="F74" s="489">
        <v>9000</v>
      </c>
      <c r="G74" s="489"/>
      <c r="H74" s="489"/>
      <c r="I74" s="489"/>
      <c r="J74" s="489"/>
      <c r="K74" s="490"/>
      <c r="L74" s="495">
        <f t="shared" si="1"/>
        <v>9000</v>
      </c>
      <c r="M74" s="109"/>
      <c r="N74" s="533"/>
      <c r="O74" s="532"/>
    </row>
    <row r="75" spans="1:15" s="110" customFormat="1" ht="15.75" customHeight="1" x14ac:dyDescent="0.2">
      <c r="A75" s="492">
        <f t="shared" si="2"/>
        <v>66</v>
      </c>
      <c r="B75" s="496" t="s">
        <v>50</v>
      </c>
      <c r="C75" s="496" t="s">
        <v>56</v>
      </c>
      <c r="D75" s="497">
        <v>56304</v>
      </c>
      <c r="E75" s="479" t="s">
        <v>262</v>
      </c>
      <c r="F75" s="488">
        <v>20000</v>
      </c>
      <c r="G75" s="489"/>
      <c r="H75" s="489"/>
      <c r="I75" s="489"/>
      <c r="J75" s="489"/>
      <c r="K75" s="490"/>
      <c r="L75" s="495">
        <f t="shared" si="1"/>
        <v>20000</v>
      </c>
      <c r="M75" s="109"/>
      <c r="N75" s="532"/>
      <c r="O75" s="533">
        <f>SUM(L73:L75)</f>
        <v>30000</v>
      </c>
    </row>
    <row r="76" spans="1:15" s="110" customFormat="1" ht="15.75" customHeight="1" x14ac:dyDescent="0.2">
      <c r="A76" s="492">
        <f t="shared" si="2"/>
        <v>67</v>
      </c>
      <c r="B76" s="496" t="s">
        <v>50</v>
      </c>
      <c r="C76" s="496" t="s">
        <v>56</v>
      </c>
      <c r="D76" s="497">
        <v>61101</v>
      </c>
      <c r="E76" s="479" t="s">
        <v>225</v>
      </c>
      <c r="F76" s="489">
        <v>5000</v>
      </c>
      <c r="G76" s="489"/>
      <c r="H76" s="489"/>
      <c r="I76" s="489"/>
      <c r="J76" s="489"/>
      <c r="K76" s="490"/>
      <c r="L76" s="495">
        <f t="shared" si="1"/>
        <v>5000</v>
      </c>
      <c r="M76" s="109"/>
      <c r="N76" s="532"/>
      <c r="O76" s="532"/>
    </row>
    <row r="77" spans="1:15" s="110" customFormat="1" ht="15.75" customHeight="1" x14ac:dyDescent="0.2">
      <c r="A77" s="492">
        <v>67</v>
      </c>
      <c r="B77" s="496" t="s">
        <v>50</v>
      </c>
      <c r="C77" s="496" t="s">
        <v>56</v>
      </c>
      <c r="D77" s="497">
        <v>61104</v>
      </c>
      <c r="E77" s="479" t="s">
        <v>344</v>
      </c>
      <c r="F77" s="489">
        <v>1650</v>
      </c>
      <c r="G77" s="489"/>
      <c r="H77" s="489"/>
      <c r="I77" s="489"/>
      <c r="J77" s="489"/>
      <c r="K77" s="490"/>
      <c r="L77" s="495">
        <f t="shared" si="1"/>
        <v>1650</v>
      </c>
      <c r="M77" s="109"/>
      <c r="N77" s="532"/>
      <c r="O77" s="532"/>
    </row>
    <row r="78" spans="1:15" s="110" customFormat="1" ht="15.75" customHeight="1" x14ac:dyDescent="0.2">
      <c r="A78" s="492">
        <v>68</v>
      </c>
      <c r="B78" s="496" t="s">
        <v>50</v>
      </c>
      <c r="C78" s="496" t="s">
        <v>56</v>
      </c>
      <c r="D78" s="497">
        <v>61105</v>
      </c>
      <c r="E78" s="479" t="s">
        <v>494</v>
      </c>
      <c r="F78" s="489">
        <v>0</v>
      </c>
      <c r="G78" s="489"/>
      <c r="H78" s="489"/>
      <c r="I78" s="489"/>
      <c r="J78" s="489"/>
      <c r="K78" s="490"/>
      <c r="L78" s="495">
        <f t="shared" ref="L78:L81" si="5">SUM(F78:K78)</f>
        <v>0</v>
      </c>
      <c r="M78" s="109"/>
      <c r="N78" s="533">
        <f>SUM(L76:L80)</f>
        <v>8650</v>
      </c>
      <c r="O78" s="533">
        <f>SUM(L78:L79)</f>
        <v>1000</v>
      </c>
    </row>
    <row r="79" spans="1:15" s="110" customFormat="1" ht="15.75" customHeight="1" x14ac:dyDescent="0.2">
      <c r="A79" s="492">
        <f t="shared" ref="A79:A80" si="6">A78+1</f>
        <v>69</v>
      </c>
      <c r="B79" s="496" t="s">
        <v>50</v>
      </c>
      <c r="C79" s="496" t="s">
        <v>56</v>
      </c>
      <c r="D79" s="497">
        <v>61108</v>
      </c>
      <c r="E79" s="479" t="s">
        <v>216</v>
      </c>
      <c r="F79" s="489">
        <v>1000</v>
      </c>
      <c r="G79" s="489"/>
      <c r="H79" s="489"/>
      <c r="I79" s="489"/>
      <c r="J79" s="489"/>
      <c r="K79" s="490"/>
      <c r="L79" s="495">
        <f t="shared" si="5"/>
        <v>1000</v>
      </c>
      <c r="M79" s="109"/>
      <c r="N79" s="532"/>
      <c r="O79" s="532"/>
    </row>
    <row r="80" spans="1:15" s="110" customFormat="1" ht="15.75" customHeight="1" x14ac:dyDescent="0.2">
      <c r="A80" s="492">
        <f t="shared" si="6"/>
        <v>70</v>
      </c>
      <c r="B80" s="496" t="s">
        <v>50</v>
      </c>
      <c r="C80" s="496" t="s">
        <v>56</v>
      </c>
      <c r="D80" s="497">
        <v>61199</v>
      </c>
      <c r="E80" s="479" t="s">
        <v>224</v>
      </c>
      <c r="F80" s="489">
        <v>1000</v>
      </c>
      <c r="G80" s="489"/>
      <c r="H80" s="489"/>
      <c r="I80" s="489"/>
      <c r="J80" s="489"/>
      <c r="K80" s="490"/>
      <c r="L80" s="495">
        <f t="shared" si="5"/>
        <v>1000</v>
      </c>
      <c r="M80" s="109"/>
      <c r="N80" s="532"/>
      <c r="O80" s="532"/>
    </row>
    <row r="81" spans="1:21" s="110" customFormat="1" ht="15.75" customHeight="1" thickBot="1" x14ac:dyDescent="0.25">
      <c r="A81" s="498"/>
      <c r="B81" s="499"/>
      <c r="C81" s="500"/>
      <c r="D81" s="501"/>
      <c r="E81" s="480"/>
      <c r="F81" s="491"/>
      <c r="G81" s="491"/>
      <c r="H81" s="491"/>
      <c r="I81" s="491"/>
      <c r="J81" s="491"/>
      <c r="K81" s="491"/>
      <c r="L81" s="495">
        <f t="shared" si="5"/>
        <v>0</v>
      </c>
      <c r="M81" s="109"/>
      <c r="N81" s="533"/>
      <c r="O81" s="532"/>
    </row>
    <row r="82" spans="1:21" ht="30" customHeight="1" thickBot="1" x14ac:dyDescent="0.25">
      <c r="A82" s="673" t="s">
        <v>339</v>
      </c>
      <c r="B82" s="674"/>
      <c r="C82" s="674"/>
      <c r="D82" s="674"/>
      <c r="E82" s="675"/>
      <c r="F82" s="502">
        <f t="shared" ref="F82:L82" si="7">SUM(F10:F81)</f>
        <v>322275.74</v>
      </c>
      <c r="G82" s="502">
        <f t="shared" si="7"/>
        <v>149534.0208</v>
      </c>
      <c r="H82" s="502">
        <f t="shared" si="7"/>
        <v>270508.69020000001</v>
      </c>
      <c r="I82" s="502">
        <f t="shared" si="7"/>
        <v>650</v>
      </c>
      <c r="J82" s="502">
        <f t="shared" si="7"/>
        <v>24542.806000000004</v>
      </c>
      <c r="K82" s="502">
        <f t="shared" si="7"/>
        <v>259210.98800000001</v>
      </c>
      <c r="L82" s="502">
        <f t="shared" si="7"/>
        <v>1026722.245</v>
      </c>
      <c r="N82" s="527"/>
      <c r="O82" s="527"/>
    </row>
    <row r="83" spans="1:21" x14ac:dyDescent="0.2">
      <c r="A83" s="22"/>
      <c r="B83" s="22"/>
      <c r="C83" s="22"/>
      <c r="D83" s="22"/>
      <c r="L83" s="80"/>
      <c r="N83" s="527"/>
      <c r="O83" s="528"/>
    </row>
    <row r="84" spans="1:21" ht="13.5" thickBot="1" x14ac:dyDescent="0.25">
      <c r="A84" s="536"/>
      <c r="B84" s="536"/>
      <c r="C84" s="536"/>
      <c r="D84" s="536"/>
      <c r="E84" s="537"/>
      <c r="F84" s="537"/>
      <c r="G84" s="537"/>
      <c r="H84" s="537"/>
      <c r="I84" s="537"/>
      <c r="J84" s="537"/>
      <c r="K84" s="537"/>
      <c r="L84" s="538"/>
      <c r="M84" s="537"/>
      <c r="N84" s="527"/>
      <c r="O84" s="527"/>
    </row>
    <row r="85" spans="1:21" ht="18.75" thickBot="1" x14ac:dyDescent="0.25">
      <c r="A85" s="666" t="s">
        <v>82</v>
      </c>
      <c r="B85" s="666"/>
      <c r="C85" s="666"/>
      <c r="D85" s="666"/>
      <c r="E85" s="539"/>
      <c r="F85" s="539"/>
      <c r="G85" s="539"/>
      <c r="H85" s="539"/>
      <c r="I85" s="539"/>
      <c r="J85" s="539"/>
      <c r="K85" s="539"/>
      <c r="L85" s="540">
        <f>SUM(L82)</f>
        <v>1026722.245</v>
      </c>
      <c r="M85" s="537"/>
      <c r="N85" s="528"/>
      <c r="O85" s="534">
        <f>SUM(O10:O79)</f>
        <v>832270.505</v>
      </c>
    </row>
    <row r="86" spans="1:21" ht="19.5" customHeight="1" x14ac:dyDescent="0.2">
      <c r="A86" s="663" t="s">
        <v>14</v>
      </c>
      <c r="B86" s="663"/>
      <c r="C86" s="663"/>
      <c r="D86" s="663"/>
      <c r="E86" s="537"/>
      <c r="F86" s="537"/>
      <c r="G86" s="537"/>
      <c r="H86" s="537"/>
      <c r="I86" s="537"/>
      <c r="J86" s="537"/>
      <c r="K86" s="537"/>
      <c r="L86" s="541"/>
      <c r="M86" s="537"/>
      <c r="N86" s="528"/>
      <c r="O86" s="527"/>
    </row>
    <row r="87" spans="1:21" x14ac:dyDescent="0.2">
      <c r="A87" s="662" t="s">
        <v>2</v>
      </c>
      <c r="B87" s="662"/>
      <c r="C87" s="662"/>
      <c r="D87" s="662"/>
      <c r="E87" s="662"/>
      <c r="F87" s="542"/>
      <c r="G87" s="542"/>
      <c r="H87" s="542"/>
      <c r="I87" s="542"/>
      <c r="J87" s="542"/>
      <c r="K87" s="542"/>
      <c r="L87" s="541">
        <f>SUM(Ingresos!F49)</f>
        <v>1026722.2440000003</v>
      </c>
      <c r="M87" s="537"/>
      <c r="N87" s="527"/>
      <c r="O87" s="527"/>
    </row>
    <row r="88" spans="1:21" x14ac:dyDescent="0.2">
      <c r="A88" s="662" t="s">
        <v>8</v>
      </c>
      <c r="B88" s="662"/>
      <c r="C88" s="662"/>
      <c r="D88" s="662"/>
      <c r="E88" s="662"/>
      <c r="F88" s="542"/>
      <c r="G88" s="542"/>
      <c r="H88" s="542"/>
      <c r="I88" s="542"/>
      <c r="J88" s="542"/>
      <c r="K88" s="542"/>
      <c r="L88" s="541"/>
      <c r="M88" s="537"/>
      <c r="N88" s="535">
        <f>L85-N85</f>
        <v>1026722.245</v>
      </c>
      <c r="O88" s="527"/>
    </row>
    <row r="89" spans="1:21" x14ac:dyDescent="0.2">
      <c r="A89" s="662" t="s">
        <v>9</v>
      </c>
      <c r="B89" s="662"/>
      <c r="C89" s="662"/>
      <c r="D89" s="662"/>
      <c r="E89" s="662"/>
      <c r="F89" s="542"/>
      <c r="G89" s="542"/>
      <c r="H89" s="542"/>
      <c r="I89" s="542"/>
      <c r="J89" s="542"/>
      <c r="K89" s="542"/>
      <c r="L89" s="541">
        <f>L87-L82</f>
        <v>-9.9999969825148582E-4</v>
      </c>
      <c r="M89" s="537"/>
      <c r="N89" s="527"/>
      <c r="O89" s="527"/>
    </row>
    <row r="90" spans="1:21" x14ac:dyDescent="0.2">
      <c r="A90" s="662"/>
      <c r="B90" s="662"/>
      <c r="C90" s="662"/>
      <c r="D90" s="662"/>
      <c r="E90" s="662"/>
      <c r="F90" s="542"/>
      <c r="G90" s="542"/>
      <c r="H90" s="542"/>
      <c r="I90" s="542"/>
      <c r="J90" s="542"/>
      <c r="K90" s="542"/>
      <c r="L90" s="543"/>
      <c r="M90" s="537"/>
      <c r="N90" s="527"/>
      <c r="S90" s="19" t="s">
        <v>468</v>
      </c>
      <c r="T90" s="19" t="s">
        <v>469</v>
      </c>
    </row>
    <row r="91" spans="1:21" x14ac:dyDescent="0.2">
      <c r="A91" s="536"/>
      <c r="B91" s="536"/>
      <c r="C91" s="536"/>
      <c r="D91" s="536"/>
      <c r="E91" s="537"/>
      <c r="F91" s="537"/>
      <c r="G91" s="537"/>
      <c r="H91" s="537"/>
      <c r="I91" s="537"/>
      <c r="J91" s="537"/>
      <c r="K91" s="537"/>
      <c r="L91" s="544"/>
      <c r="M91" s="537"/>
      <c r="N91" s="527"/>
    </row>
    <row r="92" spans="1:21" x14ac:dyDescent="0.2">
      <c r="A92" s="545"/>
      <c r="B92" s="545"/>
      <c r="C92" s="545"/>
      <c r="D92" s="545"/>
      <c r="E92" s="537"/>
      <c r="F92" s="537"/>
      <c r="G92" s="537">
        <f>60000*12</f>
        <v>720000</v>
      </c>
      <c r="H92" s="537"/>
      <c r="I92" s="537"/>
      <c r="J92" s="537"/>
      <c r="K92" s="537"/>
      <c r="L92" s="544"/>
      <c r="M92" s="537"/>
      <c r="N92" s="527"/>
      <c r="P92" s="19">
        <v>1</v>
      </c>
      <c r="Q92" s="19">
        <v>285</v>
      </c>
      <c r="R92" s="19">
        <f>P92*Q92*12</f>
        <v>3420</v>
      </c>
    </row>
    <row r="93" spans="1:21" x14ac:dyDescent="0.2">
      <c r="A93" s="545"/>
      <c r="B93" s="545"/>
      <c r="C93" s="545"/>
      <c r="D93" s="545"/>
      <c r="E93" s="537"/>
      <c r="F93" s="537"/>
      <c r="G93" s="537"/>
      <c r="H93" s="537"/>
      <c r="I93" s="537"/>
      <c r="J93" s="537"/>
      <c r="K93" s="537"/>
      <c r="L93" s="544"/>
      <c r="M93" s="537"/>
      <c r="N93" s="527"/>
      <c r="P93" s="19">
        <v>3</v>
      </c>
      <c r="Q93" s="19">
        <v>260</v>
      </c>
      <c r="R93" s="19">
        <f>P93*Q93*12</f>
        <v>9360</v>
      </c>
    </row>
    <row r="94" spans="1:21" x14ac:dyDescent="0.2">
      <c r="A94" s="545"/>
      <c r="B94" s="545"/>
      <c r="C94" s="545"/>
      <c r="D94" s="545"/>
      <c r="E94" s="537"/>
      <c r="F94" s="537"/>
      <c r="G94" s="537"/>
      <c r="H94" s="537"/>
      <c r="I94" s="537"/>
      <c r="J94" s="537"/>
      <c r="K94" s="537"/>
      <c r="L94" s="544"/>
      <c r="M94" s="537"/>
      <c r="N94" s="527"/>
      <c r="R94" s="19">
        <f>SUM(R92:R93)</f>
        <v>12780</v>
      </c>
      <c r="S94" s="19">
        <f>R94*7.5%</f>
        <v>958.5</v>
      </c>
      <c r="T94" s="19">
        <f>R94*6.75%</f>
        <v>862.65000000000009</v>
      </c>
      <c r="U94" s="19">
        <f>SUM(R94:T94)</f>
        <v>14601.15</v>
      </c>
    </row>
    <row r="100" spans="18:18" x14ac:dyDescent="0.2">
      <c r="R100" s="19">
        <f>102960/12</f>
        <v>8580</v>
      </c>
    </row>
    <row r="101" spans="18:18" x14ac:dyDescent="0.2">
      <c r="R101" s="19">
        <f>14601.15-8580-1000</f>
        <v>5021.1499999999996</v>
      </c>
    </row>
  </sheetData>
  <sheetProtection sheet="1" formatCells="0" formatColumns="0" formatRows="0" insertColumns="0" insertRows="0" insertHyperlinks="0" deleteColumns="0" deleteRows="0" sort="0" autoFilter="0" pivotTables="0"/>
  <sortState ref="D10:E45">
    <sortCondition ref="D10"/>
  </sortState>
  <mergeCells count="23">
    <mergeCell ref="M2:O2"/>
    <mergeCell ref="M1:O1"/>
    <mergeCell ref="L8:L9"/>
    <mergeCell ref="A6:L6"/>
    <mergeCell ref="A1:L1"/>
    <mergeCell ref="A2:L2"/>
    <mergeCell ref="F8:F9"/>
    <mergeCell ref="G8:G9"/>
    <mergeCell ref="I8:I9"/>
    <mergeCell ref="J8:J9"/>
    <mergeCell ref="A90:E90"/>
    <mergeCell ref="A87:E87"/>
    <mergeCell ref="A86:D86"/>
    <mergeCell ref="A3:L3"/>
    <mergeCell ref="A4:L4"/>
    <mergeCell ref="A85:D85"/>
    <mergeCell ref="A88:E88"/>
    <mergeCell ref="A89:E89"/>
    <mergeCell ref="A5:L5"/>
    <mergeCell ref="A7:L7"/>
    <mergeCell ref="A8:D8"/>
    <mergeCell ref="E8:E9"/>
    <mergeCell ref="A82:E82"/>
  </mergeCells>
  <phoneticPr fontId="2" type="noConversion"/>
  <printOptions horizontalCentered="1"/>
  <pageMargins left="0.19685039370078741" right="0.19685039370078741" top="0.27559055118110237" bottom="0.27559055118110237" header="0" footer="0"/>
  <pageSetup scale="80" orientation="landscape" horizontalDpi="4294967293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R74"/>
  <sheetViews>
    <sheetView view="pageBreakPreview" zoomScaleNormal="100" zoomScaleSheetLayoutView="100" workbookViewId="0">
      <selection activeCell="O10" sqref="O10"/>
    </sheetView>
  </sheetViews>
  <sheetFormatPr baseColWidth="10" defaultColWidth="11.42578125" defaultRowHeight="12.75" x14ac:dyDescent="0.2"/>
  <cols>
    <col min="1" max="1" width="3.7109375" style="17" customWidth="1"/>
    <col min="2" max="2" width="4.42578125" style="17" customWidth="1"/>
    <col min="3" max="3" width="6.28515625" style="17" customWidth="1"/>
    <col min="4" max="4" width="9.42578125" style="17" customWidth="1"/>
    <col min="5" max="5" width="40.28515625" style="12" customWidth="1"/>
    <col min="6" max="6" width="14.7109375" style="12" customWidth="1"/>
    <col min="7" max="7" width="12.85546875" style="12" customWidth="1"/>
    <col min="8" max="8" width="13" style="12" customWidth="1"/>
    <col min="9" max="10" width="13.28515625" style="12" customWidth="1"/>
    <col min="11" max="11" width="13" style="12" customWidth="1"/>
    <col min="12" max="12" width="16.85546875" style="3" customWidth="1"/>
    <col min="13" max="13" width="16.7109375" style="14" customWidth="1"/>
    <col min="14" max="14" width="13.42578125" style="14" bestFit="1" customWidth="1"/>
    <col min="15" max="15" width="15.140625" style="14" customWidth="1"/>
    <col min="16" max="16" width="15" style="14" bestFit="1" customWidth="1"/>
    <col min="17" max="17" width="11.42578125" style="14"/>
    <col min="18" max="18" width="15" style="14" bestFit="1" customWidth="1"/>
    <col min="19" max="16384" width="11.42578125" style="14"/>
  </cols>
  <sheetData>
    <row r="1" spans="1:18" ht="18" x14ac:dyDescent="0.25">
      <c r="A1" s="688" t="s">
        <v>427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4"/>
      <c r="O1" s="551"/>
      <c r="P1" s="551"/>
    </row>
    <row r="2" spans="1:18" ht="18" x14ac:dyDescent="0.25">
      <c r="A2" s="694" t="s">
        <v>426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4"/>
      <c r="O2" s="551"/>
      <c r="P2" s="551"/>
    </row>
    <row r="3" spans="1:18" ht="15.75" x14ac:dyDescent="0.2">
      <c r="A3" s="690" t="s">
        <v>228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O3" s="551"/>
      <c r="P3" s="551"/>
    </row>
    <row r="4" spans="1:18" ht="15.75" x14ac:dyDescent="0.2">
      <c r="A4" s="691" t="s">
        <v>532</v>
      </c>
      <c r="B4" s="691"/>
      <c r="C4" s="691"/>
      <c r="D4" s="691"/>
      <c r="E4" s="691"/>
      <c r="F4" s="691"/>
      <c r="G4" s="691"/>
      <c r="H4" s="691"/>
      <c r="I4" s="691"/>
      <c r="J4" s="691"/>
      <c r="K4" s="691"/>
      <c r="L4" s="691"/>
      <c r="O4" s="551"/>
      <c r="P4" s="551">
        <f>850*13</f>
        <v>11050</v>
      </c>
    </row>
    <row r="5" spans="1:18" ht="15" x14ac:dyDescent="0.2">
      <c r="A5" s="689" t="s">
        <v>13</v>
      </c>
      <c r="B5" s="689"/>
      <c r="C5" s="689"/>
      <c r="D5" s="689"/>
      <c r="E5" s="689"/>
      <c r="F5" s="689"/>
      <c r="G5" s="689"/>
      <c r="H5" s="689"/>
      <c r="I5" s="689"/>
      <c r="J5" s="689"/>
      <c r="K5" s="689"/>
      <c r="L5" s="689"/>
      <c r="O5" s="551"/>
      <c r="P5" s="551">
        <f>P4*12</f>
        <v>132600</v>
      </c>
    </row>
    <row r="6" spans="1:18" ht="8.25" customHeight="1" x14ac:dyDescent="0.25">
      <c r="A6" s="695"/>
      <c r="B6" s="695"/>
      <c r="C6" s="695"/>
      <c r="D6" s="695"/>
      <c r="E6" s="695"/>
      <c r="F6" s="695"/>
      <c r="G6" s="695"/>
      <c r="H6" s="695"/>
      <c r="I6" s="695"/>
      <c r="J6" s="695"/>
      <c r="K6" s="695"/>
      <c r="L6" s="695"/>
      <c r="O6" s="551"/>
      <c r="P6" s="551"/>
    </row>
    <row r="7" spans="1:18" ht="15" x14ac:dyDescent="0.25">
      <c r="A7" s="696" t="s">
        <v>15</v>
      </c>
      <c r="B7" s="696"/>
      <c r="C7" s="696"/>
      <c r="D7" s="696"/>
      <c r="E7" s="696"/>
      <c r="F7" s="696"/>
      <c r="G7" s="696"/>
      <c r="H7" s="696"/>
      <c r="I7" s="696"/>
      <c r="J7" s="696"/>
      <c r="K7" s="696"/>
      <c r="L7" s="696"/>
      <c r="O7" s="551"/>
      <c r="P7" s="551"/>
    </row>
    <row r="8" spans="1:18" ht="15.75" thickBot="1" x14ac:dyDescent="0.3">
      <c r="A8" s="683" t="s">
        <v>277</v>
      </c>
      <c r="B8" s="683"/>
      <c r="C8" s="683"/>
      <c r="D8" s="683"/>
      <c r="E8" s="683"/>
      <c r="F8" s="683"/>
      <c r="G8" s="683"/>
      <c r="H8" s="683"/>
      <c r="I8" s="683"/>
      <c r="J8" s="683"/>
      <c r="K8" s="683"/>
      <c r="L8" s="683"/>
      <c r="O8" s="551"/>
      <c r="P8" s="551"/>
    </row>
    <row r="9" spans="1:18" ht="13.5" customHeight="1" thickBot="1" x14ac:dyDescent="0.25">
      <c r="A9" s="684" t="s">
        <v>0</v>
      </c>
      <c r="B9" s="685"/>
      <c r="C9" s="685"/>
      <c r="D9" s="685"/>
      <c r="E9" s="686" t="s">
        <v>181</v>
      </c>
      <c r="F9" s="697" t="s">
        <v>333</v>
      </c>
      <c r="G9" s="697" t="s">
        <v>334</v>
      </c>
      <c r="H9" s="344"/>
      <c r="I9" s="697" t="s">
        <v>335</v>
      </c>
      <c r="J9" s="697" t="s">
        <v>342</v>
      </c>
      <c r="K9" s="344"/>
      <c r="L9" s="692" t="s">
        <v>340</v>
      </c>
    </row>
    <row r="10" spans="1:18" s="15" customFormat="1" ht="173.25" customHeight="1" thickBot="1" x14ac:dyDescent="0.25">
      <c r="A10" s="345" t="s">
        <v>172</v>
      </c>
      <c r="B10" s="346" t="s">
        <v>180</v>
      </c>
      <c r="C10" s="347" t="s">
        <v>176</v>
      </c>
      <c r="D10" s="348" t="s">
        <v>177</v>
      </c>
      <c r="E10" s="687"/>
      <c r="F10" s="698"/>
      <c r="G10" s="698"/>
      <c r="H10" s="349" t="s">
        <v>459</v>
      </c>
      <c r="I10" s="698"/>
      <c r="J10" s="698"/>
      <c r="K10" s="349" t="s">
        <v>445</v>
      </c>
      <c r="L10" s="693"/>
      <c r="M10" s="549"/>
      <c r="N10" s="549"/>
      <c r="O10" s="549"/>
      <c r="P10" s="549"/>
    </row>
    <row r="11" spans="1:18" s="106" customFormat="1" ht="15.75" customHeight="1" x14ac:dyDescent="0.2">
      <c r="A11" s="191">
        <v>1</v>
      </c>
      <c r="B11" s="192" t="s">
        <v>51</v>
      </c>
      <c r="C11" s="193" t="s">
        <v>52</v>
      </c>
      <c r="D11" s="194" t="s">
        <v>36</v>
      </c>
      <c r="E11" s="195" t="s">
        <v>37</v>
      </c>
      <c r="F11" s="256">
        <v>36000</v>
      </c>
      <c r="G11" s="196"/>
      <c r="H11" s="196"/>
      <c r="I11" s="332"/>
      <c r="J11" s="196"/>
      <c r="K11" s="196"/>
      <c r="L11" s="338">
        <f>SUM(F11:K11)</f>
        <v>36000</v>
      </c>
      <c r="M11" s="522">
        <v>131024.28</v>
      </c>
      <c r="N11" s="522">
        <v>51</v>
      </c>
      <c r="O11" s="519">
        <f>SUM(L11:L20)</f>
        <v>178575.13</v>
      </c>
      <c r="P11" s="522"/>
      <c r="R11" s="127">
        <f>SUM(L11:L20)</f>
        <v>178575.13</v>
      </c>
    </row>
    <row r="12" spans="1:18" s="106" customFormat="1" ht="15.75" customHeight="1" x14ac:dyDescent="0.2">
      <c r="A12" s="198">
        <v>1</v>
      </c>
      <c r="B12" s="199" t="s">
        <v>51</v>
      </c>
      <c r="C12" s="200" t="s">
        <v>52</v>
      </c>
      <c r="D12" s="115">
        <v>51103</v>
      </c>
      <c r="E12" s="201" t="s">
        <v>38</v>
      </c>
      <c r="F12" s="202"/>
      <c r="G12" s="202"/>
      <c r="H12" s="202"/>
      <c r="I12" s="333"/>
      <c r="J12" s="202"/>
      <c r="K12" s="202"/>
      <c r="L12" s="338">
        <f t="shared" ref="L12:L58" si="0">SUM(F12:K12)</f>
        <v>0</v>
      </c>
      <c r="M12" s="522">
        <v>21837.38</v>
      </c>
      <c r="N12" s="522">
        <v>54</v>
      </c>
      <c r="O12" s="519">
        <f>SUM(L21:L48)</f>
        <v>179123.31</v>
      </c>
      <c r="P12" s="522"/>
    </row>
    <row r="13" spans="1:18" s="106" customFormat="1" ht="15.75" customHeight="1" x14ac:dyDescent="0.2">
      <c r="A13" s="198">
        <v>1</v>
      </c>
      <c r="B13" s="199" t="s">
        <v>51</v>
      </c>
      <c r="C13" s="193" t="s">
        <v>52</v>
      </c>
      <c r="D13" s="115">
        <v>51105</v>
      </c>
      <c r="E13" s="201" t="s">
        <v>75</v>
      </c>
      <c r="F13" s="257">
        <v>132600</v>
      </c>
      <c r="G13" s="202"/>
      <c r="H13" s="202"/>
      <c r="I13" s="333"/>
      <c r="J13" s="202"/>
      <c r="K13" s="202"/>
      <c r="L13" s="338">
        <f t="shared" si="0"/>
        <v>132600</v>
      </c>
      <c r="M13" s="522">
        <v>8580</v>
      </c>
      <c r="N13" s="522">
        <v>55</v>
      </c>
      <c r="O13" s="519">
        <f>SUM(L49:L53)</f>
        <v>4010.11</v>
      </c>
      <c r="P13" s="522"/>
    </row>
    <row r="14" spans="1:18" s="106" customFormat="1" ht="15.75" customHeight="1" x14ac:dyDescent="0.2">
      <c r="A14" s="198">
        <v>1</v>
      </c>
      <c r="B14" s="199" t="s">
        <v>51</v>
      </c>
      <c r="C14" s="193" t="s">
        <v>52</v>
      </c>
      <c r="D14" s="115">
        <v>51201</v>
      </c>
      <c r="E14" s="201" t="s">
        <v>37</v>
      </c>
      <c r="F14" s="202"/>
      <c r="G14" s="202"/>
      <c r="H14" s="202"/>
      <c r="I14" s="333"/>
      <c r="J14" s="202"/>
      <c r="K14" s="202"/>
      <c r="L14" s="338">
        <f t="shared" si="0"/>
        <v>0</v>
      </c>
      <c r="M14" s="522"/>
      <c r="N14" s="522">
        <v>56</v>
      </c>
      <c r="O14" s="519">
        <f>SUM(L54:L56)</f>
        <v>10315.26</v>
      </c>
      <c r="P14" s="522"/>
      <c r="R14" s="127">
        <f>SUM(L11:L20)</f>
        <v>178575.13</v>
      </c>
    </row>
    <row r="15" spans="1:18" s="106" customFormat="1" ht="15.75" customHeight="1" x14ac:dyDescent="0.2">
      <c r="A15" s="112">
        <v>1</v>
      </c>
      <c r="B15" s="113" t="s">
        <v>51</v>
      </c>
      <c r="C15" s="111" t="s">
        <v>52</v>
      </c>
      <c r="D15" s="115">
        <v>51202</v>
      </c>
      <c r="E15" s="116" t="s">
        <v>209</v>
      </c>
      <c r="F15" s="147"/>
      <c r="G15" s="122"/>
      <c r="H15" s="122"/>
      <c r="I15" s="334"/>
      <c r="J15" s="122"/>
      <c r="K15" s="122"/>
      <c r="L15" s="338">
        <f t="shared" si="0"/>
        <v>0</v>
      </c>
      <c r="M15" s="522">
        <v>1782.04</v>
      </c>
      <c r="N15" s="522">
        <v>61</v>
      </c>
      <c r="O15" s="519">
        <f>SUM(L57:L58)</f>
        <v>4271.41</v>
      </c>
      <c r="P15" s="522"/>
    </row>
    <row r="16" spans="1:18" s="106" customFormat="1" ht="15.75" customHeight="1" thickBot="1" x14ac:dyDescent="0.25">
      <c r="A16" s="112">
        <v>1</v>
      </c>
      <c r="B16" s="113" t="s">
        <v>51</v>
      </c>
      <c r="C16" s="114" t="s">
        <v>52</v>
      </c>
      <c r="D16" s="115">
        <v>51401</v>
      </c>
      <c r="E16" s="116" t="s">
        <v>39</v>
      </c>
      <c r="F16" s="122">
        <v>1728.75</v>
      </c>
      <c r="G16" s="122"/>
      <c r="H16" s="122"/>
      <c r="I16" s="334"/>
      <c r="J16" s="122"/>
      <c r="K16" s="122"/>
      <c r="L16" s="338">
        <f t="shared" si="0"/>
        <v>1728.75</v>
      </c>
      <c r="M16" s="522"/>
      <c r="N16" s="522"/>
      <c r="O16" s="550">
        <f>SUM(O11:O15)</f>
        <v>376295.22</v>
      </c>
      <c r="P16" s="522"/>
    </row>
    <row r="17" spans="1:17" s="106" customFormat="1" ht="15.75" customHeight="1" thickTop="1" x14ac:dyDescent="0.2">
      <c r="A17" s="112">
        <v>1</v>
      </c>
      <c r="B17" s="113" t="s">
        <v>51</v>
      </c>
      <c r="C17" s="114" t="s">
        <v>52</v>
      </c>
      <c r="D17" s="115">
        <v>51501</v>
      </c>
      <c r="E17" s="116" t="s">
        <v>39</v>
      </c>
      <c r="F17" s="122">
        <v>3646.38</v>
      </c>
      <c r="G17" s="122"/>
      <c r="H17" s="122"/>
      <c r="I17" s="334"/>
      <c r="J17" s="122"/>
      <c r="K17" s="122"/>
      <c r="L17" s="338">
        <f t="shared" si="0"/>
        <v>3646.38</v>
      </c>
      <c r="M17" s="522"/>
      <c r="N17" s="522"/>
      <c r="O17" s="522"/>
      <c r="P17" s="522"/>
    </row>
    <row r="18" spans="1:17" s="106" customFormat="1" ht="15.75" customHeight="1" x14ac:dyDescent="0.2">
      <c r="A18" s="112">
        <v>1</v>
      </c>
      <c r="B18" s="113" t="s">
        <v>51</v>
      </c>
      <c r="C18" s="114" t="s">
        <v>52</v>
      </c>
      <c r="D18" s="115">
        <v>51601</v>
      </c>
      <c r="E18" s="116" t="s">
        <v>260</v>
      </c>
      <c r="F18" s="122"/>
      <c r="G18" s="122"/>
      <c r="H18" s="122"/>
      <c r="I18" s="334"/>
      <c r="J18" s="122"/>
      <c r="K18" s="122"/>
      <c r="L18" s="338">
        <f t="shared" si="0"/>
        <v>0</v>
      </c>
      <c r="M18" s="522"/>
      <c r="N18" s="522"/>
      <c r="O18" s="522"/>
      <c r="P18" s="522"/>
    </row>
    <row r="19" spans="1:17" s="106" customFormat="1" ht="15.75" customHeight="1" x14ac:dyDescent="0.2">
      <c r="A19" s="112">
        <v>1</v>
      </c>
      <c r="B19" s="113" t="s">
        <v>51</v>
      </c>
      <c r="C19" s="114" t="s">
        <v>52</v>
      </c>
      <c r="D19" s="115">
        <v>51901</v>
      </c>
      <c r="E19" s="116" t="s">
        <v>274</v>
      </c>
      <c r="F19" s="122">
        <v>2800</v>
      </c>
      <c r="G19" s="122"/>
      <c r="H19" s="122"/>
      <c r="I19" s="334"/>
      <c r="J19" s="122"/>
      <c r="K19" s="122"/>
      <c r="L19" s="338">
        <f t="shared" si="0"/>
        <v>2800</v>
      </c>
      <c r="M19" s="522">
        <v>4000</v>
      </c>
      <c r="N19" s="522"/>
      <c r="O19" s="522"/>
      <c r="P19" s="522"/>
    </row>
    <row r="20" spans="1:17" s="106" customFormat="1" ht="15.75" customHeight="1" x14ac:dyDescent="0.2">
      <c r="A20" s="112">
        <v>1</v>
      </c>
      <c r="B20" s="113" t="s">
        <v>51</v>
      </c>
      <c r="C20" s="114" t="s">
        <v>52</v>
      </c>
      <c r="D20" s="115">
        <v>51999</v>
      </c>
      <c r="E20" s="116" t="s">
        <v>226</v>
      </c>
      <c r="F20" s="122">
        <v>1800</v>
      </c>
      <c r="G20" s="122"/>
      <c r="H20" s="122"/>
      <c r="I20" s="334"/>
      <c r="J20" s="122"/>
      <c r="K20" s="122"/>
      <c r="L20" s="338">
        <f t="shared" si="0"/>
        <v>1800</v>
      </c>
      <c r="M20" s="522">
        <v>5000</v>
      </c>
      <c r="N20" s="522"/>
      <c r="O20" s="522"/>
      <c r="P20" s="522"/>
    </row>
    <row r="21" spans="1:17" s="106" customFormat="1" ht="15.75" customHeight="1" x14ac:dyDescent="0.2">
      <c r="A21" s="112">
        <v>1</v>
      </c>
      <c r="B21" s="113" t="s">
        <v>51</v>
      </c>
      <c r="C21" s="114" t="s">
        <v>52</v>
      </c>
      <c r="D21" s="115">
        <v>54101</v>
      </c>
      <c r="E21" s="116" t="s">
        <v>40</v>
      </c>
      <c r="F21" s="122">
        <v>1000</v>
      </c>
      <c r="G21" s="122"/>
      <c r="H21" s="122"/>
      <c r="I21" s="334"/>
      <c r="J21" s="122"/>
      <c r="K21" s="122"/>
      <c r="L21" s="197">
        <f t="shared" si="0"/>
        <v>1000</v>
      </c>
      <c r="M21" s="522">
        <v>1000</v>
      </c>
      <c r="N21" s="522"/>
      <c r="O21" s="522"/>
      <c r="P21" s="522"/>
      <c r="Q21" s="106">
        <f>11050+3000</f>
        <v>14050</v>
      </c>
    </row>
    <row r="22" spans="1:17" s="106" customFormat="1" ht="15.75" customHeight="1" x14ac:dyDescent="0.2">
      <c r="A22" s="112">
        <v>1</v>
      </c>
      <c r="B22" s="113" t="s">
        <v>51</v>
      </c>
      <c r="C22" s="114" t="s">
        <v>52</v>
      </c>
      <c r="D22" s="115">
        <v>54104</v>
      </c>
      <c r="E22" s="116" t="s">
        <v>210</v>
      </c>
      <c r="F22" s="122"/>
      <c r="G22" s="122"/>
      <c r="H22" s="122"/>
      <c r="I22" s="334"/>
      <c r="J22" s="122"/>
      <c r="K22" s="122">
        <v>2000</v>
      </c>
      <c r="L22" s="197">
        <f t="shared" si="0"/>
        <v>2000</v>
      </c>
      <c r="M22" s="522"/>
      <c r="N22" s="522"/>
      <c r="O22" s="522"/>
      <c r="P22" s="522"/>
    </row>
    <row r="23" spans="1:17" s="106" customFormat="1" ht="15.75" customHeight="1" x14ac:dyDescent="0.2">
      <c r="A23" s="112">
        <v>1</v>
      </c>
      <c r="B23" s="113" t="s">
        <v>51</v>
      </c>
      <c r="C23" s="114" t="s">
        <v>52</v>
      </c>
      <c r="D23" s="115">
        <v>54105</v>
      </c>
      <c r="E23" s="116" t="s">
        <v>41</v>
      </c>
      <c r="F23" s="122"/>
      <c r="G23" s="122"/>
      <c r="H23" s="122"/>
      <c r="I23" s="334"/>
      <c r="J23" s="122"/>
      <c r="K23" s="122"/>
      <c r="L23" s="197">
        <f t="shared" si="0"/>
        <v>0</v>
      </c>
      <c r="M23" s="522"/>
      <c r="N23" s="522"/>
      <c r="O23" s="522">
        <f>14000*12</f>
        <v>168000</v>
      </c>
      <c r="P23" s="522"/>
    </row>
    <row r="24" spans="1:17" s="106" customFormat="1" ht="15.75" customHeight="1" x14ac:dyDescent="0.2">
      <c r="A24" s="112">
        <v>1</v>
      </c>
      <c r="B24" s="113" t="s">
        <v>51</v>
      </c>
      <c r="C24" s="114" t="s">
        <v>52</v>
      </c>
      <c r="D24" s="115">
        <v>54109</v>
      </c>
      <c r="E24" s="116" t="s">
        <v>213</v>
      </c>
      <c r="F24" s="122">
        <v>7000</v>
      </c>
      <c r="G24" s="122"/>
      <c r="H24" s="122"/>
      <c r="I24" s="334"/>
      <c r="J24" s="122"/>
      <c r="K24" s="122"/>
      <c r="L24" s="197">
        <f t="shared" si="0"/>
        <v>7000</v>
      </c>
      <c r="M24" s="522">
        <v>4000</v>
      </c>
      <c r="N24" s="522"/>
      <c r="O24" s="522"/>
      <c r="P24" s="522"/>
    </row>
    <row r="25" spans="1:17" s="106" customFormat="1" ht="15.75" customHeight="1" x14ac:dyDescent="0.2">
      <c r="A25" s="112">
        <v>1</v>
      </c>
      <c r="B25" s="113" t="s">
        <v>51</v>
      </c>
      <c r="C25" s="114" t="s">
        <v>52</v>
      </c>
      <c r="D25" s="115">
        <v>54110</v>
      </c>
      <c r="E25" s="116" t="s">
        <v>42</v>
      </c>
      <c r="F25" s="122">
        <v>40000</v>
      </c>
      <c r="G25" s="122"/>
      <c r="H25" s="122"/>
      <c r="I25" s="334"/>
      <c r="J25" s="122"/>
      <c r="K25" s="122"/>
      <c r="L25" s="197">
        <f t="shared" si="0"/>
        <v>40000</v>
      </c>
      <c r="M25" s="522">
        <v>44000</v>
      </c>
      <c r="N25" s="522"/>
      <c r="O25" s="522"/>
      <c r="P25" s="522"/>
    </row>
    <row r="26" spans="1:17" s="106" customFormat="1" ht="15.75" customHeight="1" x14ac:dyDescent="0.2">
      <c r="A26" s="112">
        <v>1</v>
      </c>
      <c r="B26" s="113" t="s">
        <v>51</v>
      </c>
      <c r="C26" s="114" t="s">
        <v>52</v>
      </c>
      <c r="D26" s="115">
        <v>54111</v>
      </c>
      <c r="E26" s="116" t="s">
        <v>48</v>
      </c>
      <c r="F26" s="122">
        <v>3000</v>
      </c>
      <c r="G26" s="122"/>
      <c r="H26" s="122"/>
      <c r="I26" s="334"/>
      <c r="J26" s="122"/>
      <c r="K26" s="122">
        <v>1000</v>
      </c>
      <c r="L26" s="197">
        <f t="shared" si="0"/>
        <v>4000</v>
      </c>
      <c r="M26" s="522">
        <v>1500</v>
      </c>
      <c r="N26" s="522"/>
      <c r="O26" s="522"/>
      <c r="P26" s="522"/>
    </row>
    <row r="27" spans="1:17" s="106" customFormat="1" ht="15.75" customHeight="1" x14ac:dyDescent="0.2">
      <c r="A27" s="112">
        <v>1</v>
      </c>
      <c r="B27" s="113" t="s">
        <v>51</v>
      </c>
      <c r="C27" s="114" t="s">
        <v>52</v>
      </c>
      <c r="D27" s="115">
        <v>54112</v>
      </c>
      <c r="E27" s="116" t="s">
        <v>47</v>
      </c>
      <c r="F27" s="122">
        <v>2500</v>
      </c>
      <c r="G27" s="122"/>
      <c r="H27" s="122"/>
      <c r="I27" s="334"/>
      <c r="J27" s="122"/>
      <c r="K27" s="122"/>
      <c r="L27" s="197">
        <f t="shared" si="0"/>
        <v>2500</v>
      </c>
      <c r="M27" s="522">
        <v>1300</v>
      </c>
      <c r="N27" s="522"/>
      <c r="O27" s="522">
        <v>36000</v>
      </c>
      <c r="P27" s="522"/>
    </row>
    <row r="28" spans="1:17" s="106" customFormat="1" ht="15.75" customHeight="1" x14ac:dyDescent="0.2">
      <c r="A28" s="112">
        <v>1</v>
      </c>
      <c r="B28" s="113" t="s">
        <v>51</v>
      </c>
      <c r="C28" s="114" t="s">
        <v>52</v>
      </c>
      <c r="D28" s="115">
        <v>54114</v>
      </c>
      <c r="E28" s="116" t="s">
        <v>43</v>
      </c>
      <c r="F28" s="122">
        <v>500</v>
      </c>
      <c r="G28" s="122">
        <v>500</v>
      </c>
      <c r="H28" s="122">
        <v>500</v>
      </c>
      <c r="I28" s="334">
        <v>500</v>
      </c>
      <c r="J28" s="122">
        <v>500</v>
      </c>
      <c r="K28" s="122">
        <v>500</v>
      </c>
      <c r="L28" s="197">
        <f t="shared" si="0"/>
        <v>3000</v>
      </c>
      <c r="M28" s="522">
        <v>1200</v>
      </c>
      <c r="N28" s="522"/>
      <c r="O28" s="522">
        <v>132000</v>
      </c>
      <c r="P28" s="522"/>
    </row>
    <row r="29" spans="1:17" s="106" customFormat="1" ht="15.75" customHeight="1" x14ac:dyDescent="0.2">
      <c r="A29" s="112">
        <v>1</v>
      </c>
      <c r="B29" s="113" t="s">
        <v>51</v>
      </c>
      <c r="C29" s="114" t="s">
        <v>52</v>
      </c>
      <c r="D29" s="115">
        <v>54115</v>
      </c>
      <c r="E29" s="116" t="s">
        <v>80</v>
      </c>
      <c r="F29" s="122">
        <v>500</v>
      </c>
      <c r="G29" s="122">
        <v>400</v>
      </c>
      <c r="H29" s="122">
        <v>400</v>
      </c>
      <c r="I29" s="334">
        <v>400</v>
      </c>
      <c r="J29" s="122">
        <v>400</v>
      </c>
      <c r="K29" s="122"/>
      <c r="L29" s="197">
        <f t="shared" si="0"/>
        <v>2100</v>
      </c>
      <c r="M29" s="522">
        <v>1000</v>
      </c>
      <c r="N29" s="522"/>
      <c r="O29" s="522">
        <f>SUM(O27:O28)</f>
        <v>168000</v>
      </c>
      <c r="P29" s="522"/>
    </row>
    <row r="30" spans="1:17" s="106" customFormat="1" ht="15.75" customHeight="1" x14ac:dyDescent="0.2">
      <c r="A30" s="112">
        <v>1</v>
      </c>
      <c r="B30" s="113" t="s">
        <v>51</v>
      </c>
      <c r="C30" s="114" t="s">
        <v>52</v>
      </c>
      <c r="D30" s="115">
        <v>54118</v>
      </c>
      <c r="E30" s="116" t="s">
        <v>263</v>
      </c>
      <c r="F30" s="122">
        <v>20000</v>
      </c>
      <c r="G30" s="122"/>
      <c r="H30" s="122"/>
      <c r="I30" s="334"/>
      <c r="J30" s="122"/>
      <c r="K30" s="122"/>
      <c r="L30" s="197">
        <f t="shared" si="0"/>
        <v>20000</v>
      </c>
      <c r="M30" s="522">
        <v>19000</v>
      </c>
      <c r="N30" s="522"/>
      <c r="O30" s="522"/>
      <c r="P30" s="522"/>
    </row>
    <row r="31" spans="1:17" s="106" customFormat="1" ht="15.75" customHeight="1" x14ac:dyDescent="0.2">
      <c r="A31" s="112">
        <v>1</v>
      </c>
      <c r="B31" s="113" t="s">
        <v>51</v>
      </c>
      <c r="C31" s="114" t="s">
        <v>52</v>
      </c>
      <c r="D31" s="115">
        <v>54119</v>
      </c>
      <c r="E31" s="116" t="s">
        <v>104</v>
      </c>
      <c r="F31" s="122">
        <v>1500</v>
      </c>
      <c r="G31" s="122"/>
      <c r="H31" s="122"/>
      <c r="I31" s="334"/>
      <c r="J31" s="122"/>
      <c r="K31" s="122">
        <v>1500</v>
      </c>
      <c r="L31" s="197">
        <f t="shared" si="0"/>
        <v>3000</v>
      </c>
      <c r="M31" s="522">
        <v>2000</v>
      </c>
      <c r="N31" s="522"/>
      <c r="O31" s="522"/>
      <c r="P31" s="522"/>
    </row>
    <row r="32" spans="1:17" s="106" customFormat="1" ht="15.75" customHeight="1" x14ac:dyDescent="0.2">
      <c r="A32" s="112">
        <v>1</v>
      </c>
      <c r="B32" s="113" t="s">
        <v>51</v>
      </c>
      <c r="C32" s="114" t="s">
        <v>52</v>
      </c>
      <c r="D32" s="115">
        <v>54121</v>
      </c>
      <c r="E32" s="116" t="s">
        <v>83</v>
      </c>
      <c r="F32" s="122">
        <v>1500</v>
      </c>
      <c r="G32" s="122"/>
      <c r="H32" s="122"/>
      <c r="I32" s="334"/>
      <c r="J32" s="122"/>
      <c r="K32" s="122"/>
      <c r="L32" s="197">
        <f t="shared" si="0"/>
        <v>1500</v>
      </c>
      <c r="M32" s="522">
        <v>1500</v>
      </c>
      <c r="N32" s="522"/>
      <c r="O32" s="522"/>
      <c r="P32" s="522"/>
    </row>
    <row r="33" spans="1:16" s="106" customFormat="1" ht="15.75" customHeight="1" x14ac:dyDescent="0.2">
      <c r="A33" s="112">
        <v>1</v>
      </c>
      <c r="B33" s="113" t="s">
        <v>51</v>
      </c>
      <c r="C33" s="114" t="s">
        <v>52</v>
      </c>
      <c r="D33" s="115">
        <v>54199</v>
      </c>
      <c r="E33" s="116" t="s">
        <v>268</v>
      </c>
      <c r="F33" s="122">
        <v>3500</v>
      </c>
      <c r="G33" s="122">
        <v>500</v>
      </c>
      <c r="H33" s="122">
        <v>500</v>
      </c>
      <c r="I33" s="334">
        <v>500</v>
      </c>
      <c r="J33" s="122">
        <v>500</v>
      </c>
      <c r="K33" s="122">
        <v>500</v>
      </c>
      <c r="L33" s="197">
        <f t="shared" si="0"/>
        <v>6000</v>
      </c>
      <c r="M33" s="522">
        <v>2000</v>
      </c>
      <c r="N33" s="522"/>
      <c r="O33" s="522"/>
      <c r="P33" s="522"/>
    </row>
    <row r="34" spans="1:16" s="106" customFormat="1" ht="15.75" customHeight="1" x14ac:dyDescent="0.2">
      <c r="A34" s="112">
        <v>1</v>
      </c>
      <c r="B34" s="113" t="s">
        <v>51</v>
      </c>
      <c r="C34" s="114" t="s">
        <v>52</v>
      </c>
      <c r="D34" s="115">
        <v>54201</v>
      </c>
      <c r="E34" s="116" t="s">
        <v>44</v>
      </c>
      <c r="F34" s="122">
        <f>16000+2223.31</f>
        <v>18223.310000000001</v>
      </c>
      <c r="G34" s="122"/>
      <c r="H34" s="122"/>
      <c r="I34" s="334"/>
      <c r="J34" s="122"/>
      <c r="K34" s="122"/>
      <c r="L34" s="197">
        <f t="shared" si="0"/>
        <v>18223.310000000001</v>
      </c>
      <c r="M34" s="522">
        <v>21452</v>
      </c>
      <c r="N34" s="522"/>
      <c r="O34" s="522"/>
      <c r="P34" s="522"/>
    </row>
    <row r="35" spans="1:16" s="106" customFormat="1" ht="15.75" customHeight="1" x14ac:dyDescent="0.2">
      <c r="A35" s="112">
        <v>1</v>
      </c>
      <c r="B35" s="113" t="s">
        <v>51</v>
      </c>
      <c r="C35" s="114" t="s">
        <v>52</v>
      </c>
      <c r="D35" s="115">
        <v>54202</v>
      </c>
      <c r="E35" s="116" t="s">
        <v>45</v>
      </c>
      <c r="F35" s="122">
        <f>4500+3000</f>
        <v>7500</v>
      </c>
      <c r="G35" s="122"/>
      <c r="H35" s="122"/>
      <c r="I35" s="334"/>
      <c r="J35" s="122"/>
      <c r="K35" s="122"/>
      <c r="L35" s="197">
        <f t="shared" si="0"/>
        <v>7500</v>
      </c>
      <c r="M35" s="522">
        <v>3000</v>
      </c>
      <c r="N35" s="522"/>
      <c r="O35" s="522"/>
      <c r="P35" s="519">
        <f>SUM(L21:L48)</f>
        <v>179123.31</v>
      </c>
    </row>
    <row r="36" spans="1:16" s="106" customFormat="1" ht="15.75" customHeight="1" x14ac:dyDescent="0.2">
      <c r="A36" s="112">
        <v>1</v>
      </c>
      <c r="B36" s="113" t="s">
        <v>51</v>
      </c>
      <c r="C36" s="114" t="s">
        <v>52</v>
      </c>
      <c r="D36" s="115">
        <v>54203</v>
      </c>
      <c r="E36" s="116" t="s">
        <v>46</v>
      </c>
      <c r="F36" s="122">
        <v>25000</v>
      </c>
      <c r="G36" s="122"/>
      <c r="H36" s="122"/>
      <c r="I36" s="334"/>
      <c r="J36" s="122"/>
      <c r="K36" s="122"/>
      <c r="L36" s="197">
        <f t="shared" si="0"/>
        <v>25000</v>
      </c>
      <c r="M36" s="522">
        <v>23000</v>
      </c>
      <c r="N36" s="522"/>
      <c r="O36" s="522"/>
      <c r="P36" s="522"/>
    </row>
    <row r="37" spans="1:16" s="106" customFormat="1" ht="15.75" customHeight="1" x14ac:dyDescent="0.2">
      <c r="A37" s="112">
        <v>1</v>
      </c>
      <c r="B37" s="113" t="s">
        <v>51</v>
      </c>
      <c r="C37" s="114" t="s">
        <v>52</v>
      </c>
      <c r="D37" s="115">
        <v>54205</v>
      </c>
      <c r="E37" s="116" t="s">
        <v>25</v>
      </c>
      <c r="F37" s="122"/>
      <c r="G37" s="122"/>
      <c r="H37" s="122"/>
      <c r="I37" s="334"/>
      <c r="J37" s="122"/>
      <c r="K37" s="122"/>
      <c r="L37" s="197">
        <f t="shared" si="0"/>
        <v>0</v>
      </c>
      <c r="M37" s="522"/>
      <c r="N37" s="522"/>
      <c r="O37" s="522"/>
      <c r="P37" s="522"/>
    </row>
    <row r="38" spans="1:16" s="106" customFormat="1" ht="15.75" customHeight="1" x14ac:dyDescent="0.2">
      <c r="A38" s="112">
        <v>1</v>
      </c>
      <c r="B38" s="113" t="s">
        <v>51</v>
      </c>
      <c r="C38" s="114" t="s">
        <v>52</v>
      </c>
      <c r="D38" s="115">
        <v>54301</v>
      </c>
      <c r="E38" s="116" t="s">
        <v>266</v>
      </c>
      <c r="F38" s="122">
        <v>3000</v>
      </c>
      <c r="G38" s="122"/>
      <c r="H38" s="122"/>
      <c r="I38" s="334"/>
      <c r="J38" s="122"/>
      <c r="K38" s="122"/>
      <c r="L38" s="197">
        <f t="shared" si="0"/>
        <v>3000</v>
      </c>
      <c r="M38" s="522">
        <v>2000</v>
      </c>
      <c r="N38" s="522"/>
      <c r="O38" s="522"/>
      <c r="P38" s="522"/>
    </row>
    <row r="39" spans="1:16" s="106" customFormat="1" ht="15.75" customHeight="1" x14ac:dyDescent="0.2">
      <c r="A39" s="112">
        <v>1</v>
      </c>
      <c r="B39" s="113" t="s">
        <v>51</v>
      </c>
      <c r="C39" s="114" t="s">
        <v>52</v>
      </c>
      <c r="D39" s="115">
        <v>54302</v>
      </c>
      <c r="E39" s="116" t="s">
        <v>265</v>
      </c>
      <c r="F39" s="122">
        <v>18000</v>
      </c>
      <c r="G39" s="122"/>
      <c r="H39" s="122"/>
      <c r="I39" s="334"/>
      <c r="J39" s="122"/>
      <c r="K39" s="122"/>
      <c r="L39" s="197">
        <f t="shared" si="0"/>
        <v>18000</v>
      </c>
      <c r="M39" s="522">
        <v>28000</v>
      </c>
      <c r="N39" s="522"/>
      <c r="O39" s="522"/>
      <c r="P39" s="522"/>
    </row>
    <row r="40" spans="1:16" s="106" customFormat="1" ht="15.75" customHeight="1" x14ac:dyDescent="0.2">
      <c r="A40" s="112">
        <v>1</v>
      </c>
      <c r="B40" s="113" t="s">
        <v>51</v>
      </c>
      <c r="C40" s="114" t="s">
        <v>52</v>
      </c>
      <c r="D40" s="115">
        <v>54303</v>
      </c>
      <c r="E40" s="116" t="s">
        <v>264</v>
      </c>
      <c r="F40" s="122">
        <v>2500</v>
      </c>
      <c r="G40" s="122"/>
      <c r="H40" s="122"/>
      <c r="I40" s="335"/>
      <c r="J40" s="122"/>
      <c r="K40" s="122"/>
      <c r="L40" s="197">
        <f t="shared" si="0"/>
        <v>2500</v>
      </c>
      <c r="M40" s="522">
        <v>1000</v>
      </c>
      <c r="N40" s="522"/>
      <c r="O40" s="522"/>
      <c r="P40" s="522"/>
    </row>
    <row r="41" spans="1:16" s="106" customFormat="1" ht="15.75" customHeight="1" x14ac:dyDescent="0.2">
      <c r="A41" s="112">
        <v>1</v>
      </c>
      <c r="B41" s="113" t="s">
        <v>51</v>
      </c>
      <c r="C41" s="114" t="s">
        <v>52</v>
      </c>
      <c r="D41" s="115">
        <v>54304</v>
      </c>
      <c r="E41" s="116" t="s">
        <v>89</v>
      </c>
      <c r="F41" s="122">
        <v>2000</v>
      </c>
      <c r="G41" s="122"/>
      <c r="H41" s="122"/>
      <c r="I41" s="334"/>
      <c r="J41" s="122"/>
      <c r="K41" s="122"/>
      <c r="L41" s="197">
        <f t="shared" si="0"/>
        <v>2000</v>
      </c>
      <c r="M41" s="522">
        <v>1000</v>
      </c>
      <c r="N41" s="522"/>
      <c r="O41" s="522"/>
      <c r="P41" s="522"/>
    </row>
    <row r="42" spans="1:16" s="106" customFormat="1" ht="15.75" customHeight="1" x14ac:dyDescent="0.2">
      <c r="A42" s="112">
        <v>1</v>
      </c>
      <c r="B42" s="113" t="s">
        <v>51</v>
      </c>
      <c r="C42" s="114" t="s">
        <v>52</v>
      </c>
      <c r="D42" s="115">
        <v>54310</v>
      </c>
      <c r="E42" s="116" t="s">
        <v>221</v>
      </c>
      <c r="F42" s="122"/>
      <c r="G42" s="122"/>
      <c r="H42" s="122"/>
      <c r="I42" s="334"/>
      <c r="J42" s="122"/>
      <c r="K42" s="122"/>
      <c r="L42" s="197">
        <f t="shared" si="0"/>
        <v>0</v>
      </c>
      <c r="M42" s="522">
        <v>1000</v>
      </c>
      <c r="N42" s="522"/>
      <c r="O42" s="522"/>
      <c r="P42" s="522"/>
    </row>
    <row r="43" spans="1:16" s="106" customFormat="1" ht="15.75" customHeight="1" x14ac:dyDescent="0.2">
      <c r="A43" s="112">
        <v>1</v>
      </c>
      <c r="B43" s="113" t="s">
        <v>51</v>
      </c>
      <c r="C43" s="114" t="s">
        <v>52</v>
      </c>
      <c r="D43" s="115">
        <v>54314</v>
      </c>
      <c r="E43" s="116" t="s">
        <v>84</v>
      </c>
      <c r="F43" s="122">
        <v>2500</v>
      </c>
      <c r="G43" s="122"/>
      <c r="H43" s="122"/>
      <c r="I43" s="334"/>
      <c r="J43" s="122"/>
      <c r="K43" s="122"/>
      <c r="L43" s="197">
        <f t="shared" si="0"/>
        <v>2500</v>
      </c>
      <c r="M43" s="522">
        <v>1000</v>
      </c>
      <c r="N43" s="522"/>
      <c r="O43" s="522"/>
      <c r="P43" s="522"/>
    </row>
    <row r="44" spans="1:16" s="106" customFormat="1" ht="15.75" customHeight="1" x14ac:dyDescent="0.2">
      <c r="A44" s="112">
        <v>1</v>
      </c>
      <c r="B44" s="113" t="s">
        <v>51</v>
      </c>
      <c r="C44" s="114" t="s">
        <v>52</v>
      </c>
      <c r="D44" s="115">
        <v>54399</v>
      </c>
      <c r="E44" s="116" t="s">
        <v>388</v>
      </c>
      <c r="F44" s="122">
        <v>3000</v>
      </c>
      <c r="G44" s="122"/>
      <c r="H44" s="122"/>
      <c r="I44" s="334"/>
      <c r="J44" s="122"/>
      <c r="K44" s="122"/>
      <c r="L44" s="197">
        <f t="shared" si="0"/>
        <v>3000</v>
      </c>
      <c r="M44" s="522"/>
      <c r="N44" s="522"/>
      <c r="O44" s="522"/>
      <c r="P44" s="522"/>
    </row>
    <row r="45" spans="1:16" s="106" customFormat="1" ht="15.75" customHeight="1" x14ac:dyDescent="0.2">
      <c r="A45" s="112">
        <v>1</v>
      </c>
      <c r="B45" s="113" t="s">
        <v>51</v>
      </c>
      <c r="C45" s="114" t="s">
        <v>52</v>
      </c>
      <c r="D45" s="115">
        <v>54401</v>
      </c>
      <c r="E45" s="116" t="s">
        <v>267</v>
      </c>
      <c r="F45" s="122">
        <v>800</v>
      </c>
      <c r="G45" s="122"/>
      <c r="H45" s="122"/>
      <c r="I45" s="334"/>
      <c r="J45" s="122"/>
      <c r="K45" s="122"/>
      <c r="L45" s="197">
        <f t="shared" si="0"/>
        <v>800</v>
      </c>
      <c r="M45" s="522"/>
      <c r="N45" s="522"/>
      <c r="O45" s="522"/>
      <c r="P45" s="522"/>
    </row>
    <row r="46" spans="1:16" s="106" customFormat="1" ht="15.75" customHeight="1" x14ac:dyDescent="0.2">
      <c r="A46" s="112">
        <v>1</v>
      </c>
      <c r="B46" s="113" t="s">
        <v>51</v>
      </c>
      <c r="C46" s="114" t="s">
        <v>52</v>
      </c>
      <c r="D46" s="115">
        <v>54403</v>
      </c>
      <c r="E46" s="116" t="s">
        <v>261</v>
      </c>
      <c r="F46" s="122">
        <v>1000</v>
      </c>
      <c r="G46" s="122"/>
      <c r="H46" s="122"/>
      <c r="I46" s="334"/>
      <c r="J46" s="122"/>
      <c r="K46" s="122"/>
      <c r="L46" s="197">
        <f t="shared" si="0"/>
        <v>1000</v>
      </c>
      <c r="M46" s="522"/>
      <c r="N46" s="522"/>
      <c r="O46" s="522"/>
      <c r="P46" s="522"/>
    </row>
    <row r="47" spans="1:16" s="106" customFormat="1" ht="15.75" customHeight="1" x14ac:dyDescent="0.2">
      <c r="A47" s="112">
        <v>1</v>
      </c>
      <c r="B47" s="113" t="s">
        <v>51</v>
      </c>
      <c r="C47" s="114" t="s">
        <v>52</v>
      </c>
      <c r="D47" s="115">
        <v>54503</v>
      </c>
      <c r="E47" s="116" t="s">
        <v>79</v>
      </c>
      <c r="F47" s="122">
        <v>1500</v>
      </c>
      <c r="G47" s="122"/>
      <c r="H47" s="122"/>
      <c r="I47" s="334"/>
      <c r="J47" s="122"/>
      <c r="K47" s="122"/>
      <c r="L47" s="197">
        <f t="shared" si="0"/>
        <v>1500</v>
      </c>
      <c r="M47" s="522">
        <v>800</v>
      </c>
      <c r="N47" s="522"/>
      <c r="O47" s="522"/>
      <c r="P47" s="522"/>
    </row>
    <row r="48" spans="1:16" s="106" customFormat="1" ht="15.75" customHeight="1" x14ac:dyDescent="0.2">
      <c r="A48" s="112">
        <v>1</v>
      </c>
      <c r="B48" s="113" t="s">
        <v>51</v>
      </c>
      <c r="C48" s="114" t="s">
        <v>52</v>
      </c>
      <c r="D48" s="115">
        <v>54504</v>
      </c>
      <c r="E48" s="116" t="s">
        <v>85</v>
      </c>
      <c r="F48" s="122"/>
      <c r="G48" s="122">
        <v>2000</v>
      </c>
      <c r="H48" s="122"/>
      <c r="I48" s="334"/>
      <c r="J48" s="122"/>
      <c r="K48" s="122"/>
      <c r="L48" s="197">
        <f t="shared" si="0"/>
        <v>2000</v>
      </c>
      <c r="M48" s="522">
        <v>2500</v>
      </c>
      <c r="N48" s="522"/>
      <c r="O48" s="522"/>
      <c r="P48" s="522"/>
    </row>
    <row r="49" spans="1:17" s="106" customFormat="1" ht="15.75" customHeight="1" x14ac:dyDescent="0.2">
      <c r="A49" s="112">
        <v>1</v>
      </c>
      <c r="B49" s="113" t="s">
        <v>51</v>
      </c>
      <c r="C49" s="114" t="s">
        <v>52</v>
      </c>
      <c r="D49" s="115">
        <v>55508</v>
      </c>
      <c r="E49" s="116" t="s">
        <v>86</v>
      </c>
      <c r="F49" s="122">
        <v>510.11</v>
      </c>
      <c r="G49" s="122"/>
      <c r="H49" s="122"/>
      <c r="I49" s="334"/>
      <c r="J49" s="122"/>
      <c r="K49" s="122"/>
      <c r="L49" s="197">
        <f t="shared" si="0"/>
        <v>510.11</v>
      </c>
      <c r="M49" s="522">
        <v>300</v>
      </c>
      <c r="N49" s="522"/>
      <c r="O49" s="522"/>
      <c r="P49" s="522"/>
    </row>
    <row r="50" spans="1:17" s="106" customFormat="1" ht="15.75" customHeight="1" x14ac:dyDescent="0.2">
      <c r="A50" s="112">
        <v>1</v>
      </c>
      <c r="B50" s="113" t="s">
        <v>51</v>
      </c>
      <c r="C50" s="114" t="s">
        <v>52</v>
      </c>
      <c r="D50" s="115">
        <v>55601</v>
      </c>
      <c r="E50" s="116" t="s">
        <v>107</v>
      </c>
      <c r="F50" s="122">
        <v>1000</v>
      </c>
      <c r="G50" s="122"/>
      <c r="H50" s="122"/>
      <c r="I50" s="334"/>
      <c r="J50" s="122"/>
      <c r="K50" s="122"/>
      <c r="L50" s="197">
        <f t="shared" si="0"/>
        <v>1000</v>
      </c>
      <c r="M50" s="522"/>
      <c r="N50" s="522"/>
      <c r="O50" s="522"/>
      <c r="P50" s="522"/>
    </row>
    <row r="51" spans="1:17" s="106" customFormat="1" ht="15.75" customHeight="1" x14ac:dyDescent="0.2">
      <c r="A51" s="112">
        <v>1</v>
      </c>
      <c r="B51" s="113" t="s">
        <v>51</v>
      </c>
      <c r="C51" s="114" t="s">
        <v>52</v>
      </c>
      <c r="D51" s="115">
        <v>55603</v>
      </c>
      <c r="E51" s="116" t="s">
        <v>87</v>
      </c>
      <c r="F51" s="122">
        <v>500</v>
      </c>
      <c r="G51" s="122"/>
      <c r="H51" s="122"/>
      <c r="I51" s="334"/>
      <c r="J51" s="122"/>
      <c r="K51" s="122"/>
      <c r="L51" s="197">
        <f t="shared" si="0"/>
        <v>500</v>
      </c>
      <c r="M51" s="522">
        <v>250</v>
      </c>
      <c r="N51" s="522"/>
      <c r="O51" s="522"/>
      <c r="P51" s="522"/>
    </row>
    <row r="52" spans="1:17" s="106" customFormat="1" ht="15.75" customHeight="1" x14ac:dyDescent="0.2">
      <c r="A52" s="112">
        <v>1</v>
      </c>
      <c r="B52" s="113" t="s">
        <v>51</v>
      </c>
      <c r="C52" s="114" t="s">
        <v>52</v>
      </c>
      <c r="D52" s="115">
        <v>55703</v>
      </c>
      <c r="E52" s="116" t="s">
        <v>88</v>
      </c>
      <c r="F52" s="122">
        <v>1000</v>
      </c>
      <c r="G52" s="122"/>
      <c r="H52" s="122"/>
      <c r="I52" s="334"/>
      <c r="J52" s="122"/>
      <c r="K52" s="122"/>
      <c r="L52" s="197">
        <f t="shared" si="0"/>
        <v>1000</v>
      </c>
      <c r="M52" s="522">
        <v>300</v>
      </c>
      <c r="N52" s="522"/>
      <c r="O52" s="522"/>
      <c r="P52" s="522"/>
    </row>
    <row r="53" spans="1:17" s="106" customFormat="1" ht="15.75" customHeight="1" x14ac:dyDescent="0.2">
      <c r="A53" s="112">
        <v>1</v>
      </c>
      <c r="B53" s="113" t="s">
        <v>51</v>
      </c>
      <c r="C53" s="114" t="s">
        <v>52</v>
      </c>
      <c r="D53" s="115">
        <v>55799</v>
      </c>
      <c r="E53" s="116" t="s">
        <v>269</v>
      </c>
      <c r="F53" s="122">
        <v>1000</v>
      </c>
      <c r="G53" s="122"/>
      <c r="H53" s="122"/>
      <c r="I53" s="334"/>
      <c r="J53" s="122"/>
      <c r="K53" s="122"/>
      <c r="L53" s="197">
        <f t="shared" si="0"/>
        <v>1000</v>
      </c>
      <c r="M53" s="522">
        <v>7000.11</v>
      </c>
      <c r="N53" s="522"/>
      <c r="O53" s="522"/>
      <c r="P53" s="522"/>
    </row>
    <row r="54" spans="1:17" s="106" customFormat="1" ht="15.75" customHeight="1" x14ac:dyDescent="0.2">
      <c r="A54" s="112">
        <v>1</v>
      </c>
      <c r="B54" s="113" t="s">
        <v>51</v>
      </c>
      <c r="C54" s="114" t="s">
        <v>52</v>
      </c>
      <c r="D54" s="115">
        <v>56201</v>
      </c>
      <c r="E54" s="116" t="s">
        <v>460</v>
      </c>
      <c r="F54" s="122">
        <f>2000-284.74</f>
        <v>1715.26</v>
      </c>
      <c r="G54" s="122"/>
      <c r="H54" s="122"/>
      <c r="I54" s="334"/>
      <c r="J54" s="122"/>
      <c r="K54" s="122"/>
      <c r="L54" s="197">
        <f t="shared" si="0"/>
        <v>1715.26</v>
      </c>
      <c r="M54" s="522">
        <v>3000</v>
      </c>
      <c r="N54" s="522"/>
      <c r="O54" s="522"/>
      <c r="P54" s="522"/>
    </row>
    <row r="55" spans="1:17" s="106" customFormat="1" ht="15.75" customHeight="1" x14ac:dyDescent="0.2">
      <c r="A55" s="112">
        <v>1</v>
      </c>
      <c r="B55" s="113" t="s">
        <v>51</v>
      </c>
      <c r="C55" s="114" t="s">
        <v>52</v>
      </c>
      <c r="D55" s="115">
        <v>56303</v>
      </c>
      <c r="E55" s="116" t="s">
        <v>343</v>
      </c>
      <c r="F55" s="122">
        <v>6600</v>
      </c>
      <c r="G55" s="122"/>
      <c r="H55" s="122"/>
      <c r="I55" s="334"/>
      <c r="J55" s="122"/>
      <c r="K55" s="122"/>
      <c r="L55" s="197">
        <f t="shared" si="0"/>
        <v>6600</v>
      </c>
      <c r="M55" s="522">
        <v>21000</v>
      </c>
      <c r="N55" s="522"/>
      <c r="O55" s="522"/>
      <c r="P55" s="522"/>
    </row>
    <row r="56" spans="1:17" s="106" customFormat="1" ht="15.75" customHeight="1" x14ac:dyDescent="0.2">
      <c r="A56" s="112">
        <v>1</v>
      </c>
      <c r="B56" s="113" t="s">
        <v>51</v>
      </c>
      <c r="C56" s="114" t="s">
        <v>52</v>
      </c>
      <c r="D56" s="115">
        <v>56304</v>
      </c>
      <c r="E56" s="116" t="s">
        <v>262</v>
      </c>
      <c r="F56" s="122">
        <v>2000</v>
      </c>
      <c r="G56" s="122"/>
      <c r="H56" s="122"/>
      <c r="I56" s="334"/>
      <c r="J56" s="122"/>
      <c r="K56" s="122"/>
      <c r="L56" s="197">
        <f t="shared" si="0"/>
        <v>2000</v>
      </c>
      <c r="M56" s="522">
        <v>3000</v>
      </c>
      <c r="N56" s="522"/>
      <c r="O56" s="522"/>
      <c r="P56" s="522"/>
    </row>
    <row r="57" spans="1:17" s="106" customFormat="1" ht="15.75" customHeight="1" x14ac:dyDescent="0.2">
      <c r="A57" s="117">
        <v>1</v>
      </c>
      <c r="B57" s="118" t="s">
        <v>51</v>
      </c>
      <c r="C57" s="119" t="s">
        <v>52</v>
      </c>
      <c r="D57" s="125">
        <v>61101</v>
      </c>
      <c r="E57" s="121" t="s">
        <v>225</v>
      </c>
      <c r="F57" s="123">
        <v>1500</v>
      </c>
      <c r="G57" s="123"/>
      <c r="H57" s="123"/>
      <c r="I57" s="336"/>
      <c r="J57" s="123"/>
      <c r="K57" s="123"/>
      <c r="L57" s="197">
        <f t="shared" si="0"/>
        <v>1500</v>
      </c>
      <c r="M57" s="522">
        <v>3000</v>
      </c>
      <c r="N57" s="522"/>
      <c r="O57" s="522"/>
      <c r="P57" s="522"/>
      <c r="Q57" s="127">
        <f>SUM(F49:F53)</f>
        <v>4010.11</v>
      </c>
    </row>
    <row r="58" spans="1:17" s="106" customFormat="1" ht="15.75" customHeight="1" x14ac:dyDescent="0.2">
      <c r="A58" s="117">
        <v>1</v>
      </c>
      <c r="B58" s="118" t="s">
        <v>51</v>
      </c>
      <c r="C58" s="119" t="s">
        <v>52</v>
      </c>
      <c r="D58" s="125">
        <v>61104</v>
      </c>
      <c r="E58" s="121" t="s">
        <v>344</v>
      </c>
      <c r="F58" s="123">
        <f>1800+971.41</f>
        <v>2771.41</v>
      </c>
      <c r="G58" s="123"/>
      <c r="H58" s="123"/>
      <c r="I58" s="336"/>
      <c r="J58" s="123"/>
      <c r="K58" s="123"/>
      <c r="L58" s="197">
        <f t="shared" si="0"/>
        <v>2771.41</v>
      </c>
      <c r="M58" s="522">
        <v>1500</v>
      </c>
      <c r="N58" s="522"/>
      <c r="O58" s="522"/>
      <c r="P58" s="522"/>
    </row>
    <row r="59" spans="1:17" s="106" customFormat="1" ht="15.75" customHeight="1" thickBot="1" x14ac:dyDescent="0.25">
      <c r="A59" s="117"/>
      <c r="B59" s="118"/>
      <c r="C59" s="119"/>
      <c r="D59" s="120"/>
      <c r="E59" s="121"/>
      <c r="F59" s="123"/>
      <c r="G59" s="123"/>
      <c r="H59" s="123"/>
      <c r="I59" s="337"/>
      <c r="J59" s="123"/>
      <c r="K59" s="123"/>
      <c r="L59" s="124"/>
      <c r="M59" s="522"/>
      <c r="N59" s="522"/>
      <c r="O59" s="522"/>
      <c r="P59" s="522"/>
    </row>
    <row r="60" spans="1:17" ht="30" customHeight="1" thickBot="1" x14ac:dyDescent="0.25">
      <c r="A60" s="680" t="s">
        <v>339</v>
      </c>
      <c r="B60" s="681"/>
      <c r="C60" s="681"/>
      <c r="D60" s="681"/>
      <c r="E60" s="682"/>
      <c r="F60" s="350">
        <f t="shared" ref="F60:L60" si="1">SUM(F11:F59)</f>
        <v>363195.22</v>
      </c>
      <c r="G60" s="350">
        <f t="shared" si="1"/>
        <v>3400</v>
      </c>
      <c r="H60" s="350">
        <f t="shared" si="1"/>
        <v>1400</v>
      </c>
      <c r="I60" s="350">
        <f t="shared" si="1"/>
        <v>1400</v>
      </c>
      <c r="J60" s="350">
        <f t="shared" si="1"/>
        <v>1400</v>
      </c>
      <c r="K60" s="350">
        <f t="shared" si="1"/>
        <v>5500</v>
      </c>
      <c r="L60" s="351">
        <f t="shared" si="1"/>
        <v>376295.22</v>
      </c>
      <c r="M60" s="551"/>
      <c r="N60" s="551"/>
      <c r="O60" s="551"/>
      <c r="P60" s="551"/>
    </row>
    <row r="61" spans="1:17" x14ac:dyDescent="0.2">
      <c r="M61" s="551"/>
      <c r="N61" s="551"/>
      <c r="O61" s="551"/>
      <c r="P61" s="551"/>
    </row>
    <row r="62" spans="1:17" x14ac:dyDescent="0.2">
      <c r="L62" s="105"/>
      <c r="M62" s="551"/>
      <c r="N62" s="551"/>
      <c r="O62" s="551"/>
      <c r="P62" s="551"/>
    </row>
    <row r="63" spans="1:17" x14ac:dyDescent="0.2">
      <c r="K63" s="552"/>
      <c r="L63" s="553"/>
      <c r="M63" s="551"/>
      <c r="N63" s="551"/>
      <c r="O63" s="551"/>
      <c r="P63" s="551"/>
    </row>
    <row r="64" spans="1:17" x14ac:dyDescent="0.2">
      <c r="K64" s="552"/>
      <c r="L64" s="554">
        <f>SUM(Ingresos!C49)</f>
        <v>376295.22</v>
      </c>
      <c r="M64" s="551"/>
      <c r="N64" s="551"/>
      <c r="O64" s="551"/>
      <c r="P64" s="551"/>
    </row>
    <row r="65" spans="11:14" x14ac:dyDescent="0.2">
      <c r="K65" s="552"/>
      <c r="L65" s="553"/>
      <c r="M65" s="551"/>
      <c r="N65" s="128"/>
    </row>
    <row r="66" spans="11:14" x14ac:dyDescent="0.2">
      <c r="K66" s="552"/>
      <c r="L66" s="553"/>
      <c r="M66" s="551"/>
    </row>
    <row r="67" spans="11:14" x14ac:dyDescent="0.2">
      <c r="K67" s="552"/>
      <c r="L67" s="553">
        <f>SUM(L60-L64)</f>
        <v>0</v>
      </c>
      <c r="M67" s="551"/>
    </row>
    <row r="68" spans="11:14" x14ac:dyDescent="0.2">
      <c r="L68" s="105"/>
    </row>
    <row r="69" spans="11:14" x14ac:dyDescent="0.2">
      <c r="L69" s="105"/>
    </row>
    <row r="70" spans="11:14" x14ac:dyDescent="0.2">
      <c r="L70" s="105"/>
    </row>
    <row r="71" spans="11:14" x14ac:dyDescent="0.2">
      <c r="L71" s="105"/>
    </row>
    <row r="74" spans="11:14" x14ac:dyDescent="0.2">
      <c r="L74" s="156"/>
    </row>
  </sheetData>
  <sheetProtection sheet="1" formatCells="0" formatColumns="0" formatRows="0" insertColumns="0" insertRows="0" insertHyperlinks="0" deleteColumns="0" deleteRows="0" sort="0" autoFilter="0" pivotTables="0"/>
  <autoFilter ref="A7:L10" xr:uid="{00000000-0009-0000-0000-000004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hiddenButton="1" showButton="0"/>
    <filterColumn colId="8" showButton="0"/>
    <filterColumn colId="9" showButton="0"/>
    <filterColumn colId="10" hiddenButton="1" showButton="0"/>
  </autoFilter>
  <sortState ref="D12:E51">
    <sortCondition ref="D11"/>
  </sortState>
  <mergeCells count="16">
    <mergeCell ref="A60:E60"/>
    <mergeCell ref="A8:L8"/>
    <mergeCell ref="A9:D9"/>
    <mergeCell ref="E9:E10"/>
    <mergeCell ref="A1:L1"/>
    <mergeCell ref="A5:L5"/>
    <mergeCell ref="A3:L3"/>
    <mergeCell ref="A4:L4"/>
    <mergeCell ref="L9:L10"/>
    <mergeCell ref="A2:L2"/>
    <mergeCell ref="A6:L6"/>
    <mergeCell ref="A7:L7"/>
    <mergeCell ref="F9:F10"/>
    <mergeCell ref="G9:G10"/>
    <mergeCell ref="I9:I10"/>
    <mergeCell ref="J9:J10"/>
  </mergeCells>
  <phoneticPr fontId="2" type="noConversion"/>
  <printOptions horizontalCentered="1"/>
  <pageMargins left="0.59055118110236227" right="0.39370078740157483" top="0.78740157480314965" bottom="0.47244094488188981" header="0" footer="0"/>
  <pageSetup scale="80" orientation="landscape" horizontalDpi="4294967293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M79"/>
  <sheetViews>
    <sheetView view="pageBreakPreview" zoomScaleSheetLayoutView="100" workbookViewId="0">
      <selection activeCell="M69" sqref="M69"/>
    </sheetView>
  </sheetViews>
  <sheetFormatPr baseColWidth="10" defaultColWidth="11.42578125" defaultRowHeight="12.75" x14ac:dyDescent="0.2"/>
  <cols>
    <col min="1" max="2" width="4.5703125" style="17" customWidth="1"/>
    <col min="3" max="3" width="6.140625" style="17" customWidth="1"/>
    <col min="4" max="4" width="10.28515625" style="17" customWidth="1"/>
    <col min="5" max="5" width="48" style="12" customWidth="1"/>
    <col min="6" max="6" width="16.28515625" style="12" customWidth="1"/>
    <col min="7" max="7" width="15.7109375" style="12" customWidth="1"/>
    <col min="8" max="8" width="16" style="12" customWidth="1"/>
    <col min="9" max="9" width="17.85546875" style="3" customWidth="1"/>
    <col min="10" max="10" width="17.140625" style="14" customWidth="1"/>
    <col min="11" max="11" width="11" style="14" customWidth="1"/>
    <col min="12" max="12" width="15.85546875" style="14" customWidth="1"/>
    <col min="13" max="16384" width="11.42578125" style="14"/>
  </cols>
  <sheetData>
    <row r="1" spans="1:12" ht="18" x14ac:dyDescent="0.25">
      <c r="A1" s="699" t="s">
        <v>427</v>
      </c>
      <c r="B1" s="699"/>
      <c r="C1" s="699"/>
      <c r="D1" s="699"/>
      <c r="E1" s="699"/>
      <c r="F1" s="699"/>
      <c r="G1" s="699"/>
      <c r="H1" s="699"/>
      <c r="I1" s="699"/>
      <c r="J1" s="4"/>
    </row>
    <row r="2" spans="1:12" ht="18" x14ac:dyDescent="0.25">
      <c r="A2" s="657" t="s">
        <v>426</v>
      </c>
      <c r="B2" s="657"/>
      <c r="C2" s="657"/>
      <c r="D2" s="657"/>
      <c r="E2" s="657"/>
      <c r="F2" s="657"/>
      <c r="G2" s="657"/>
      <c r="H2" s="657"/>
      <c r="I2" s="657"/>
      <c r="J2" s="4"/>
    </row>
    <row r="3" spans="1:12" ht="15.75" x14ac:dyDescent="0.2">
      <c r="A3" s="664" t="s">
        <v>228</v>
      </c>
      <c r="B3" s="664"/>
      <c r="C3" s="664"/>
      <c r="D3" s="664"/>
      <c r="E3" s="664"/>
      <c r="F3" s="664"/>
      <c r="G3" s="664"/>
      <c r="H3" s="664"/>
      <c r="I3" s="664"/>
    </row>
    <row r="4" spans="1:12" ht="15.75" x14ac:dyDescent="0.2">
      <c r="A4" s="664" t="s">
        <v>532</v>
      </c>
      <c r="B4" s="664"/>
      <c r="C4" s="664"/>
      <c r="D4" s="664"/>
      <c r="E4" s="664"/>
      <c r="F4" s="664"/>
      <c r="G4" s="664"/>
      <c r="H4" s="664"/>
      <c r="I4" s="664"/>
    </row>
    <row r="5" spans="1:12" ht="15.75" x14ac:dyDescent="0.25">
      <c r="A5" s="700" t="s">
        <v>13</v>
      </c>
      <c r="B5" s="700"/>
      <c r="C5" s="700"/>
      <c r="D5" s="700"/>
      <c r="E5" s="700"/>
      <c r="F5" s="700"/>
      <c r="G5" s="700"/>
      <c r="H5" s="700"/>
      <c r="I5" s="700"/>
    </row>
    <row r="6" spans="1:12" ht="15.75" x14ac:dyDescent="0.25">
      <c r="A6" s="702" t="s">
        <v>229</v>
      </c>
      <c r="B6" s="702"/>
      <c r="C6" s="702"/>
      <c r="D6" s="702"/>
      <c r="E6" s="702"/>
      <c r="F6" s="702"/>
      <c r="G6" s="702"/>
      <c r="H6" s="702"/>
      <c r="I6" s="702"/>
    </row>
    <row r="7" spans="1:12" ht="16.5" thickBot="1" x14ac:dyDescent="0.3">
      <c r="A7" s="703" t="s">
        <v>278</v>
      </c>
      <c r="B7" s="703"/>
      <c r="C7" s="703"/>
      <c r="D7" s="703"/>
      <c r="E7" s="703"/>
      <c r="F7" s="703"/>
      <c r="G7" s="703"/>
      <c r="H7" s="703"/>
      <c r="I7" s="703"/>
    </row>
    <row r="8" spans="1:12" ht="15" thickBot="1" x14ac:dyDescent="0.25">
      <c r="A8" s="704" t="s">
        <v>474</v>
      </c>
      <c r="B8" s="705"/>
      <c r="C8" s="705"/>
      <c r="D8" s="705"/>
      <c r="E8" s="706" t="s">
        <v>181</v>
      </c>
      <c r="F8" s="708" t="s">
        <v>349</v>
      </c>
      <c r="G8" s="708" t="s">
        <v>351</v>
      </c>
      <c r="H8" s="708" t="s">
        <v>350</v>
      </c>
      <c r="I8" s="708" t="s">
        <v>348</v>
      </c>
    </row>
    <row r="9" spans="1:12" s="15" customFormat="1" ht="180.75" customHeight="1" thickBot="1" x14ac:dyDescent="0.25">
      <c r="A9" s="352" t="s">
        <v>421</v>
      </c>
      <c r="B9" s="352" t="s">
        <v>175</v>
      </c>
      <c r="C9" s="352" t="s">
        <v>422</v>
      </c>
      <c r="D9" s="353" t="s">
        <v>118</v>
      </c>
      <c r="E9" s="707"/>
      <c r="F9" s="709"/>
      <c r="G9" s="709"/>
      <c r="H9" s="709"/>
      <c r="I9" s="709"/>
      <c r="J9" s="549"/>
      <c r="K9" s="549"/>
      <c r="L9" s="549"/>
    </row>
    <row r="10" spans="1:12" s="106" customFormat="1" ht="15.75" customHeight="1" x14ac:dyDescent="0.2">
      <c r="A10" s="287"/>
      <c r="B10" s="288" t="s">
        <v>51</v>
      </c>
      <c r="C10" s="288" t="s">
        <v>54</v>
      </c>
      <c r="D10" s="289">
        <v>51101</v>
      </c>
      <c r="E10" s="290" t="s">
        <v>37</v>
      </c>
      <c r="F10" s="291"/>
      <c r="G10" s="291">
        <f>proyectos!F63</f>
        <v>42479.64</v>
      </c>
      <c r="H10" s="291"/>
      <c r="I10" s="292">
        <f>SUM(F10:H10)</f>
        <v>42479.64</v>
      </c>
      <c r="J10" s="555">
        <f>SUM(F10:H10)</f>
        <v>42479.64</v>
      </c>
      <c r="K10" s="522">
        <v>51</v>
      </c>
      <c r="L10" s="556">
        <f>SUM(I10:I15)</f>
        <v>81697.75</v>
      </c>
    </row>
    <row r="11" spans="1:12" s="106" customFormat="1" ht="15.75" customHeight="1" x14ac:dyDescent="0.2">
      <c r="A11" s="287"/>
      <c r="B11" s="288" t="s">
        <v>51</v>
      </c>
      <c r="C11" s="288" t="s">
        <v>54</v>
      </c>
      <c r="D11" s="289">
        <v>51103</v>
      </c>
      <c r="E11" s="290" t="s">
        <v>38</v>
      </c>
      <c r="F11" s="291"/>
      <c r="G11" s="291">
        <f>proyectos!G63</f>
        <v>3539.97</v>
      </c>
      <c r="H11" s="291"/>
      <c r="I11" s="292">
        <f t="shared" ref="I11:I64" si="0">SUM(F11:H11)</f>
        <v>3539.97</v>
      </c>
      <c r="J11" s="555">
        <f>F11+G11+H11</f>
        <v>3539.97</v>
      </c>
      <c r="K11" s="522"/>
      <c r="L11" s="556"/>
    </row>
    <row r="12" spans="1:12" s="106" customFormat="1" ht="15.75" customHeight="1" x14ac:dyDescent="0.2">
      <c r="A12" s="287"/>
      <c r="B12" s="288" t="s">
        <v>51</v>
      </c>
      <c r="C12" s="288" t="s">
        <v>54</v>
      </c>
      <c r="D12" s="289">
        <v>51401</v>
      </c>
      <c r="E12" s="290" t="s">
        <v>364</v>
      </c>
      <c r="F12" s="291"/>
      <c r="G12" s="291">
        <f>proyectos!H63</f>
        <v>3185.97</v>
      </c>
      <c r="H12" s="291"/>
      <c r="I12" s="292">
        <f t="shared" si="0"/>
        <v>3185.97</v>
      </c>
      <c r="J12" s="555">
        <f t="shared" ref="J12:J68" si="1">SUM(F12:H12)</f>
        <v>3185.97</v>
      </c>
      <c r="K12" s="522">
        <v>54</v>
      </c>
      <c r="L12" s="556">
        <f>SUM(I16:I47)</f>
        <v>363882.48</v>
      </c>
    </row>
    <row r="13" spans="1:12" s="106" customFormat="1" ht="15.75" customHeight="1" x14ac:dyDescent="0.2">
      <c r="A13" s="287"/>
      <c r="B13" s="288" t="s">
        <v>51</v>
      </c>
      <c r="C13" s="288" t="s">
        <v>54</v>
      </c>
      <c r="D13" s="289">
        <v>51501</v>
      </c>
      <c r="E13" s="290" t="s">
        <v>365</v>
      </c>
      <c r="F13" s="291"/>
      <c r="G13" s="291">
        <f>proyectos!I63</f>
        <v>3292.17</v>
      </c>
      <c r="H13" s="291"/>
      <c r="I13" s="292">
        <f t="shared" si="0"/>
        <v>3292.17</v>
      </c>
      <c r="J13" s="555">
        <f t="shared" si="1"/>
        <v>3292.17</v>
      </c>
      <c r="K13" s="522">
        <v>55</v>
      </c>
      <c r="L13" s="556">
        <f>SUM(I48:I49)</f>
        <v>0</v>
      </c>
    </row>
    <row r="14" spans="1:12" s="106" customFormat="1" ht="15.75" customHeight="1" x14ac:dyDescent="0.2">
      <c r="A14" s="287"/>
      <c r="B14" s="288" t="s">
        <v>51</v>
      </c>
      <c r="C14" s="288" t="s">
        <v>54</v>
      </c>
      <c r="D14" s="289" t="s">
        <v>227</v>
      </c>
      <c r="E14" s="290" t="s">
        <v>209</v>
      </c>
      <c r="F14" s="291">
        <f>proyectos!L63</f>
        <v>17000</v>
      </c>
      <c r="G14" s="291"/>
      <c r="H14" s="291"/>
      <c r="I14" s="292">
        <f t="shared" si="0"/>
        <v>17000</v>
      </c>
      <c r="J14" s="555">
        <f t="shared" si="1"/>
        <v>17000</v>
      </c>
      <c r="K14" s="522">
        <v>56</v>
      </c>
      <c r="L14" s="556">
        <f>SUM(I51:I52)</f>
        <v>113800</v>
      </c>
    </row>
    <row r="15" spans="1:12" s="106" customFormat="1" ht="15.75" customHeight="1" x14ac:dyDescent="0.2">
      <c r="A15" s="287"/>
      <c r="B15" s="288" t="s">
        <v>51</v>
      </c>
      <c r="C15" s="288" t="s">
        <v>54</v>
      </c>
      <c r="D15" s="289" t="s">
        <v>273</v>
      </c>
      <c r="E15" s="290" t="s">
        <v>274</v>
      </c>
      <c r="F15" s="291"/>
      <c r="G15" s="291">
        <f>proyectos!M63</f>
        <v>12200</v>
      </c>
      <c r="H15" s="291"/>
      <c r="I15" s="292">
        <f t="shared" si="0"/>
        <v>12200</v>
      </c>
      <c r="J15" s="555">
        <f t="shared" si="1"/>
        <v>12200</v>
      </c>
      <c r="K15" s="522">
        <v>61</v>
      </c>
      <c r="L15" s="556">
        <f>SUM(I53:I64)</f>
        <v>575182.16000000015</v>
      </c>
    </row>
    <row r="16" spans="1:12" s="106" customFormat="1" ht="15.75" customHeight="1" x14ac:dyDescent="0.2">
      <c r="A16" s="287"/>
      <c r="B16" s="288" t="s">
        <v>51</v>
      </c>
      <c r="C16" s="288" t="s">
        <v>54</v>
      </c>
      <c r="D16" s="289">
        <v>54101</v>
      </c>
      <c r="E16" s="290" t="s">
        <v>40</v>
      </c>
      <c r="F16" s="291"/>
      <c r="G16" s="291"/>
      <c r="H16" s="291"/>
      <c r="I16" s="292">
        <f t="shared" si="0"/>
        <v>0</v>
      </c>
      <c r="J16" s="555">
        <f t="shared" si="1"/>
        <v>0</v>
      </c>
      <c r="K16" s="522">
        <v>71</v>
      </c>
      <c r="L16" s="556">
        <f>I65</f>
        <v>244637.82</v>
      </c>
    </row>
    <row r="17" spans="1:13" s="106" customFormat="1" ht="15.75" customHeight="1" x14ac:dyDescent="0.2">
      <c r="A17" s="287"/>
      <c r="B17" s="288" t="s">
        <v>51</v>
      </c>
      <c r="C17" s="288" t="s">
        <v>54</v>
      </c>
      <c r="D17" s="289">
        <v>54103</v>
      </c>
      <c r="E17" s="290" t="s">
        <v>230</v>
      </c>
      <c r="F17" s="291"/>
      <c r="G17" s="291">
        <f>proyectos!O24</f>
        <v>0</v>
      </c>
      <c r="H17" s="291"/>
      <c r="I17" s="292">
        <f t="shared" si="0"/>
        <v>0</v>
      </c>
      <c r="J17" s="555">
        <f t="shared" si="1"/>
        <v>0</v>
      </c>
      <c r="K17" s="563">
        <v>72</v>
      </c>
      <c r="L17" s="564">
        <f>I65</f>
        <v>244637.82</v>
      </c>
      <c r="M17" s="565"/>
    </row>
    <row r="18" spans="1:13" s="106" customFormat="1" ht="15.75" customHeight="1" x14ac:dyDescent="0.2">
      <c r="A18" s="287"/>
      <c r="B18" s="293" t="s">
        <v>51</v>
      </c>
      <c r="C18" s="288" t="s">
        <v>54</v>
      </c>
      <c r="D18" s="294">
        <v>54104</v>
      </c>
      <c r="E18" s="295" t="s">
        <v>210</v>
      </c>
      <c r="F18" s="296"/>
      <c r="G18" s="296"/>
      <c r="H18" s="296"/>
      <c r="I18" s="292">
        <f t="shared" si="0"/>
        <v>0</v>
      </c>
      <c r="J18" s="555">
        <f t="shared" si="1"/>
        <v>0</v>
      </c>
      <c r="K18" s="563"/>
      <c r="L18" s="564">
        <f>SUM(L10:L16)</f>
        <v>1379200.2100000002</v>
      </c>
      <c r="M18" s="565"/>
    </row>
    <row r="19" spans="1:13" s="106" customFormat="1" ht="15.75" customHeight="1" x14ac:dyDescent="0.2">
      <c r="A19" s="287"/>
      <c r="B19" s="293" t="s">
        <v>51</v>
      </c>
      <c r="C19" s="288" t="s">
        <v>54</v>
      </c>
      <c r="D19" s="294">
        <v>54106</v>
      </c>
      <c r="E19" s="295" t="s">
        <v>231</v>
      </c>
      <c r="F19" s="296"/>
      <c r="G19" s="296"/>
      <c r="H19" s="296"/>
      <c r="I19" s="292">
        <f t="shared" si="0"/>
        <v>0</v>
      </c>
      <c r="J19" s="555">
        <f t="shared" si="1"/>
        <v>0</v>
      </c>
      <c r="K19" s="563"/>
      <c r="L19" s="563"/>
      <c r="M19" s="565"/>
    </row>
    <row r="20" spans="1:13" s="106" customFormat="1" ht="15.75" customHeight="1" x14ac:dyDescent="0.2">
      <c r="A20" s="287"/>
      <c r="B20" s="293" t="s">
        <v>51</v>
      </c>
      <c r="C20" s="288" t="s">
        <v>54</v>
      </c>
      <c r="D20" s="294">
        <v>54107</v>
      </c>
      <c r="E20" s="295" t="s">
        <v>212</v>
      </c>
      <c r="F20" s="296"/>
      <c r="G20" s="296">
        <f>proyectos!Q63</f>
        <v>15000</v>
      </c>
      <c r="H20" s="296"/>
      <c r="I20" s="292">
        <f t="shared" si="0"/>
        <v>15000</v>
      </c>
      <c r="J20" s="555">
        <f t="shared" si="1"/>
        <v>15000</v>
      </c>
      <c r="K20" s="563"/>
      <c r="L20" s="563"/>
      <c r="M20" s="565"/>
    </row>
    <row r="21" spans="1:13" s="106" customFormat="1" ht="15.75" customHeight="1" x14ac:dyDescent="0.2">
      <c r="A21" s="287"/>
      <c r="B21" s="293" t="s">
        <v>51</v>
      </c>
      <c r="C21" s="288" t="s">
        <v>54</v>
      </c>
      <c r="D21" s="294">
        <v>54109</v>
      </c>
      <c r="E21" s="295" t="s">
        <v>213</v>
      </c>
      <c r="F21" s="296"/>
      <c r="G21" s="296"/>
      <c r="H21" s="296"/>
      <c r="I21" s="292">
        <f t="shared" si="0"/>
        <v>0</v>
      </c>
      <c r="J21" s="555">
        <f t="shared" si="1"/>
        <v>0</v>
      </c>
      <c r="K21" s="522"/>
      <c r="L21" s="522"/>
    </row>
    <row r="22" spans="1:13" s="106" customFormat="1" ht="15.75" customHeight="1" x14ac:dyDescent="0.2">
      <c r="A22" s="287"/>
      <c r="B22" s="293" t="s">
        <v>51</v>
      </c>
      <c r="C22" s="288" t="s">
        <v>54</v>
      </c>
      <c r="D22" s="294">
        <v>54110</v>
      </c>
      <c r="E22" s="295" t="s">
        <v>42</v>
      </c>
      <c r="F22" s="296">
        <f>proyectos!R63</f>
        <v>900</v>
      </c>
      <c r="G22" s="296"/>
      <c r="H22" s="296"/>
      <c r="I22" s="292">
        <f t="shared" si="0"/>
        <v>900</v>
      </c>
      <c r="J22" s="555">
        <f t="shared" si="1"/>
        <v>900</v>
      </c>
      <c r="K22" s="522"/>
      <c r="L22" s="522"/>
    </row>
    <row r="23" spans="1:13" s="106" customFormat="1" ht="15.75" customHeight="1" x14ac:dyDescent="0.2">
      <c r="A23" s="287"/>
      <c r="B23" s="293" t="s">
        <v>51</v>
      </c>
      <c r="C23" s="288" t="s">
        <v>54</v>
      </c>
      <c r="D23" s="294">
        <v>54111</v>
      </c>
      <c r="E23" s="295" t="s">
        <v>48</v>
      </c>
      <c r="F23" s="296">
        <f>proyectos!S63</f>
        <v>70000</v>
      </c>
      <c r="G23" s="296"/>
      <c r="H23" s="296"/>
      <c r="I23" s="292">
        <f t="shared" si="0"/>
        <v>70000</v>
      </c>
      <c r="J23" s="555">
        <f t="shared" si="1"/>
        <v>70000</v>
      </c>
      <c r="K23" s="522"/>
      <c r="L23" s="522"/>
    </row>
    <row r="24" spans="1:13" s="106" customFormat="1" ht="15.75" customHeight="1" x14ac:dyDescent="0.2">
      <c r="A24" s="287"/>
      <c r="B24" s="293" t="s">
        <v>51</v>
      </c>
      <c r="C24" s="288" t="s">
        <v>54</v>
      </c>
      <c r="D24" s="294">
        <v>54112</v>
      </c>
      <c r="E24" s="295" t="s">
        <v>47</v>
      </c>
      <c r="F24" s="296">
        <f>proyectos!AT63</f>
        <v>4399.3599999999997</v>
      </c>
      <c r="G24" s="296"/>
      <c r="H24" s="296"/>
      <c r="I24" s="292">
        <f t="shared" si="0"/>
        <v>4399.3599999999997</v>
      </c>
      <c r="J24" s="555">
        <f t="shared" si="1"/>
        <v>4399.3599999999997</v>
      </c>
      <c r="K24" s="522"/>
      <c r="L24" s="522"/>
    </row>
    <row r="25" spans="1:13" s="106" customFormat="1" ht="15.75" customHeight="1" x14ac:dyDescent="0.2">
      <c r="A25" s="287"/>
      <c r="B25" s="293" t="s">
        <v>51</v>
      </c>
      <c r="C25" s="288" t="s">
        <v>54</v>
      </c>
      <c r="D25" s="294">
        <v>54114</v>
      </c>
      <c r="E25" s="295" t="s">
        <v>43</v>
      </c>
      <c r="F25" s="296"/>
      <c r="G25" s="296">
        <f>proyectos!T63</f>
        <v>2500</v>
      </c>
      <c r="H25" s="296"/>
      <c r="I25" s="292">
        <f t="shared" si="0"/>
        <v>2500</v>
      </c>
      <c r="J25" s="555">
        <f t="shared" si="1"/>
        <v>2500</v>
      </c>
      <c r="K25" s="522"/>
      <c r="L25" s="522"/>
    </row>
    <row r="26" spans="1:13" s="106" customFormat="1" ht="15.75" customHeight="1" x14ac:dyDescent="0.2">
      <c r="A26" s="287"/>
      <c r="B26" s="293" t="s">
        <v>51</v>
      </c>
      <c r="C26" s="288" t="s">
        <v>54</v>
      </c>
      <c r="D26" s="294">
        <v>54115</v>
      </c>
      <c r="E26" s="295" t="s">
        <v>80</v>
      </c>
      <c r="F26" s="296"/>
      <c r="G26" s="296"/>
      <c r="H26" s="296"/>
      <c r="I26" s="292">
        <f t="shared" si="0"/>
        <v>0</v>
      </c>
      <c r="J26" s="555">
        <f t="shared" si="1"/>
        <v>0</v>
      </c>
      <c r="K26" s="522"/>
      <c r="L26" s="522"/>
    </row>
    <row r="27" spans="1:13" s="106" customFormat="1" ht="15.75" customHeight="1" x14ac:dyDescent="0.2">
      <c r="A27" s="287"/>
      <c r="B27" s="293" t="s">
        <v>51</v>
      </c>
      <c r="C27" s="288" t="s">
        <v>54</v>
      </c>
      <c r="D27" s="294">
        <v>54116</v>
      </c>
      <c r="E27" s="295" t="s">
        <v>463</v>
      </c>
      <c r="F27" s="355"/>
      <c r="G27" s="296">
        <f>proyectos!U24</f>
        <v>0</v>
      </c>
      <c r="H27" s="296"/>
      <c r="I27" s="292">
        <f t="shared" si="0"/>
        <v>0</v>
      </c>
      <c r="J27" s="555"/>
      <c r="K27" s="522"/>
      <c r="L27" s="522"/>
    </row>
    <row r="28" spans="1:13" s="106" customFormat="1" ht="15.75" customHeight="1" x14ac:dyDescent="0.2">
      <c r="A28" s="287"/>
      <c r="B28" s="293" t="s">
        <v>51</v>
      </c>
      <c r="C28" s="288" t="s">
        <v>54</v>
      </c>
      <c r="D28" s="294">
        <v>54118</v>
      </c>
      <c r="E28" s="356" t="s">
        <v>315</v>
      </c>
      <c r="F28" s="296">
        <f>proyectos!W63</f>
        <v>300</v>
      </c>
      <c r="G28" s="296"/>
      <c r="H28" s="296"/>
      <c r="I28" s="292">
        <f t="shared" si="0"/>
        <v>300</v>
      </c>
      <c r="J28" s="555">
        <f t="shared" si="1"/>
        <v>300</v>
      </c>
      <c r="K28" s="522"/>
      <c r="L28" s="522"/>
    </row>
    <row r="29" spans="1:13" s="106" customFormat="1" ht="15.75" customHeight="1" x14ac:dyDescent="0.2">
      <c r="A29" s="287"/>
      <c r="B29" s="293" t="s">
        <v>51</v>
      </c>
      <c r="C29" s="288" t="s">
        <v>54</v>
      </c>
      <c r="D29" s="294">
        <v>54119</v>
      </c>
      <c r="E29" s="295" t="s">
        <v>104</v>
      </c>
      <c r="F29" s="296">
        <f>ESPECIFICOPROYECTOS!H420</f>
        <v>5667.1</v>
      </c>
      <c r="G29" s="296"/>
      <c r="H29" s="296"/>
      <c r="I29" s="292">
        <f t="shared" si="0"/>
        <v>5667.1</v>
      </c>
      <c r="J29" s="555">
        <f t="shared" si="1"/>
        <v>5667.1</v>
      </c>
      <c r="K29" s="522"/>
      <c r="L29" s="522"/>
    </row>
    <row r="30" spans="1:13" s="106" customFormat="1" ht="15.75" customHeight="1" x14ac:dyDescent="0.2">
      <c r="A30" s="287"/>
      <c r="B30" s="293" t="s">
        <v>51</v>
      </c>
      <c r="C30" s="288" t="s">
        <v>54</v>
      </c>
      <c r="D30" s="294">
        <v>54199</v>
      </c>
      <c r="E30" s="295" t="s">
        <v>268</v>
      </c>
      <c r="F30" s="296"/>
      <c r="G30" s="296">
        <f>proyectos!AB63</f>
        <v>2000</v>
      </c>
      <c r="H30" s="296"/>
      <c r="I30" s="292">
        <f t="shared" si="0"/>
        <v>2000</v>
      </c>
      <c r="J30" s="555">
        <f t="shared" si="1"/>
        <v>2000</v>
      </c>
      <c r="K30" s="522"/>
      <c r="L30" s="522"/>
    </row>
    <row r="31" spans="1:13" s="106" customFormat="1" ht="15.75" customHeight="1" x14ac:dyDescent="0.2">
      <c r="A31" s="287"/>
      <c r="B31" s="293" t="s">
        <v>51</v>
      </c>
      <c r="C31" s="288" t="s">
        <v>54</v>
      </c>
      <c r="D31" s="294">
        <v>54201</v>
      </c>
      <c r="E31" s="295" t="s">
        <v>366</v>
      </c>
      <c r="F31" s="296"/>
      <c r="G31" s="296"/>
      <c r="H31" s="296"/>
      <c r="I31" s="292">
        <f t="shared" si="0"/>
        <v>0</v>
      </c>
      <c r="J31" s="555">
        <f t="shared" si="1"/>
        <v>0</v>
      </c>
      <c r="K31" s="522"/>
      <c r="L31" s="556">
        <f>SUM(I16:I47)</f>
        <v>363882.48</v>
      </c>
    </row>
    <row r="32" spans="1:13" s="106" customFormat="1" ht="15.75" customHeight="1" x14ac:dyDescent="0.2">
      <c r="A32" s="287"/>
      <c r="B32" s="293" t="s">
        <v>51</v>
      </c>
      <c r="C32" s="288" t="s">
        <v>54</v>
      </c>
      <c r="D32" s="294">
        <v>54205</v>
      </c>
      <c r="E32" s="295" t="s">
        <v>25</v>
      </c>
      <c r="F32" s="296"/>
      <c r="G32" s="296"/>
      <c r="H32" s="296"/>
      <c r="I32" s="292">
        <f t="shared" si="0"/>
        <v>0</v>
      </c>
      <c r="J32" s="555">
        <f t="shared" si="1"/>
        <v>0</v>
      </c>
      <c r="K32" s="522"/>
      <c r="L32" s="522"/>
    </row>
    <row r="33" spans="1:12" s="106" customFormat="1" ht="15.75" customHeight="1" x14ac:dyDescent="0.2">
      <c r="A33" s="287"/>
      <c r="B33" s="293" t="s">
        <v>51</v>
      </c>
      <c r="C33" s="288" t="s">
        <v>54</v>
      </c>
      <c r="D33" s="294">
        <v>54301</v>
      </c>
      <c r="E33" s="295" t="s">
        <v>316</v>
      </c>
      <c r="F33" s="296"/>
      <c r="G33" s="296"/>
      <c r="H33" s="296"/>
      <c r="I33" s="292">
        <f t="shared" si="0"/>
        <v>0</v>
      </c>
      <c r="J33" s="555">
        <f t="shared" si="1"/>
        <v>0</v>
      </c>
      <c r="K33" s="522"/>
      <c r="L33" s="522"/>
    </row>
    <row r="34" spans="1:12" s="106" customFormat="1" ht="15.75" customHeight="1" x14ac:dyDescent="0.2">
      <c r="A34" s="287"/>
      <c r="B34" s="293" t="s">
        <v>51</v>
      </c>
      <c r="C34" s="288" t="s">
        <v>54</v>
      </c>
      <c r="D34" s="294">
        <v>54302</v>
      </c>
      <c r="E34" s="295" t="s">
        <v>317</v>
      </c>
      <c r="F34" s="296">
        <f>proyectos!AD63</f>
        <v>0</v>
      </c>
      <c r="G34" s="296"/>
      <c r="H34" s="296"/>
      <c r="I34" s="292">
        <f t="shared" si="0"/>
        <v>0</v>
      </c>
      <c r="J34" s="555">
        <f t="shared" si="1"/>
        <v>0</v>
      </c>
      <c r="K34" s="522"/>
      <c r="L34" s="522"/>
    </row>
    <row r="35" spans="1:12" s="106" customFormat="1" ht="15.75" customHeight="1" x14ac:dyDescent="0.2">
      <c r="A35" s="287"/>
      <c r="B35" s="293" t="s">
        <v>51</v>
      </c>
      <c r="C35" s="288" t="s">
        <v>54</v>
      </c>
      <c r="D35" s="294">
        <v>54303</v>
      </c>
      <c r="E35" s="295" t="s">
        <v>382</v>
      </c>
      <c r="F35" s="296"/>
      <c r="G35" s="296"/>
      <c r="H35" s="296"/>
      <c r="I35" s="292">
        <f t="shared" si="0"/>
        <v>0</v>
      </c>
      <c r="J35" s="555">
        <f t="shared" si="1"/>
        <v>0</v>
      </c>
      <c r="K35" s="522"/>
      <c r="L35" s="522"/>
    </row>
    <row r="36" spans="1:12" s="106" customFormat="1" ht="15.75" customHeight="1" x14ac:dyDescent="0.2">
      <c r="A36" s="287"/>
      <c r="B36" s="293" t="s">
        <v>51</v>
      </c>
      <c r="C36" s="288" t="s">
        <v>54</v>
      </c>
      <c r="D36" s="294">
        <v>54304</v>
      </c>
      <c r="E36" s="295" t="s">
        <v>89</v>
      </c>
      <c r="F36" s="296"/>
      <c r="G36" s="296">
        <f>proyectos!AE63</f>
        <v>3000</v>
      </c>
      <c r="H36" s="296"/>
      <c r="I36" s="292">
        <f t="shared" si="0"/>
        <v>3000</v>
      </c>
      <c r="J36" s="555">
        <f t="shared" si="1"/>
        <v>3000</v>
      </c>
      <c r="K36" s="522"/>
      <c r="L36" s="522"/>
    </row>
    <row r="37" spans="1:12" s="106" customFormat="1" ht="15.75" customHeight="1" x14ac:dyDescent="0.2">
      <c r="A37" s="287"/>
      <c r="B37" s="293" t="s">
        <v>51</v>
      </c>
      <c r="C37" s="288" t="s">
        <v>54</v>
      </c>
      <c r="D37" s="294">
        <v>54305</v>
      </c>
      <c r="E37" s="295" t="s">
        <v>232</v>
      </c>
      <c r="F37" s="296"/>
      <c r="G37" s="296"/>
      <c r="H37" s="296"/>
      <c r="I37" s="292">
        <f t="shared" si="0"/>
        <v>0</v>
      </c>
      <c r="J37" s="555">
        <f t="shared" si="1"/>
        <v>0</v>
      </c>
      <c r="K37" s="522"/>
      <c r="L37" s="522"/>
    </row>
    <row r="38" spans="1:12" s="106" customFormat="1" ht="15.75" customHeight="1" x14ac:dyDescent="0.2">
      <c r="A38" s="287"/>
      <c r="B38" s="293" t="s">
        <v>51</v>
      </c>
      <c r="C38" s="288" t="s">
        <v>54</v>
      </c>
      <c r="D38" s="294">
        <v>54307</v>
      </c>
      <c r="E38" s="295" t="s">
        <v>318</v>
      </c>
      <c r="F38" s="296"/>
      <c r="G38" s="296"/>
      <c r="H38" s="296"/>
      <c r="I38" s="292">
        <f t="shared" si="0"/>
        <v>0</v>
      </c>
      <c r="J38" s="555">
        <f t="shared" si="1"/>
        <v>0</v>
      </c>
      <c r="K38" s="522"/>
      <c r="L38" s="522"/>
    </row>
    <row r="39" spans="1:12" s="106" customFormat="1" ht="15.75" customHeight="1" x14ac:dyDescent="0.2">
      <c r="A39" s="287"/>
      <c r="B39" s="293" t="s">
        <v>51</v>
      </c>
      <c r="C39" s="288" t="s">
        <v>54</v>
      </c>
      <c r="D39" s="294">
        <v>54310</v>
      </c>
      <c r="E39" s="295" t="s">
        <v>221</v>
      </c>
      <c r="F39" s="296"/>
      <c r="G39" s="296"/>
      <c r="H39" s="296"/>
      <c r="I39" s="292">
        <f t="shared" si="0"/>
        <v>0</v>
      </c>
      <c r="J39" s="555">
        <f t="shared" si="1"/>
        <v>0</v>
      </c>
      <c r="K39" s="522"/>
      <c r="L39" s="522"/>
    </row>
    <row r="40" spans="1:12" s="106" customFormat="1" ht="15.75" customHeight="1" x14ac:dyDescent="0.2">
      <c r="A40" s="287"/>
      <c r="B40" s="293" t="s">
        <v>51</v>
      </c>
      <c r="C40" s="288" t="s">
        <v>54</v>
      </c>
      <c r="D40" s="294">
        <v>54313</v>
      </c>
      <c r="E40" s="295" t="s">
        <v>233</v>
      </c>
      <c r="F40" s="296"/>
      <c r="G40" s="296"/>
      <c r="H40" s="296"/>
      <c r="I40" s="292">
        <f t="shared" si="0"/>
        <v>0</v>
      </c>
      <c r="J40" s="555">
        <f t="shared" si="1"/>
        <v>0</v>
      </c>
      <c r="K40" s="522"/>
      <c r="L40" s="522"/>
    </row>
    <row r="41" spans="1:12" s="106" customFormat="1" ht="15.75" customHeight="1" x14ac:dyDescent="0.2">
      <c r="A41" s="287"/>
      <c r="B41" s="293" t="s">
        <v>51</v>
      </c>
      <c r="C41" s="288" t="s">
        <v>54</v>
      </c>
      <c r="D41" s="294">
        <v>54314</v>
      </c>
      <c r="E41" s="295" t="s">
        <v>84</v>
      </c>
      <c r="F41" s="296"/>
      <c r="G41" s="296">
        <f>proyectos!AF63</f>
        <v>80500</v>
      </c>
      <c r="H41" s="296"/>
      <c r="I41" s="292">
        <f t="shared" si="0"/>
        <v>80500</v>
      </c>
      <c r="J41" s="555">
        <f t="shared" si="1"/>
        <v>80500</v>
      </c>
      <c r="K41" s="522"/>
      <c r="L41" s="522"/>
    </row>
    <row r="42" spans="1:12" s="106" customFormat="1" ht="15.75" customHeight="1" x14ac:dyDescent="0.2">
      <c r="A42" s="287"/>
      <c r="B42" s="293" t="s">
        <v>51</v>
      </c>
      <c r="C42" s="288" t="s">
        <v>54</v>
      </c>
      <c r="D42" s="294">
        <v>54316</v>
      </c>
      <c r="E42" s="295" t="s">
        <v>234</v>
      </c>
      <c r="F42" s="296"/>
      <c r="G42" s="296"/>
      <c r="H42" s="296"/>
      <c r="I42" s="292">
        <f t="shared" si="0"/>
        <v>0</v>
      </c>
      <c r="J42" s="555">
        <f t="shared" si="1"/>
        <v>0</v>
      </c>
      <c r="K42" s="522"/>
      <c r="L42" s="522"/>
    </row>
    <row r="43" spans="1:12" s="106" customFormat="1" ht="15.75" customHeight="1" x14ac:dyDescent="0.2">
      <c r="A43" s="287"/>
      <c r="B43" s="293" t="s">
        <v>51</v>
      </c>
      <c r="C43" s="288" t="s">
        <v>54</v>
      </c>
      <c r="D43" s="294">
        <v>54399</v>
      </c>
      <c r="E43" s="295" t="s">
        <v>235</v>
      </c>
      <c r="F43" s="296">
        <f>proyectos!AG63</f>
        <v>10596.02</v>
      </c>
      <c r="G43" s="296">
        <f>proyectos!AG24</f>
        <v>0</v>
      </c>
      <c r="H43" s="296"/>
      <c r="I43" s="292">
        <f t="shared" si="0"/>
        <v>10596.02</v>
      </c>
      <c r="J43" s="555">
        <f t="shared" si="1"/>
        <v>10596.02</v>
      </c>
      <c r="K43" s="522"/>
      <c r="L43" s="522"/>
    </row>
    <row r="44" spans="1:12" s="106" customFormat="1" ht="14.25" customHeight="1" x14ac:dyDescent="0.2">
      <c r="A44" s="287"/>
      <c r="B44" s="293" t="s">
        <v>51</v>
      </c>
      <c r="C44" s="288" t="s">
        <v>54</v>
      </c>
      <c r="D44" s="294">
        <v>54508</v>
      </c>
      <c r="E44" s="295" t="s">
        <v>237</v>
      </c>
      <c r="F44" s="296"/>
      <c r="G44" s="296"/>
      <c r="H44" s="296"/>
      <c r="I44" s="292">
        <f t="shared" si="0"/>
        <v>0</v>
      </c>
      <c r="J44" s="555">
        <f t="shared" si="1"/>
        <v>0</v>
      </c>
      <c r="K44" s="522"/>
      <c r="L44" s="522"/>
    </row>
    <row r="45" spans="1:12" s="106" customFormat="1" ht="15.75" customHeight="1" x14ac:dyDescent="0.2">
      <c r="A45" s="287"/>
      <c r="B45" s="293" t="s">
        <v>51</v>
      </c>
      <c r="C45" s="288" t="s">
        <v>54</v>
      </c>
      <c r="D45" s="294">
        <v>54599</v>
      </c>
      <c r="E45" s="295" t="s">
        <v>238</v>
      </c>
      <c r="F45" s="296"/>
      <c r="G45" s="296"/>
      <c r="H45" s="296"/>
      <c r="I45" s="292">
        <f t="shared" si="0"/>
        <v>0</v>
      </c>
      <c r="J45" s="555">
        <f t="shared" si="1"/>
        <v>0</v>
      </c>
      <c r="K45" s="522"/>
      <c r="L45" s="522"/>
    </row>
    <row r="46" spans="1:12" s="106" customFormat="1" ht="15.75" customHeight="1" x14ac:dyDescent="0.2">
      <c r="A46" s="287"/>
      <c r="B46" s="293" t="s">
        <v>51</v>
      </c>
      <c r="C46" s="288" t="s">
        <v>54</v>
      </c>
      <c r="D46" s="294">
        <v>54602</v>
      </c>
      <c r="E46" s="295" t="s">
        <v>239</v>
      </c>
      <c r="F46" s="296"/>
      <c r="G46" s="296">
        <f>proyectos!AK63</f>
        <v>108000</v>
      </c>
      <c r="H46" s="296"/>
      <c r="I46" s="292">
        <f t="shared" si="0"/>
        <v>108000</v>
      </c>
      <c r="J46" s="555">
        <f t="shared" si="1"/>
        <v>108000</v>
      </c>
      <c r="K46" s="522"/>
      <c r="L46" s="522"/>
    </row>
    <row r="47" spans="1:12" s="106" customFormat="1" ht="15.75" customHeight="1" x14ac:dyDescent="0.2">
      <c r="A47" s="287"/>
      <c r="B47" s="293" t="s">
        <v>51</v>
      </c>
      <c r="C47" s="288" t="s">
        <v>54</v>
      </c>
      <c r="D47" s="294">
        <v>54603</v>
      </c>
      <c r="E47" s="295" t="s">
        <v>466</v>
      </c>
      <c r="F47" s="296"/>
      <c r="G47" s="296">
        <f>proyectos!AL63</f>
        <v>61020</v>
      </c>
      <c r="H47" s="296"/>
      <c r="I47" s="292">
        <f t="shared" si="0"/>
        <v>61020</v>
      </c>
      <c r="J47" s="555">
        <f>proyectos!AL63</f>
        <v>61020</v>
      </c>
      <c r="K47" s="522"/>
      <c r="L47" s="522"/>
    </row>
    <row r="48" spans="1:12" s="106" customFormat="1" ht="15.75" customHeight="1" x14ac:dyDescent="0.2">
      <c r="A48" s="287"/>
      <c r="B48" s="293" t="s">
        <v>51</v>
      </c>
      <c r="C48" s="288" t="s">
        <v>54</v>
      </c>
      <c r="D48" s="294">
        <v>55307</v>
      </c>
      <c r="E48" s="295" t="s">
        <v>523</v>
      </c>
      <c r="F48" s="296">
        <f>proyectos!Z63</f>
        <v>0</v>
      </c>
      <c r="G48" s="296"/>
      <c r="H48" s="296"/>
      <c r="I48" s="292">
        <f t="shared" si="0"/>
        <v>0</v>
      </c>
      <c r="J48" s="555"/>
      <c r="K48" s="522"/>
      <c r="L48" s="522"/>
    </row>
    <row r="49" spans="1:12" s="106" customFormat="1" ht="13.5" customHeight="1" x14ac:dyDescent="0.2">
      <c r="A49" s="287"/>
      <c r="B49" s="293" t="s">
        <v>51</v>
      </c>
      <c r="C49" s="288" t="s">
        <v>54</v>
      </c>
      <c r="D49" s="294">
        <v>55602</v>
      </c>
      <c r="E49" s="295" t="s">
        <v>522</v>
      </c>
      <c r="F49" s="296">
        <f>proyectos!Y63</f>
        <v>0</v>
      </c>
      <c r="G49" s="296"/>
      <c r="H49" s="296"/>
      <c r="I49" s="292">
        <f t="shared" si="0"/>
        <v>0</v>
      </c>
      <c r="J49" s="555"/>
      <c r="K49" s="522"/>
      <c r="L49" s="522"/>
    </row>
    <row r="50" spans="1:12" s="106" customFormat="1" ht="15.75" customHeight="1" x14ac:dyDescent="0.2">
      <c r="A50" s="287"/>
      <c r="B50" s="293" t="s">
        <v>51</v>
      </c>
      <c r="C50" s="288" t="s">
        <v>54</v>
      </c>
      <c r="D50" s="294">
        <v>55603</v>
      </c>
      <c r="E50" s="295" t="s">
        <v>222</v>
      </c>
      <c r="F50" s="296"/>
      <c r="G50" s="296"/>
      <c r="H50" s="296"/>
      <c r="I50" s="292">
        <f t="shared" si="0"/>
        <v>0</v>
      </c>
      <c r="J50" s="555">
        <f t="shared" si="1"/>
        <v>0</v>
      </c>
      <c r="K50" s="522"/>
      <c r="L50" s="522"/>
    </row>
    <row r="51" spans="1:12" s="106" customFormat="1" ht="15.75" customHeight="1" x14ac:dyDescent="0.2">
      <c r="A51" s="287"/>
      <c r="B51" s="293" t="s">
        <v>51</v>
      </c>
      <c r="C51" s="288" t="s">
        <v>54</v>
      </c>
      <c r="D51" s="294">
        <v>56304</v>
      </c>
      <c r="E51" s="295" t="s">
        <v>262</v>
      </c>
      <c r="F51" s="296"/>
      <c r="G51" s="296">
        <f>proyectos!AW63</f>
        <v>85000</v>
      </c>
      <c r="H51" s="296"/>
      <c r="I51" s="292">
        <f t="shared" si="0"/>
        <v>85000</v>
      </c>
      <c r="J51" s="555">
        <f t="shared" si="1"/>
        <v>85000</v>
      </c>
      <c r="K51" s="522"/>
      <c r="L51" s="522"/>
    </row>
    <row r="52" spans="1:12" s="106" customFormat="1" ht="15.75" customHeight="1" x14ac:dyDescent="0.2">
      <c r="A52" s="287"/>
      <c r="B52" s="293" t="s">
        <v>51</v>
      </c>
      <c r="C52" s="288" t="s">
        <v>54</v>
      </c>
      <c r="D52" s="294">
        <v>56305</v>
      </c>
      <c r="E52" s="295" t="s">
        <v>319</v>
      </c>
      <c r="F52" s="296"/>
      <c r="G52" s="296">
        <f>proyectos!AI63</f>
        <v>28800</v>
      </c>
      <c r="H52" s="296"/>
      <c r="I52" s="292">
        <f t="shared" si="0"/>
        <v>28800</v>
      </c>
      <c r="J52" s="555">
        <f t="shared" si="1"/>
        <v>28800</v>
      </c>
      <c r="K52" s="522"/>
      <c r="L52" s="556">
        <f>SUM(I53:I63)</f>
        <v>572761.62</v>
      </c>
    </row>
    <row r="53" spans="1:12" s="106" customFormat="1" ht="15.75" customHeight="1" x14ac:dyDescent="0.2">
      <c r="A53" s="287"/>
      <c r="B53" s="293" t="s">
        <v>51</v>
      </c>
      <c r="C53" s="288" t="s">
        <v>54</v>
      </c>
      <c r="D53" s="294">
        <v>61101</v>
      </c>
      <c r="E53" s="295" t="s">
        <v>225</v>
      </c>
      <c r="F53" s="296"/>
      <c r="G53" s="296"/>
      <c r="H53" s="296"/>
      <c r="I53" s="292">
        <f t="shared" si="0"/>
        <v>0</v>
      </c>
      <c r="J53" s="555">
        <f t="shared" si="1"/>
        <v>0</v>
      </c>
      <c r="K53" s="522"/>
      <c r="L53" s="522"/>
    </row>
    <row r="54" spans="1:12" s="106" customFormat="1" ht="15.75" customHeight="1" x14ac:dyDescent="0.2">
      <c r="A54" s="287"/>
      <c r="B54" s="293" t="s">
        <v>51</v>
      </c>
      <c r="C54" s="288" t="s">
        <v>54</v>
      </c>
      <c r="D54" s="294">
        <v>61102</v>
      </c>
      <c r="E54" s="295" t="str">
        <f>proyectos!B50</f>
        <v>Maquinaria y Equipos (61102)</v>
      </c>
      <c r="F54" s="296"/>
      <c r="G54" s="296"/>
      <c r="H54" s="296"/>
      <c r="I54" s="292">
        <f t="shared" si="0"/>
        <v>0</v>
      </c>
      <c r="J54" s="555">
        <f t="shared" si="1"/>
        <v>0</v>
      </c>
      <c r="K54" s="522"/>
      <c r="L54" s="522"/>
    </row>
    <row r="55" spans="1:12" s="106" customFormat="1" ht="15.75" customHeight="1" x14ac:dyDescent="0.2">
      <c r="A55" s="287"/>
      <c r="B55" s="293" t="s">
        <v>51</v>
      </c>
      <c r="C55" s="288" t="s">
        <v>54</v>
      </c>
      <c r="D55" s="294">
        <v>61105</v>
      </c>
      <c r="E55" s="295" t="s">
        <v>494</v>
      </c>
      <c r="F55" s="296">
        <f>proyectos!X63</f>
        <v>0</v>
      </c>
      <c r="G55" s="296"/>
      <c r="H55" s="296"/>
      <c r="I55" s="292">
        <f t="shared" si="0"/>
        <v>0</v>
      </c>
      <c r="J55" s="555"/>
      <c r="K55" s="522"/>
      <c r="L55" s="522"/>
    </row>
    <row r="56" spans="1:12" s="106" customFormat="1" ht="15.75" customHeight="1" x14ac:dyDescent="0.2">
      <c r="A56" s="287"/>
      <c r="B56" s="293" t="s">
        <v>51</v>
      </c>
      <c r="C56" s="288" t="s">
        <v>54</v>
      </c>
      <c r="D56" s="294">
        <v>61201</v>
      </c>
      <c r="E56" s="295" t="str">
        <f>proyectos!B51</f>
        <v>Terrenos  (61201)</v>
      </c>
      <c r="F56" s="296"/>
      <c r="G56" s="296"/>
      <c r="H56" s="296"/>
      <c r="I56" s="292">
        <f t="shared" si="0"/>
        <v>0</v>
      </c>
      <c r="J56" s="555">
        <f t="shared" si="1"/>
        <v>0</v>
      </c>
      <c r="K56" s="522"/>
      <c r="L56" s="522"/>
    </row>
    <row r="57" spans="1:12" s="106" customFormat="1" ht="15.75" customHeight="1" x14ac:dyDescent="0.2">
      <c r="A57" s="287"/>
      <c r="B57" s="293" t="s">
        <v>51</v>
      </c>
      <c r="C57" s="288" t="s">
        <v>54</v>
      </c>
      <c r="D57" s="294">
        <v>61501</v>
      </c>
      <c r="E57" s="295" t="str">
        <f>proyectos!B54</f>
        <v>Estudios de Preinversión (de Construcciones). (61501)</v>
      </c>
      <c r="F57" s="296">
        <f>proyectos!D54</f>
        <v>20000</v>
      </c>
      <c r="G57" s="296"/>
      <c r="H57" s="296"/>
      <c r="I57" s="292">
        <f t="shared" si="0"/>
        <v>20000</v>
      </c>
      <c r="J57" s="555">
        <f t="shared" si="1"/>
        <v>20000</v>
      </c>
      <c r="K57" s="522"/>
      <c r="L57" s="522"/>
    </row>
    <row r="58" spans="1:12" s="106" customFormat="1" ht="15.75" customHeight="1" x14ac:dyDescent="0.2">
      <c r="A58" s="287"/>
      <c r="B58" s="293" t="s">
        <v>51</v>
      </c>
      <c r="C58" s="288" t="s">
        <v>54</v>
      </c>
      <c r="D58" s="294">
        <v>61599</v>
      </c>
      <c r="E58" s="295" t="str">
        <f>proyectos!B55</f>
        <v>Estudios de Preinversión  (proy.progr.divers). (61599)</v>
      </c>
      <c r="F58" s="296"/>
      <c r="G58" s="296">
        <f>proyectos!D55</f>
        <v>1000</v>
      </c>
      <c r="H58" s="296"/>
      <c r="I58" s="292">
        <f t="shared" si="0"/>
        <v>1000</v>
      </c>
      <c r="J58" s="555">
        <f t="shared" si="1"/>
        <v>1000</v>
      </c>
      <c r="K58" s="522"/>
      <c r="L58" s="522">
        <v>8900</v>
      </c>
    </row>
    <row r="59" spans="1:12" s="106" customFormat="1" ht="15.75" customHeight="1" x14ac:dyDescent="0.2">
      <c r="A59" s="287"/>
      <c r="B59" s="293" t="s">
        <v>51</v>
      </c>
      <c r="C59" s="288" t="s">
        <v>54</v>
      </c>
      <c r="D59" s="294">
        <v>61601</v>
      </c>
      <c r="E59" s="295" t="str">
        <f>proyectos!B56</f>
        <v>Viales  (61601)</v>
      </c>
      <c r="F59" s="296">
        <f>46761.62+307500</f>
        <v>354261.62</v>
      </c>
      <c r="G59" s="296"/>
      <c r="H59" s="296"/>
      <c r="I59" s="292">
        <f t="shared" si="0"/>
        <v>354261.62</v>
      </c>
      <c r="J59" s="555">
        <f t="shared" si="1"/>
        <v>354261.62</v>
      </c>
      <c r="K59" s="522"/>
      <c r="L59" s="522">
        <v>3500</v>
      </c>
    </row>
    <row r="60" spans="1:12" s="106" customFormat="1" ht="15.75" customHeight="1" x14ac:dyDescent="0.2">
      <c r="A60" s="287"/>
      <c r="B60" s="293" t="s">
        <v>51</v>
      </c>
      <c r="C60" s="288" t="s">
        <v>54</v>
      </c>
      <c r="D60" s="294">
        <v>61602</v>
      </c>
      <c r="E60" s="295" t="str">
        <f>proyectos!B57</f>
        <v>De Salud y Saneamiento Ambiental  (61602)</v>
      </c>
      <c r="F60" s="297"/>
      <c r="G60" s="297"/>
      <c r="H60" s="297"/>
      <c r="I60" s="292">
        <f t="shared" si="0"/>
        <v>0</v>
      </c>
      <c r="J60" s="555">
        <f t="shared" si="1"/>
        <v>0</v>
      </c>
      <c r="K60" s="522"/>
      <c r="L60" s="556">
        <v>140764.45000000001</v>
      </c>
    </row>
    <row r="61" spans="1:12" s="106" customFormat="1" ht="15.75" customHeight="1" x14ac:dyDescent="0.2">
      <c r="A61" s="287"/>
      <c r="B61" s="293" t="s">
        <v>51</v>
      </c>
      <c r="C61" s="288" t="s">
        <v>54</v>
      </c>
      <c r="D61" s="294">
        <v>61603</v>
      </c>
      <c r="E61" s="295" t="str">
        <f>proyectos!B58</f>
        <v>De Educación y Recreación  (61603)</v>
      </c>
      <c r="F61" s="297"/>
      <c r="G61" s="297"/>
      <c r="H61" s="297"/>
      <c r="I61" s="292">
        <f t="shared" si="0"/>
        <v>0</v>
      </c>
      <c r="J61" s="555">
        <f t="shared" si="1"/>
        <v>0</v>
      </c>
      <c r="K61" s="522"/>
      <c r="L61" s="556">
        <v>5000</v>
      </c>
    </row>
    <row r="62" spans="1:12" s="106" customFormat="1" ht="15.75" customHeight="1" x14ac:dyDescent="0.2">
      <c r="A62" s="287"/>
      <c r="B62" s="293" t="s">
        <v>51</v>
      </c>
      <c r="C62" s="288" t="s">
        <v>54</v>
      </c>
      <c r="D62" s="294">
        <v>61606</v>
      </c>
      <c r="E62" s="295" t="str">
        <f>proyectos!B59</f>
        <v>Eléctricas y Comunicaciones  (61606)</v>
      </c>
      <c r="F62" s="297">
        <v>192500</v>
      </c>
      <c r="G62" s="297"/>
      <c r="H62" s="297"/>
      <c r="I62" s="292">
        <f t="shared" si="0"/>
        <v>192500</v>
      </c>
      <c r="J62" s="555">
        <f t="shared" si="1"/>
        <v>192500</v>
      </c>
      <c r="K62" s="522"/>
      <c r="L62" s="556">
        <f>SUM(L58:L61)</f>
        <v>158164.45000000001</v>
      </c>
    </row>
    <row r="63" spans="1:12" s="106" customFormat="1" ht="15.75" customHeight="1" x14ac:dyDescent="0.2">
      <c r="A63" s="287"/>
      <c r="B63" s="293" t="s">
        <v>51</v>
      </c>
      <c r="C63" s="288" t="s">
        <v>54</v>
      </c>
      <c r="D63" s="294">
        <v>61608</v>
      </c>
      <c r="E63" s="295" t="str">
        <f>proyectos!B60</f>
        <v>Supervición de Infraestructura (61608)</v>
      </c>
      <c r="F63" s="297">
        <f>proyectos!D60</f>
        <v>5000</v>
      </c>
      <c r="G63" s="297"/>
      <c r="H63" s="297"/>
      <c r="I63" s="292">
        <f t="shared" si="0"/>
        <v>5000</v>
      </c>
      <c r="J63" s="555">
        <f t="shared" si="1"/>
        <v>5000</v>
      </c>
      <c r="K63" s="522"/>
      <c r="L63" s="555"/>
    </row>
    <row r="64" spans="1:12" s="106" customFormat="1" ht="15.75" customHeight="1" x14ac:dyDescent="0.2">
      <c r="A64" s="287"/>
      <c r="B64" s="293" t="s">
        <v>51</v>
      </c>
      <c r="C64" s="288" t="s">
        <v>54</v>
      </c>
      <c r="D64" s="294">
        <v>61699</v>
      </c>
      <c r="E64" s="295" t="str">
        <f>proyectos!B61</f>
        <v>Obras de Infraestructura Diversa  (11699)</v>
      </c>
      <c r="F64" s="297">
        <f>proyectos!D61</f>
        <v>2420.5400000000955</v>
      </c>
      <c r="G64" s="297"/>
      <c r="H64" s="297"/>
      <c r="I64" s="292">
        <f t="shared" si="0"/>
        <v>2420.5400000000955</v>
      </c>
      <c r="J64" s="555">
        <f t="shared" si="1"/>
        <v>2420.5400000000955</v>
      </c>
      <c r="K64" s="522"/>
      <c r="L64" s="555"/>
    </row>
    <row r="65" spans="1:12" s="106" customFormat="1" ht="15.75" customHeight="1" x14ac:dyDescent="0.2">
      <c r="A65" s="298"/>
      <c r="B65" s="293"/>
      <c r="C65" s="288"/>
      <c r="D65" s="294"/>
      <c r="E65" s="295" t="s">
        <v>524</v>
      </c>
      <c r="F65" s="297"/>
      <c r="G65" s="297"/>
      <c r="H65" s="297"/>
      <c r="I65" s="292">
        <f>proyectos!C64</f>
        <v>244637.82</v>
      </c>
      <c r="J65" s="555">
        <f t="shared" si="1"/>
        <v>0</v>
      </c>
      <c r="K65" s="522"/>
      <c r="L65" s="555"/>
    </row>
    <row r="66" spans="1:12" s="106" customFormat="1" ht="15.75" customHeight="1" x14ac:dyDescent="0.2">
      <c r="A66" s="298"/>
      <c r="B66" s="293"/>
      <c r="C66" s="288"/>
      <c r="D66" s="294"/>
      <c r="E66" s="295"/>
      <c r="F66" s="297"/>
      <c r="G66" s="297"/>
      <c r="H66" s="297"/>
      <c r="I66" s="292">
        <f t="shared" ref="I66:I67" si="2">SUM(F66:H66)</f>
        <v>0</v>
      </c>
      <c r="J66" s="555">
        <f t="shared" si="1"/>
        <v>0</v>
      </c>
      <c r="K66" s="522"/>
      <c r="L66" s="556"/>
    </row>
    <row r="67" spans="1:12" s="106" customFormat="1" ht="15.75" customHeight="1" thickBot="1" x14ac:dyDescent="0.25">
      <c r="A67" s="299"/>
      <c r="B67" s="300"/>
      <c r="C67" s="300"/>
      <c r="D67" s="301"/>
      <c r="E67" s="302"/>
      <c r="F67" s="303"/>
      <c r="G67" s="303"/>
      <c r="H67" s="303"/>
      <c r="I67" s="292">
        <f t="shared" si="2"/>
        <v>0</v>
      </c>
      <c r="J67" s="555">
        <f t="shared" si="1"/>
        <v>0</v>
      </c>
      <c r="K67" s="522"/>
      <c r="L67" s="555"/>
    </row>
    <row r="68" spans="1:12" ht="30" customHeight="1" thickBot="1" x14ac:dyDescent="0.25">
      <c r="A68" s="711" t="s">
        <v>323</v>
      </c>
      <c r="B68" s="712"/>
      <c r="C68" s="712"/>
      <c r="D68" s="712"/>
      <c r="E68" s="713"/>
      <c r="F68" s="354">
        <f t="shared" ref="F68:H68" si="3">SUM(F10:F67)</f>
        <v>683044.64000000013</v>
      </c>
      <c r="G68" s="354">
        <f t="shared" si="3"/>
        <v>451517.75</v>
      </c>
      <c r="H68" s="354">
        <f t="shared" si="3"/>
        <v>0</v>
      </c>
      <c r="I68" s="354">
        <f>SUM(I10:I67)</f>
        <v>1379200.2100000002</v>
      </c>
      <c r="J68" s="555">
        <f t="shared" si="1"/>
        <v>1134562.3900000001</v>
      </c>
      <c r="K68" s="557"/>
      <c r="L68" s="558"/>
    </row>
    <row r="69" spans="1:12" x14ac:dyDescent="0.2">
      <c r="A69" s="16"/>
      <c r="B69" s="16"/>
      <c r="C69" s="16"/>
      <c r="D69" s="16"/>
      <c r="I69" s="28"/>
      <c r="J69" s="551"/>
      <c r="K69" s="551"/>
      <c r="L69" s="558"/>
    </row>
    <row r="70" spans="1:12" ht="15.75" x14ac:dyDescent="0.25">
      <c r="A70" s="559"/>
      <c r="B70" s="559"/>
      <c r="C70" s="559"/>
      <c r="D70" s="559"/>
      <c r="E70" s="566"/>
      <c r="F70" s="566"/>
      <c r="G70" s="566"/>
      <c r="H70" s="566"/>
      <c r="I70" s="567">
        <f>SUM(Ingresos!D49)+Ingresos!H49</f>
        <v>1724254.33</v>
      </c>
      <c r="J70" s="568" t="s">
        <v>361</v>
      </c>
      <c r="K70" s="568"/>
      <c r="L70" s="551"/>
    </row>
    <row r="71" spans="1:12" ht="19.5" customHeight="1" x14ac:dyDescent="0.2">
      <c r="A71" s="710" t="s">
        <v>14</v>
      </c>
      <c r="B71" s="710"/>
      <c r="C71" s="710"/>
      <c r="D71" s="710"/>
      <c r="E71" s="569"/>
      <c r="F71" s="570">
        <f>SUM(F54:F64)</f>
        <v>574182.16000000015</v>
      </c>
      <c r="G71" s="569"/>
      <c r="H71" s="569"/>
      <c r="I71" s="571">
        <f>'Deuda Pub 75%'!H18</f>
        <v>345054.12</v>
      </c>
      <c r="J71" s="568" t="s">
        <v>362</v>
      </c>
      <c r="K71" s="568"/>
      <c r="L71" s="558"/>
    </row>
    <row r="72" spans="1:12" ht="27" customHeight="1" x14ac:dyDescent="0.25">
      <c r="A72" s="701" t="s">
        <v>2</v>
      </c>
      <c r="B72" s="701"/>
      <c r="C72" s="701"/>
      <c r="D72" s="701"/>
      <c r="E72" s="701"/>
      <c r="F72" s="560" t="s">
        <v>501</v>
      </c>
      <c r="G72" s="561"/>
      <c r="H72" s="561"/>
      <c r="I72" s="572">
        <f>SUM(I70-I71)</f>
        <v>1379200.21</v>
      </c>
      <c r="J72" s="568" t="s">
        <v>363</v>
      </c>
      <c r="K72" s="568"/>
      <c r="L72" s="551"/>
    </row>
    <row r="73" spans="1:12" ht="20.25" customHeight="1" x14ac:dyDescent="0.2">
      <c r="A73" s="701" t="s">
        <v>8</v>
      </c>
      <c r="B73" s="701"/>
      <c r="C73" s="701"/>
      <c r="D73" s="701"/>
      <c r="E73" s="701"/>
      <c r="F73" s="561" t="s">
        <v>502</v>
      </c>
      <c r="G73" s="561"/>
      <c r="H73" s="561"/>
      <c r="I73" s="571"/>
      <c r="J73" s="568"/>
      <c r="K73" s="568"/>
      <c r="L73" s="558"/>
    </row>
    <row r="74" spans="1:12" ht="21.75" customHeight="1" x14ac:dyDescent="0.2">
      <c r="A74" s="701" t="s">
        <v>9</v>
      </c>
      <c r="B74" s="701"/>
      <c r="C74" s="701"/>
      <c r="D74" s="701"/>
      <c r="E74" s="701"/>
      <c r="F74" s="561" t="s">
        <v>503</v>
      </c>
      <c r="G74" s="561"/>
      <c r="H74" s="561"/>
      <c r="I74" s="571"/>
      <c r="J74" s="568"/>
      <c r="K74" s="568"/>
      <c r="L74" s="551"/>
    </row>
    <row r="75" spans="1:12" x14ac:dyDescent="0.2">
      <c r="A75" s="701"/>
      <c r="B75" s="701"/>
      <c r="C75" s="701"/>
      <c r="D75" s="701"/>
      <c r="E75" s="701"/>
      <c r="F75" s="561" t="s">
        <v>504</v>
      </c>
      <c r="G75" s="561"/>
      <c r="H75" s="561"/>
      <c r="I75" s="571">
        <f>SUM(I72-I68)</f>
        <v>-2.3283064365386963E-10</v>
      </c>
      <c r="J75" s="568"/>
      <c r="K75" s="568"/>
      <c r="L75" s="551">
        <f>1119752.54-252955.08</f>
        <v>866797.46000000008</v>
      </c>
    </row>
    <row r="76" spans="1:12" x14ac:dyDescent="0.2">
      <c r="A76" s="573"/>
      <c r="B76" s="573"/>
      <c r="C76" s="573"/>
      <c r="D76" s="573"/>
      <c r="E76" s="569"/>
      <c r="F76" s="570">
        <f>SUM(F72:F75)</f>
        <v>0</v>
      </c>
      <c r="G76" s="569"/>
      <c r="H76" s="569"/>
      <c r="I76" s="571"/>
      <c r="J76" s="568"/>
      <c r="K76" s="568"/>
      <c r="L76" s="551"/>
    </row>
    <row r="77" spans="1:12" x14ac:dyDescent="0.2">
      <c r="A77" s="573"/>
      <c r="B77" s="573"/>
      <c r="C77" s="573"/>
      <c r="D77" s="573"/>
      <c r="E77" s="569"/>
      <c r="F77" s="569"/>
      <c r="G77" s="569"/>
      <c r="H77" s="569"/>
      <c r="I77" s="571"/>
      <c r="J77" s="568"/>
      <c r="K77" s="568"/>
      <c r="L77" s="551"/>
    </row>
    <row r="78" spans="1:12" x14ac:dyDescent="0.2">
      <c r="A78" s="562"/>
      <c r="B78" s="562"/>
      <c r="C78" s="562"/>
      <c r="D78" s="562"/>
      <c r="E78" s="552"/>
      <c r="F78" s="552"/>
      <c r="G78" s="552"/>
      <c r="H78" s="552"/>
      <c r="I78" s="553"/>
    </row>
    <row r="79" spans="1:12" x14ac:dyDescent="0.2">
      <c r="I79" s="105"/>
    </row>
  </sheetData>
  <sheetProtection sheet="1" formatCells="0" formatColumns="0" formatRows="0" insertColumns="0" insertRows="0" insertHyperlinks="0" deleteColumns="0" deleteRows="0" sort="0" autoFilter="0" pivotTables="0"/>
  <sortState ref="D10:E44">
    <sortCondition ref="D10"/>
  </sortState>
  <mergeCells count="19">
    <mergeCell ref="A72:E72"/>
    <mergeCell ref="A73:E73"/>
    <mergeCell ref="A74:E74"/>
    <mergeCell ref="A75:E75"/>
    <mergeCell ref="A6:I6"/>
    <mergeCell ref="A7:I7"/>
    <mergeCell ref="A8:D8"/>
    <mergeCell ref="E8:E9"/>
    <mergeCell ref="I8:I9"/>
    <mergeCell ref="A71:D71"/>
    <mergeCell ref="A68:E68"/>
    <mergeCell ref="F8:F9"/>
    <mergeCell ref="G8:G9"/>
    <mergeCell ref="H8:H9"/>
    <mergeCell ref="A1:I1"/>
    <mergeCell ref="A2:I2"/>
    <mergeCell ref="A3:I3"/>
    <mergeCell ref="A4:I4"/>
    <mergeCell ref="A5:I5"/>
  </mergeCells>
  <printOptions horizontalCentered="1"/>
  <pageMargins left="0.39370078740157483" right="0.39370078740157483" top="0.59055118110236227" bottom="0.15748031496062992" header="0.43307086614173229" footer="0.31496062992125984"/>
  <pageSetup scale="76" orientation="landscape" r:id="rId1"/>
  <rowBreaks count="2" manualBreakCount="2">
    <brk id="26" max="8" man="1"/>
    <brk id="5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>
    <tabColor indexed="57"/>
  </sheetPr>
  <dimension ref="A1:L26"/>
  <sheetViews>
    <sheetView view="pageBreakPreview" zoomScaleSheetLayoutView="100" workbookViewId="0">
      <selection activeCell="A19" sqref="A19:I26"/>
    </sheetView>
  </sheetViews>
  <sheetFormatPr baseColWidth="10" defaultColWidth="11.42578125" defaultRowHeight="12.75" x14ac:dyDescent="0.2"/>
  <cols>
    <col min="1" max="1" width="6.28515625" style="25" customWidth="1"/>
    <col min="2" max="2" width="7.42578125" style="25" customWidth="1"/>
    <col min="3" max="3" width="7.85546875" style="26" customWidth="1"/>
    <col min="4" max="4" width="7.42578125" style="24" customWidth="1"/>
    <col min="5" max="5" width="7.28515625" style="24" customWidth="1"/>
    <col min="6" max="6" width="10.140625" style="24" customWidth="1"/>
    <col min="7" max="7" width="38" style="18" customWidth="1"/>
    <col min="8" max="8" width="18.85546875" style="18" customWidth="1"/>
    <col min="9" max="10" width="11.42578125" style="19"/>
    <col min="11" max="11" width="17.42578125" style="19" customWidth="1"/>
    <col min="12" max="16384" width="11.42578125" style="19"/>
  </cols>
  <sheetData>
    <row r="1" spans="1:12" ht="18" x14ac:dyDescent="0.2">
      <c r="A1" s="699" t="s">
        <v>461</v>
      </c>
      <c r="B1" s="699"/>
      <c r="C1" s="699"/>
      <c r="D1" s="699"/>
      <c r="E1" s="699"/>
      <c r="F1" s="699"/>
      <c r="G1" s="699"/>
      <c r="H1" s="699"/>
    </row>
    <row r="2" spans="1:12" ht="18" x14ac:dyDescent="0.2">
      <c r="A2" s="657" t="s">
        <v>426</v>
      </c>
      <c r="B2" s="657"/>
      <c r="C2" s="657"/>
      <c r="D2" s="657"/>
      <c r="E2" s="657"/>
      <c r="F2" s="657"/>
      <c r="G2" s="657"/>
      <c r="H2" s="657"/>
    </row>
    <row r="3" spans="1:12" ht="15.75" x14ac:dyDescent="0.2">
      <c r="A3" s="664" t="s">
        <v>12</v>
      </c>
      <c r="B3" s="664"/>
      <c r="C3" s="664"/>
      <c r="D3" s="664"/>
      <c r="E3" s="664"/>
      <c r="F3" s="664"/>
      <c r="G3" s="664"/>
      <c r="H3" s="664"/>
    </row>
    <row r="4" spans="1:12" ht="15.75" x14ac:dyDescent="0.2">
      <c r="A4" s="664" t="s">
        <v>532</v>
      </c>
      <c r="B4" s="664"/>
      <c r="C4" s="664"/>
      <c r="D4" s="664"/>
      <c r="E4" s="664"/>
      <c r="F4" s="664"/>
      <c r="G4" s="664"/>
      <c r="H4" s="664"/>
    </row>
    <row r="5" spans="1:12" ht="15.75" x14ac:dyDescent="0.2">
      <c r="A5" s="722" t="s">
        <v>13</v>
      </c>
      <c r="B5" s="722"/>
      <c r="C5" s="722"/>
      <c r="D5" s="722"/>
      <c r="E5" s="722"/>
      <c r="F5" s="722"/>
      <c r="G5" s="722"/>
      <c r="H5" s="722"/>
    </row>
    <row r="6" spans="1:12" x14ac:dyDescent="0.2">
      <c r="A6" s="361"/>
      <c r="B6" s="362"/>
      <c r="C6" s="362"/>
      <c r="D6" s="362"/>
      <c r="E6" s="362"/>
      <c r="F6" s="362"/>
      <c r="G6" s="361"/>
      <c r="H6" s="361"/>
    </row>
    <row r="7" spans="1:12" ht="20.25" customHeight="1" thickBot="1" x14ac:dyDescent="0.25">
      <c r="A7" s="668" t="s">
        <v>345</v>
      </c>
      <c r="B7" s="668"/>
      <c r="C7" s="668"/>
      <c r="D7" s="668"/>
      <c r="E7" s="668"/>
      <c r="F7" s="668"/>
      <c r="G7" s="668"/>
      <c r="H7" s="668"/>
    </row>
    <row r="8" spans="1:12" ht="99.95" customHeight="1" thickBot="1" x14ac:dyDescent="0.25">
      <c r="A8" s="715" t="s">
        <v>0</v>
      </c>
      <c r="B8" s="716"/>
      <c r="C8" s="716"/>
      <c r="D8" s="716"/>
      <c r="E8" s="716"/>
      <c r="F8" s="717"/>
      <c r="G8" s="718" t="s">
        <v>178</v>
      </c>
      <c r="H8" s="720" t="s">
        <v>179</v>
      </c>
      <c r="J8" s="574"/>
      <c r="K8" s="574"/>
      <c r="L8" s="574"/>
    </row>
    <row r="9" spans="1:12" s="20" customFormat="1" ht="99.95" customHeight="1" thickBot="1" x14ac:dyDescent="0.25">
      <c r="A9" s="357" t="s">
        <v>172</v>
      </c>
      <c r="B9" s="358" t="s">
        <v>173</v>
      </c>
      <c r="C9" s="358" t="s">
        <v>174</v>
      </c>
      <c r="D9" s="358" t="s">
        <v>175</v>
      </c>
      <c r="E9" s="359" t="s">
        <v>176</v>
      </c>
      <c r="F9" s="360" t="s">
        <v>177</v>
      </c>
      <c r="G9" s="719"/>
      <c r="H9" s="721"/>
      <c r="J9" s="575"/>
      <c r="K9" s="575"/>
      <c r="L9" s="575"/>
    </row>
    <row r="10" spans="1:12" ht="36.75" customHeight="1" x14ac:dyDescent="0.2">
      <c r="A10" s="304">
        <v>5</v>
      </c>
      <c r="B10" s="305" t="s">
        <v>57</v>
      </c>
      <c r="C10" s="305" t="s">
        <v>49</v>
      </c>
      <c r="D10" s="305" t="s">
        <v>51</v>
      </c>
      <c r="E10" s="305" t="s">
        <v>54</v>
      </c>
      <c r="F10" s="306" t="s">
        <v>74</v>
      </c>
      <c r="G10" s="307" t="s">
        <v>517</v>
      </c>
      <c r="H10" s="308">
        <f>163.3*12</f>
        <v>1959.6000000000001</v>
      </c>
      <c r="J10" s="574">
        <v>55</v>
      </c>
      <c r="K10" s="576">
        <f>SUM(H10:H12)</f>
        <v>145375.71175969197</v>
      </c>
      <c r="L10" s="574"/>
    </row>
    <row r="11" spans="1:12" ht="36.75" customHeight="1" x14ac:dyDescent="0.2">
      <c r="A11" s="309">
        <v>5</v>
      </c>
      <c r="B11" s="310" t="s">
        <v>57</v>
      </c>
      <c r="C11" s="310" t="s">
        <v>49</v>
      </c>
      <c r="D11" s="310" t="s">
        <v>51</v>
      </c>
      <c r="E11" s="310" t="s">
        <v>54</v>
      </c>
      <c r="F11" s="311" t="s">
        <v>499</v>
      </c>
      <c r="G11" s="312" t="s">
        <v>143</v>
      </c>
      <c r="H11" s="313">
        <f>'analisis deuda'!C252</f>
        <v>11097.24832029332</v>
      </c>
      <c r="J11" s="574">
        <v>71</v>
      </c>
      <c r="K11" s="576">
        <f>+H13+H14</f>
        <v>199678.40824030802</v>
      </c>
      <c r="L11" s="574"/>
    </row>
    <row r="12" spans="1:12" ht="36.75" customHeight="1" x14ac:dyDescent="0.2">
      <c r="A12" s="314">
        <v>5</v>
      </c>
      <c r="B12" s="315" t="s">
        <v>57</v>
      </c>
      <c r="C12" s="315" t="s">
        <v>49</v>
      </c>
      <c r="D12" s="315" t="s">
        <v>51</v>
      </c>
      <c r="E12" s="315" t="s">
        <v>54</v>
      </c>
      <c r="F12" s="316" t="s">
        <v>270</v>
      </c>
      <c r="G12" s="317" t="s">
        <v>272</v>
      </c>
      <c r="H12" s="318">
        <f>'analisis deuda'!C197</f>
        <v>132318.86343939864</v>
      </c>
      <c r="J12" s="574"/>
      <c r="K12" s="576">
        <f>SUM(K10:K11)</f>
        <v>345054.12</v>
      </c>
      <c r="L12" s="574"/>
    </row>
    <row r="13" spans="1:12" ht="36.75" customHeight="1" x14ac:dyDescent="0.2">
      <c r="A13" s="309">
        <v>5</v>
      </c>
      <c r="B13" s="310" t="s">
        <v>57</v>
      </c>
      <c r="C13" s="310" t="s">
        <v>49</v>
      </c>
      <c r="D13" s="310" t="s">
        <v>51</v>
      </c>
      <c r="E13" s="310" t="s">
        <v>54</v>
      </c>
      <c r="F13" s="311" t="s">
        <v>500</v>
      </c>
      <c r="G13" s="319" t="s">
        <v>143</v>
      </c>
      <c r="H13" s="313">
        <f>'analisis deuda'!D252</f>
        <v>91860.111679706693</v>
      </c>
      <c r="J13" s="574"/>
      <c r="K13" s="574"/>
      <c r="L13" s="574"/>
    </row>
    <row r="14" spans="1:12" ht="36.75" customHeight="1" x14ac:dyDescent="0.2">
      <c r="A14" s="314">
        <v>5</v>
      </c>
      <c r="B14" s="315" t="s">
        <v>57</v>
      </c>
      <c r="C14" s="315" t="s">
        <v>49</v>
      </c>
      <c r="D14" s="315" t="s">
        <v>51</v>
      </c>
      <c r="E14" s="315" t="s">
        <v>54</v>
      </c>
      <c r="F14" s="316" t="s">
        <v>271</v>
      </c>
      <c r="G14" s="317" t="s">
        <v>272</v>
      </c>
      <c r="H14" s="318">
        <f>'analisis deuda'!D197</f>
        <v>107818.29656060133</v>
      </c>
      <c r="J14" s="574"/>
      <c r="K14" s="574">
        <f>178749.22+8710</f>
        <v>187459.22</v>
      </c>
      <c r="L14" s="574"/>
    </row>
    <row r="15" spans="1:12" ht="30" customHeight="1" x14ac:dyDescent="0.2">
      <c r="A15" s="320"/>
      <c r="B15" s="321"/>
      <c r="C15" s="321"/>
      <c r="D15" s="321"/>
      <c r="E15" s="321"/>
      <c r="F15" s="322"/>
      <c r="G15" s="307"/>
      <c r="H15" s="308"/>
      <c r="J15" s="574"/>
      <c r="K15" s="574"/>
      <c r="L15" s="574"/>
    </row>
    <row r="16" spans="1:12" ht="30" customHeight="1" x14ac:dyDescent="0.2">
      <c r="A16" s="320"/>
      <c r="B16" s="321"/>
      <c r="C16" s="321"/>
      <c r="D16" s="321"/>
      <c r="E16" s="321"/>
      <c r="F16" s="322"/>
      <c r="G16" s="307"/>
      <c r="H16" s="308">
        <v>0</v>
      </c>
      <c r="J16" s="574"/>
      <c r="K16" s="574" t="s">
        <v>418</v>
      </c>
      <c r="L16" s="574"/>
    </row>
    <row r="17" spans="1:12" ht="30" customHeight="1" thickBot="1" x14ac:dyDescent="0.25">
      <c r="A17" s="323"/>
      <c r="B17" s="324"/>
      <c r="C17" s="324"/>
      <c r="D17" s="324"/>
      <c r="E17" s="324"/>
      <c r="F17" s="325"/>
      <c r="G17" s="326"/>
      <c r="H17" s="327"/>
      <c r="J17" s="574"/>
      <c r="K17" s="574"/>
      <c r="L17" s="574"/>
    </row>
    <row r="18" spans="1:12" s="27" customFormat="1" ht="30" customHeight="1" x14ac:dyDescent="0.2">
      <c r="A18" s="723" t="s">
        <v>314</v>
      </c>
      <c r="B18" s="724"/>
      <c r="C18" s="724"/>
      <c r="D18" s="724"/>
      <c r="E18" s="724"/>
      <c r="F18" s="724"/>
      <c r="G18" s="725"/>
      <c r="H18" s="579">
        <f>SUM(H10:H14)</f>
        <v>345054.12</v>
      </c>
    </row>
    <row r="19" spans="1:12" ht="19.5" customHeight="1" x14ac:dyDescent="0.2">
      <c r="A19" s="577"/>
      <c r="B19" s="577"/>
      <c r="C19" s="577"/>
      <c r="D19" s="577"/>
      <c r="E19" s="577"/>
      <c r="F19" s="577"/>
      <c r="G19" s="580"/>
      <c r="H19" s="580"/>
      <c r="I19" s="574"/>
    </row>
    <row r="20" spans="1:12" ht="24" customHeight="1" x14ac:dyDescent="0.2">
      <c r="A20" s="714" t="s">
        <v>14</v>
      </c>
      <c r="B20" s="714"/>
      <c r="C20" s="714"/>
      <c r="D20" s="714"/>
      <c r="E20" s="714"/>
      <c r="F20" s="714"/>
      <c r="G20" s="580"/>
      <c r="H20" s="581">
        <v>345054.12</v>
      </c>
      <c r="I20" s="574"/>
    </row>
    <row r="21" spans="1:12" ht="17.25" customHeight="1" x14ac:dyDescent="0.2">
      <c r="A21" s="654" t="s">
        <v>2</v>
      </c>
      <c r="B21" s="654"/>
      <c r="C21" s="654"/>
      <c r="D21" s="654"/>
      <c r="E21" s="654"/>
      <c r="F21" s="654"/>
      <c r="G21" s="654"/>
      <c r="H21" s="578">
        <f>SUM(H18-H20)</f>
        <v>0</v>
      </c>
      <c r="I21" s="574"/>
    </row>
    <row r="22" spans="1:12" ht="24.75" customHeight="1" x14ac:dyDescent="0.2">
      <c r="A22" s="654" t="s">
        <v>10</v>
      </c>
      <c r="B22" s="654"/>
      <c r="C22" s="654"/>
      <c r="D22" s="654"/>
      <c r="E22" s="654"/>
      <c r="F22" s="654"/>
      <c r="G22" s="654"/>
      <c r="H22" s="578"/>
      <c r="I22" s="574"/>
    </row>
    <row r="23" spans="1:12" x14ac:dyDescent="0.2">
      <c r="A23" s="577"/>
      <c r="B23" s="577"/>
      <c r="C23" s="577"/>
      <c r="D23" s="577"/>
      <c r="E23" s="577"/>
      <c r="F23" s="577"/>
      <c r="G23" s="580"/>
      <c r="H23" s="581"/>
      <c r="I23" s="574"/>
    </row>
    <row r="24" spans="1:12" x14ac:dyDescent="0.2">
      <c r="A24" s="577"/>
      <c r="B24" s="577"/>
      <c r="C24" s="577"/>
      <c r="D24" s="577"/>
      <c r="E24" s="577"/>
      <c r="F24" s="577"/>
      <c r="G24" s="580"/>
      <c r="H24" s="581"/>
      <c r="I24" s="574"/>
    </row>
    <row r="25" spans="1:12" x14ac:dyDescent="0.2">
      <c r="A25" s="582"/>
      <c r="B25" s="582"/>
      <c r="C25" s="582"/>
      <c r="D25" s="582"/>
      <c r="E25" s="582"/>
      <c r="F25" s="582"/>
      <c r="G25" s="580"/>
      <c r="H25" s="581"/>
      <c r="I25" s="574"/>
    </row>
    <row r="26" spans="1:12" x14ac:dyDescent="0.2">
      <c r="A26" s="582"/>
      <c r="B26" s="582"/>
      <c r="C26" s="582"/>
      <c r="D26" s="582"/>
      <c r="E26" s="582"/>
      <c r="F26" s="582"/>
      <c r="G26" s="580"/>
      <c r="H26" s="580"/>
      <c r="I26" s="574"/>
    </row>
  </sheetData>
  <sheetProtection sheet="1" formatCells="0" formatColumns="0" formatRows="0" insertColumns="0" insertRows="0" insertHyperlinks="0" deleteColumns="0" deleteRows="0" sort="0" autoFilter="0" pivotTables="0"/>
  <mergeCells count="13">
    <mergeCell ref="A2:H2"/>
    <mergeCell ref="A1:H1"/>
    <mergeCell ref="A22:G22"/>
    <mergeCell ref="A20:F20"/>
    <mergeCell ref="A7:H7"/>
    <mergeCell ref="A8:F8"/>
    <mergeCell ref="G8:G9"/>
    <mergeCell ref="A21:G21"/>
    <mergeCell ref="H8:H9"/>
    <mergeCell ref="A5:H5"/>
    <mergeCell ref="A3:H3"/>
    <mergeCell ref="A4:H4"/>
    <mergeCell ref="A18:G18"/>
  </mergeCells>
  <phoneticPr fontId="2" type="noConversion"/>
  <printOptions horizontalCentered="1"/>
  <pageMargins left="0.59055118110236227" right="0.19685039370078741" top="1.0236220472440944" bottom="0.19685039370078741" header="0" footer="0"/>
  <pageSetup scale="90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K42"/>
  <sheetViews>
    <sheetView view="pageBreakPreview" zoomScaleSheetLayoutView="100" workbookViewId="0">
      <selection activeCell="M31" sqref="M31"/>
    </sheetView>
  </sheetViews>
  <sheetFormatPr baseColWidth="10" defaultColWidth="11.42578125" defaultRowHeight="12.75" x14ac:dyDescent="0.2"/>
  <cols>
    <col min="1" max="1" width="4.5703125" style="17" customWidth="1"/>
    <col min="2" max="2" width="4.42578125" style="17" customWidth="1"/>
    <col min="3" max="4" width="4.5703125" style="17" customWidth="1"/>
    <col min="5" max="5" width="6.140625" style="17" customWidth="1"/>
    <col min="6" max="6" width="8.7109375" style="17" customWidth="1"/>
    <col min="7" max="7" width="45.7109375" style="12" customWidth="1"/>
    <col min="8" max="8" width="18.5703125" style="3" customWidth="1"/>
    <col min="9" max="10" width="11.42578125" style="14"/>
    <col min="11" max="11" width="13" style="14" bestFit="1" customWidth="1"/>
    <col min="12" max="16384" width="11.42578125" style="14"/>
  </cols>
  <sheetData>
    <row r="1" spans="1:9" ht="18" x14ac:dyDescent="0.25">
      <c r="A1" s="732" t="s">
        <v>427</v>
      </c>
      <c r="B1" s="733"/>
      <c r="C1" s="733"/>
      <c r="D1" s="733"/>
      <c r="E1" s="733"/>
      <c r="F1" s="733"/>
      <c r="G1" s="733"/>
      <c r="H1" s="733"/>
      <c r="I1" s="4"/>
    </row>
    <row r="2" spans="1:9" ht="18" x14ac:dyDescent="0.25">
      <c r="A2" s="734" t="s">
        <v>426</v>
      </c>
      <c r="B2" s="734"/>
      <c r="C2" s="734"/>
      <c r="D2" s="734"/>
      <c r="E2" s="734"/>
      <c r="F2" s="734"/>
      <c r="G2" s="734"/>
      <c r="H2" s="734"/>
      <c r="I2" s="4"/>
    </row>
    <row r="3" spans="1:9" ht="15.75" x14ac:dyDescent="0.2">
      <c r="A3" s="735" t="s">
        <v>228</v>
      </c>
      <c r="B3" s="736"/>
      <c r="C3" s="736"/>
      <c r="D3" s="736"/>
      <c r="E3" s="736"/>
      <c r="F3" s="736"/>
      <c r="G3" s="736"/>
      <c r="H3" s="736"/>
    </row>
    <row r="4" spans="1:9" ht="15.75" x14ac:dyDescent="0.2">
      <c r="A4" s="735" t="s">
        <v>532</v>
      </c>
      <c r="B4" s="736"/>
      <c r="C4" s="736"/>
      <c r="D4" s="736"/>
      <c r="E4" s="736"/>
      <c r="F4" s="736"/>
      <c r="G4" s="736"/>
      <c r="H4" s="736"/>
    </row>
    <row r="5" spans="1:9" ht="15" x14ac:dyDescent="0.2">
      <c r="A5" s="737" t="s">
        <v>13</v>
      </c>
      <c r="B5" s="738"/>
      <c r="C5" s="738"/>
      <c r="D5" s="738"/>
      <c r="E5" s="738"/>
      <c r="F5" s="738"/>
      <c r="G5" s="738"/>
      <c r="H5" s="738"/>
    </row>
    <row r="6" spans="1:9" ht="8.25" customHeight="1" x14ac:dyDescent="0.25">
      <c r="A6" s="726"/>
      <c r="B6" s="727"/>
      <c r="C6" s="727"/>
      <c r="D6" s="727"/>
      <c r="E6" s="727"/>
      <c r="F6" s="727"/>
      <c r="G6" s="727"/>
      <c r="H6" s="727"/>
    </row>
    <row r="7" spans="1:9" ht="15.75" x14ac:dyDescent="0.25">
      <c r="A7" s="728" t="s">
        <v>229</v>
      </c>
      <c r="B7" s="728"/>
      <c r="C7" s="728"/>
      <c r="D7" s="728"/>
      <c r="E7" s="728"/>
      <c r="F7" s="728"/>
      <c r="G7" s="728"/>
      <c r="H7" s="728"/>
    </row>
    <row r="8" spans="1:9" ht="16.5" thickBot="1" x14ac:dyDescent="0.3">
      <c r="A8" s="729" t="s">
        <v>246</v>
      </c>
      <c r="B8" s="729"/>
      <c r="C8" s="729"/>
      <c r="D8" s="729"/>
      <c r="E8" s="729"/>
      <c r="F8" s="729"/>
      <c r="G8" s="729"/>
      <c r="H8" s="729"/>
    </row>
    <row r="9" spans="1:9" ht="13.5" thickBot="1" x14ac:dyDescent="0.25">
      <c r="A9" s="730" t="s">
        <v>0</v>
      </c>
      <c r="B9" s="731"/>
      <c r="C9" s="731"/>
      <c r="D9" s="731"/>
      <c r="E9" s="731"/>
      <c r="F9" s="731"/>
      <c r="G9" s="739" t="s">
        <v>181</v>
      </c>
      <c r="H9" s="741" t="s">
        <v>182</v>
      </c>
    </row>
    <row r="10" spans="1:9" s="15" customFormat="1" ht="200.25" customHeight="1" thickBot="1" x14ac:dyDescent="0.25">
      <c r="A10" s="583" t="s">
        <v>172</v>
      </c>
      <c r="B10" s="584" t="s">
        <v>173</v>
      </c>
      <c r="C10" s="584" t="s">
        <v>144</v>
      </c>
      <c r="D10" s="584" t="s">
        <v>175</v>
      </c>
      <c r="E10" s="585"/>
      <c r="F10" s="586" t="s">
        <v>118</v>
      </c>
      <c r="G10" s="740"/>
      <c r="H10" s="742"/>
    </row>
    <row r="11" spans="1:9" ht="15.75" customHeight="1" x14ac:dyDescent="0.2">
      <c r="A11" s="6">
        <v>3</v>
      </c>
      <c r="B11" s="7" t="s">
        <v>53</v>
      </c>
      <c r="C11" s="7" t="s">
        <v>53</v>
      </c>
      <c r="D11" s="7" t="s">
        <v>108</v>
      </c>
      <c r="E11" s="7"/>
      <c r="F11" s="146">
        <v>61102</v>
      </c>
      <c r="G11" s="155" t="s">
        <v>397</v>
      </c>
      <c r="H11" s="151">
        <v>0</v>
      </c>
    </row>
    <row r="12" spans="1:9" ht="15.75" customHeight="1" x14ac:dyDescent="0.2">
      <c r="A12" s="5">
        <v>3</v>
      </c>
      <c r="B12" s="1" t="s">
        <v>53</v>
      </c>
      <c r="C12" s="1" t="s">
        <v>53</v>
      </c>
      <c r="D12" s="1" t="s">
        <v>108</v>
      </c>
      <c r="E12" s="7"/>
      <c r="F12" s="146">
        <v>61105</v>
      </c>
      <c r="G12" s="139" t="s">
        <v>409</v>
      </c>
      <c r="H12" s="8">
        <v>0</v>
      </c>
    </row>
    <row r="13" spans="1:9" ht="15.75" customHeight="1" x14ac:dyDescent="0.2">
      <c r="A13" s="5">
        <v>3</v>
      </c>
      <c r="B13" s="1" t="s">
        <v>53</v>
      </c>
      <c r="C13" s="1" t="s">
        <v>53</v>
      </c>
      <c r="D13" s="1" t="s">
        <v>108</v>
      </c>
      <c r="E13" s="7"/>
      <c r="F13" s="146">
        <v>61501</v>
      </c>
      <c r="G13" s="139" t="s">
        <v>416</v>
      </c>
      <c r="H13" s="8"/>
    </row>
    <row r="14" spans="1:9" ht="15.75" customHeight="1" x14ac:dyDescent="0.2">
      <c r="A14" s="5">
        <v>3</v>
      </c>
      <c r="B14" s="1" t="s">
        <v>53</v>
      </c>
      <c r="C14" s="1" t="s">
        <v>53</v>
      </c>
      <c r="D14" s="1" t="s">
        <v>108</v>
      </c>
      <c r="E14" s="7"/>
      <c r="F14" s="146">
        <v>61599</v>
      </c>
      <c r="G14" s="139" t="s">
        <v>415</v>
      </c>
      <c r="H14" s="8"/>
    </row>
    <row r="15" spans="1:9" ht="15.75" customHeight="1" x14ac:dyDescent="0.2">
      <c r="A15" s="5">
        <v>3</v>
      </c>
      <c r="B15" s="1" t="s">
        <v>53</v>
      </c>
      <c r="C15" s="1" t="s">
        <v>53</v>
      </c>
      <c r="D15" s="1" t="s">
        <v>108</v>
      </c>
      <c r="E15" s="7"/>
      <c r="F15" s="146">
        <v>61601</v>
      </c>
      <c r="G15" s="139" t="s">
        <v>410</v>
      </c>
      <c r="H15" s="8">
        <v>307500</v>
      </c>
    </row>
    <row r="16" spans="1:9" ht="15.75" customHeight="1" x14ac:dyDescent="0.2">
      <c r="A16" s="5">
        <v>3</v>
      </c>
      <c r="B16" s="1" t="s">
        <v>53</v>
      </c>
      <c r="C16" s="1" t="s">
        <v>53</v>
      </c>
      <c r="D16" s="1" t="s">
        <v>108</v>
      </c>
      <c r="E16" s="7"/>
      <c r="F16" s="146">
        <v>61602</v>
      </c>
      <c r="G16" s="139" t="s">
        <v>411</v>
      </c>
      <c r="H16" s="8"/>
    </row>
    <row r="17" spans="1:11" ht="15.75" customHeight="1" x14ac:dyDescent="0.2">
      <c r="A17" s="5">
        <v>3</v>
      </c>
      <c r="B17" s="1" t="s">
        <v>53</v>
      </c>
      <c r="C17" s="1" t="s">
        <v>53</v>
      </c>
      <c r="D17" s="1" t="s">
        <v>108</v>
      </c>
      <c r="E17" s="7"/>
      <c r="F17" s="146">
        <v>61603</v>
      </c>
      <c r="G17" s="139" t="s">
        <v>412</v>
      </c>
      <c r="H17" s="8">
        <v>0</v>
      </c>
    </row>
    <row r="18" spans="1:11" ht="15.75" customHeight="1" x14ac:dyDescent="0.2">
      <c r="A18" s="5">
        <v>3</v>
      </c>
      <c r="B18" s="1" t="s">
        <v>53</v>
      </c>
      <c r="C18" s="1" t="s">
        <v>53</v>
      </c>
      <c r="D18" s="1" t="s">
        <v>108</v>
      </c>
      <c r="E18" s="7"/>
      <c r="F18" s="146">
        <v>61606</v>
      </c>
      <c r="G18" s="139" t="s">
        <v>413</v>
      </c>
      <c r="H18" s="8">
        <v>192500</v>
      </c>
    </row>
    <row r="19" spans="1:11" ht="15.75" customHeight="1" x14ac:dyDescent="0.2">
      <c r="A19" s="5">
        <v>3</v>
      </c>
      <c r="B19" s="1" t="s">
        <v>53</v>
      </c>
      <c r="C19" s="1" t="s">
        <v>53</v>
      </c>
      <c r="D19" s="1" t="s">
        <v>108</v>
      </c>
      <c r="E19" s="7"/>
      <c r="F19" s="146">
        <v>61608</v>
      </c>
      <c r="G19" s="139" t="s">
        <v>414</v>
      </c>
      <c r="H19" s="8"/>
      <c r="I19" s="551"/>
      <c r="J19" s="551"/>
      <c r="K19" s="551"/>
    </row>
    <row r="20" spans="1:11" ht="15.75" customHeight="1" x14ac:dyDescent="0.2">
      <c r="A20" s="5">
        <v>3</v>
      </c>
      <c r="B20" s="1" t="s">
        <v>53</v>
      </c>
      <c r="C20" s="1" t="s">
        <v>53</v>
      </c>
      <c r="D20" s="1" t="s">
        <v>108</v>
      </c>
      <c r="E20" s="7"/>
      <c r="F20" s="146">
        <v>61699</v>
      </c>
      <c r="G20" s="139" t="s">
        <v>408</v>
      </c>
      <c r="H20" s="8"/>
      <c r="I20" s="551"/>
      <c r="J20" s="551"/>
      <c r="K20" s="551"/>
    </row>
    <row r="21" spans="1:11" ht="15.75" customHeight="1" x14ac:dyDescent="0.2">
      <c r="A21" s="5"/>
      <c r="B21" s="1"/>
      <c r="C21" s="1"/>
      <c r="D21" s="1"/>
      <c r="E21" s="7"/>
      <c r="F21" s="153"/>
      <c r="G21" s="140"/>
      <c r="H21" s="8"/>
      <c r="I21" s="551"/>
      <c r="J21" s="551">
        <v>61</v>
      </c>
      <c r="K21" s="588">
        <f>SUM(H13:H20)</f>
        <v>500000</v>
      </c>
    </row>
    <row r="22" spans="1:11" ht="15.75" customHeight="1" x14ac:dyDescent="0.2">
      <c r="A22" s="5"/>
      <c r="B22" s="1"/>
      <c r="C22" s="1"/>
      <c r="D22" s="1"/>
      <c r="E22" s="7"/>
      <c r="F22" s="153"/>
      <c r="G22" s="140"/>
      <c r="H22" s="8">
        <v>0</v>
      </c>
      <c r="I22" s="551">
        <v>5000</v>
      </c>
      <c r="J22" s="551"/>
      <c r="K22" s="551"/>
    </row>
    <row r="23" spans="1:11" ht="15.75" customHeight="1" x14ac:dyDescent="0.2">
      <c r="A23" s="5"/>
      <c r="B23" s="1"/>
      <c r="C23" s="1"/>
      <c r="D23" s="1"/>
      <c r="E23" s="7"/>
      <c r="F23" s="153"/>
      <c r="G23" s="140"/>
      <c r="H23" s="8"/>
      <c r="I23" s="551"/>
      <c r="J23" s="551"/>
      <c r="K23" s="551"/>
    </row>
    <row r="24" spans="1:11" ht="15.75" customHeight="1" x14ac:dyDescent="0.2">
      <c r="A24" s="5"/>
      <c r="B24" s="1"/>
      <c r="C24" s="1"/>
      <c r="D24" s="1"/>
      <c r="E24" s="7"/>
      <c r="F24" s="153"/>
      <c r="G24" s="140"/>
      <c r="H24" s="8">
        <v>0</v>
      </c>
      <c r="I24" s="551">
        <v>5000</v>
      </c>
      <c r="J24" s="551"/>
      <c r="K24" s="551"/>
    </row>
    <row r="25" spans="1:11" ht="15.75" customHeight="1" x14ac:dyDescent="0.2">
      <c r="A25" s="5"/>
      <c r="B25" s="1"/>
      <c r="C25" s="1"/>
      <c r="D25" s="1"/>
      <c r="E25" s="7"/>
      <c r="F25" s="153"/>
      <c r="G25" s="140"/>
      <c r="H25" s="8"/>
      <c r="I25" s="551">
        <v>62727</v>
      </c>
      <c r="J25" s="551"/>
      <c r="K25" s="551"/>
    </row>
    <row r="26" spans="1:11" ht="15.75" customHeight="1" thickBot="1" x14ac:dyDescent="0.25">
      <c r="A26" s="10"/>
      <c r="B26" s="9"/>
      <c r="C26" s="9"/>
      <c r="D26" s="9"/>
      <c r="E26" s="9"/>
      <c r="F26" s="154"/>
      <c r="G26" s="141"/>
      <c r="H26" s="152"/>
      <c r="I26" s="551"/>
      <c r="J26" s="551"/>
      <c r="K26" s="551"/>
    </row>
    <row r="27" spans="1:11" ht="29.25" customHeight="1" thickBot="1" x14ac:dyDescent="0.25">
      <c r="A27" s="743" t="s">
        <v>322</v>
      </c>
      <c r="B27" s="744"/>
      <c r="C27" s="744"/>
      <c r="D27" s="744"/>
      <c r="E27" s="744"/>
      <c r="F27" s="744"/>
      <c r="G27" s="745"/>
      <c r="H27" s="587">
        <f>SUM(H15:H18)</f>
        <v>500000</v>
      </c>
      <c r="I27" s="551"/>
      <c r="J27" s="551"/>
      <c r="K27" s="551"/>
    </row>
    <row r="28" spans="1:11" x14ac:dyDescent="0.2">
      <c r="A28" s="16"/>
      <c r="B28" s="16"/>
      <c r="C28" s="16"/>
      <c r="D28" s="16"/>
      <c r="E28" s="16"/>
      <c r="F28" s="16"/>
      <c r="H28" s="28"/>
    </row>
    <row r="29" spans="1:11" ht="15.75" x14ac:dyDescent="0.25">
      <c r="A29" s="559"/>
      <c r="B29" s="559"/>
      <c r="C29" s="559"/>
      <c r="D29" s="559"/>
      <c r="E29" s="559"/>
      <c r="F29" s="559"/>
      <c r="G29" s="566"/>
      <c r="H29" s="567">
        <f>SUM(Ingresos!H49)</f>
        <v>500000</v>
      </c>
      <c r="I29" s="568"/>
    </row>
    <row r="30" spans="1:11" ht="19.5" customHeight="1" x14ac:dyDescent="0.25">
      <c r="A30" s="710" t="s">
        <v>14</v>
      </c>
      <c r="B30" s="710"/>
      <c r="C30" s="710"/>
      <c r="D30" s="710"/>
      <c r="E30" s="710"/>
      <c r="F30" s="710"/>
      <c r="G30" s="569"/>
      <c r="H30" s="567">
        <f>SUM(H27-H29)</f>
        <v>0</v>
      </c>
      <c r="I30" s="568"/>
    </row>
    <row r="31" spans="1:11" ht="15" x14ac:dyDescent="0.25">
      <c r="A31" s="701" t="s">
        <v>2</v>
      </c>
      <c r="B31" s="701"/>
      <c r="C31" s="701"/>
      <c r="D31" s="701"/>
      <c r="E31" s="701"/>
      <c r="F31" s="701"/>
      <c r="G31" s="701"/>
      <c r="H31" s="567"/>
      <c r="I31" s="568"/>
    </row>
    <row r="32" spans="1:11" ht="15" x14ac:dyDescent="0.25">
      <c r="A32" s="701" t="s">
        <v>8</v>
      </c>
      <c r="B32" s="701"/>
      <c r="C32" s="701"/>
      <c r="D32" s="701"/>
      <c r="E32" s="701"/>
      <c r="F32" s="701"/>
      <c r="G32" s="701"/>
      <c r="H32" s="567"/>
      <c r="I32" s="568"/>
    </row>
    <row r="33" spans="1:9" ht="15" x14ac:dyDescent="0.25">
      <c r="A33" s="701" t="s">
        <v>9</v>
      </c>
      <c r="B33" s="701"/>
      <c r="C33" s="701"/>
      <c r="D33" s="701"/>
      <c r="E33" s="701"/>
      <c r="F33" s="701"/>
      <c r="G33" s="701"/>
      <c r="H33" s="567"/>
      <c r="I33" s="568"/>
    </row>
    <row r="34" spans="1:9" ht="15" x14ac:dyDescent="0.25">
      <c r="A34" s="701"/>
      <c r="B34" s="701"/>
      <c r="C34" s="701"/>
      <c r="D34" s="701"/>
      <c r="E34" s="701"/>
      <c r="F34" s="701"/>
      <c r="G34" s="701"/>
      <c r="H34" s="567"/>
      <c r="I34" s="568"/>
    </row>
    <row r="35" spans="1:9" ht="15" x14ac:dyDescent="0.25">
      <c r="A35" s="573"/>
      <c r="B35" s="573"/>
      <c r="C35" s="573"/>
      <c r="D35" s="573"/>
      <c r="E35" s="573"/>
      <c r="F35" s="573"/>
      <c r="G35" s="569"/>
      <c r="H35" s="567"/>
      <c r="I35" s="568"/>
    </row>
    <row r="36" spans="1:9" ht="15" x14ac:dyDescent="0.25">
      <c r="A36" s="573"/>
      <c r="B36" s="573"/>
      <c r="C36" s="573"/>
      <c r="D36" s="573"/>
      <c r="E36" s="573"/>
      <c r="F36" s="573"/>
      <c r="G36" s="569"/>
      <c r="H36" s="567"/>
      <c r="I36" s="568"/>
    </row>
    <row r="37" spans="1:9" ht="15" x14ac:dyDescent="0.25">
      <c r="H37" s="126"/>
    </row>
    <row r="38" spans="1:9" ht="15" x14ac:dyDescent="0.25">
      <c r="H38" s="126"/>
    </row>
    <row r="39" spans="1:9" ht="15" x14ac:dyDescent="0.25">
      <c r="H39" s="126"/>
    </row>
    <row r="40" spans="1:9" ht="15" x14ac:dyDescent="0.25">
      <c r="H40" s="126"/>
    </row>
    <row r="41" spans="1:9" ht="15" x14ac:dyDescent="0.25">
      <c r="H41" s="126"/>
    </row>
    <row r="42" spans="1:9" ht="15" x14ac:dyDescent="0.25">
      <c r="H42" s="126"/>
    </row>
  </sheetData>
  <sheetProtection sheet="1" formatCells="0" formatColumns="0" formatRows="0" insertColumns="0" insertRows="0" insertHyperlinks="0" deleteColumns="0" deleteRows="0" sort="0" autoFilter="0" pivotTables="0"/>
  <mergeCells count="17">
    <mergeCell ref="A33:G33"/>
    <mergeCell ref="A34:G34"/>
    <mergeCell ref="A27:G27"/>
    <mergeCell ref="A1:H1"/>
    <mergeCell ref="A2:H2"/>
    <mergeCell ref="A3:H3"/>
    <mergeCell ref="A4:H4"/>
    <mergeCell ref="A5:H5"/>
    <mergeCell ref="A6:H6"/>
    <mergeCell ref="A31:G31"/>
    <mergeCell ref="A32:G32"/>
    <mergeCell ref="A30:F30"/>
    <mergeCell ref="A7:H7"/>
    <mergeCell ref="A8:H8"/>
    <mergeCell ref="A9:F9"/>
    <mergeCell ref="G9:G10"/>
    <mergeCell ref="H9:H10"/>
  </mergeCells>
  <printOptions horizontalCentered="1"/>
  <pageMargins left="0.59055118110236227" right="0.35433070866141736" top="0.94488188976377963" bottom="0.74803149606299213" header="0.31496062992125984" footer="0.31496062992125984"/>
  <pageSetup scale="9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2:G19"/>
  <sheetViews>
    <sheetView topLeftCell="A4" workbookViewId="0">
      <selection activeCell="B4" sqref="B4"/>
    </sheetView>
  </sheetViews>
  <sheetFormatPr baseColWidth="10" defaultColWidth="11.42578125" defaultRowHeight="12.75" x14ac:dyDescent="0.2"/>
  <cols>
    <col min="1" max="1" width="7" style="68" customWidth="1"/>
    <col min="2" max="2" width="38.5703125" style="68" customWidth="1"/>
    <col min="3" max="3" width="23.42578125" style="68" customWidth="1"/>
    <col min="4" max="4" width="15.5703125" style="68" customWidth="1"/>
    <col min="5" max="5" width="11.42578125" style="68"/>
    <col min="6" max="6" width="15.140625" style="68" customWidth="1"/>
    <col min="7" max="7" width="15" style="68" customWidth="1"/>
    <col min="8" max="16384" width="11.42578125" style="68"/>
  </cols>
  <sheetData>
    <row r="2" spans="2:7" ht="15.75" x14ac:dyDescent="0.2">
      <c r="B2" s="736" t="s">
        <v>275</v>
      </c>
      <c r="C2" s="736"/>
      <c r="D2" s="736"/>
      <c r="E2" s="736"/>
      <c r="F2" s="736"/>
      <c r="G2" s="736"/>
    </row>
    <row r="3" spans="2:7" ht="12.75" customHeight="1" x14ac:dyDescent="0.2">
      <c r="B3" s="736" t="s">
        <v>276</v>
      </c>
      <c r="C3" s="736"/>
      <c r="D3" s="736"/>
      <c r="E3" s="736"/>
      <c r="F3" s="736"/>
      <c r="G3" s="736"/>
    </row>
    <row r="4" spans="2:7" ht="13.5" thickBot="1" x14ac:dyDescent="0.25"/>
    <row r="5" spans="2:7" s="69" customFormat="1" ht="51" customHeight="1" thickBot="1" x14ac:dyDescent="0.25">
      <c r="B5" s="746" t="s">
        <v>95</v>
      </c>
      <c r="C5" s="747" t="s">
        <v>96</v>
      </c>
      <c r="D5" s="746" t="s">
        <v>97</v>
      </c>
      <c r="E5" s="746" t="s">
        <v>94</v>
      </c>
      <c r="F5" s="746" t="s">
        <v>98</v>
      </c>
      <c r="G5" s="746"/>
    </row>
    <row r="6" spans="2:7" s="69" customFormat="1" ht="26.25" customHeight="1" thickBot="1" x14ac:dyDescent="0.25">
      <c r="B6" s="746"/>
      <c r="C6" s="748"/>
      <c r="D6" s="746"/>
      <c r="E6" s="746"/>
      <c r="F6" s="746" t="s">
        <v>99</v>
      </c>
      <c r="G6" s="746" t="s">
        <v>100</v>
      </c>
    </row>
    <row r="7" spans="2:7" s="69" customFormat="1" ht="13.5" thickBot="1" x14ac:dyDescent="0.25">
      <c r="B7" s="746"/>
      <c r="C7" s="749"/>
      <c r="D7" s="746"/>
      <c r="E7" s="746"/>
      <c r="F7" s="746"/>
      <c r="G7" s="746"/>
    </row>
    <row r="8" spans="2:7" ht="30" customHeight="1" x14ac:dyDescent="0.2">
      <c r="B8" s="77"/>
      <c r="C8" s="79"/>
      <c r="D8" s="29" t="s">
        <v>103</v>
      </c>
      <c r="E8" s="70" t="s">
        <v>101</v>
      </c>
      <c r="F8" s="71">
        <v>300</v>
      </c>
      <c r="G8" s="72">
        <f t="shared" ref="G8:G14" si="0">F8*12</f>
        <v>3600</v>
      </c>
    </row>
    <row r="9" spans="2:7" ht="30" customHeight="1" x14ac:dyDescent="0.2">
      <c r="B9" s="78"/>
      <c r="C9" s="78"/>
      <c r="D9" s="76" t="s">
        <v>103</v>
      </c>
      <c r="E9" s="11" t="s">
        <v>101</v>
      </c>
      <c r="F9" s="71">
        <v>250</v>
      </c>
      <c r="G9" s="72">
        <f t="shared" si="0"/>
        <v>3000</v>
      </c>
    </row>
    <row r="10" spans="2:7" ht="30" customHeight="1" x14ac:dyDescent="0.2">
      <c r="B10" s="78"/>
      <c r="C10" s="78"/>
      <c r="D10" s="76" t="s">
        <v>103</v>
      </c>
      <c r="E10" s="11" t="s">
        <v>101</v>
      </c>
      <c r="F10" s="71">
        <v>250</v>
      </c>
      <c r="G10" s="72">
        <f t="shared" si="0"/>
        <v>3000</v>
      </c>
    </row>
    <row r="11" spans="2:7" ht="30" customHeight="1" x14ac:dyDescent="0.2">
      <c r="B11" s="78"/>
      <c r="C11" s="78"/>
      <c r="D11" s="76" t="s">
        <v>103</v>
      </c>
      <c r="E11" s="11" t="s">
        <v>101</v>
      </c>
      <c r="F11" s="71">
        <v>200</v>
      </c>
      <c r="G11" s="72">
        <f t="shared" si="0"/>
        <v>2400</v>
      </c>
    </row>
    <row r="12" spans="2:7" ht="30" customHeight="1" x14ac:dyDescent="0.2">
      <c r="B12" s="78"/>
      <c r="C12" s="78"/>
      <c r="D12" s="76" t="s">
        <v>103</v>
      </c>
      <c r="E12" s="11" t="s">
        <v>101</v>
      </c>
      <c r="F12" s="71">
        <v>200</v>
      </c>
      <c r="G12" s="72">
        <f t="shared" si="0"/>
        <v>2400</v>
      </c>
    </row>
    <row r="13" spans="2:7" ht="30" customHeight="1" x14ac:dyDescent="0.2">
      <c r="B13" s="78"/>
      <c r="C13" s="78"/>
      <c r="D13" s="76" t="s">
        <v>103</v>
      </c>
      <c r="E13" s="11" t="s">
        <v>101</v>
      </c>
      <c r="F13" s="71">
        <v>200</v>
      </c>
      <c r="G13" s="72">
        <f t="shared" si="0"/>
        <v>2400</v>
      </c>
    </row>
    <row r="14" spans="2:7" ht="30" customHeight="1" x14ac:dyDescent="0.2">
      <c r="B14" s="78"/>
      <c r="C14" s="78"/>
      <c r="D14" s="76" t="s">
        <v>103</v>
      </c>
      <c r="E14" s="11" t="s">
        <v>101</v>
      </c>
      <c r="F14" s="71">
        <v>200</v>
      </c>
      <c r="G14" s="72">
        <f t="shared" si="0"/>
        <v>2400</v>
      </c>
    </row>
    <row r="15" spans="2:7" ht="24.95" customHeight="1" thickBot="1" x14ac:dyDescent="0.25">
      <c r="B15" s="750" t="s">
        <v>102</v>
      </c>
      <c r="C15" s="751"/>
      <c r="D15" s="751"/>
      <c r="E15" s="751"/>
      <c r="F15" s="75">
        <f>SUM(F8:F14)</f>
        <v>1600</v>
      </c>
      <c r="G15" s="75">
        <f>SUM(G8:G14)</f>
        <v>19200</v>
      </c>
    </row>
    <row r="16" spans="2:7" ht="24.95" customHeight="1" thickBot="1" x14ac:dyDescent="0.25">
      <c r="B16" s="752" t="s">
        <v>208</v>
      </c>
      <c r="C16" s="753"/>
      <c r="D16" s="753"/>
      <c r="E16" s="753"/>
      <c r="F16" s="73"/>
      <c r="G16" s="73">
        <f>SUM(G8:G14)</f>
        <v>19200</v>
      </c>
    </row>
    <row r="17" spans="1:4" ht="24.95" customHeight="1" x14ac:dyDescent="0.2"/>
    <row r="18" spans="1:4" ht="24.95" customHeight="1" x14ac:dyDescent="0.2">
      <c r="A18" s="74"/>
      <c r="B18" s="754"/>
      <c r="C18" s="754"/>
      <c r="D18" s="754"/>
    </row>
    <row r="19" spans="1:4" ht="24.95" customHeight="1" x14ac:dyDescent="0.2"/>
  </sheetData>
  <mergeCells count="12">
    <mergeCell ref="B15:E15"/>
    <mergeCell ref="B16:E16"/>
    <mergeCell ref="B18:D18"/>
    <mergeCell ref="E5:E7"/>
    <mergeCell ref="B3:G3"/>
    <mergeCell ref="B2:G2"/>
    <mergeCell ref="F5:G5"/>
    <mergeCell ref="F6:F7"/>
    <mergeCell ref="G6:G7"/>
    <mergeCell ref="B5:B7"/>
    <mergeCell ref="C5:C7"/>
    <mergeCell ref="D5:D7"/>
  </mergeCells>
  <phoneticPr fontId="2" type="noConversion"/>
  <printOptions horizontalCentered="1"/>
  <pageMargins left="0.78740157480314965" right="0.78740157480314965" top="0.98425196850393704" bottom="0.98425196850393704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Estructura</vt:lpstr>
      <vt:lpstr>Rubros</vt:lpstr>
      <vt:lpstr>Ingresos</vt:lpstr>
      <vt:lpstr>Egresos F.P. </vt:lpstr>
      <vt:lpstr>Egr. FODES 25%</vt:lpstr>
      <vt:lpstr>Egr.FODES 75%</vt:lpstr>
      <vt:lpstr>Deuda Pub 75%</vt:lpstr>
      <vt:lpstr>Ejec. Prestamo</vt:lpstr>
      <vt:lpstr>Dietas</vt:lpstr>
      <vt:lpstr>auxiliares</vt:lpstr>
      <vt:lpstr>ESPECIFICOPROYECTOS</vt:lpstr>
      <vt:lpstr>ANALISIS</vt:lpstr>
      <vt:lpstr>analisis deuda</vt:lpstr>
      <vt:lpstr>proyectos</vt:lpstr>
      <vt:lpstr>'Deuda Pub 75%'!Área_de_impresión</vt:lpstr>
      <vt:lpstr>'Egr. FODES 25%'!Área_de_impresión</vt:lpstr>
      <vt:lpstr>'Egr.FODES 75%'!Área_de_impresión</vt:lpstr>
      <vt:lpstr>'Egresos F.P. '!Área_de_impresión</vt:lpstr>
      <vt:lpstr>'Ejec. Prestamo'!Área_de_impresión</vt:lpstr>
      <vt:lpstr>Ingresos!Área_de_impresión</vt:lpstr>
      <vt:lpstr>proyectos!Área_de_impresión</vt:lpstr>
      <vt:lpstr>Estructura!ESTRUCTURA</vt:lpstr>
      <vt:lpstr>ANALISIS!Títulos_a_imprimir</vt:lpstr>
      <vt:lpstr>'Egr. FODES 25%'!Títulos_a_imprimir</vt:lpstr>
      <vt:lpstr>'Egr.FODES 75%'!Títulos_a_imprimir</vt:lpstr>
      <vt:lpstr>'Egresos F.P. '!Títulos_a_imprimir</vt:lpstr>
      <vt:lpstr>Ingresos!Títulos_a_imprimir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Propietario</cp:lastModifiedBy>
  <cp:lastPrinted>2019-01-30T15:56:48Z</cp:lastPrinted>
  <dcterms:created xsi:type="dcterms:W3CDTF">2007-07-18T15:13:44Z</dcterms:created>
  <dcterms:modified xsi:type="dcterms:W3CDTF">2019-01-31T14:30:02Z</dcterms:modified>
</cp:coreProperties>
</file>