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codeName="ThisWorkbook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0_ncr:8100000_{0351A622-BA93-47D7-941E-2372294B909B}" xr6:coauthVersionLast="33" xr6:coauthVersionMax="33" xr10:uidLastSave="{00000000-0000-0000-0000-000000000000}"/>
  <workbookProtection workbookAlgorithmName="SHA-512" workbookHashValue="drhTHW/CBj9By0twOwR6p+tpVDgisZ9O01kp6pI5kiYqi+xAsBvw1vS5HSNCzLBKMbtL6xrsMbVHtbwqKzwt+w==" workbookSaltValue="ZsdudZzJeYmO7aQacMY9IA==" workbookSpinCount="100000" lockStructure="1"/>
  <bookViews>
    <workbookView xWindow="0" yWindow="0" windowWidth="20610" windowHeight="11640" tabRatio="903" activeTab="14" xr2:uid="{00000000-000D-0000-FFFF-FFFF00000000}"/>
  </bookViews>
  <sheets>
    <sheet name="Estructura" sheetId="56" r:id="rId1"/>
    <sheet name="Rubros" sheetId="57" r:id="rId2"/>
    <sheet name="Ingresos" sheetId="16" r:id="rId3"/>
    <sheet name="Egresos F.P. " sheetId="12" r:id="rId4"/>
    <sheet name="Egr. FODES 25%" sheetId="20" r:id="rId5"/>
    <sheet name="Egr.FODES 75%" sheetId="58" r:id="rId6"/>
    <sheet name="Deuda Pub 75%" sheetId="15" r:id="rId7"/>
    <sheet name="FISDL" sheetId="62" r:id="rId8"/>
    <sheet name="PFGL" sheetId="60" r:id="rId9"/>
    <sheet name="Ejec. Prestamo" sheetId="59" r:id="rId10"/>
    <sheet name="Dietas" sheetId="27" state="hidden" r:id="rId11"/>
    <sheet name="auxiliares" sheetId="61" state="hidden" r:id="rId12"/>
    <sheet name="ANALISIS" sheetId="64" r:id="rId13"/>
    <sheet name="proyectos" sheetId="67" r:id="rId14"/>
    <sheet name="Hoja5" sheetId="71" r:id="rId15"/>
  </sheets>
  <definedNames>
    <definedName name="_xlnm._FilterDatabase" localSheetId="4" hidden="1">'Egr. FODES 25%'!$A$7:$L$10</definedName>
    <definedName name="_xlnm._FilterDatabase" localSheetId="2" hidden="1">Ingresos!$A$1:$I$49</definedName>
    <definedName name="_xlnm.Print_Area" localSheetId="6">'Deuda Pub 75%'!$A$1:$H$18</definedName>
    <definedName name="_xlnm.Print_Area" localSheetId="4">'Egr. FODES 25%'!$A$1:$L$60</definedName>
    <definedName name="_xlnm.Print_Area" localSheetId="5">'Egr.FODES 75%'!$A$1:$I$69</definedName>
    <definedName name="_xlnm.Print_Area" localSheetId="3">'Egresos F.P. '!$A$1:$L$80</definedName>
    <definedName name="_xlnm.Print_Area" localSheetId="9">'Ejec. Prestamo'!$A$1:$H$27</definedName>
    <definedName name="_xlnm.Print_Area" localSheetId="7">FISDL!$A$1:$H$27</definedName>
    <definedName name="_xlnm.Print_Area" localSheetId="2">Ingresos!$A$1:$I$49</definedName>
    <definedName name="_xlnm.Print_Area" localSheetId="8">PFGL!$A$1:$H$27</definedName>
    <definedName name="_xlnm.Print_Area" localSheetId="13">proyectos!$A$1:$F$67</definedName>
    <definedName name="ESTRUCTURA" localSheetId="0">Estructura!$A$4</definedName>
    <definedName name="_xlnm.Print_Titles" localSheetId="12">ANALISIS!$5:$6</definedName>
    <definedName name="_xlnm.Print_Titles" localSheetId="4">'Egr. FODES 25%'!$1:$10</definedName>
    <definedName name="_xlnm.Print_Titles" localSheetId="5">'Egr.FODES 75%'!$9:$10</definedName>
    <definedName name="_xlnm.Print_Titles" localSheetId="3">'Egresos F.P. '!$1:$9</definedName>
    <definedName name="_xlnm.Print_Titles" localSheetId="2">Ingresos!$1:$8</definedName>
  </definedNames>
  <calcPr calcId="162913"/>
</workbook>
</file>

<file path=xl/calcChain.xml><?xml version="1.0" encoding="utf-8"?>
<calcChain xmlns="http://schemas.openxmlformats.org/spreadsheetml/2006/main">
  <c r="F9" i="16" l="1"/>
  <c r="D47" i="16" l="1"/>
  <c r="I65" i="58"/>
  <c r="I64" i="58"/>
  <c r="I63" i="58"/>
  <c r="I62" i="58"/>
  <c r="I61" i="58"/>
  <c r="I60" i="58"/>
  <c r="I59" i="58"/>
  <c r="I58" i="58"/>
  <c r="I57" i="58"/>
  <c r="I55" i="58"/>
  <c r="I54" i="58"/>
  <c r="I51" i="58"/>
  <c r="I46" i="58"/>
  <c r="I45" i="58"/>
  <c r="I43" i="58"/>
  <c r="I41" i="58"/>
  <c r="I40" i="58"/>
  <c r="I39" i="58"/>
  <c r="I38" i="58"/>
  <c r="I36" i="58"/>
  <c r="I34" i="58"/>
  <c r="I33" i="58"/>
  <c r="I32" i="58"/>
  <c r="I30" i="58"/>
  <c r="I27" i="58"/>
  <c r="I26" i="58"/>
  <c r="I22" i="58"/>
  <c r="I21" i="58"/>
  <c r="I20" i="58"/>
  <c r="I19" i="58"/>
  <c r="I17" i="58"/>
  <c r="I16" i="58"/>
  <c r="I14" i="58"/>
  <c r="I13" i="58"/>
  <c r="I12" i="58"/>
  <c r="I11" i="58"/>
  <c r="K24" i="67"/>
  <c r="D24" i="67"/>
  <c r="F44" i="58"/>
  <c r="I44" i="58" s="1"/>
  <c r="F50" i="58"/>
  <c r="I50" i="58" s="1"/>
  <c r="G47" i="58"/>
  <c r="I47" i="58" s="1"/>
  <c r="G53" i="58"/>
  <c r="I53" i="58" s="1"/>
  <c r="G16" i="58"/>
  <c r="AB53" i="67"/>
  <c r="W53" i="67"/>
  <c r="L53" i="67"/>
  <c r="J53" i="67"/>
  <c r="AW52" i="67"/>
  <c r="AV52" i="67"/>
  <c r="AU52" i="67"/>
  <c r="AU53" i="67" s="1"/>
  <c r="AT52" i="67"/>
  <c r="AT53" i="67" s="1"/>
  <c r="AS52" i="67"/>
  <c r="AS53" i="67" s="1"/>
  <c r="AR52" i="67"/>
  <c r="AR53" i="67" s="1"/>
  <c r="AQ52" i="67"/>
  <c r="AQ53" i="67" s="1"/>
  <c r="AP52" i="67"/>
  <c r="AO52" i="67"/>
  <c r="AN52" i="67"/>
  <c r="AM52" i="67"/>
  <c r="AM53" i="67" s="1"/>
  <c r="AL52" i="67"/>
  <c r="AL53" i="67" s="1"/>
  <c r="AK52" i="67"/>
  <c r="AJ52" i="67"/>
  <c r="AJ53" i="67" s="1"/>
  <c r="AI52" i="67"/>
  <c r="AI53" i="67" s="1"/>
  <c r="AH52" i="67"/>
  <c r="AG52" i="67"/>
  <c r="AF52" i="67"/>
  <c r="AE52" i="67"/>
  <c r="AD52" i="67"/>
  <c r="AD53" i="67" s="1"/>
  <c r="AC52" i="67"/>
  <c r="F35" i="58" s="1"/>
  <c r="I35" i="58" s="1"/>
  <c r="AB52" i="67"/>
  <c r="AA52" i="67"/>
  <c r="AA53" i="67" s="1"/>
  <c r="Z52" i="67"/>
  <c r="Z53" i="67" s="1"/>
  <c r="Y52" i="67"/>
  <c r="Y53" i="67" s="1"/>
  <c r="X52" i="67"/>
  <c r="W52" i="67"/>
  <c r="F56" i="58" s="1"/>
  <c r="I56" i="58" s="1"/>
  <c r="V52" i="67"/>
  <c r="F29" i="58" s="1"/>
  <c r="I29" i="58" s="1"/>
  <c r="U52" i="67"/>
  <c r="U53" i="67" s="1"/>
  <c r="T52" i="67"/>
  <c r="T53" i="67" s="1"/>
  <c r="S52" i="67"/>
  <c r="S53" i="67" s="1"/>
  <c r="P52" i="67"/>
  <c r="P53" i="67" s="1"/>
  <c r="O52" i="67"/>
  <c r="O53" i="67" s="1"/>
  <c r="N52" i="67"/>
  <c r="N53" i="67" s="1"/>
  <c r="M52" i="67"/>
  <c r="M53" i="67" s="1"/>
  <c r="L52" i="67"/>
  <c r="K52" i="67"/>
  <c r="F15" i="58" s="1"/>
  <c r="I15" i="58" s="1"/>
  <c r="J52" i="67"/>
  <c r="I52" i="67"/>
  <c r="I53" i="67" s="1"/>
  <c r="H52" i="67"/>
  <c r="G52" i="67"/>
  <c r="G53" i="67" s="1"/>
  <c r="AW20" i="67"/>
  <c r="AW53" i="67" s="1"/>
  <c r="AV20" i="67"/>
  <c r="AV53" i="67" s="1"/>
  <c r="AU20" i="67"/>
  <c r="AT20" i="67"/>
  <c r="AS20" i="67"/>
  <c r="AR20" i="67"/>
  <c r="AQ20" i="67"/>
  <c r="AP20" i="67"/>
  <c r="AP53" i="67" s="1"/>
  <c r="AO20" i="67"/>
  <c r="AO53" i="67" s="1"/>
  <c r="AN20" i="67"/>
  <c r="AN53" i="67" s="1"/>
  <c r="AM20" i="67"/>
  <c r="AL20" i="67"/>
  <c r="AJ20" i="67"/>
  <c r="AI20" i="67"/>
  <c r="AH20" i="67"/>
  <c r="AH53" i="67" s="1"/>
  <c r="AG20" i="67"/>
  <c r="AG53" i="67" s="1"/>
  <c r="AF20" i="67"/>
  <c r="G44" i="58" s="1"/>
  <c r="AD20" i="67"/>
  <c r="G37" i="58" s="1"/>
  <c r="I37" i="58" s="1"/>
  <c r="AC20" i="67"/>
  <c r="AB20" i="67"/>
  <c r="AA20" i="67"/>
  <c r="G31" i="58" s="1"/>
  <c r="I31" i="58" s="1"/>
  <c r="Z20" i="67"/>
  <c r="Y20" i="67"/>
  <c r="X20" i="67"/>
  <c r="X53" i="67" s="1"/>
  <c r="W20" i="67"/>
  <c r="V20" i="67"/>
  <c r="U20" i="67"/>
  <c r="T20" i="67"/>
  <c r="G28" i="58" s="1"/>
  <c r="I28" i="58" s="1"/>
  <c r="S20" i="67"/>
  <c r="R20" i="67"/>
  <c r="Q20" i="67"/>
  <c r="P20" i="67"/>
  <c r="O20" i="67"/>
  <c r="N20" i="67"/>
  <c r="G18" i="58" s="1"/>
  <c r="I18" i="58" s="1"/>
  <c r="M20" i="67"/>
  <c r="L20" i="67"/>
  <c r="K20" i="67"/>
  <c r="J20" i="67"/>
  <c r="I20" i="67"/>
  <c r="H20" i="67"/>
  <c r="H53" i="67" s="1"/>
  <c r="G20" i="67"/>
  <c r="R26" i="67"/>
  <c r="R52" i="67" s="1"/>
  <c r="F24" i="58" s="1"/>
  <c r="I24" i="58" s="1"/>
  <c r="AS32" i="67"/>
  <c r="R28" i="67"/>
  <c r="AS27" i="67"/>
  <c r="F27" i="67" s="1"/>
  <c r="Q21" i="67"/>
  <c r="Q52" i="67" s="1"/>
  <c r="F23" i="58" s="1"/>
  <c r="I23" i="58" s="1"/>
  <c r="F38" i="67"/>
  <c r="F37" i="67"/>
  <c r="F36" i="67"/>
  <c r="F35" i="67"/>
  <c r="F34" i="67"/>
  <c r="F33" i="67"/>
  <c r="F32" i="67"/>
  <c r="F31" i="67"/>
  <c r="F30" i="67"/>
  <c r="F29" i="67"/>
  <c r="F28" i="67"/>
  <c r="F26" i="67"/>
  <c r="F25" i="67"/>
  <c r="F24" i="67"/>
  <c r="F23" i="67"/>
  <c r="F22" i="67"/>
  <c r="F21" i="67"/>
  <c r="F18" i="67"/>
  <c r="F17" i="67"/>
  <c r="F16" i="67"/>
  <c r="AE13" i="67"/>
  <c r="AE20" i="67" s="1"/>
  <c r="G42" i="58" s="1"/>
  <c r="I42" i="58" s="1"/>
  <c r="AK8" i="67"/>
  <c r="AK20" i="67" s="1"/>
  <c r="G48" i="58" s="1"/>
  <c r="I48" i="58" s="1"/>
  <c r="D36" i="67"/>
  <c r="E34" i="67"/>
  <c r="C58" i="67"/>
  <c r="A6" i="67"/>
  <c r="A7" i="67" s="1"/>
  <c r="A8" i="67" s="1"/>
  <c r="A9" i="67" s="1"/>
  <c r="A10" i="67" s="1"/>
  <c r="A11" i="67" s="1"/>
  <c r="A12" i="67" s="1"/>
  <c r="A13" i="67" s="1"/>
  <c r="A14" i="67" s="1"/>
  <c r="A15" i="67" s="1"/>
  <c r="A16" i="67" s="1"/>
  <c r="A17" i="67" s="1"/>
  <c r="A18" i="67" s="1"/>
  <c r="A21" i="67" s="1"/>
  <c r="D13" i="67"/>
  <c r="D51" i="67"/>
  <c r="D38" i="67"/>
  <c r="D31" i="67"/>
  <c r="D29" i="67"/>
  <c r="D28" i="67"/>
  <c r="D19" i="67"/>
  <c r="E16" i="67"/>
  <c r="E51" i="67"/>
  <c r="E37" i="67"/>
  <c r="F71" i="67"/>
  <c r="E30" i="67"/>
  <c r="E6" i="67"/>
  <c r="E17" i="67"/>
  <c r="E9" i="67"/>
  <c r="E83" i="67"/>
  <c r="C83" i="67"/>
  <c r="AK53" i="67" l="1"/>
  <c r="AF53" i="67"/>
  <c r="F49" i="58"/>
  <c r="I49" i="58" s="1"/>
  <c r="L14" i="58" s="1"/>
  <c r="F25" i="58"/>
  <c r="I25" i="58" s="1"/>
  <c r="G52" i="58"/>
  <c r="I52" i="58" s="1"/>
  <c r="R53" i="67"/>
  <c r="AX20" i="67"/>
  <c r="AE53" i="67"/>
  <c r="AY52" i="67"/>
  <c r="AC53" i="67"/>
  <c r="V53" i="67"/>
  <c r="Q53" i="67"/>
  <c r="K53" i="67"/>
  <c r="D39" i="67"/>
  <c r="D52" i="67" s="1"/>
  <c r="E39" i="67"/>
  <c r="E19" i="67"/>
  <c r="AY16" i="67"/>
  <c r="AY15" i="67"/>
  <c r="E52" i="67" l="1"/>
  <c r="AY13" i="67"/>
  <c r="AY11" i="67"/>
  <c r="AY10" i="67"/>
  <c r="AY8" i="67"/>
  <c r="AX16" i="67"/>
  <c r="AX15" i="67"/>
  <c r="AX13" i="67"/>
  <c r="AX11" i="67"/>
  <c r="AX10" i="67"/>
  <c r="AX8" i="67"/>
  <c r="D53" i="67" l="1"/>
  <c r="E61" i="67" s="1"/>
  <c r="E63" i="67" s="1"/>
  <c r="I66" i="58"/>
  <c r="C23" i="57" s="1"/>
  <c r="F15" i="67"/>
  <c r="F13" i="67"/>
  <c r="F11" i="67"/>
  <c r="F10" i="67"/>
  <c r="F8" i="67"/>
  <c r="F7" i="67"/>
  <c r="F5" i="67"/>
  <c r="F71" i="12"/>
  <c r="F64" i="67" l="1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F54" i="20"/>
  <c r="F78" i="12" l="1"/>
  <c r="D43" i="64"/>
  <c r="D42" i="64"/>
  <c r="D41" i="64"/>
  <c r="D40" i="64"/>
  <c r="D39" i="64"/>
  <c r="D38" i="64"/>
  <c r="D36" i="64"/>
  <c r="D35" i="64"/>
  <c r="D34" i="64"/>
  <c r="D33" i="64"/>
  <c r="D32" i="64"/>
  <c r="D31" i="64"/>
  <c r="D30" i="64"/>
  <c r="D29" i="64"/>
  <c r="D28" i="64"/>
  <c r="D27" i="64"/>
  <c r="D26" i="64"/>
  <c r="D25" i="64"/>
  <c r="D24" i="64"/>
  <c r="D23" i="64"/>
  <c r="D22" i="64"/>
  <c r="D21" i="64"/>
  <c r="D20" i="64"/>
  <c r="D19" i="64"/>
  <c r="D18" i="64"/>
  <c r="D17" i="64"/>
  <c r="D16" i="64"/>
  <c r="D15" i="64"/>
  <c r="D14" i="64"/>
  <c r="D13" i="64"/>
  <c r="D12" i="64"/>
  <c r="D11" i="64"/>
  <c r="D10" i="64"/>
  <c r="D9" i="64"/>
  <c r="D8" i="64"/>
  <c r="D7" i="64"/>
  <c r="F18" i="12"/>
  <c r="F17" i="12"/>
  <c r="F11" i="12"/>
  <c r="F10" i="12"/>
  <c r="F80" i="67"/>
  <c r="C37" i="64"/>
  <c r="D37" i="64" s="1"/>
  <c r="D43" i="16" l="1"/>
  <c r="C42" i="16"/>
  <c r="L59" i="12"/>
  <c r="L78" i="12"/>
  <c r="L79" i="12"/>
  <c r="L77" i="12"/>
  <c r="L76" i="12"/>
  <c r="L75" i="12"/>
  <c r="L74" i="12"/>
  <c r="L73" i="12"/>
  <c r="L72" i="12"/>
  <c r="L71" i="12"/>
  <c r="L70" i="12"/>
  <c r="L69" i="12"/>
  <c r="L68" i="12"/>
  <c r="L67" i="12"/>
  <c r="L65" i="12"/>
  <c r="L64" i="12"/>
  <c r="L63" i="12"/>
  <c r="L62" i="12"/>
  <c r="L61" i="12"/>
  <c r="L60" i="12"/>
  <c r="L58" i="12"/>
  <c r="L57" i="12"/>
  <c r="L56" i="12"/>
  <c r="L55" i="12"/>
  <c r="L54" i="12"/>
  <c r="L53" i="12"/>
  <c r="L52" i="12"/>
  <c r="L51" i="12"/>
  <c r="L50" i="12"/>
  <c r="L49" i="12"/>
  <c r="L48" i="12"/>
  <c r="L47" i="12"/>
  <c r="L46" i="12"/>
  <c r="L45" i="12"/>
  <c r="L44" i="12"/>
  <c r="L43" i="12"/>
  <c r="L42" i="12"/>
  <c r="L41" i="12"/>
  <c r="L40" i="12"/>
  <c r="L39" i="12"/>
  <c r="L38" i="12"/>
  <c r="L37" i="12"/>
  <c r="L36" i="12"/>
  <c r="L35" i="12"/>
  <c r="L34" i="12"/>
  <c r="L33" i="12"/>
  <c r="L32" i="12"/>
  <c r="L31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L16" i="12"/>
  <c r="L15" i="12"/>
  <c r="L14" i="12"/>
  <c r="L13" i="12"/>
  <c r="L12" i="12"/>
  <c r="L11" i="12"/>
  <c r="N67" i="12" l="1"/>
  <c r="N72" i="12"/>
  <c r="N76" i="12"/>
  <c r="A22" i="67" l="1"/>
  <c r="A23" i="67" s="1"/>
  <c r="A24" i="67" s="1"/>
  <c r="A25" i="67" s="1"/>
  <c r="A26" i="67" s="1"/>
  <c r="A27" i="67" s="1"/>
  <c r="A28" i="67" s="1"/>
  <c r="A29" i="67" s="1"/>
  <c r="G90" i="12"/>
  <c r="A30" i="67" l="1"/>
  <c r="A31" i="67" s="1"/>
  <c r="A32" i="67" s="1"/>
  <c r="A33" i="67" s="1"/>
  <c r="A34" i="67" s="1"/>
  <c r="A35" i="67" s="1"/>
  <c r="A36" i="67" s="1"/>
  <c r="A37" i="67" s="1"/>
  <c r="A38" i="67" s="1"/>
  <c r="L66" i="12"/>
  <c r="N27" i="12" s="1"/>
  <c r="H10" i="15" l="1"/>
  <c r="F61" i="16" l="1"/>
  <c r="L63" i="58" l="1"/>
  <c r="F77" i="58"/>
  <c r="K14" i="15"/>
  <c r="Q57" i="20"/>
  <c r="I68" i="58" l="1"/>
  <c r="I67" i="58"/>
  <c r="L15" i="58" l="1"/>
  <c r="L32" i="58"/>
  <c r="L13" i="58"/>
  <c r="L11" i="58"/>
  <c r="F72" i="58"/>
  <c r="P52" i="16"/>
  <c r="K17" i="12"/>
  <c r="K80" i="12" s="1"/>
  <c r="J17" i="12"/>
  <c r="H80" i="12" l="1"/>
  <c r="I80" i="12"/>
  <c r="J80" i="12"/>
  <c r="G80" i="12"/>
  <c r="L17" i="12"/>
  <c r="L18" i="12"/>
  <c r="L53" i="58" l="1"/>
  <c r="L16" i="58"/>
  <c r="L58" i="20"/>
  <c r="L57" i="20"/>
  <c r="L56" i="20"/>
  <c r="L55" i="20"/>
  <c r="L54" i="20"/>
  <c r="L53" i="20"/>
  <c r="L52" i="20"/>
  <c r="L51" i="20"/>
  <c r="L50" i="20"/>
  <c r="L49" i="20"/>
  <c r="L48" i="20"/>
  <c r="L47" i="20"/>
  <c r="L46" i="20"/>
  <c r="L45" i="20"/>
  <c r="L44" i="20"/>
  <c r="L43" i="20"/>
  <c r="L42" i="20"/>
  <c r="L41" i="20"/>
  <c r="L40" i="20"/>
  <c r="L39" i="20"/>
  <c r="L38" i="20"/>
  <c r="L37" i="20"/>
  <c r="L36" i="20"/>
  <c r="L35" i="20"/>
  <c r="L34" i="20"/>
  <c r="L33" i="20"/>
  <c r="L32" i="20"/>
  <c r="L31" i="20"/>
  <c r="L30" i="20"/>
  <c r="L29" i="20"/>
  <c r="L28" i="20"/>
  <c r="L27" i="20"/>
  <c r="L26" i="20"/>
  <c r="L25" i="20"/>
  <c r="L24" i="20"/>
  <c r="L23" i="20"/>
  <c r="L22" i="20"/>
  <c r="L21" i="20"/>
  <c r="L20" i="20"/>
  <c r="L19" i="20"/>
  <c r="L18" i="20"/>
  <c r="L17" i="20"/>
  <c r="L16" i="20"/>
  <c r="L15" i="20"/>
  <c r="L14" i="20"/>
  <c r="L13" i="20"/>
  <c r="L12" i="20"/>
  <c r="L11" i="20"/>
  <c r="K60" i="20"/>
  <c r="Q21" i="20"/>
  <c r="P4" i="20"/>
  <c r="P5" i="20" s="1"/>
  <c r="P35" i="20" l="1"/>
  <c r="R11" i="20"/>
  <c r="R14" i="20"/>
  <c r="F52" i="67" l="1"/>
  <c r="K41" i="16"/>
  <c r="O29" i="20"/>
  <c r="O23" i="20"/>
  <c r="H44" i="64" l="1"/>
  <c r="G44" i="64"/>
  <c r="F44" i="64"/>
  <c r="H60" i="20" l="1"/>
  <c r="O76" i="12"/>
  <c r="I48" i="16"/>
  <c r="K21" i="59"/>
  <c r="L76" i="58"/>
  <c r="J68" i="58"/>
  <c r="J67" i="58"/>
  <c r="J66" i="58"/>
  <c r="J65" i="58"/>
  <c r="J64" i="58"/>
  <c r="J63" i="58"/>
  <c r="J62" i="58"/>
  <c r="J61" i="58"/>
  <c r="J60" i="58"/>
  <c r="J59" i="58"/>
  <c r="J58" i="58"/>
  <c r="J57" i="58"/>
  <c r="J55" i="58"/>
  <c r="J54" i="58"/>
  <c r="O67" i="12" l="1"/>
  <c r="O7" i="12"/>
  <c r="O5" i="12"/>
  <c r="O74" i="12"/>
  <c r="O6" i="12"/>
  <c r="L17" i="58"/>
  <c r="L18" i="58"/>
  <c r="O4" i="12"/>
  <c r="R99" i="12"/>
  <c r="R98" i="12"/>
  <c r="R91" i="12"/>
  <c r="R90" i="12"/>
  <c r="L10" i="12"/>
  <c r="B18" i="16"/>
  <c r="B36" i="16"/>
  <c r="N46" i="16"/>
  <c r="B28" i="16"/>
  <c r="B17" i="16"/>
  <c r="E32" i="64"/>
  <c r="F36" i="16" s="1"/>
  <c r="I36" i="16" s="1"/>
  <c r="E14" i="64"/>
  <c r="F18" i="16" s="1"/>
  <c r="L80" i="12" l="1"/>
  <c r="N18" i="12"/>
  <c r="J48" i="58"/>
  <c r="O3" i="12"/>
  <c r="R92" i="12"/>
  <c r="T92" i="12" s="1"/>
  <c r="AX42" i="67"/>
  <c r="AX41" i="67"/>
  <c r="AY42" i="67"/>
  <c r="AY32" i="67"/>
  <c r="AY7" i="67"/>
  <c r="J12" i="58"/>
  <c r="O10" i="12" l="1"/>
  <c r="O83" i="12" s="1"/>
  <c r="S92" i="12"/>
  <c r="U92" i="12"/>
  <c r="AY5" i="67"/>
  <c r="AY51" i="67" s="1"/>
  <c r="J27" i="58"/>
  <c r="AX44" i="67"/>
  <c r="E59" i="58"/>
  <c r="E65" i="58"/>
  <c r="E64" i="58"/>
  <c r="E63" i="58"/>
  <c r="E62" i="58"/>
  <c r="E61" i="58"/>
  <c r="E60" i="58"/>
  <c r="E58" i="58"/>
  <c r="E57" i="58"/>
  <c r="E55" i="58"/>
  <c r="AI1" i="67" s="1"/>
  <c r="AX50" i="67"/>
  <c r="AX49" i="67"/>
  <c r="AX48" i="67"/>
  <c r="AX47" i="67"/>
  <c r="AX46" i="67"/>
  <c r="AX45" i="67"/>
  <c r="AX43" i="67"/>
  <c r="J53" i="58"/>
  <c r="J52" i="58"/>
  <c r="J51" i="58"/>
  <c r="J47" i="58"/>
  <c r="J46" i="58"/>
  <c r="J45" i="58"/>
  <c r="J44" i="58"/>
  <c r="J43" i="58"/>
  <c r="J42" i="58"/>
  <c r="J41" i="58"/>
  <c r="J40" i="58"/>
  <c r="J39" i="58"/>
  <c r="J38" i="58"/>
  <c r="J37" i="58"/>
  <c r="J36" i="58"/>
  <c r="J35" i="58"/>
  <c r="J34" i="58"/>
  <c r="J33" i="58"/>
  <c r="J32" i="58"/>
  <c r="J31" i="58"/>
  <c r="J30" i="58"/>
  <c r="J29" i="58"/>
  <c r="J26" i="58"/>
  <c r="J25" i="58"/>
  <c r="J24" i="58"/>
  <c r="J23" i="58"/>
  <c r="J22" i="58"/>
  <c r="J21" i="58"/>
  <c r="J20" i="58"/>
  <c r="J19" i="58"/>
  <c r="J18" i="58"/>
  <c r="J17" i="58"/>
  <c r="J16" i="58"/>
  <c r="J15" i="58"/>
  <c r="J14" i="58"/>
  <c r="J13" i="58"/>
  <c r="J11" i="58"/>
  <c r="AX32" i="67"/>
  <c r="AX7" i="67"/>
  <c r="AX5" i="67"/>
  <c r="AX52" i="67" l="1"/>
  <c r="AX51" i="67"/>
  <c r="Q1" i="67"/>
  <c r="AH1" i="67"/>
  <c r="AG1" i="67"/>
  <c r="S1" i="67"/>
  <c r="AF1" i="67"/>
  <c r="AE1" i="67"/>
  <c r="AD1" i="67"/>
  <c r="AB1" i="67"/>
  <c r="AA1" i="67"/>
  <c r="Z1" i="67"/>
  <c r="V1" i="67"/>
  <c r="R1" i="67"/>
  <c r="N1" i="67"/>
  <c r="L1" i="67"/>
  <c r="K1" i="67"/>
  <c r="J1" i="67"/>
  <c r="I1" i="67"/>
  <c r="G1" i="67"/>
  <c r="H69" i="58"/>
  <c r="G69" i="58"/>
  <c r="F69" i="58"/>
  <c r="I69" i="58"/>
  <c r="J69" i="58" l="1"/>
  <c r="L19" i="58" l="1"/>
  <c r="J60" i="20" l="1"/>
  <c r="I60" i="20"/>
  <c r="G60" i="20"/>
  <c r="F60" i="20"/>
  <c r="F80" i="12"/>
  <c r="E33" i="64"/>
  <c r="F37" i="16" s="1"/>
  <c r="E25" i="64"/>
  <c r="F29" i="16" s="1"/>
  <c r="E15" i="64"/>
  <c r="F19" i="16" s="1"/>
  <c r="E38" i="64"/>
  <c r="E37" i="64"/>
  <c r="F41" i="16" s="1"/>
  <c r="E36" i="64"/>
  <c r="F40" i="16" s="1"/>
  <c r="E35" i="64"/>
  <c r="F39" i="16" s="1"/>
  <c r="I39" i="16" s="1"/>
  <c r="E34" i="64"/>
  <c r="F38" i="16" s="1"/>
  <c r="E31" i="64"/>
  <c r="F35" i="16" s="1"/>
  <c r="E30" i="64"/>
  <c r="F34" i="16" s="1"/>
  <c r="E29" i="64"/>
  <c r="F33" i="16" s="1"/>
  <c r="E28" i="64"/>
  <c r="F32" i="16" s="1"/>
  <c r="E27" i="64"/>
  <c r="F31" i="16" s="1"/>
  <c r="E26" i="64"/>
  <c r="F30" i="16" s="1"/>
  <c r="E24" i="64"/>
  <c r="F28" i="16" s="1"/>
  <c r="E23" i="64"/>
  <c r="F27" i="16" s="1"/>
  <c r="E22" i="64"/>
  <c r="F26" i="16" s="1"/>
  <c r="E21" i="64"/>
  <c r="F25" i="16" s="1"/>
  <c r="E20" i="64"/>
  <c r="F24" i="16" s="1"/>
  <c r="E19" i="64"/>
  <c r="F23" i="16" s="1"/>
  <c r="E18" i="64"/>
  <c r="F22" i="16" s="1"/>
  <c r="E17" i="64"/>
  <c r="F21" i="16" s="1"/>
  <c r="E16" i="64"/>
  <c r="F20" i="16" s="1"/>
  <c r="E13" i="64"/>
  <c r="F17" i="16" s="1"/>
  <c r="E12" i="64"/>
  <c r="F16" i="16" s="1"/>
  <c r="E11" i="64"/>
  <c r="F15" i="16" s="1"/>
  <c r="E10" i="64"/>
  <c r="F12" i="16" s="1"/>
  <c r="E9" i="64"/>
  <c r="F11" i="16" s="1"/>
  <c r="I11" i="16" s="1"/>
  <c r="E8" i="64"/>
  <c r="F10" i="16" s="1"/>
  <c r="E7" i="64"/>
  <c r="C44" i="64"/>
  <c r="M33" i="61"/>
  <c r="N33" i="61"/>
  <c r="O33" i="61"/>
  <c r="P33" i="61"/>
  <c r="Q33" i="61"/>
  <c r="L33" i="61"/>
  <c r="C16" i="61"/>
  <c r="O12" i="20" l="1"/>
  <c r="F49" i="16"/>
  <c r="L85" i="12" s="1"/>
  <c r="L87" i="12" s="1"/>
  <c r="E44" i="64"/>
  <c r="N48" i="16"/>
  <c r="O15" i="20"/>
  <c r="O13" i="20"/>
  <c r="O14" i="20"/>
  <c r="C21" i="57" s="1"/>
  <c r="O11" i="20"/>
  <c r="C18" i="57" s="1"/>
  <c r="L60" i="20"/>
  <c r="D44" i="64"/>
  <c r="C45" i="64" s="1"/>
  <c r="F60" i="16" s="1"/>
  <c r="F62" i="16" s="1"/>
  <c r="I17" i="16"/>
  <c r="I19" i="16"/>
  <c r="I20" i="16"/>
  <c r="I18" i="16"/>
  <c r="I45" i="16"/>
  <c r="I46" i="16"/>
  <c r="H27" i="62"/>
  <c r="I47" i="16"/>
  <c r="C13" i="57" s="1"/>
  <c r="F15" i="27"/>
  <c r="D16" i="61"/>
  <c r="I16" i="61" s="1"/>
  <c r="C17" i="61" s="1"/>
  <c r="G29" i="61"/>
  <c r="F29" i="61"/>
  <c r="B29" i="61"/>
  <c r="D49" i="16"/>
  <c r="I44" i="16"/>
  <c r="I33" i="16"/>
  <c r="I32" i="16"/>
  <c r="I29" i="16"/>
  <c r="I25" i="16"/>
  <c r="I23" i="16"/>
  <c r="I14" i="16"/>
  <c r="I15" i="16"/>
  <c r="I16" i="16"/>
  <c r="I10" i="16"/>
  <c r="I30" i="16"/>
  <c r="G8" i="27"/>
  <c r="C49" i="16"/>
  <c r="L64" i="20" s="1"/>
  <c r="I42" i="16"/>
  <c r="K15" i="16" s="1"/>
  <c r="C10" i="57" s="1"/>
  <c r="I43" i="16"/>
  <c r="K16" i="16" s="1"/>
  <c r="C11" i="57" s="1"/>
  <c r="I12" i="16"/>
  <c r="I13" i="16"/>
  <c r="I21" i="16"/>
  <c r="I22" i="16"/>
  <c r="I24" i="16"/>
  <c r="I26" i="16"/>
  <c r="I27" i="16"/>
  <c r="I28" i="16"/>
  <c r="I31" i="16"/>
  <c r="I34" i="16"/>
  <c r="I35" i="16"/>
  <c r="I37" i="16"/>
  <c r="I38" i="16"/>
  <c r="I40" i="16"/>
  <c r="I41" i="16"/>
  <c r="L83" i="12"/>
  <c r="N86" i="12" s="1"/>
  <c r="G13" i="27"/>
  <c r="G9" i="27"/>
  <c r="G10" i="27"/>
  <c r="G11" i="27"/>
  <c r="G12" i="27"/>
  <c r="G14" i="27"/>
  <c r="G49" i="16"/>
  <c r="K17" i="16" l="1"/>
  <c r="I9" i="16"/>
  <c r="K10" i="16" s="1"/>
  <c r="C6" i="57" s="1"/>
  <c r="C22" i="57"/>
  <c r="E16" i="61"/>
  <c r="H16" i="61" s="1"/>
  <c r="I71" i="58"/>
  <c r="H49" i="16"/>
  <c r="K12" i="16"/>
  <c r="C7" i="57" s="1"/>
  <c r="K14" i="16"/>
  <c r="C9" i="57" s="1"/>
  <c r="O8" i="12"/>
  <c r="K13" i="16"/>
  <c r="C8" i="57" s="1"/>
  <c r="C19" i="57"/>
  <c r="L67" i="20"/>
  <c r="O16" i="20"/>
  <c r="G16" i="27"/>
  <c r="E49" i="16"/>
  <c r="G15" i="27"/>
  <c r="I51" i="16" l="1"/>
  <c r="K10" i="15"/>
  <c r="I49" i="16"/>
  <c r="H29" i="59"/>
  <c r="H30" i="59" s="1"/>
  <c r="C12" i="57"/>
  <c r="C14" i="57" s="1"/>
  <c r="K18" i="16"/>
  <c r="H29" i="60"/>
  <c r="D17" i="61"/>
  <c r="H30" i="60" l="1"/>
  <c r="K11" i="15"/>
  <c r="I17" i="61"/>
  <c r="C18" i="61" s="1"/>
  <c r="E17" i="61"/>
  <c r="H18" i="15" l="1"/>
  <c r="I72" i="58" s="1"/>
  <c r="I73" i="58" s="1"/>
  <c r="I76" i="58" s="1"/>
  <c r="C26" i="57"/>
  <c r="K12" i="15"/>
  <c r="H17" i="61"/>
  <c r="H21" i="15" l="1"/>
  <c r="D18" i="61"/>
  <c r="I18" i="61" l="1"/>
  <c r="C19" i="61" s="1"/>
  <c r="E18" i="61"/>
  <c r="H18" i="61" l="1"/>
  <c r="D19" i="61" l="1"/>
  <c r="E19" i="61" s="1"/>
  <c r="H19" i="61" l="1"/>
  <c r="I19" i="61"/>
  <c r="C20" i="61" s="1"/>
  <c r="D20" i="61" l="1"/>
  <c r="E20" i="61" s="1"/>
  <c r="H20" i="61" l="1"/>
  <c r="I20" i="61"/>
  <c r="C21" i="61" s="1"/>
  <c r="D21" i="61" l="1"/>
  <c r="E21" i="61" s="1"/>
  <c r="H21" i="61" l="1"/>
  <c r="I21" i="61"/>
  <c r="C22" i="61" s="1"/>
  <c r="D22" i="61" l="1"/>
  <c r="I22" i="61" s="1"/>
  <c r="C23" i="61" s="1"/>
  <c r="E22" i="61" l="1"/>
  <c r="H22" i="61" s="1"/>
  <c r="D23" i="61" l="1"/>
  <c r="I23" i="61" s="1"/>
  <c r="C24" i="61" s="1"/>
  <c r="E23" i="61" l="1"/>
  <c r="H23" i="61" s="1"/>
  <c r="D24" i="61" l="1"/>
  <c r="I24" i="61" s="1"/>
  <c r="C25" i="61" s="1"/>
  <c r="E24" i="61" l="1"/>
  <c r="H24" i="61" s="1"/>
  <c r="D25" i="61" l="1"/>
  <c r="I25" i="61" s="1"/>
  <c r="C26" i="61" s="1"/>
  <c r="E25" i="61" l="1"/>
  <c r="H25" i="61" s="1"/>
  <c r="D26" i="61" l="1"/>
  <c r="I26" i="61" s="1"/>
  <c r="C27" i="61" s="1"/>
  <c r="E26" i="61" l="1"/>
  <c r="H26" i="61" s="1"/>
  <c r="D27" i="61" l="1"/>
  <c r="E27" i="61" s="1"/>
  <c r="C29" i="61"/>
  <c r="H27" i="61" l="1"/>
  <c r="H29" i="61" s="1"/>
  <c r="E29" i="61"/>
  <c r="D29" i="61"/>
  <c r="I27" i="6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P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Licda. Maria Teresa</author>
    <author>usuario</author>
  </authors>
  <commentList>
    <comment ref="F7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F8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E10" authorId="0" shapeId="0" xr:uid="{00000000-0006-0000-1000-000003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QUEDA DE 40000
</t>
        </r>
      </text>
    </comment>
    <comment ref="F10" authorId="0" shapeId="0" xr:uid="{00000000-0006-0000-1000-000004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F11" authorId="0" shapeId="0" xr:uid="{00000000-0006-0000-1000-000005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F13" authorId="0" shapeId="0" xr:uid="{00000000-0006-0000-1000-000006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F15" authorId="0" shapeId="0" xr:uid="{00000000-0006-0000-1000-000007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F16" authorId="0" shapeId="0" xr:uid="{00000000-0006-0000-1000-000008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F17" authorId="0" shapeId="0" xr:uid="{00000000-0006-0000-1000-000009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F18" authorId="0" shapeId="0" xr:uid="{00000000-0006-0000-1000-00000A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F21" authorId="0" shapeId="0" xr:uid="{00000000-0006-0000-1000-00000B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F22" authorId="0" shapeId="0" xr:uid="{00000000-0006-0000-1000-00000C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F23" authorId="0" shapeId="0" xr:uid="{00000000-0006-0000-1000-00000D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F24" authorId="0" shapeId="0" xr:uid="{00000000-0006-0000-1000-00000E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F25" authorId="0" shapeId="0" xr:uid="{00000000-0006-0000-1000-00000F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F26" authorId="0" shapeId="0" xr:uid="{00000000-0006-0000-1000-000010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F27" authorId="0" shapeId="0" xr:uid="{00000000-0006-0000-1000-000011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F28" authorId="0" shapeId="0" xr:uid="{00000000-0006-0000-1000-000012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F29" authorId="0" shapeId="0" xr:uid="{00000000-0006-0000-1000-000013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F30" authorId="0" shapeId="0" xr:uid="{00000000-0006-0000-1000-000014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F31" authorId="0" shapeId="0" xr:uid="{00000000-0006-0000-1000-000015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F32" authorId="0" shapeId="0" xr:uid="{00000000-0006-0000-1000-000016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F33" authorId="0" shapeId="0" xr:uid="{00000000-0006-0000-1000-000017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F34" authorId="0" shapeId="0" xr:uid="{00000000-0006-0000-1000-000018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F35" authorId="0" shapeId="0" xr:uid="{00000000-0006-0000-1000-000019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F36" authorId="0" shapeId="0" xr:uid="{00000000-0006-0000-1000-00001A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F37" authorId="0" shapeId="0" xr:uid="{00000000-0006-0000-1000-00001B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F38" authorId="0" shapeId="0" xr:uid="{00000000-0006-0000-1000-00001C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E49" authorId="1" shapeId="0" xr:uid="{00000000-0006-0000-1000-00001D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<sst xmlns="http://schemas.openxmlformats.org/spreadsheetml/2006/main" count="1358" uniqueCount="563">
  <si>
    <t>ESTRUCTURA PRESUPUESTARIA</t>
  </si>
  <si>
    <t>3. HISTORIAL DE SALDOS BANCARIOS</t>
  </si>
  <si>
    <t>1. ESTRUCTURA PRESUPUESTARIA APROBADA</t>
  </si>
  <si>
    <t>1. BASE DE GENERACION DE AVISOS DE CONTRIBUYENTES</t>
  </si>
  <si>
    <t>2. HISTORIAL DE RECUPERACION DE MOROSIDAD</t>
  </si>
  <si>
    <t>4. TRANSFERENCIAS GOES</t>
  </si>
  <si>
    <t>5. INFORME DE CREDITOS SOLICITADOS</t>
  </si>
  <si>
    <t>6. DONACIONES</t>
  </si>
  <si>
    <t>2. NOMINA DE SALARIOS</t>
  </si>
  <si>
    <t>3. PLAN DE COMPRAS (BIENES Y SERVICIOS)</t>
  </si>
  <si>
    <t>2. AMORTIZACION DE LA DEUDA PUBLICA MUNICIPAL</t>
  </si>
  <si>
    <t>(En Dolares de los Estados Unidos de America)</t>
  </si>
  <si>
    <t>FORMULACION DEL PRESUPUESTO MUNICIPAL DE EGRESOS</t>
  </si>
  <si>
    <t>(En Dolares de los Estados Unidos de América)</t>
  </si>
  <si>
    <t>INSUMOS BASICOS:</t>
  </si>
  <si>
    <t>PRESUPUESTO MUNICIPAL DE FUNCIONAMIENTO POR ESTRUCTURA PRESUPUESTARIA</t>
  </si>
  <si>
    <t>DETALLE CONSOLIDADO DE INGRESOS POR ESPECIFICO Y FUENTE DE FINANCIAMIENTO</t>
  </si>
  <si>
    <t>11801</t>
  </si>
  <si>
    <t>De Comercio</t>
  </si>
  <si>
    <t>11802</t>
  </si>
  <si>
    <t>De Industria</t>
  </si>
  <si>
    <t>11804</t>
  </si>
  <si>
    <t>De Servicios</t>
  </si>
  <si>
    <t>12109</t>
  </si>
  <si>
    <t>Aseo Público</t>
  </si>
  <si>
    <t>Alumbrado Público</t>
  </si>
  <si>
    <t>12211</t>
  </si>
  <si>
    <t>Cotejo de Fierros</t>
  </si>
  <si>
    <t>14299</t>
  </si>
  <si>
    <t>Servicios Diversos</t>
  </si>
  <si>
    <t>15301</t>
  </si>
  <si>
    <t>Multa por Mora de Impuestos</t>
  </si>
  <si>
    <t>Intereses por Mora de Impuestos</t>
  </si>
  <si>
    <t>15302</t>
  </si>
  <si>
    <t>16201</t>
  </si>
  <si>
    <t>22201</t>
  </si>
  <si>
    <t>51101</t>
  </si>
  <si>
    <t>Sueldos</t>
  </si>
  <si>
    <t>Aguinaldos</t>
  </si>
  <si>
    <t>Por Remuneraciones Permanentes</t>
  </si>
  <si>
    <t>Productos Alimenticios para Personas</t>
  </si>
  <si>
    <t>Productos de papel y Carton</t>
  </si>
  <si>
    <t>Combustibles y Lubricantes</t>
  </si>
  <si>
    <t>Materiales de Oficina</t>
  </si>
  <si>
    <t>Servicios de Energia Electrica</t>
  </si>
  <si>
    <t>Servicios de Agua</t>
  </si>
  <si>
    <t>Servicios de Telecomunicaciones</t>
  </si>
  <si>
    <t>Miner. Metalicos y Prod. Der.</t>
  </si>
  <si>
    <t>Miner. No Metalicos y Prod. Der.</t>
  </si>
  <si>
    <t>01</t>
  </si>
  <si>
    <t>2</t>
  </si>
  <si>
    <t>1</t>
  </si>
  <si>
    <t>110</t>
  </si>
  <si>
    <t>03</t>
  </si>
  <si>
    <t>111</t>
  </si>
  <si>
    <t>FUENTE O SUBFUENTE DE FINANCIAMIENTO: Recursos Propios</t>
  </si>
  <si>
    <t>000</t>
  </si>
  <si>
    <t>05</t>
  </si>
  <si>
    <t>Vialidades</t>
  </si>
  <si>
    <t>12111</t>
  </si>
  <si>
    <t>Cementerios Municipales</t>
  </si>
  <si>
    <t>12114</t>
  </si>
  <si>
    <t>Fiestas Patronales</t>
  </si>
  <si>
    <t>12117</t>
  </si>
  <si>
    <t>Pavimentacion</t>
  </si>
  <si>
    <t>12118</t>
  </si>
  <si>
    <t>Postes, Torres y Antenas</t>
  </si>
  <si>
    <t>12119</t>
  </si>
  <si>
    <t>Rastro y Tiangue</t>
  </si>
  <si>
    <t>15703</t>
  </si>
  <si>
    <t>Rentabilidad de cuentas bancarias</t>
  </si>
  <si>
    <t>15799</t>
  </si>
  <si>
    <t>Ingresos Diversos</t>
  </si>
  <si>
    <t>FISDL/PFGL</t>
  </si>
  <si>
    <t>55302</t>
  </si>
  <si>
    <t>Dietas</t>
  </si>
  <si>
    <t>Transportes, Fletes y mantenimientos</t>
  </si>
  <si>
    <t>Servicios de Publicidad</t>
  </si>
  <si>
    <t>Servicios Generales y arrendamientos div</t>
  </si>
  <si>
    <t>Servicios Juridicos</t>
  </si>
  <si>
    <t>Materiales Informaticos</t>
  </si>
  <si>
    <t>Atenciones oficiales</t>
  </si>
  <si>
    <t>TOTAL FONDOS PROPIOS</t>
  </si>
  <si>
    <t>Especies Municipales Diversas</t>
  </si>
  <si>
    <t>Atenciones Oficiales</t>
  </si>
  <si>
    <t>Servicios de Contabilidad y Auditoria</t>
  </si>
  <si>
    <t>Derechos</t>
  </si>
  <si>
    <t>Comisiones y Gastos bancarios</t>
  </si>
  <si>
    <t>Multas y costas judiciales</t>
  </si>
  <si>
    <t>Transportes Fletes y almacenamientos</t>
  </si>
  <si>
    <t>32102</t>
  </si>
  <si>
    <t>Cuentas por cobrar de años anteriores</t>
  </si>
  <si>
    <t>0301</t>
  </si>
  <si>
    <t>0501</t>
  </si>
  <si>
    <t>Línea de Trabajo</t>
  </si>
  <si>
    <t>Nombre</t>
  </si>
  <si>
    <t>Cargo o Puesto</t>
  </si>
  <si>
    <t>Sistema de Remuneración</t>
  </si>
  <si>
    <t>Salarios</t>
  </si>
  <si>
    <t>Mesual</t>
  </si>
  <si>
    <t>Anual</t>
  </si>
  <si>
    <t>0101</t>
  </si>
  <si>
    <t>Sub-Total Línea de Trabajo 0101</t>
  </si>
  <si>
    <t>CONTRATOS</t>
  </si>
  <si>
    <t>Materiales Electricos</t>
  </si>
  <si>
    <t>15314</t>
  </si>
  <si>
    <t>Otras multas municipales</t>
  </si>
  <si>
    <t>Primas y gastos de seguro de personas</t>
  </si>
  <si>
    <t>4</t>
  </si>
  <si>
    <t>06</t>
  </si>
  <si>
    <t>0302</t>
  </si>
  <si>
    <t>CONCEPTO</t>
  </si>
  <si>
    <t>21</t>
  </si>
  <si>
    <t>GASTOS CORRIENTES</t>
  </si>
  <si>
    <t>22</t>
  </si>
  <si>
    <t>GASTOS DE CAPITAL</t>
  </si>
  <si>
    <t>23</t>
  </si>
  <si>
    <t>APLICACIONES FINANCIERAS</t>
  </si>
  <si>
    <t>12210</t>
  </si>
  <si>
    <t xml:space="preserve"> Objeto Específico</t>
  </si>
  <si>
    <t>DENOMINACION</t>
  </si>
  <si>
    <t xml:space="preserve"> FODES</t>
  </si>
  <si>
    <t xml:space="preserve"> Fondo General</t>
  </si>
  <si>
    <t>OTROS</t>
  </si>
  <si>
    <t>Fondos Propios</t>
  </si>
  <si>
    <t>Préstamos Internos</t>
  </si>
  <si>
    <t xml:space="preserve"> T O T A L  </t>
  </si>
  <si>
    <t>DONACIONES</t>
  </si>
  <si>
    <t>Funcionamiento 25%</t>
  </si>
  <si>
    <t>Inversión 75%</t>
  </si>
  <si>
    <t>11808</t>
  </si>
  <si>
    <t>Centros de Enseñanza</t>
  </si>
  <si>
    <t>11810</t>
  </si>
  <si>
    <t>11817</t>
  </si>
  <si>
    <t>Hoteles, Moteles y Similares</t>
  </si>
  <si>
    <t>Vallas Publicitarias</t>
  </si>
  <si>
    <t>12112</t>
  </si>
  <si>
    <t>Desechos</t>
  </si>
  <si>
    <t>12115</t>
  </si>
  <si>
    <t>Mercados</t>
  </si>
  <si>
    <t>Permisos y Licencias Municipales</t>
  </si>
  <si>
    <t>12122</t>
  </si>
  <si>
    <t>14201</t>
  </si>
  <si>
    <t>Servicios Básicos</t>
  </si>
  <si>
    <t>De Empresas Públicas Financieras</t>
  </si>
  <si>
    <t>Ubidad Presupuestaria</t>
  </si>
  <si>
    <t>Linea de Trabajo</t>
  </si>
  <si>
    <t>AREA DE GESTIÓN</t>
  </si>
  <si>
    <t>1 - CONDUCCION ADMINISTRATIVA</t>
  </si>
  <si>
    <t>3 - DESARROLLO SOCIAL</t>
  </si>
  <si>
    <t>SERVICIO DE LA DEUDA MUNICIPAL</t>
  </si>
  <si>
    <t>5- DEUDA PUBICA</t>
  </si>
  <si>
    <t>FORTALECIMIENTO DE GOBIERNOS LOCALES</t>
  </si>
  <si>
    <t>0601</t>
  </si>
  <si>
    <t>CLASIFICACION ECONOMICA DEL GASTO</t>
  </si>
  <si>
    <t>FUENTES DE FINANCIAM.</t>
  </si>
  <si>
    <t>1 FONDOS GENERAL</t>
  </si>
  <si>
    <t>2 FONDOS PROPIOS</t>
  </si>
  <si>
    <t>5 DONACIONES</t>
  </si>
  <si>
    <t>RUBRO DE AGRUPACION</t>
  </si>
  <si>
    <t>MONTO PRESUPUESTADO</t>
  </si>
  <si>
    <t>IMPUESTOS</t>
  </si>
  <si>
    <t>TASAS Y DERECHOS</t>
  </si>
  <si>
    <t>VENTA DE BIENES Y SERVICIOS</t>
  </si>
  <si>
    <t>INGRESOS FINANCIEROS Y OTROS</t>
  </si>
  <si>
    <t>TRANSFERENCIAS DE CAPITAL</t>
  </si>
  <si>
    <t>TRANSFERENCIAS CORRIENTES</t>
  </si>
  <si>
    <t>ENDEUDAMIENTO PUBLICO</t>
  </si>
  <si>
    <t>SALDO DE AÑOS ANTERIORES</t>
  </si>
  <si>
    <t>TOTAL INGRESOS</t>
  </si>
  <si>
    <t>TOTAL EGRESOS</t>
  </si>
  <si>
    <t>REMUNERACIONES</t>
  </si>
  <si>
    <t>ADQUISICION DE BIENES Y SERVICIOS</t>
  </si>
  <si>
    <t>GASTOS FINANCIEROS Y OTROS</t>
  </si>
  <si>
    <t>AMORTIZACION DE ENDEUDAMIENTO PUBLICO</t>
  </si>
  <si>
    <t>CUENTAS POR PAGAR DE AÑOS ANTERIORES.</t>
  </si>
  <si>
    <t>31304</t>
  </si>
  <si>
    <t xml:space="preserve"> Area de Gestión</t>
  </si>
  <si>
    <t xml:space="preserve"> Unidd Presupuestaria</t>
  </si>
  <si>
    <t xml:space="preserve"> Linea de Trabajo</t>
  </si>
  <si>
    <t xml:space="preserve"> Fuente de Financiamiento</t>
  </si>
  <si>
    <t xml:space="preserve"> Subfuente de Financiamiento</t>
  </si>
  <si>
    <t>Objeto Específico</t>
  </si>
  <si>
    <t>DENOMINACIÓN</t>
  </si>
  <si>
    <t>FONDOS 75%</t>
  </si>
  <si>
    <t>Fuente de Financiamiento</t>
  </si>
  <si>
    <t xml:space="preserve"> DENOMINACIÓN</t>
  </si>
  <si>
    <t xml:space="preserve"> MONTO</t>
  </si>
  <si>
    <t>Subfuente de Financiamiento</t>
  </si>
  <si>
    <t>Cálculo de intereses sobre saldo y distribución de cuota fija por prestamo bancario</t>
  </si>
  <si>
    <t xml:space="preserve">Capital </t>
  </si>
  <si>
    <t>$</t>
  </si>
  <si>
    <t>Saldo Inic</t>
  </si>
  <si>
    <t>Tasa de ints</t>
  </si>
  <si>
    <t>Comisión ISDEM</t>
  </si>
  <si>
    <t>Mensual</t>
  </si>
  <si>
    <t xml:space="preserve">Cuota fija </t>
  </si>
  <si>
    <t>Prestamo</t>
  </si>
  <si>
    <t>Retención ISDEM</t>
  </si>
  <si>
    <t>Caja de Crédito</t>
  </si>
  <si>
    <t xml:space="preserve">Cuota Fija </t>
  </si>
  <si>
    <t>Comisión por</t>
  </si>
  <si>
    <t xml:space="preserve">Otro </t>
  </si>
  <si>
    <t xml:space="preserve">Saldo Capital </t>
  </si>
  <si>
    <t xml:space="preserve">FECHA </t>
  </si>
  <si>
    <t xml:space="preserve">DIAS </t>
  </si>
  <si>
    <t xml:space="preserve">CAPITAL </t>
  </si>
  <si>
    <t>de Préstamo</t>
  </si>
  <si>
    <t xml:space="preserve">Ser Garante </t>
  </si>
  <si>
    <t>Descuento</t>
  </si>
  <si>
    <t>de Prestamo</t>
  </si>
  <si>
    <t>Departamento de Chalatenango</t>
  </si>
  <si>
    <t>INTS. 7.5%</t>
  </si>
  <si>
    <t>Total por Año</t>
  </si>
  <si>
    <t>Salarios por Jornal</t>
  </si>
  <si>
    <t>Productos Textiles y Vestuarios</t>
  </si>
  <si>
    <t>Productos de cuero y Caucho</t>
  </si>
  <si>
    <t>Productos Quimicos</t>
  </si>
  <si>
    <t>Llantas y Neumaticos</t>
  </si>
  <si>
    <t>Minerales no Metalicos y Prod. Derivados</t>
  </si>
  <si>
    <t>Minerales Metalicos y Prod. Derivados</t>
  </si>
  <si>
    <t>Herramientas, Rep. y Accesorios</t>
  </si>
  <si>
    <t>Bienes de Uso y Consumo Diversos</t>
  </si>
  <si>
    <t>Mant.  Reparaciones de Bienes Muebles</t>
  </si>
  <si>
    <t>Mant. Reparaciones de Vehiculos</t>
  </si>
  <si>
    <t>Mant. Reparaciones de Bienes Inmuebles</t>
  </si>
  <si>
    <t>Servicios de Alimentación</t>
  </si>
  <si>
    <t>Comisiones y Gastos Bancarios</t>
  </si>
  <si>
    <t>Multas y Costas Procesales</t>
  </si>
  <si>
    <t>Bienes Muebles Diversos</t>
  </si>
  <si>
    <t>Mobiliarios</t>
  </si>
  <si>
    <t>Remuneraciones Diversas</t>
  </si>
  <si>
    <t>51202</t>
  </si>
  <si>
    <t>PRESUPUESTO MUNICIPAL DE EGRESOS</t>
  </si>
  <si>
    <t>PRESUPUESTO MUNICIPAL DE INVERSION POR ESTRUCTURA PRESUPUESTARIA</t>
  </si>
  <si>
    <t>Productos Agropecuarios y Forestales</t>
  </si>
  <si>
    <t>Productos de Cuero y Caucho</t>
  </si>
  <si>
    <t>Servicios de públicidad</t>
  </si>
  <si>
    <t>Impresiones, Publicaciones y Reproducc.</t>
  </si>
  <si>
    <t>Arrendamiento de Bienes Muebles</t>
  </si>
  <si>
    <t>Servicios Generales y Arrendamientos Diversos</t>
  </si>
  <si>
    <t>Servicios de Capacitación</t>
  </si>
  <si>
    <t>Estudios e Investigaciones</t>
  </si>
  <si>
    <t>Consultorias, Estudios e Investigaciones</t>
  </si>
  <si>
    <t>Deposito de Desechos</t>
  </si>
  <si>
    <t>Moviliarios</t>
  </si>
  <si>
    <t>Maquinarias y Equipos</t>
  </si>
  <si>
    <t>Proy. Programas de Inversión Div.</t>
  </si>
  <si>
    <t>Viales</t>
  </si>
  <si>
    <t>De Producción de Bienes y Servicios</t>
  </si>
  <si>
    <t>Supervisión de Infraestructura</t>
  </si>
  <si>
    <t>Obras de Infraestrutura Diversas</t>
  </si>
  <si>
    <t>FUENTE O SUBFUENTE DE FINANCIAMIENTO: PRESTAMOS INTERNOS</t>
  </si>
  <si>
    <t>Bienes de Consumo DiversoS</t>
  </si>
  <si>
    <t>FUENTE O SUBFUENTE DE FINANCIAMIENTO: FISDL/PFGL</t>
  </si>
  <si>
    <t>112</t>
  </si>
  <si>
    <t>FODES 25%</t>
  </si>
  <si>
    <t>FODES 75%</t>
  </si>
  <si>
    <t>TOTALES</t>
  </si>
  <si>
    <t>32101</t>
  </si>
  <si>
    <t>Saldo inicial en Caja</t>
  </si>
  <si>
    <t>32201</t>
  </si>
  <si>
    <t>ALCALDIA MUNICIPAL DE SAN JOSE CANCASQUE</t>
  </si>
  <si>
    <t>31308</t>
  </si>
  <si>
    <t>De Empresas Privadas Financieras</t>
  </si>
  <si>
    <t>Saldo Inicial en Bancos</t>
  </si>
  <si>
    <t>Transfer. Corrientes del Sector Publico</t>
  </si>
  <si>
    <t>Transfer. de Capital del Sector Público</t>
  </si>
  <si>
    <t>Por Expedic. Documentos de Identif.</t>
  </si>
  <si>
    <t>Por Prestación de Servicios en el Pais</t>
  </si>
  <si>
    <t>Viaticos por comisión Interna</t>
  </si>
  <si>
    <t>A Personas Naturales</t>
  </si>
  <si>
    <t>Herramientas, Repuestos y Acces.</t>
  </si>
  <si>
    <t>Mtto. Reparación de Bienes</t>
  </si>
  <si>
    <t>Mtto. Reparación de Vehiculos</t>
  </si>
  <si>
    <t>Mtto. Reparación de Bienes Muebles</t>
  </si>
  <si>
    <t>Pasajes y Víaticos</t>
  </si>
  <si>
    <t>Bienes de Uso y Consumo Diverso</t>
  </si>
  <si>
    <t>Gastos Diversos</t>
  </si>
  <si>
    <t>55308</t>
  </si>
  <si>
    <t>71308</t>
  </si>
  <si>
    <t>De Empresas Privadas Finacieras</t>
  </si>
  <si>
    <t>51901</t>
  </si>
  <si>
    <t>Honorarios</t>
  </si>
  <si>
    <t>FUENTE O SUBFUENTE DE FINANCIAMIENTO: FONDO GENERAL, FISDL/KFWV</t>
  </si>
  <si>
    <t>ALCALDIA MUNICIPAL DE SAN JOSE CANCASQUE, CHALATENANGO</t>
  </si>
  <si>
    <t>PROYECCION  ANUAL DE DIETAS 2013</t>
  </si>
  <si>
    <t>PROYECTOS DE INVERSION PFGL</t>
  </si>
  <si>
    <t>FUENTE O SUBFUENTE DE FINANCIAMIENTO: FODES 25% FUNCIONAMIENTO</t>
  </si>
  <si>
    <t>FUENTE O SUBFUENTE DE FINANCIAMIENTO: FODES 75% INVERSION</t>
  </si>
  <si>
    <t>Ejercicio 2014</t>
  </si>
  <si>
    <t>CAJA DE CREDITO DE ZACATECOLUCA</t>
  </si>
  <si>
    <t>Fecha de Vencimiento</t>
  </si>
  <si>
    <t>Fecha de Contrato</t>
  </si>
  <si>
    <t>Total Cuota</t>
  </si>
  <si>
    <t xml:space="preserve">DISPONIBILIDADES INICIALES </t>
  </si>
  <si>
    <t>CUENTA</t>
  </si>
  <si>
    <t>FISDL/KFW</t>
  </si>
  <si>
    <t>Fondo Municipal</t>
  </si>
  <si>
    <t xml:space="preserve">FODES 5% Preinversión </t>
  </si>
  <si>
    <t>FODES 75% Ahorro</t>
  </si>
  <si>
    <t>Cta Ahorro FISDL/KFW</t>
  </si>
  <si>
    <t>Cta. Ahorro inversión Prestamo</t>
  </si>
  <si>
    <t>Disposicion final Des. Solidos</t>
  </si>
  <si>
    <t>Chapoda, Limpuieza Calle y Barrios</t>
  </si>
  <si>
    <t>Apoyo al Desarrollo Educ. Utiles escolares</t>
  </si>
  <si>
    <t>Recolección, Transporte Desechos Solidos</t>
  </si>
  <si>
    <t>Adquisición de Terreno</t>
  </si>
  <si>
    <t>Mejora alumb. Publico 2013</t>
  </si>
  <si>
    <t>FISDL Procumidad KFW</t>
  </si>
  <si>
    <t>Fomento al Des. Agicola</t>
  </si>
  <si>
    <t>Caminos Vecinales</t>
  </si>
  <si>
    <t>Tramo Calle Guillenes 13</t>
  </si>
  <si>
    <t>Compra Eq.Informatico</t>
  </si>
  <si>
    <t>Apoyo al Deporte 2013</t>
  </si>
  <si>
    <t>Cap. Asistencia Tec.25648</t>
  </si>
  <si>
    <t>Gestión de Riezgos</t>
  </si>
  <si>
    <t>Des. Act. Sociales y C.</t>
  </si>
  <si>
    <t>Cosntrucc. Muro C. Conc</t>
  </si>
  <si>
    <t>FISDL/PFGL C1</t>
  </si>
  <si>
    <t>FISDL/PFGL C2</t>
  </si>
  <si>
    <t>Mej. C. Salida Ctones Guillen</t>
  </si>
  <si>
    <t>Multas e Intereses Diversos</t>
  </si>
  <si>
    <t>Pasajes al Interior</t>
  </si>
  <si>
    <t>A organismos sin fines de lucro</t>
  </si>
  <si>
    <t>TOTAL   GASTOS POR EL SERVICIO DE LA DEUDA</t>
  </si>
  <si>
    <t>Herramientas, Repuestos y Accesorios</t>
  </si>
  <si>
    <t>Mantenimiento  y Repar. de Bienes  Muebles</t>
  </si>
  <si>
    <t>Mantenimiento y  Repararación de  Vehiculos</t>
  </si>
  <si>
    <t>Servicios de Limpieza y Fumigaciones</t>
  </si>
  <si>
    <t>Becas</t>
  </si>
  <si>
    <t>4 PRESTAMOS INTERNOS</t>
  </si>
  <si>
    <t>02</t>
  </si>
  <si>
    <t>TOTAL GASTOS FONDOS PRESTAMOS</t>
  </si>
  <si>
    <t>TOTAL GASTOS FONDOS FISDL/KFW</t>
  </si>
  <si>
    <t>TOTAL GASTOS FODES INVERSION</t>
  </si>
  <si>
    <t>Objeto Especifico</t>
  </si>
  <si>
    <t>Baños y Lavaderos Públicos</t>
  </si>
  <si>
    <t>ESTIMACION PRESUPUESTARIA DE INGRESOS / FONDOS PROPIOS</t>
  </si>
  <si>
    <t>Multas por Registro Civil</t>
  </si>
  <si>
    <t>rubros</t>
  </si>
  <si>
    <t>montos</t>
  </si>
  <si>
    <t>TOTAL</t>
  </si>
  <si>
    <t>DIRECCION Y ADMINISTRACION MUNICIPAL</t>
  </si>
  <si>
    <t>0101 DIRECCION Y ADMINISTRACION SUPERIOR</t>
  </si>
  <si>
    <t>0102 ADMINISTRACION FINANCIERA Y TRIBUTARIA</t>
  </si>
  <si>
    <t>0201 SERVICIOS INTERNOS</t>
  </si>
  <si>
    <t>Servicios de Energía Electrica</t>
  </si>
  <si>
    <t>Al personal de servicios permanentes</t>
  </si>
  <si>
    <t>Beneficios Adicionales</t>
  </si>
  <si>
    <t>TOTALES POR LINEA DE TRABAJO</t>
  </si>
  <si>
    <t>TOTAL FODES 25%</t>
  </si>
  <si>
    <t>ADMINISTRACION FINANCIERA Y TRIBUTARIA</t>
  </si>
  <si>
    <t>0202 SERVICIOS EXTERNOS</t>
  </si>
  <si>
    <t>A Organismos sin fines de lucro</t>
  </si>
  <si>
    <t>Equipos Informáticos</t>
  </si>
  <si>
    <t>PRESUPUESTO MUNICIPAL SERVICIO DE LA DEUDA PUBLICA MUNICIPAL</t>
  </si>
  <si>
    <t>TOTAL POR FODES 75% INVERSIÓN</t>
  </si>
  <si>
    <t>0301 INFRAESTRUCTURA SOCIAL,         A.G. 3</t>
  </si>
  <si>
    <t>0401 INFRAESTRUCTURA PARA EL DESARROLLO ECONOMICO,                 A. G. 4</t>
  </si>
  <si>
    <t>0302 PROGRAMAS DE DESARROLLO SOCIAL,       A.G. 3</t>
  </si>
  <si>
    <t>0102</t>
  </si>
  <si>
    <t>0201</t>
  </si>
  <si>
    <t>0202</t>
  </si>
  <si>
    <t>AMORTIZACION E INTERESES DE LA DEUDA PUBLICA MUNICIPAL</t>
  </si>
  <si>
    <t>04</t>
  </si>
  <si>
    <t>4- DESARROLLO ECONOMICO</t>
  </si>
  <si>
    <t>INFRAESTRUCTURA SOCIAL</t>
  </si>
  <si>
    <t>SERVICIOS MUNICIPALES</t>
  </si>
  <si>
    <t>DIRECCION Y ADMINISTRACION SUPERIOR</t>
  </si>
  <si>
    <t>INVERSION E INFRAESTRUCTURA SOCIAL</t>
  </si>
  <si>
    <t>PROGRAMAS DE DESARROLLO SOCIAL</t>
  </si>
  <si>
    <t>TOTAL FODES</t>
  </si>
  <si>
    <t>DEUDA</t>
  </si>
  <si>
    <t>TOTAL FODES INVERSION</t>
  </si>
  <si>
    <t>Contribuciones patronales a Instit. Sector Publico</t>
  </si>
  <si>
    <t>Contrib. Patronales a institucionesl del Sector Priv.</t>
  </si>
  <si>
    <t>Servicios Energia Electrica</t>
  </si>
  <si>
    <t>MONTO</t>
  </si>
  <si>
    <t>INVERSIONES EN ACTIVOS FIJOS</t>
  </si>
  <si>
    <t>54303-mtto.rep.inmuebles</t>
  </si>
  <si>
    <t>deposito desechos</t>
  </si>
  <si>
    <t>matto.vehiculo</t>
  </si>
  <si>
    <t>llantas</t>
  </si>
  <si>
    <t>emergía eléctrica</t>
  </si>
  <si>
    <t>alumbrado público</t>
  </si>
  <si>
    <t>ser.publicidad</t>
  </si>
  <si>
    <t>fumigaciones</t>
  </si>
  <si>
    <t>Mantenimiento y  Rep. De Bienes Inmuebles</t>
  </si>
  <si>
    <t>prod.text.y vestuarios</t>
  </si>
  <si>
    <t>Produc.Quimicos</t>
  </si>
  <si>
    <t>Comis.Gastos Banc.</t>
  </si>
  <si>
    <t>Servicios Generales y Arrendam. Div.</t>
  </si>
  <si>
    <t>Maquinaria y Equipos</t>
  </si>
  <si>
    <t>Maquinaria y Equipos (61102)</t>
  </si>
  <si>
    <t>Obras de Infraestructura Diversa</t>
  </si>
  <si>
    <t xml:space="preserve">Terrenos </t>
  </si>
  <si>
    <t xml:space="preserve">Viales </t>
  </si>
  <si>
    <t xml:space="preserve">De Salud y Saneamiento Ambiental </t>
  </si>
  <si>
    <t xml:space="preserve">De Educación y Recreación </t>
  </si>
  <si>
    <t xml:space="preserve">Eléctricas y Comunicaciones </t>
  </si>
  <si>
    <t xml:space="preserve">Supervición de Infraestructura </t>
  </si>
  <si>
    <t>Estudios de Preinversión  (proy.progr.divers).</t>
  </si>
  <si>
    <t>Estudios de Preinversión (de Construcciones).</t>
  </si>
  <si>
    <t>.</t>
  </si>
  <si>
    <t>aguinaldos</t>
  </si>
  <si>
    <t>Area de Gestion</t>
  </si>
  <si>
    <t xml:space="preserve"> Fuente de Recurso</t>
  </si>
  <si>
    <t>ALCALDIA MUNICIPAL DE ZARAGOZA</t>
  </si>
  <si>
    <t>DEPARTAMENTO DE  LA LIBERTAD</t>
  </si>
  <si>
    <t>Financieros</t>
  </si>
  <si>
    <t>Vialidad</t>
  </si>
  <si>
    <t>Por Serv. de Certif. o Visado de doc.</t>
  </si>
  <si>
    <t>Tasas Diversas</t>
  </si>
  <si>
    <t>Multas por Declaración Extemporanea</t>
  </si>
  <si>
    <t>0103</t>
  </si>
  <si>
    <t>UNIDADES ADMINISTRATIVAS DE APOYO</t>
  </si>
  <si>
    <t>0203</t>
  </si>
  <si>
    <t>ASEO PUBLICO</t>
  </si>
  <si>
    <t>SERVICIOS JURIDICOS</t>
  </si>
  <si>
    <t>SERVICIOS MUNICIPALES DIVERSOS</t>
  </si>
  <si>
    <t>0303</t>
  </si>
  <si>
    <t>PROYECTOS DE DESARROLLO SOCIAL</t>
  </si>
  <si>
    <t>0401</t>
  </si>
  <si>
    <t>0402</t>
  </si>
  <si>
    <t>PROGRAMAS DE DESARROLLO ECON.</t>
  </si>
  <si>
    <t>INVERSION DESARROLLO ECO.</t>
  </si>
  <si>
    <t>INFRAESTRUCTURA PARA EL DESARROLLO ECO.</t>
  </si>
  <si>
    <t>OK</t>
  </si>
  <si>
    <t>0103 UNIDADES ADMINISTRATIVAS DE APOYO</t>
  </si>
  <si>
    <t>0203 SERVICIOS MUNICIPALES DIVERSOS</t>
  </si>
  <si>
    <t>0201 ASEO PUBLICO</t>
  </si>
  <si>
    <t>0202 SERVICIOS JURIDICOS</t>
  </si>
  <si>
    <t>Horas Extraordinarias</t>
  </si>
  <si>
    <t>Por Prestación de Servicios en el Exterior</t>
  </si>
  <si>
    <t>Materiales de defensa y Seguridad Pública</t>
  </si>
  <si>
    <t>Servicios de Fumigaciones</t>
  </si>
  <si>
    <t>Servicios de Lavanderia y Planchado</t>
  </si>
  <si>
    <t>Arrendamientos de Bienes Muebles</t>
  </si>
  <si>
    <t>Limpieza de Calles</t>
  </si>
  <si>
    <t>Recoleccion de Desechos</t>
  </si>
  <si>
    <t>pfgl</t>
  </si>
  <si>
    <t>fc</t>
  </si>
  <si>
    <t>ejec.prest.</t>
  </si>
  <si>
    <t>0103 UNIDAD ADMINISTRATIVA DE APOYO</t>
  </si>
  <si>
    <t>Transf. Corrientes al Sector Publico</t>
  </si>
  <si>
    <t>DEPARTAMENTO DE LA LIBERTAD</t>
  </si>
  <si>
    <t>ALCALDIA MUNICIPAL ZARAGOZA</t>
  </si>
  <si>
    <t>Libros Textos, Utiles de Enseñanza y Publicac.</t>
  </si>
  <si>
    <t>libros, utiles de enseñanza y public.</t>
  </si>
  <si>
    <t>Recoleccion y transp basura</t>
  </si>
  <si>
    <t>Recoleccion y Transporte Desechos Solidos</t>
  </si>
  <si>
    <t>ALCALDIA MUNICIPAL DE ZARAGOZA, DEPARTAMENTO DE LA LIBERTAD</t>
  </si>
  <si>
    <t>isss</t>
  </si>
  <si>
    <t>afp</t>
  </si>
  <si>
    <t>Miner.meta. y prod.deriv</t>
  </si>
  <si>
    <t>Deudas años anteriores</t>
  </si>
  <si>
    <t>de educac y recreac</t>
  </si>
  <si>
    <t>Transferencias Corrientes al Sector Púb.</t>
  </si>
  <si>
    <t>ESTRUCT. PRESUPUEST.</t>
  </si>
  <si>
    <t>Libros, Textos, Utiles de Enseñanza y Publ.</t>
  </si>
  <si>
    <t>Impresiones, publicac. y reproducciones</t>
  </si>
  <si>
    <t>Mantto. Y Rep. De Vehículos</t>
  </si>
  <si>
    <t>56304-transf.personas naturales</t>
  </si>
  <si>
    <t>MOBILIARIOS (61101)</t>
  </si>
  <si>
    <t>Terrenos  (61201)</t>
  </si>
  <si>
    <t>Estudios de Preinversión (de Construcciones). (61501)</t>
  </si>
  <si>
    <t>Estudios de Preinversión  (proy.progr.divers). (61599)</t>
  </si>
  <si>
    <t>Viales  (61601)</t>
  </si>
  <si>
    <t>De Salud y Saneamiento Ambiental  (61602)</t>
  </si>
  <si>
    <t>De Educación y Recreación  (61603)</t>
  </si>
  <si>
    <t>Eléctricas y Comunicaciones  (61606)</t>
  </si>
  <si>
    <t>Supervición de Infraestructura (61608)</t>
  </si>
  <si>
    <t>Obras de Infraestructura Diversa  (11699)</t>
  </si>
  <si>
    <t>SUB TOTAL INFRAESTRUCTURA</t>
  </si>
  <si>
    <t>SUB TOTAL PROGRAMAS DE DESARROLLO SOCIAL</t>
  </si>
  <si>
    <t>SUB TOTAL DISPONIBLE PROY. POR CONTRATO</t>
  </si>
  <si>
    <t>Vehículos de Transporte</t>
  </si>
  <si>
    <t>Primas y Gastos de Seguro de Bienes</t>
  </si>
  <si>
    <t>De Empresas Privadas no Financieras</t>
  </si>
  <si>
    <t>P R E S U P U E S T O   D E   I N G R E S O S</t>
  </si>
  <si>
    <t>P R E S U P U E S T O   D E   E G R E S O S</t>
  </si>
  <si>
    <t>55304</t>
  </si>
  <si>
    <t>71304</t>
  </si>
  <si>
    <t>5000</t>
  </si>
  <si>
    <t>140764.45</t>
  </si>
  <si>
    <t>8900</t>
  </si>
  <si>
    <t>3500</t>
  </si>
  <si>
    <t xml:space="preserve">presupuesto fodes </t>
  </si>
  <si>
    <t>Ctas. x cobrar de años anteriores</t>
  </si>
  <si>
    <t>TOTAL SALDO AL 31/12/2016 FONDOS FISDL/PFGL</t>
  </si>
  <si>
    <t>(mora tributaria)</t>
  </si>
  <si>
    <t>Viaticos por comisión Externa</t>
  </si>
  <si>
    <t>PRESUPUESTO MUNICIPAL DE INGRESOS 2018</t>
  </si>
  <si>
    <t>ESTRUCTURA PRESUPUESTARIA PARA EL EJERCICIO 2018</t>
  </si>
  <si>
    <t>PRESUPUESTO POR RUBROS DE AGRUPACION, EJERCICIO 2018</t>
  </si>
  <si>
    <t>EJERCICIO 2018</t>
  </si>
  <si>
    <r>
      <t xml:space="preserve">Presupuesto Estimado para el </t>
    </r>
    <r>
      <rPr>
        <b/>
        <sz val="12"/>
        <rFont val="Cambria"/>
        <family val="1"/>
        <scheme val="major"/>
      </rPr>
      <t>2018</t>
    </r>
  </si>
  <si>
    <t>PRESUP.EJEC.Y PROYECT.</t>
  </si>
  <si>
    <t>FODES 75% 2018</t>
  </si>
  <si>
    <t>(-)AMORTIZACION ENDEUDAMIENTO PUBLICO</t>
  </si>
  <si>
    <t>SALDO</t>
  </si>
  <si>
    <t>FIESTAS PATRONALES 2018</t>
  </si>
  <si>
    <t>Rec.Mora 5%</t>
  </si>
  <si>
    <t>P R O Y E C T O S   D E   I N F R A E S T R U C T U R A</t>
  </si>
  <si>
    <t>P R O G R A M A S   D E   D E S A R R O L L O   S O C I A L</t>
  </si>
  <si>
    <t>CONFORM. BASE Y PAVIMENT. C/ EL FRUTAL CTON. ASUCHIO (CONV.MOP.)</t>
  </si>
  <si>
    <t>RECARPETEO DE CALLE 15 DE SEPT. CENTRO HISTORICO ZGZA. (CONV.MOP.)</t>
  </si>
  <si>
    <t>RECARPETEO AV.ESPAÑA SUR CENTRO HISTORICO ZARAGOZA (CONV.MOP.)</t>
  </si>
  <si>
    <t>RECARPETEO PJE. PRINCIPAL REPARTO ESPAÑO ZARAGOZA (CONV.MOP.)</t>
  </si>
  <si>
    <t>RECARPETEO DE CALLE PPAL.COSTADO NORTE COL.EL ZAITE ZGZA.(CONV.MOP)</t>
  </si>
  <si>
    <t xml:space="preserve">REP.PJE. PPAL. COM. SANTA TERESITA ZARAGOZA </t>
  </si>
  <si>
    <t>CAMBIO DE CERCA DE MAYA NYLON POR MAYA CICLON CANCHAS POLIDEP.</t>
  </si>
  <si>
    <t>CONSTRUCCION DE SISTEMA DE DRENAJE DE AGUAS LLUVIAS URB.JARDINEZ</t>
  </si>
  <si>
    <t>PAVIMENTACION DE 70M. PJE.#5 COLONIA MIRAMAR ZARAGOZA</t>
  </si>
  <si>
    <t>PAVIMENTACION DE 150M. PJE. PPAL. COLONIA PRADOS, ZARAGOZA</t>
  </si>
  <si>
    <t>SEÑALIZACION Y NOMENCLATURA VIAL EN AV. Y CALLES, ZARAGOZA</t>
  </si>
  <si>
    <t>FODES 2016</t>
  </si>
  <si>
    <t xml:space="preserve">P R O Y E C T O S   C O N V E N I O   M O P </t>
  </si>
  <si>
    <t>AYUDA CON LAMINAS A FAMILIAS DE ESCASOS RECURSOS</t>
  </si>
  <si>
    <t>De instituciones Descentralizadas no Financieras (cuota isdem oip)</t>
  </si>
  <si>
    <t>CUENTAS POR PAGAR DE AÑOS ANTERIORES</t>
  </si>
  <si>
    <t>ASISTENCIA ALIMENTICIA</t>
  </si>
  <si>
    <t>MANTENIMIENTO, AMPLIACION Y MODERNIZ. DE ALUMBRADO PUBLICO</t>
  </si>
  <si>
    <t>PAVIMENTACION DE 150M. PJE. PPAL. LOT. QUINTA MIRAMAR, ZARAGOZA</t>
  </si>
  <si>
    <t>FIESTAS PATRONALES 2017</t>
  </si>
  <si>
    <t>ASISTENCIA ALIMENTICIA PARA ADULTOS MAYORES DEL MUNICIPIO ZGZA.</t>
  </si>
  <si>
    <t>PROGRAMA DE FOMENTO Y APOYO AL DEPORTE ZARAGOZA  2018</t>
  </si>
  <si>
    <t>PROGRAMA DE FOMENTO Y APOYO AL DEPORTE ZARAGOZA  2017</t>
  </si>
  <si>
    <t>RECOLEC. TRANSPORTE Y DISPOS.FINAL DESECHOS SOLIDOS 2018</t>
  </si>
  <si>
    <t>ALUMBRADO PUBLICO DEUDA 2017</t>
  </si>
  <si>
    <t>PAVIMENTACION 300M. CALLE PPAL. COMUNIDAD LA VEGA</t>
  </si>
  <si>
    <t>FOMENTO Y PARTICIPACION ACTIVA DE LAS MUJERES DEL MPIO.DE ZARG./2018</t>
  </si>
  <si>
    <t>FOMENTO Y PARTICIPACION ACTIVA DE LAS MUJERES DEL MPIO.DE ZARG./2017</t>
  </si>
  <si>
    <t>PROGRAMA DE DESARROLLO CULTURAL ART. EDUC. Y PARTICIPATIVO/2017</t>
  </si>
  <si>
    <t>PROGRAMA DE DESARROLLO CULTURAL ART. EDUC. Y PARTICIPATIVO/2018</t>
  </si>
  <si>
    <t>CONSTRUCCION DE PARED PERIMETRAL C.E.C/EL BARILLO</t>
  </si>
  <si>
    <t>PAVIMENTACION 150M. AV.PPAL. COL. ALTOS DEL RIO ZARAGOZA</t>
  </si>
  <si>
    <t>CELEBRACION DE FIESTA NAVIDEÑA Y COMPRA DE JUGUETES 2017</t>
  </si>
  <si>
    <t>COMPRA DE PAQUETES  AGRICOLAS 2017</t>
  </si>
  <si>
    <t>PAVIMENTACION DE PJE. PPAL. COM. EL PROGRESO ZARAGOZA</t>
  </si>
  <si>
    <t>PRESUSPUESTO MUNICIPAL AÑO 2018   -   INVERSION FODES 75%</t>
  </si>
  <si>
    <t>PROGRAMA DE FOMENTO A LA EDUC. EN EL MUN.DE ZAR.($2520.00)42X60</t>
  </si>
  <si>
    <t>61105 veículos</t>
  </si>
  <si>
    <t>55602 seguros de bienes</t>
  </si>
  <si>
    <t>55307 intereses</t>
  </si>
  <si>
    <t>Primas y Gastos de Seguros de Bienes</t>
  </si>
  <si>
    <t>De empresas Privadas no Financieras (intereses)</t>
  </si>
  <si>
    <t>Cuentas por pagar de años anteriores</t>
  </si>
  <si>
    <t>cuadrar</t>
  </si>
  <si>
    <t>TOTAL DE EGRESOS FODES 75% 2018</t>
  </si>
  <si>
    <t>TOTAL GENERAL FODES 75% 2018 Y CUENTAS POR PAGAR 2017</t>
  </si>
  <si>
    <t>P R E S U P U E S T O</t>
  </si>
  <si>
    <t>M U N I C I P A L</t>
  </si>
  <si>
    <t>PARA EL EJERCICIO CONTABLE</t>
  </si>
  <si>
    <t xml:space="preserve">DEL 01 DE ENERO AL 31 DE </t>
  </si>
  <si>
    <t>DE DICIEMBRE 2018</t>
  </si>
  <si>
    <t>INGRESOS   2014</t>
  </si>
  <si>
    <t>INGRESOS     2015</t>
  </si>
  <si>
    <t>INGRESOS      2016</t>
  </si>
  <si>
    <t>DEPTO. DE LA LIBERTAD</t>
  </si>
  <si>
    <t>TEL 23490900 -contabilidad@zaragoza.gob.sv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</si>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</sst>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;\-&quot;$&quot;#,##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 [$$-300A]\ * #,##0.00_ ;_ [$$-300A]\ * \-#,##0.00_ ;_ [$$-300A]\ * &quot;-&quot;??_ ;_ @_ "/>
    <numFmt numFmtId="168" formatCode="_-[$€-2]* #,##0.00_-;\-[$€-2]* #,##0.00_-;_-[$€-2]* &quot;-&quot;??_-"/>
    <numFmt numFmtId="169" formatCode="_-[$$-340A]\ * #,##0.00_-;\-[$$-340A]\ * #,##0.00_-;_-[$$-340A]\ * &quot;-&quot;??_-;_-@_-"/>
    <numFmt numFmtId="170" formatCode="_([$$-440A]* #,##0.00_);_([$$-440A]* \(#,##0.00\);_([$$-440A]* &quot;-&quot;??_);_(@_)"/>
    <numFmt numFmtId="171" formatCode="_-[$$-440A]* #,##0.00_ ;_-[$$-440A]* \-#,##0.00\ ;_-[$$-440A]* &quot;-&quot;??_ ;_-@_ "/>
    <numFmt numFmtId="172" formatCode="_(&quot;$&quot;\ * #,##0_);_(&quot;$&quot;\ * \(#,##0\);_(&quot;$&quot;\ * &quot;-&quot;??_);_(@_)"/>
  </numFmts>
  <fonts count="8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57"/>
      <name val="Arial"/>
      <family val="2"/>
    </font>
    <font>
      <b/>
      <u val="doubleAccounting"/>
      <sz val="12"/>
      <name val="Arial"/>
      <family val="2"/>
    </font>
    <font>
      <sz val="11"/>
      <color theme="0"/>
      <name val="Calibri"/>
      <family val="2"/>
      <scheme val="minor"/>
    </font>
    <font>
      <sz val="10"/>
      <name val="Cambria"/>
      <family val="1"/>
      <scheme val="major"/>
    </font>
    <font>
      <sz val="8"/>
      <name val="Cambria"/>
      <family val="1"/>
      <scheme val="major"/>
    </font>
    <font>
      <b/>
      <sz val="10"/>
      <name val="Cambria"/>
      <family val="1"/>
      <scheme val="major"/>
    </font>
    <font>
      <b/>
      <u val="singleAccounting"/>
      <sz val="10"/>
      <name val="Cambria"/>
      <family val="1"/>
      <scheme val="maj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  <font>
      <b/>
      <sz val="8"/>
      <name val="Arial"/>
      <family val="2"/>
    </font>
    <font>
      <b/>
      <u val="singleAccounting"/>
      <sz val="14"/>
      <name val="Arial"/>
      <family val="2"/>
    </font>
    <font>
      <b/>
      <u/>
      <sz val="14"/>
      <name val="Arial"/>
      <family val="2"/>
    </font>
    <font>
      <b/>
      <u val="doubleAccounting"/>
      <sz val="11"/>
      <name val="Arial"/>
      <family val="2"/>
    </font>
    <font>
      <sz val="12"/>
      <color theme="0"/>
      <name val="Arial"/>
      <family val="2"/>
    </font>
    <font>
      <sz val="13"/>
      <name val="Arial"/>
      <family val="2"/>
    </font>
    <font>
      <sz val="10"/>
      <name val="Arial"/>
      <family val="2"/>
    </font>
    <font>
      <b/>
      <sz val="16"/>
      <name val="Cambria"/>
      <family val="1"/>
      <scheme val="major"/>
    </font>
    <font>
      <b/>
      <sz val="9"/>
      <name val="Cambria"/>
      <family val="1"/>
      <scheme val="major"/>
    </font>
    <font>
      <b/>
      <sz val="11"/>
      <name val="Cambria"/>
      <family val="1"/>
      <scheme val="major"/>
    </font>
    <font>
      <b/>
      <u/>
      <sz val="10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sz val="14"/>
      <name val="Cambria"/>
      <family val="1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Cambria"/>
      <family val="1"/>
    </font>
    <font>
      <b/>
      <sz val="14"/>
      <name val="Cambria"/>
      <family val="1"/>
    </font>
    <font>
      <b/>
      <sz val="12"/>
      <name val="Cambria"/>
      <family val="1"/>
    </font>
    <font>
      <b/>
      <sz val="10"/>
      <name val="Cambria"/>
      <family val="1"/>
    </font>
    <font>
      <sz val="12"/>
      <name val="Cambria"/>
      <family val="1"/>
    </font>
    <font>
      <b/>
      <u val="doubleAccounting"/>
      <sz val="12"/>
      <name val="Cambria"/>
      <family val="1"/>
    </font>
    <font>
      <sz val="10"/>
      <name val="Cambria"/>
      <family val="1"/>
    </font>
    <font>
      <sz val="11"/>
      <name val="Cambria"/>
      <family val="1"/>
      <scheme val="major"/>
    </font>
    <font>
      <b/>
      <u val="singleAccounting"/>
      <sz val="11"/>
      <name val="Cambria"/>
      <family val="1"/>
      <scheme val="major"/>
    </font>
    <font>
      <b/>
      <u val="singleAccounting"/>
      <sz val="12"/>
      <name val="Cambria"/>
      <family val="1"/>
      <scheme val="major"/>
    </font>
    <font>
      <sz val="10"/>
      <color indexed="10"/>
      <name val="Cambria"/>
      <family val="1"/>
      <scheme val="major"/>
    </font>
    <font>
      <sz val="10"/>
      <color indexed="57"/>
      <name val="Cambria"/>
      <family val="1"/>
      <scheme val="major"/>
    </font>
    <font>
      <b/>
      <u val="singleAccounting"/>
      <sz val="14"/>
      <name val="Cambria"/>
      <family val="1"/>
      <scheme val="major"/>
    </font>
    <font>
      <b/>
      <u val="doubleAccounting"/>
      <sz val="11"/>
      <name val="Cambria"/>
      <family val="1"/>
      <scheme val="major"/>
    </font>
    <font>
      <u/>
      <sz val="10"/>
      <color theme="10"/>
      <name val="Arial"/>
      <family val="2"/>
    </font>
    <font>
      <sz val="28"/>
      <name val="Arial"/>
      <family val="2"/>
    </font>
    <font>
      <sz val="28"/>
      <name val="Bodoni MT Black"/>
      <family val="1"/>
    </font>
    <font>
      <sz val="20"/>
      <name val="Bodoni MT Black"/>
      <family val="1"/>
    </font>
    <font>
      <sz val="36"/>
      <name val="Bodoni MT Black"/>
      <family val="1"/>
    </font>
    <font>
      <b/>
      <sz val="20"/>
      <color theme="0"/>
      <name val="Arial Black"/>
      <family val="2"/>
    </font>
    <font>
      <sz val="20"/>
      <color theme="0"/>
      <name val="Arial Black"/>
      <family val="2"/>
    </font>
    <font>
      <sz val="8"/>
      <color theme="0"/>
      <name val="Arial"/>
      <family val="2"/>
    </font>
    <font>
      <sz val="9"/>
      <name val="Cambria"/>
      <family val="1"/>
      <scheme val="major"/>
    </font>
    <font>
      <sz val="9"/>
      <name val="Arial"/>
      <family val="2"/>
    </font>
    <font>
      <b/>
      <sz val="9"/>
      <name val="Arial"/>
      <family val="2"/>
    </font>
    <font>
      <sz val="10"/>
      <color theme="3" tint="0.39997558519241921"/>
      <name val="Arial"/>
      <family val="2"/>
    </font>
    <font>
      <sz val="11"/>
      <color theme="3" tint="0.39997558519241921"/>
      <name val="Arial"/>
      <family val="2"/>
    </font>
    <font>
      <b/>
      <sz val="12"/>
      <color theme="3" tint="0.39997558519241921"/>
      <name val="Arial"/>
      <family val="2"/>
    </font>
    <font>
      <b/>
      <sz val="10"/>
      <color theme="3" tint="0.39997558519241921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u val="singleAccounting"/>
      <sz val="10"/>
      <color theme="0"/>
      <name val="Arial"/>
      <family val="2"/>
    </font>
    <font>
      <sz val="11"/>
      <color theme="0"/>
      <name val="Arial"/>
      <family val="2"/>
    </font>
    <font>
      <sz val="14"/>
      <color theme="3" tint="0.39997558519241921"/>
      <name val="Arial"/>
      <family val="2"/>
    </font>
    <font>
      <sz val="8"/>
      <color theme="3" tint="0.39997558519241921"/>
      <name val="Arial"/>
      <family val="2"/>
    </font>
    <font>
      <b/>
      <sz val="11"/>
      <color theme="3" tint="0.39997558519241921"/>
      <name val="Arial"/>
      <family val="2"/>
    </font>
    <font>
      <sz val="12"/>
      <color theme="3" tint="0.39997558519241921"/>
      <name val="Arial"/>
      <family val="2"/>
    </font>
    <font>
      <sz val="6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5" tint="0.40000610370189521"/>
        </stop>
      </gradientFill>
    </fill>
    <fill>
      <gradientFill type="path" left="0.5" right="0.5" top="0.5" bottom="0.5">
        <stop position="0">
          <color theme="0"/>
        </stop>
        <stop position="1">
          <color theme="5" tint="0.59999389629810485"/>
        </stop>
      </gradient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168" fontId="1" fillId="0" borderId="0" applyFont="0" applyFill="0" applyBorder="0" applyAlignment="0" applyProtection="0"/>
    <xf numFmtId="5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0" borderId="0"/>
    <xf numFmtId="0" fontId="3" fillId="0" borderId="0"/>
    <xf numFmtId="165" fontId="30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</cellStyleXfs>
  <cellXfs count="709">
    <xf numFmtId="0" fontId="0" fillId="0" borderId="0" xfId="0"/>
    <xf numFmtId="49" fontId="4" fillId="2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/>
    </xf>
    <xf numFmtId="0" fontId="8" fillId="2" borderId="0" xfId="0" applyFont="1" applyFill="1"/>
    <xf numFmtId="0" fontId="7" fillId="0" borderId="0" xfId="0" applyFont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167" fontId="4" fillId="2" borderId="9" xfId="5" applyNumberFormat="1" applyFont="1" applyFill="1" applyBorder="1" applyAlignment="1">
      <alignment horizontal="right"/>
    </xf>
    <xf numFmtId="167" fontId="4" fillId="2" borderId="2" xfId="5" applyNumberFormat="1" applyFont="1" applyFill="1" applyBorder="1" applyAlignment="1">
      <alignment horizontal="right"/>
    </xf>
    <xf numFmtId="49" fontId="4" fillId="2" borderId="11" xfId="0" applyNumberFormat="1" applyFont="1" applyFill="1" applyBorder="1" applyAlignment="1">
      <alignment horizontal="center"/>
    </xf>
    <xf numFmtId="167" fontId="4" fillId="2" borderId="3" xfId="5" applyNumberFormat="1" applyFont="1" applyFill="1" applyBorder="1" applyAlignment="1">
      <alignment horizontal="right"/>
    </xf>
    <xf numFmtId="0" fontId="4" fillId="2" borderId="12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2" borderId="0" xfId="0" applyFont="1" applyFill="1"/>
    <xf numFmtId="0" fontId="8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Fill="1"/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49" fontId="14" fillId="2" borderId="0" xfId="0" applyNumberFormat="1" applyFont="1" applyFill="1" applyBorder="1" applyAlignment="1">
      <alignment horizontal="center" vertical="center"/>
    </xf>
    <xf numFmtId="49" fontId="15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5" fillId="2" borderId="0" xfId="0" applyNumberFormat="1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/>
    </xf>
    <xf numFmtId="164" fontId="1" fillId="2" borderId="0" xfId="5" applyNumberFormat="1" applyFont="1" applyFill="1" applyBorder="1" applyAlignment="1">
      <alignment horizontal="right"/>
    </xf>
    <xf numFmtId="0" fontId="6" fillId="2" borderId="0" xfId="0" applyFont="1" applyFill="1"/>
    <xf numFmtId="0" fontId="1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12" fillId="0" borderId="0" xfId="0" applyNumberFormat="1" applyFont="1" applyAlignment="1">
      <alignment vertical="center" wrapText="1"/>
    </xf>
    <xf numFmtId="0" fontId="1" fillId="0" borderId="0" xfId="0" applyFont="1" applyAlignment="1">
      <alignment wrapText="1"/>
    </xf>
    <xf numFmtId="49" fontId="9" fillId="0" borderId="0" xfId="0" applyNumberFormat="1" applyFont="1" applyAlignment="1">
      <alignment vertical="center" wrapText="1"/>
    </xf>
    <xf numFmtId="49" fontId="6" fillId="0" borderId="0" xfId="0" applyNumberFormat="1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8" fillId="0" borderId="0" xfId="0" applyFont="1"/>
    <xf numFmtId="4" fontId="18" fillId="0" borderId="0" xfId="0" applyNumberFormat="1" applyFont="1"/>
    <xf numFmtId="0" fontId="18" fillId="0" borderId="7" xfId="0" applyFont="1" applyBorder="1"/>
    <xf numFmtId="0" fontId="18" fillId="0" borderId="8" xfId="0" applyFont="1" applyBorder="1"/>
    <xf numFmtId="0" fontId="18" fillId="0" borderId="6" xfId="0" applyFont="1" applyBorder="1"/>
    <xf numFmtId="0" fontId="18" fillId="0" borderId="1" xfId="0" applyFont="1" applyBorder="1"/>
    <xf numFmtId="4" fontId="18" fillId="0" borderId="8" xfId="0" applyNumberFormat="1" applyFont="1" applyBorder="1" applyAlignment="1">
      <alignment horizontal="center"/>
    </xf>
    <xf numFmtId="4" fontId="18" fillId="0" borderId="31" xfId="0" applyNumberFormat="1" applyFont="1" applyBorder="1" applyAlignment="1">
      <alignment horizontal="center"/>
    </xf>
    <xf numFmtId="4" fontId="18" fillId="0" borderId="1" xfId="0" applyNumberFormat="1" applyFont="1" applyBorder="1" applyAlignment="1">
      <alignment horizontal="center"/>
    </xf>
    <xf numFmtId="4" fontId="19" fillId="0" borderId="1" xfId="0" applyNumberFormat="1" applyFont="1" applyBorder="1" applyAlignment="1">
      <alignment horizontal="center"/>
    </xf>
    <xf numFmtId="4" fontId="18" fillId="0" borderId="28" xfId="0" applyNumberFormat="1" applyFont="1" applyBorder="1" applyAlignment="1">
      <alignment horizontal="center"/>
    </xf>
    <xf numFmtId="14" fontId="18" fillId="0" borderId="6" xfId="0" applyNumberFormat="1" applyFont="1" applyBorder="1"/>
    <xf numFmtId="170" fontId="18" fillId="0" borderId="1" xfId="5" applyNumberFormat="1" applyFont="1" applyBorder="1"/>
    <xf numFmtId="170" fontId="18" fillId="0" borderId="28" xfId="5" applyNumberFormat="1" applyFont="1" applyBorder="1"/>
    <xf numFmtId="170" fontId="20" fillId="0" borderId="1" xfId="5" applyNumberFormat="1" applyFont="1" applyBorder="1"/>
    <xf numFmtId="14" fontId="18" fillId="0" borderId="23" xfId="0" applyNumberFormat="1" applyFont="1" applyBorder="1"/>
    <xf numFmtId="0" fontId="20" fillId="0" borderId="13" xfId="0" applyFont="1" applyBorder="1"/>
    <xf numFmtId="170" fontId="21" fillId="0" borderId="13" xfId="5" applyNumberFormat="1" applyFont="1" applyBorder="1"/>
    <xf numFmtId="170" fontId="18" fillId="0" borderId="24" xfId="5" applyNumberFormat="1" applyFont="1" applyBorder="1"/>
    <xf numFmtId="0" fontId="18" fillId="0" borderId="0" xfId="0" applyFont="1" applyBorder="1"/>
    <xf numFmtId="4" fontId="18" fillId="0" borderId="0" xfId="0" applyNumberFormat="1" applyFont="1" applyBorder="1"/>
    <xf numFmtId="0" fontId="18" fillId="0" borderId="0" xfId="0" applyFont="1" applyBorder="1" applyAlignment="1">
      <alignment horizontal="right"/>
    </xf>
    <xf numFmtId="0" fontId="18" fillId="0" borderId="25" xfId="0" applyFont="1" applyBorder="1"/>
    <xf numFmtId="0" fontId="18" fillId="0" borderId="26" xfId="0" applyFont="1" applyBorder="1"/>
    <xf numFmtId="4" fontId="18" fillId="0" borderId="27" xfId="0" applyNumberFormat="1" applyFont="1" applyBorder="1"/>
    <xf numFmtId="0" fontId="20" fillId="0" borderId="0" xfId="0" applyFont="1" applyBorder="1"/>
    <xf numFmtId="4" fontId="20" fillId="0" borderId="0" xfId="0" applyNumberFormat="1" applyFont="1" applyBorder="1"/>
    <xf numFmtId="10" fontId="20" fillId="0" borderId="0" xfId="0" quotePrefix="1" applyNumberFormat="1" applyFont="1" applyBorder="1" applyAlignment="1">
      <alignment horizontal="right"/>
    </xf>
    <xf numFmtId="170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164" fontId="10" fillId="0" borderId="1" xfId="5" applyNumberFormat="1" applyFont="1" applyBorder="1" applyAlignment="1">
      <alignment horizontal="center" vertical="center"/>
    </xf>
    <xf numFmtId="44" fontId="8" fillId="0" borderId="1" xfId="5" applyNumberFormat="1" applyFont="1" applyFill="1" applyBorder="1" applyAlignment="1">
      <alignment horizontal="center" vertical="center"/>
    </xf>
    <xf numFmtId="44" fontId="8" fillId="6" borderId="14" xfId="5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4" fontId="8" fillId="6" borderId="16" xfId="5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170" fontId="1" fillId="2" borderId="0" xfId="5" applyNumberFormat="1" applyFont="1" applyFill="1" applyBorder="1" applyAlignment="1">
      <alignment horizontal="right" vertical="center"/>
    </xf>
    <xf numFmtId="170" fontId="1" fillId="0" borderId="0" xfId="0" applyNumberFormat="1" applyFont="1" applyFill="1" applyAlignment="1">
      <alignment vertical="center"/>
    </xf>
    <xf numFmtId="166" fontId="0" fillId="0" borderId="0" xfId="5" applyFont="1"/>
    <xf numFmtId="0" fontId="6" fillId="0" borderId="0" xfId="0" applyFont="1" applyAlignment="1">
      <alignment vertical="center"/>
    </xf>
    <xf numFmtId="170" fontId="1" fillId="0" borderId="0" xfId="0" applyNumberFormat="1" applyFont="1" applyAlignment="1">
      <alignment vertical="center" wrapText="1"/>
    </xf>
    <xf numFmtId="16" fontId="18" fillId="0" borderId="6" xfId="0" applyNumberFormat="1" applyFont="1" applyBorder="1" applyAlignment="1">
      <alignment horizontal="center"/>
    </xf>
    <xf numFmtId="14" fontId="18" fillId="0" borderId="0" xfId="0" applyNumberFormat="1" applyFont="1" applyBorder="1"/>
    <xf numFmtId="49" fontId="9" fillId="0" borderId="0" xfId="0" applyNumberFormat="1" applyFont="1" applyAlignment="1"/>
    <xf numFmtId="166" fontId="1" fillId="0" borderId="0" xfId="5" applyFont="1"/>
    <xf numFmtId="0" fontId="8" fillId="0" borderId="0" xfId="0" applyFont="1" applyAlignment="1">
      <alignment horizontal="left" indent="7"/>
    </xf>
    <xf numFmtId="166" fontId="18" fillId="0" borderId="0" xfId="5" applyFont="1"/>
    <xf numFmtId="0" fontId="1" fillId="0" borderId="1" xfId="0" applyFont="1" applyBorder="1" applyAlignment="1">
      <alignment horizontal="left" indent="1"/>
    </xf>
    <xf numFmtId="0" fontId="1" fillId="0" borderId="1" xfId="0" applyFont="1" applyBorder="1"/>
    <xf numFmtId="166" fontId="1" fillId="0" borderId="1" xfId="5" applyFont="1" applyBorder="1"/>
    <xf numFmtId="0" fontId="1" fillId="0" borderId="1" xfId="0" applyFont="1" applyFill="1" applyBorder="1"/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/>
    <xf numFmtId="166" fontId="1" fillId="0" borderId="0" xfId="5" applyFont="1" applyBorder="1"/>
    <xf numFmtId="166" fontId="8" fillId="0" borderId="37" xfId="0" applyNumberFormat="1" applyFont="1" applyBorder="1"/>
    <xf numFmtId="166" fontId="8" fillId="0" borderId="38" xfId="0" applyNumberFormat="1" applyFont="1" applyBorder="1"/>
    <xf numFmtId="0" fontId="1" fillId="0" borderId="49" xfId="0" applyFont="1" applyBorder="1" applyAlignment="1">
      <alignment horizontal="left" indent="1"/>
    </xf>
    <xf numFmtId="170" fontId="8" fillId="2" borderId="0" xfId="0" applyNumberFormat="1" applyFont="1" applyFill="1" applyAlignment="1">
      <alignment vertical="center"/>
    </xf>
    <xf numFmtId="166" fontId="8" fillId="2" borderId="0" xfId="5" applyFont="1" applyFill="1"/>
    <xf numFmtId="0" fontId="10" fillId="0" borderId="0" xfId="0" applyFont="1"/>
    <xf numFmtId="49" fontId="1" fillId="2" borderId="0" xfId="0" applyNumberFormat="1" applyFont="1" applyFill="1" applyBorder="1" applyAlignment="1">
      <alignment horizontal="justify" vertical="center"/>
    </xf>
    <xf numFmtId="0" fontId="10" fillId="0" borderId="0" xfId="0" applyFont="1" applyAlignment="1">
      <alignment vertical="center"/>
    </xf>
    <xf numFmtId="170" fontId="27" fillId="2" borderId="14" xfId="0" applyNumberFormat="1" applyFont="1" applyFill="1" applyBorder="1" applyAlignment="1">
      <alignment vertical="center"/>
    </xf>
    <xf numFmtId="49" fontId="10" fillId="2" borderId="32" xfId="0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49" fontId="10" fillId="2" borderId="33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/>
    </xf>
    <xf numFmtId="0" fontId="10" fillId="2" borderId="12" xfId="0" applyFont="1" applyFill="1" applyBorder="1" applyAlignment="1">
      <alignment horizontal="center"/>
    </xf>
    <xf numFmtId="49" fontId="10" fillId="2" borderId="11" xfId="0" applyNumberFormat="1" applyFont="1" applyFill="1" applyBorder="1" applyAlignment="1">
      <alignment horizontal="center"/>
    </xf>
    <xf numFmtId="49" fontId="10" fillId="2" borderId="35" xfId="0" applyNumberFormat="1" applyFont="1" applyFill="1" applyBorder="1" applyAlignment="1">
      <alignment horizontal="center"/>
    </xf>
    <xf numFmtId="49" fontId="10" fillId="2" borderId="3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70" fontId="10" fillId="2" borderId="4" xfId="0" applyNumberFormat="1" applyFont="1" applyFill="1" applyBorder="1" applyAlignment="1">
      <alignment horizontal="left"/>
    </xf>
    <xf numFmtId="170" fontId="10" fillId="2" borderId="5" xfId="0" applyNumberFormat="1" applyFont="1" applyFill="1" applyBorder="1" applyAlignment="1">
      <alignment horizontal="left"/>
    </xf>
    <xf numFmtId="170" fontId="10" fillId="2" borderId="3" xfId="5" applyNumberFormat="1" applyFont="1" applyFill="1" applyBorder="1" applyAlignment="1">
      <alignment horizontal="right"/>
    </xf>
    <xf numFmtId="0" fontId="10" fillId="0" borderId="3" xfId="0" applyFont="1" applyFill="1" applyBorder="1" applyAlignment="1">
      <alignment horizontal="center" vertical="center" wrapText="1"/>
    </xf>
    <xf numFmtId="166" fontId="4" fillId="2" borderId="0" xfId="5" applyFont="1" applyFill="1"/>
    <xf numFmtId="166" fontId="4" fillId="2" borderId="55" xfId="5" applyFont="1" applyFill="1" applyBorder="1"/>
    <xf numFmtId="166" fontId="11" fillId="2" borderId="0" xfId="5" applyFont="1" applyFill="1"/>
    <xf numFmtId="166" fontId="11" fillId="2" borderId="55" xfId="5" applyFont="1" applyFill="1" applyBorder="1"/>
    <xf numFmtId="166" fontId="1" fillId="2" borderId="0" xfId="5" applyFont="1" applyFill="1" applyAlignment="1">
      <alignment vertical="center"/>
    </xf>
    <xf numFmtId="166" fontId="1" fillId="2" borderId="0" xfId="5" applyFont="1" applyFill="1" applyBorder="1" applyAlignment="1">
      <alignment horizontal="justify" vertical="center"/>
    </xf>
    <xf numFmtId="166" fontId="1" fillId="2" borderId="55" xfId="5" applyFont="1" applyFill="1" applyBorder="1" applyAlignment="1">
      <alignment horizontal="justify" vertical="center"/>
    </xf>
    <xf numFmtId="170" fontId="1" fillId="0" borderId="0" xfId="0" applyNumberFormat="1" applyFont="1"/>
    <xf numFmtId="0" fontId="0" fillId="0" borderId="0" xfId="0" applyAlignment="1"/>
    <xf numFmtId="166" fontId="0" fillId="0" borderId="0" xfId="0" applyNumberFormat="1"/>
    <xf numFmtId="0" fontId="0" fillId="0" borderId="0" xfId="0" applyFill="1"/>
    <xf numFmtId="166" fontId="10" fillId="0" borderId="0" xfId="0" applyNumberFormat="1" applyFont="1"/>
    <xf numFmtId="0" fontId="29" fillId="0" borderId="0" xfId="0" applyFont="1"/>
    <xf numFmtId="0" fontId="10" fillId="0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56" xfId="0" applyFont="1" applyFill="1" applyBorder="1" applyAlignment="1">
      <alignment horizontal="left"/>
    </xf>
    <xf numFmtId="170" fontId="1" fillId="0" borderId="0" xfId="0" applyNumberFormat="1" applyFont="1" applyAlignment="1">
      <alignment wrapText="1"/>
    </xf>
    <xf numFmtId="0" fontId="10" fillId="0" borderId="57" xfId="0" applyFont="1" applyFill="1" applyBorder="1" applyAlignment="1">
      <alignment horizontal="center" vertical="center" wrapText="1"/>
    </xf>
    <xf numFmtId="170" fontId="10" fillId="0" borderId="4" xfId="0" applyNumberFormat="1" applyFont="1" applyFill="1" applyBorder="1" applyAlignment="1">
      <alignment horizontal="left"/>
    </xf>
    <xf numFmtId="167" fontId="4" fillId="2" borderId="18" xfId="5" applyNumberFormat="1" applyFont="1" applyFill="1" applyBorder="1" applyAlignment="1">
      <alignment horizontal="right"/>
    </xf>
    <xf numFmtId="167" fontId="4" fillId="2" borderId="56" xfId="5" applyNumberFormat="1" applyFont="1" applyFill="1" applyBorder="1" applyAlignment="1">
      <alignment horizontal="right"/>
    </xf>
    <xf numFmtId="0" fontId="4" fillId="0" borderId="57" xfId="0" applyFont="1" applyFill="1" applyBorder="1" applyAlignment="1">
      <alignment horizontal="center" vertical="center" wrapText="1"/>
    </xf>
    <xf numFmtId="49" fontId="4" fillId="2" borderId="58" xfId="0" applyNumberFormat="1" applyFont="1" applyFill="1" applyBorder="1" applyAlignment="1">
      <alignment horizontal="center"/>
    </xf>
    <xf numFmtId="0" fontId="10" fillId="0" borderId="18" xfId="0" applyFont="1" applyFill="1" applyBorder="1" applyAlignment="1">
      <alignment horizontal="left"/>
    </xf>
    <xf numFmtId="165" fontId="8" fillId="2" borderId="0" xfId="8" applyFont="1" applyFill="1"/>
    <xf numFmtId="0" fontId="18" fillId="0" borderId="1" xfId="0" applyFont="1" applyFill="1" applyBorder="1"/>
    <xf numFmtId="0" fontId="11" fillId="10" borderId="36" xfId="2" applyFont="1" applyFill="1" applyBorder="1" applyAlignment="1">
      <alignment horizontal="center" vertical="center" textRotation="90" wrapText="1"/>
    </xf>
    <xf numFmtId="0" fontId="11" fillId="10" borderId="37" xfId="2" applyFont="1" applyFill="1" applyBorder="1" applyAlignment="1">
      <alignment horizontal="center" vertical="center" textRotation="90" wrapText="1"/>
    </xf>
    <xf numFmtId="0" fontId="11" fillId="10" borderId="39" xfId="2" applyFont="1" applyFill="1" applyBorder="1" applyAlignment="1">
      <alignment horizontal="center" vertical="center" textRotation="90" wrapText="1"/>
    </xf>
    <xf numFmtId="0" fontId="11" fillId="10" borderId="38" xfId="2" applyFont="1" applyFill="1" applyBorder="1" applyAlignment="1">
      <alignment horizontal="center" vertical="center" textRotation="90" wrapText="1"/>
    </xf>
    <xf numFmtId="0" fontId="10" fillId="2" borderId="7" xfId="0" applyFont="1" applyFill="1" applyBorder="1" applyAlignment="1">
      <alignment horizontal="center" wrapText="1"/>
    </xf>
    <xf numFmtId="49" fontId="10" fillId="2" borderId="8" xfId="0" applyNumberFormat="1" applyFont="1" applyFill="1" applyBorder="1" applyAlignment="1">
      <alignment horizontal="center" wrapText="1"/>
    </xf>
    <xf numFmtId="49" fontId="10" fillId="2" borderId="32" xfId="0" applyNumberFormat="1" applyFont="1" applyFill="1" applyBorder="1" applyAlignment="1">
      <alignment horizontal="center" wrapText="1"/>
    </xf>
    <xf numFmtId="49" fontId="10" fillId="2" borderId="18" xfId="0" applyNumberFormat="1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left" wrapText="1"/>
    </xf>
    <xf numFmtId="170" fontId="10" fillId="2" borderId="10" xfId="0" applyNumberFormat="1" applyFont="1" applyFill="1" applyBorder="1" applyAlignment="1">
      <alignment horizontal="left" wrapText="1"/>
    </xf>
    <xf numFmtId="170" fontId="10" fillId="2" borderId="2" xfId="5" applyNumberFormat="1" applyFont="1" applyFill="1" applyBorder="1" applyAlignment="1">
      <alignment horizontal="right" wrapText="1"/>
    </xf>
    <xf numFmtId="0" fontId="10" fillId="2" borderId="6" xfId="0" applyFont="1" applyFill="1" applyBorder="1" applyAlignment="1">
      <alignment horizontal="center" wrapText="1"/>
    </xf>
    <xf numFmtId="49" fontId="10" fillId="2" borderId="1" xfId="0" applyNumberFormat="1" applyFont="1" applyFill="1" applyBorder="1" applyAlignment="1">
      <alignment horizontal="center" wrapText="1"/>
    </xf>
    <xf numFmtId="49" fontId="10" fillId="2" borderId="33" xfId="0" applyNumberFormat="1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left" wrapText="1"/>
    </xf>
    <xf numFmtId="170" fontId="10" fillId="2" borderId="4" xfId="0" applyNumberFormat="1" applyFont="1" applyFill="1" applyBorder="1" applyAlignment="1">
      <alignment horizontal="left" wrapText="1"/>
    </xf>
    <xf numFmtId="167" fontId="26" fillId="10" borderId="14" xfId="2" applyNumberFormat="1" applyFont="1" applyFill="1" applyBorder="1" applyAlignment="1">
      <alignment horizontal="center" vertical="center"/>
    </xf>
    <xf numFmtId="166" fontId="28" fillId="0" borderId="0" xfId="5" applyFont="1" applyFill="1" applyBorder="1"/>
    <xf numFmtId="49" fontId="1" fillId="2" borderId="0" xfId="0" applyNumberFormat="1" applyFont="1" applyFill="1" applyBorder="1" applyAlignment="1">
      <alignment horizontal="justify" vertical="center"/>
    </xf>
    <xf numFmtId="165" fontId="1" fillId="0" borderId="0" xfId="8" applyFont="1" applyAlignment="1">
      <alignment vertical="center" wrapText="1"/>
    </xf>
    <xf numFmtId="166" fontId="1" fillId="0" borderId="0" xfId="5" applyFont="1" applyAlignment="1">
      <alignment wrapText="1"/>
    </xf>
    <xf numFmtId="49" fontId="20" fillId="0" borderId="45" xfId="0" applyNumberFormat="1" applyFont="1" applyBorder="1" applyAlignment="1">
      <alignment horizontal="center" vertical="center" wrapText="1"/>
    </xf>
    <xf numFmtId="49" fontId="20" fillId="0" borderId="45" xfId="0" applyNumberFormat="1" applyFont="1" applyBorder="1" applyAlignment="1">
      <alignment vertical="center" wrapText="1"/>
    </xf>
    <xf numFmtId="49" fontId="18" fillId="0" borderId="15" xfId="0" applyNumberFormat="1" applyFont="1" applyBorder="1" applyAlignment="1">
      <alignment horizontal="center" vertical="center" wrapText="1"/>
    </xf>
    <xf numFmtId="49" fontId="18" fillId="0" borderId="15" xfId="0" applyNumberFormat="1" applyFont="1" applyBorder="1" applyAlignment="1">
      <alignment vertical="center" wrapText="1"/>
    </xf>
    <xf numFmtId="49" fontId="20" fillId="0" borderId="15" xfId="0" applyNumberFormat="1" applyFont="1" applyBorder="1" applyAlignment="1">
      <alignment horizontal="center" vertical="center" wrapText="1"/>
    </xf>
    <xf numFmtId="49" fontId="20" fillId="0" borderId="15" xfId="0" applyNumberFormat="1" applyFont="1" applyBorder="1" applyAlignment="1">
      <alignment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49" fontId="20" fillId="0" borderId="3" xfId="0" applyNumberFormat="1" applyFont="1" applyBorder="1" applyAlignment="1">
      <alignment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vertical="center" wrapText="1"/>
    </xf>
    <xf numFmtId="49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vertical="center" wrapText="1"/>
    </xf>
    <xf numFmtId="49" fontId="34" fillId="0" borderId="0" xfId="0" applyNumberFormat="1" applyFont="1" applyAlignment="1">
      <alignment vertical="center" wrapText="1"/>
    </xf>
    <xf numFmtId="49" fontId="18" fillId="0" borderId="0" xfId="0" applyNumberFormat="1" applyFont="1" applyAlignment="1">
      <alignment horizontal="right" vertical="center" wrapText="1"/>
    </xf>
    <xf numFmtId="0" fontId="32" fillId="11" borderId="29" xfId="0" applyFont="1" applyFill="1" applyBorder="1" applyAlignment="1">
      <alignment horizontal="center" vertical="center" wrapText="1"/>
    </xf>
    <xf numFmtId="0" fontId="33" fillId="11" borderId="14" xfId="0" applyFont="1" applyFill="1" applyBorder="1" applyAlignment="1">
      <alignment horizontal="center" vertical="center" wrapText="1"/>
    </xf>
    <xf numFmtId="0" fontId="23" fillId="11" borderId="14" xfId="0" applyFont="1" applyFill="1" applyBorder="1" applyAlignment="1">
      <alignment horizontal="center" vertical="center" wrapText="1"/>
    </xf>
    <xf numFmtId="0" fontId="35" fillId="11" borderId="40" xfId="0" applyFont="1" applyFill="1" applyBorder="1" applyAlignment="1">
      <alignment horizontal="center" vertical="center" wrapText="1"/>
    </xf>
    <xf numFmtId="166" fontId="11" fillId="0" borderId="0" xfId="5" applyFont="1"/>
    <xf numFmtId="170" fontId="0" fillId="0" borderId="0" xfId="0" applyNumberFormat="1"/>
    <xf numFmtId="164" fontId="10" fillId="0" borderId="0" xfId="0" applyNumberFormat="1" applyFont="1"/>
    <xf numFmtId="170" fontId="10" fillId="0" borderId="10" xfId="0" applyNumberFormat="1" applyFont="1" applyFill="1" applyBorder="1" applyAlignment="1">
      <alignment horizontal="left" wrapText="1"/>
    </xf>
    <xf numFmtId="170" fontId="10" fillId="0" borderId="4" xfId="0" applyNumberFormat="1" applyFont="1" applyFill="1" applyBorder="1" applyAlignment="1">
      <alignment horizontal="left" wrapText="1"/>
    </xf>
    <xf numFmtId="0" fontId="44" fillId="0" borderId="59" xfId="0" applyFont="1" applyBorder="1" applyAlignment="1">
      <alignment horizontal="center" vertical="center" wrapText="1"/>
    </xf>
    <xf numFmtId="0" fontId="44" fillId="0" borderId="18" xfId="0" applyFont="1" applyBorder="1" applyAlignment="1">
      <alignment vertical="center" wrapText="1"/>
    </xf>
    <xf numFmtId="170" fontId="44" fillId="0" borderId="18" xfId="0" applyNumberFormat="1" applyFont="1" applyBorder="1" applyAlignment="1">
      <alignment vertical="center" wrapText="1"/>
    </xf>
    <xf numFmtId="0" fontId="44" fillId="0" borderId="57" xfId="0" applyFont="1" applyBorder="1" applyAlignment="1">
      <alignment horizontal="center" vertical="center" wrapText="1"/>
    </xf>
    <xf numFmtId="0" fontId="44" fillId="0" borderId="2" xfId="0" applyFont="1" applyBorder="1" applyAlignment="1">
      <alignment vertical="center" wrapText="1"/>
    </xf>
    <xf numFmtId="170" fontId="44" fillId="0" borderId="2" xfId="0" applyNumberFormat="1" applyFont="1" applyBorder="1" applyAlignment="1">
      <alignment vertical="center" wrapText="1"/>
    </xf>
    <xf numFmtId="0" fontId="44" fillId="0" borderId="30" xfId="0" applyFont="1" applyBorder="1" applyAlignment="1">
      <alignment horizontal="center" vertical="center" wrapText="1"/>
    </xf>
    <xf numFmtId="0" fontId="44" fillId="0" borderId="16" xfId="0" applyFont="1" applyBorder="1" applyAlignment="1">
      <alignment vertical="center" wrapText="1"/>
    </xf>
    <xf numFmtId="170" fontId="44" fillId="0" borderId="15" xfId="0" applyNumberFormat="1" applyFont="1" applyBorder="1" applyAlignment="1">
      <alignment vertical="center" wrapText="1"/>
    </xf>
    <xf numFmtId="0" fontId="44" fillId="0" borderId="0" xfId="0" applyFont="1" applyAlignment="1">
      <alignment horizontal="center" vertical="center" wrapText="1"/>
    </xf>
    <xf numFmtId="170" fontId="44" fillId="0" borderId="0" xfId="0" applyNumberFormat="1" applyFont="1" applyAlignment="1">
      <alignment vertical="center" wrapText="1"/>
    </xf>
    <xf numFmtId="0" fontId="44" fillId="0" borderId="59" xfId="0" applyFont="1" applyBorder="1" applyAlignment="1">
      <alignment vertical="center" wrapText="1"/>
    </xf>
    <xf numFmtId="0" fontId="44" fillId="0" borderId="57" xfId="0" applyFont="1" applyBorder="1" applyAlignment="1">
      <alignment vertical="center" wrapText="1"/>
    </xf>
    <xf numFmtId="0" fontId="44" fillId="0" borderId="17" xfId="0" applyFont="1" applyBorder="1" applyAlignment="1">
      <alignment vertical="center" wrapText="1"/>
    </xf>
    <xf numFmtId="0" fontId="46" fillId="0" borderId="0" xfId="0" applyFont="1" applyAlignment="1">
      <alignment wrapText="1"/>
    </xf>
    <xf numFmtId="0" fontId="0" fillId="0" borderId="34" xfId="0" applyBorder="1"/>
    <xf numFmtId="0" fontId="43" fillId="12" borderId="29" xfId="0" applyFont="1" applyFill="1" applyBorder="1" applyAlignment="1">
      <alignment horizontal="center" vertical="center" wrapText="1"/>
    </xf>
    <xf numFmtId="0" fontId="42" fillId="12" borderId="14" xfId="0" applyFont="1" applyFill="1" applyBorder="1" applyAlignment="1">
      <alignment horizontal="center" vertical="center" wrapText="1"/>
    </xf>
    <xf numFmtId="170" fontId="45" fillId="12" borderId="14" xfId="0" applyNumberFormat="1" applyFont="1" applyFill="1" applyBorder="1" applyAlignment="1">
      <alignment vertical="center" wrapText="1"/>
    </xf>
    <xf numFmtId="0" fontId="42" fillId="12" borderId="29" xfId="0" applyFont="1" applyFill="1" applyBorder="1" applyAlignment="1">
      <alignment horizontal="center" vertical="center" wrapText="1"/>
    </xf>
    <xf numFmtId="0" fontId="20" fillId="2" borderId="18" xfId="0" applyNumberFormat="1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justify" vertical="center" wrapText="1"/>
    </xf>
    <xf numFmtId="166" fontId="18" fillId="0" borderId="9" xfId="5" applyFont="1" applyFill="1" applyBorder="1" applyAlignment="1">
      <alignment horizontal="center" vertical="center"/>
    </xf>
    <xf numFmtId="166" fontId="18" fillId="0" borderId="18" xfId="5" applyFont="1" applyFill="1" applyBorder="1" applyAlignment="1">
      <alignment horizontal="center" vertical="center"/>
    </xf>
    <xf numFmtId="166" fontId="18" fillId="2" borderId="9" xfId="5" applyFont="1" applyFill="1" applyBorder="1" applyAlignment="1">
      <alignment horizontal="center" vertical="center"/>
    </xf>
    <xf numFmtId="0" fontId="20" fillId="2" borderId="9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justify" vertical="center" wrapText="1"/>
    </xf>
    <xf numFmtId="0" fontId="20" fillId="2" borderId="2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justify" vertical="center" wrapText="1"/>
    </xf>
    <xf numFmtId="0" fontId="20" fillId="0" borderId="9" xfId="0" applyNumberFormat="1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166" fontId="18" fillId="0" borderId="2" xfId="5" applyFont="1" applyFill="1" applyBorder="1" applyAlignment="1">
      <alignment horizontal="center" vertical="center"/>
    </xf>
    <xf numFmtId="0" fontId="20" fillId="2" borderId="3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justify" vertical="center" wrapText="1"/>
    </xf>
    <xf numFmtId="166" fontId="18" fillId="2" borderId="2" xfId="5" applyFont="1" applyFill="1" applyBorder="1" applyAlignment="1">
      <alignment horizontal="center" vertical="center"/>
    </xf>
    <xf numFmtId="166" fontId="18" fillId="2" borderId="56" xfId="5" applyFont="1" applyFill="1" applyBorder="1" applyAlignment="1">
      <alignment horizontal="center" vertical="center"/>
    </xf>
    <xf numFmtId="0" fontId="20" fillId="12" borderId="14" xfId="0" applyFont="1" applyFill="1" applyBorder="1" applyAlignment="1">
      <alignment horizontal="center" vertical="center" wrapText="1"/>
    </xf>
    <xf numFmtId="0" fontId="23" fillId="12" borderId="29" xfId="0" applyFont="1" applyFill="1" applyBorder="1" applyAlignment="1">
      <alignment horizontal="center" vertical="center" textRotation="90" wrapText="1"/>
    </xf>
    <xf numFmtId="0" fontId="23" fillId="12" borderId="14" xfId="0" applyFont="1" applyFill="1" applyBorder="1" applyAlignment="1">
      <alignment horizontal="center" vertical="center" textRotation="90" wrapText="1"/>
    </xf>
    <xf numFmtId="0" fontId="23" fillId="12" borderId="40" xfId="0" applyFont="1" applyFill="1" applyBorder="1" applyAlignment="1">
      <alignment horizontal="center" vertical="center" textRotation="90" wrapText="1"/>
    </xf>
    <xf numFmtId="0" fontId="23" fillId="12" borderId="14" xfId="0" applyFont="1" applyFill="1" applyBorder="1" applyAlignment="1">
      <alignment vertical="center" wrapText="1"/>
    </xf>
    <xf numFmtId="0" fontId="23" fillId="12" borderId="14" xfId="0" applyFont="1" applyFill="1" applyBorder="1" applyAlignment="1">
      <alignment horizontal="center" vertical="center" wrapText="1"/>
    </xf>
    <xf numFmtId="166" fontId="23" fillId="12" borderId="14" xfId="5" applyFont="1" applyFill="1" applyBorder="1" applyAlignment="1">
      <alignment vertical="center" wrapText="1"/>
    </xf>
    <xf numFmtId="0" fontId="47" fillId="2" borderId="7" xfId="0" applyFont="1" applyFill="1" applyBorder="1" applyAlignment="1">
      <alignment horizontal="center" vertical="center"/>
    </xf>
    <xf numFmtId="49" fontId="47" fillId="2" borderId="8" xfId="0" applyNumberFormat="1" applyFont="1" applyFill="1" applyBorder="1" applyAlignment="1">
      <alignment horizontal="center" vertical="center"/>
    </xf>
    <xf numFmtId="0" fontId="47" fillId="0" borderId="47" xfId="0" applyFont="1" applyFill="1" applyBorder="1" applyAlignment="1">
      <alignment horizontal="center" vertical="center" wrapText="1"/>
    </xf>
    <xf numFmtId="0" fontId="47" fillId="2" borderId="18" xfId="0" applyFont="1" applyFill="1" applyBorder="1" applyAlignment="1">
      <alignment horizontal="left" vertical="center"/>
    </xf>
    <xf numFmtId="170" fontId="47" fillId="2" borderId="10" xfId="0" applyNumberFormat="1" applyFont="1" applyFill="1" applyBorder="1" applyAlignment="1">
      <alignment horizontal="left" vertical="center"/>
    </xf>
    <xf numFmtId="0" fontId="47" fillId="0" borderId="2" xfId="0" applyFont="1" applyBorder="1"/>
    <xf numFmtId="0" fontId="47" fillId="2" borderId="9" xfId="0" applyFont="1" applyFill="1" applyBorder="1" applyAlignment="1">
      <alignment horizontal="left" vertical="center"/>
    </xf>
    <xf numFmtId="49" fontId="47" fillId="2" borderId="1" xfId="0" applyNumberFormat="1" applyFont="1" applyFill="1" applyBorder="1" applyAlignment="1">
      <alignment horizontal="center" vertical="center"/>
    </xf>
    <xf numFmtId="0" fontId="47" fillId="0" borderId="48" xfId="0" applyFont="1" applyFill="1" applyBorder="1" applyAlignment="1">
      <alignment horizontal="center" vertical="center" wrapText="1"/>
    </xf>
    <xf numFmtId="0" fontId="47" fillId="2" borderId="2" xfId="0" applyFont="1" applyFill="1" applyBorder="1" applyAlignment="1">
      <alignment horizontal="left" vertical="center"/>
    </xf>
    <xf numFmtId="170" fontId="47" fillId="2" borderId="4" xfId="0" applyNumberFormat="1" applyFont="1" applyFill="1" applyBorder="1" applyAlignment="1">
      <alignment horizontal="left" vertical="center"/>
    </xf>
    <xf numFmtId="170" fontId="47" fillId="0" borderId="4" xfId="0" applyNumberFormat="1" applyFont="1" applyFill="1" applyBorder="1" applyAlignment="1">
      <alignment horizontal="left" vertical="center"/>
    </xf>
    <xf numFmtId="0" fontId="47" fillId="2" borderId="12" xfId="0" applyFont="1" applyFill="1" applyBorder="1" applyAlignment="1">
      <alignment horizontal="center" vertical="center"/>
    </xf>
    <xf numFmtId="49" fontId="47" fillId="2" borderId="11" xfId="0" applyNumberFormat="1" applyFont="1" applyFill="1" applyBorder="1" applyAlignment="1">
      <alignment horizontal="center" vertical="center"/>
    </xf>
    <xf numFmtId="49" fontId="47" fillId="2" borderId="34" xfId="0" applyNumberFormat="1" applyFont="1" applyFill="1" applyBorder="1" applyAlignment="1">
      <alignment horizontal="center" vertical="center"/>
    </xf>
    <xf numFmtId="49" fontId="47" fillId="2" borderId="35" xfId="0" applyNumberFormat="1" applyFont="1" applyFill="1" applyBorder="1" applyAlignment="1">
      <alignment horizontal="center" vertical="center"/>
    </xf>
    <xf numFmtId="0" fontId="47" fillId="2" borderId="56" xfId="0" applyFont="1" applyFill="1" applyBorder="1" applyAlignment="1">
      <alignment horizontal="left" vertical="center"/>
    </xf>
    <xf numFmtId="170" fontId="47" fillId="2" borderId="5" xfId="0" applyNumberFormat="1" applyFont="1" applyFill="1" applyBorder="1" applyAlignment="1">
      <alignment horizontal="left" vertical="center"/>
    </xf>
    <xf numFmtId="170" fontId="48" fillId="0" borderId="14" xfId="2" applyNumberFormat="1" applyFont="1" applyFill="1" applyBorder="1" applyAlignment="1">
      <alignment horizontal="right" vertical="center"/>
    </xf>
    <xf numFmtId="0" fontId="33" fillId="12" borderId="45" xfId="2" applyFont="1" applyFill="1" applyBorder="1" applyAlignment="1" applyProtection="1">
      <alignment horizontal="center" vertical="center" textRotation="90" wrapText="1"/>
      <protection locked="0" hidden="1"/>
    </xf>
    <xf numFmtId="0" fontId="33" fillId="12" borderId="36" xfId="2" applyFont="1" applyFill="1" applyBorder="1" applyAlignment="1">
      <alignment horizontal="center" vertical="center" textRotation="90" wrapText="1"/>
    </xf>
    <xf numFmtId="0" fontId="33" fillId="12" borderId="37" xfId="2" applyFont="1" applyFill="1" applyBorder="1" applyAlignment="1">
      <alignment horizontal="center" vertical="center" textRotation="90" wrapText="1"/>
    </xf>
    <xf numFmtId="0" fontId="33" fillId="12" borderId="39" xfId="2" applyFont="1" applyFill="1" applyBorder="1" applyAlignment="1">
      <alignment horizontal="center" vertical="center" textRotation="90" wrapText="1"/>
    </xf>
    <xf numFmtId="0" fontId="33" fillId="12" borderId="38" xfId="2" applyFont="1" applyFill="1" applyBorder="1" applyAlignment="1">
      <alignment horizontal="center" vertical="center" textRotation="90" wrapText="1"/>
    </xf>
    <xf numFmtId="0" fontId="33" fillId="12" borderId="16" xfId="2" applyFont="1" applyFill="1" applyBorder="1" applyAlignment="1" applyProtection="1">
      <alignment horizontal="center" vertical="center" textRotation="90" wrapText="1"/>
      <protection locked="0" hidden="1"/>
    </xf>
    <xf numFmtId="0" fontId="6" fillId="12" borderId="45" xfId="2" applyFont="1" applyFill="1" applyBorder="1" applyAlignment="1" applyProtection="1">
      <alignment horizontal="center" vertical="center" textRotation="90" wrapText="1"/>
      <protection locked="0" hidden="1"/>
    </xf>
    <xf numFmtId="0" fontId="11" fillId="12" borderId="36" xfId="2" applyFont="1" applyFill="1" applyBorder="1" applyAlignment="1">
      <alignment horizontal="center" vertical="center" textRotation="90" wrapText="1"/>
    </xf>
    <xf numFmtId="0" fontId="11" fillId="12" borderId="37" xfId="2" applyFont="1" applyFill="1" applyBorder="1" applyAlignment="1">
      <alignment horizontal="center" vertical="center" textRotation="90" wrapText="1"/>
    </xf>
    <xf numFmtId="0" fontId="11" fillId="12" borderId="39" xfId="2" applyFont="1" applyFill="1" applyBorder="1" applyAlignment="1">
      <alignment horizontal="center" vertical="center" textRotation="90" wrapText="1"/>
    </xf>
    <xf numFmtId="0" fontId="11" fillId="12" borderId="38" xfId="2" applyFont="1" applyFill="1" applyBorder="1" applyAlignment="1">
      <alignment horizontal="center" vertical="center" textRotation="90" wrapText="1"/>
    </xf>
    <xf numFmtId="0" fontId="6" fillId="12" borderId="16" xfId="2" applyFont="1" applyFill="1" applyBorder="1" applyAlignment="1" applyProtection="1">
      <alignment horizontal="center" vertical="center" textRotation="90" wrapText="1"/>
      <protection locked="0" hidden="1"/>
    </xf>
    <xf numFmtId="170" fontId="27" fillId="12" borderId="14" xfId="0" applyNumberFormat="1" applyFont="1" applyFill="1" applyBorder="1" applyAlignment="1">
      <alignment vertical="center"/>
    </xf>
    <xf numFmtId="170" fontId="16" fillId="12" borderId="14" xfId="0" applyNumberFormat="1" applyFont="1" applyFill="1" applyBorder="1" applyAlignment="1">
      <alignment vertical="center"/>
    </xf>
    <xf numFmtId="0" fontId="47" fillId="2" borderId="7" xfId="0" applyFont="1" applyFill="1" applyBorder="1" applyAlignment="1">
      <alignment horizontal="center"/>
    </xf>
    <xf numFmtId="49" fontId="47" fillId="2" borderId="8" xfId="0" applyNumberFormat="1" applyFont="1" applyFill="1" applyBorder="1" applyAlignment="1">
      <alignment horizontal="center"/>
    </xf>
    <xf numFmtId="0" fontId="47" fillId="0" borderId="9" xfId="0" applyFont="1" applyFill="1" applyBorder="1" applyAlignment="1">
      <alignment horizontal="center" vertical="center" wrapText="1"/>
    </xf>
    <xf numFmtId="0" fontId="47" fillId="2" borderId="10" xfId="0" applyFont="1" applyFill="1" applyBorder="1" applyAlignment="1">
      <alignment horizontal="left"/>
    </xf>
    <xf numFmtId="166" fontId="47" fillId="0" borderId="10" xfId="5" applyFont="1" applyFill="1" applyBorder="1" applyAlignment="1">
      <alignment horizontal="left"/>
    </xf>
    <xf numFmtId="167" fontId="47" fillId="0" borderId="9" xfId="5" applyNumberFormat="1" applyFont="1" applyFill="1" applyBorder="1" applyAlignment="1">
      <alignment horizontal="right"/>
    </xf>
    <xf numFmtId="49" fontId="47" fillId="2" borderId="1" xfId="0" applyNumberFormat="1" applyFont="1" applyFill="1" applyBorder="1" applyAlignment="1">
      <alignment horizontal="center"/>
    </xf>
    <xf numFmtId="0" fontId="47" fillId="0" borderId="2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left"/>
    </xf>
    <xf numFmtId="166" fontId="47" fillId="0" borderId="4" xfId="5" applyFont="1" applyFill="1" applyBorder="1" applyAlignment="1">
      <alignment horizontal="left"/>
    </xf>
    <xf numFmtId="166" fontId="47" fillId="2" borderId="4" xfId="5" applyFont="1" applyFill="1" applyBorder="1" applyAlignment="1">
      <alignment horizontal="left"/>
    </xf>
    <xf numFmtId="0" fontId="47" fillId="2" borderId="6" xfId="0" applyFont="1" applyFill="1" applyBorder="1" applyAlignment="1">
      <alignment horizontal="center"/>
    </xf>
    <xf numFmtId="0" fontId="47" fillId="2" borderId="12" xfId="0" applyFont="1" applyFill="1" applyBorder="1" applyAlignment="1">
      <alignment horizontal="center"/>
    </xf>
    <xf numFmtId="49" fontId="47" fillId="2" borderId="11" xfId="0" applyNumberFormat="1" applyFont="1" applyFill="1" applyBorder="1" applyAlignment="1">
      <alignment horizontal="center"/>
    </xf>
    <xf numFmtId="49" fontId="47" fillId="2" borderId="3" xfId="0" applyNumberFormat="1" applyFont="1" applyFill="1" applyBorder="1" applyAlignment="1">
      <alignment horizontal="center"/>
    </xf>
    <xf numFmtId="0" fontId="47" fillId="2" borderId="5" xfId="0" applyFont="1" applyFill="1" applyBorder="1" applyAlignment="1">
      <alignment horizontal="left"/>
    </xf>
    <xf numFmtId="166" fontId="47" fillId="2" borderId="5" xfId="5" applyFont="1" applyFill="1" applyBorder="1" applyAlignment="1">
      <alignment horizontal="left"/>
    </xf>
    <xf numFmtId="167" fontId="49" fillId="12" borderId="14" xfId="2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33" fillId="12" borderId="19" xfId="1" applyFont="1" applyFill="1" applyBorder="1" applyAlignment="1">
      <alignment horizontal="center" vertical="center" textRotation="90" wrapText="1"/>
    </xf>
    <xf numFmtId="0" fontId="33" fillId="12" borderId="20" xfId="1" applyFont="1" applyFill="1" applyBorder="1" applyAlignment="1">
      <alignment horizontal="center" vertical="center" textRotation="90" wrapText="1"/>
    </xf>
    <xf numFmtId="0" fontId="33" fillId="12" borderId="21" xfId="1" applyFont="1" applyFill="1" applyBorder="1" applyAlignment="1">
      <alignment horizontal="center" vertical="center" textRotation="90" wrapText="1"/>
    </xf>
    <xf numFmtId="0" fontId="33" fillId="12" borderId="22" xfId="1" applyFont="1" applyFill="1" applyBorder="1" applyAlignment="1">
      <alignment horizontal="center" vertical="center" textRotation="90" wrapText="1"/>
    </xf>
    <xf numFmtId="0" fontId="36" fillId="2" borderId="25" xfId="0" applyFont="1" applyFill="1" applyBorder="1" applyAlignment="1">
      <alignment horizontal="center" vertical="center"/>
    </xf>
    <xf numFmtId="49" fontId="36" fillId="2" borderId="26" xfId="0" applyNumberFormat="1" applyFont="1" applyFill="1" applyBorder="1" applyAlignment="1">
      <alignment horizontal="center" vertical="center"/>
    </xf>
    <xf numFmtId="49" fontId="36" fillId="2" borderId="27" xfId="0" applyNumberFormat="1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left" vertical="center" wrapText="1"/>
    </xf>
    <xf numFmtId="0" fontId="36" fillId="13" borderId="6" xfId="0" applyFont="1" applyFill="1" applyBorder="1" applyAlignment="1">
      <alignment horizontal="center" vertical="center"/>
    </xf>
    <xf numFmtId="49" fontId="36" fillId="13" borderId="1" xfId="0" applyNumberFormat="1" applyFont="1" applyFill="1" applyBorder="1" applyAlignment="1">
      <alignment horizontal="center" vertical="center"/>
    </xf>
    <xf numFmtId="49" fontId="36" fillId="13" borderId="28" xfId="0" applyNumberFormat="1" applyFont="1" applyFill="1" applyBorder="1" applyAlignment="1">
      <alignment horizontal="center" vertical="center"/>
    </xf>
    <xf numFmtId="0" fontId="36" fillId="13" borderId="4" xfId="0" applyFont="1" applyFill="1" applyBorder="1" applyAlignment="1">
      <alignment horizontal="left" vertical="center" wrapText="1"/>
    </xf>
    <xf numFmtId="0" fontId="36" fillId="9" borderId="6" xfId="0" applyFont="1" applyFill="1" applyBorder="1" applyAlignment="1">
      <alignment horizontal="center" vertical="center"/>
    </xf>
    <xf numFmtId="49" fontId="36" fillId="9" borderId="1" xfId="0" applyNumberFormat="1" applyFont="1" applyFill="1" applyBorder="1" applyAlignment="1">
      <alignment horizontal="center" vertical="center"/>
    </xf>
    <xf numFmtId="49" fontId="36" fillId="9" borderId="28" xfId="0" applyNumberFormat="1" applyFont="1" applyFill="1" applyBorder="1" applyAlignment="1">
      <alignment horizontal="center" vertical="center"/>
    </xf>
    <xf numFmtId="0" fontId="36" fillId="9" borderId="4" xfId="0" applyFont="1" applyFill="1" applyBorder="1" applyAlignment="1">
      <alignment horizontal="justify" vertical="center" wrapText="1"/>
    </xf>
    <xf numFmtId="0" fontId="36" fillId="13" borderId="4" xfId="0" applyFont="1" applyFill="1" applyBorder="1" applyAlignment="1">
      <alignment horizontal="justify" vertical="center" wrapText="1"/>
    </xf>
    <xf numFmtId="0" fontId="36" fillId="2" borderId="6" xfId="0" applyFont="1" applyFill="1" applyBorder="1" applyAlignment="1">
      <alignment horizontal="center" vertical="center"/>
    </xf>
    <xf numFmtId="49" fontId="36" fillId="2" borderId="1" xfId="0" applyNumberFormat="1" applyFont="1" applyFill="1" applyBorder="1" applyAlignment="1">
      <alignment horizontal="center" vertical="center"/>
    </xf>
    <xf numFmtId="49" fontId="36" fillId="2" borderId="28" xfId="0" applyNumberFormat="1" applyFont="1" applyFill="1" applyBorder="1" applyAlignment="1">
      <alignment horizontal="center" vertical="center"/>
    </xf>
    <xf numFmtId="49" fontId="36" fillId="2" borderId="12" xfId="0" applyNumberFormat="1" applyFont="1" applyFill="1" applyBorder="1" applyAlignment="1">
      <alignment horizontal="center" vertical="center"/>
    </xf>
    <xf numFmtId="49" fontId="36" fillId="2" borderId="11" xfId="0" applyNumberFormat="1" applyFont="1" applyFill="1" applyBorder="1" applyAlignment="1">
      <alignment horizontal="center" vertical="center"/>
    </xf>
    <xf numFmtId="49" fontId="36" fillId="2" borderId="54" xfId="0" applyNumberFormat="1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vertical="center" wrapText="1"/>
    </xf>
    <xf numFmtId="171" fontId="1" fillId="0" borderId="0" xfId="0" applyNumberFormat="1" applyFont="1" applyAlignment="1">
      <alignment wrapText="1"/>
    </xf>
    <xf numFmtId="170" fontId="44" fillId="0" borderId="2" xfId="0" applyNumberFormat="1" applyFont="1" applyFill="1" applyBorder="1" applyAlignment="1">
      <alignment vertical="center" wrapText="1"/>
    </xf>
    <xf numFmtId="0" fontId="47" fillId="0" borderId="30" xfId="0" applyFont="1" applyBorder="1" applyAlignment="1">
      <alignment horizontal="center" vertical="center" wrapText="1"/>
    </xf>
    <xf numFmtId="0" fontId="18" fillId="0" borderId="15" xfId="0" applyFont="1" applyBorder="1" applyAlignment="1">
      <alignment vertical="center" wrapText="1"/>
    </xf>
    <xf numFmtId="170" fontId="47" fillId="0" borderId="15" xfId="0" applyNumberFormat="1" applyFont="1" applyBorder="1" applyAlignment="1">
      <alignment vertical="center" wrapText="1"/>
    </xf>
    <xf numFmtId="170" fontId="47" fillId="0" borderId="15" xfId="0" applyNumberFormat="1" applyFont="1" applyFill="1" applyBorder="1" applyAlignment="1">
      <alignment vertical="center" wrapText="1"/>
    </xf>
    <xf numFmtId="170" fontId="18" fillId="0" borderId="0" xfId="0" applyNumberFormat="1" applyFont="1"/>
    <xf numFmtId="0" fontId="36" fillId="2" borderId="7" xfId="0" applyFont="1" applyFill="1" applyBorder="1" applyAlignment="1">
      <alignment horizontal="center"/>
    </xf>
    <xf numFmtId="49" fontId="36" fillId="2" borderId="8" xfId="0" applyNumberFormat="1" applyFont="1" applyFill="1" applyBorder="1" applyAlignment="1">
      <alignment horizontal="center"/>
    </xf>
    <xf numFmtId="49" fontId="36" fillId="2" borderId="9" xfId="0" applyNumberFormat="1" applyFont="1" applyFill="1" applyBorder="1" applyAlignment="1">
      <alignment horizontal="center"/>
    </xf>
    <xf numFmtId="0" fontId="36" fillId="2" borderId="10" xfId="0" applyFont="1" applyFill="1" applyBorder="1" applyAlignment="1">
      <alignment horizontal="left"/>
    </xf>
    <xf numFmtId="170" fontId="36" fillId="2" borderId="9" xfId="5" applyNumberFormat="1" applyFont="1" applyFill="1" applyBorder="1" applyAlignment="1">
      <alignment horizontal="right"/>
    </xf>
    <xf numFmtId="0" fontId="36" fillId="2" borderId="6" xfId="0" applyFont="1" applyFill="1" applyBorder="1" applyAlignment="1">
      <alignment horizontal="center"/>
    </xf>
    <xf numFmtId="49" fontId="36" fillId="2" borderId="1" xfId="0" applyNumberFormat="1" applyFont="1" applyFill="1" applyBorder="1" applyAlignment="1">
      <alignment horizontal="center"/>
    </xf>
    <xf numFmtId="0" fontId="36" fillId="0" borderId="2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left"/>
    </xf>
    <xf numFmtId="170" fontId="36" fillId="2" borderId="2" xfId="5" applyNumberFormat="1" applyFont="1" applyFill="1" applyBorder="1" applyAlignment="1">
      <alignment horizontal="right"/>
    </xf>
    <xf numFmtId="0" fontId="36" fillId="2" borderId="12" xfId="0" applyFont="1" applyFill="1" applyBorder="1" applyAlignment="1">
      <alignment horizontal="center"/>
    </xf>
    <xf numFmtId="49" fontId="36" fillId="2" borderId="11" xfId="0" applyNumberFormat="1" applyFont="1" applyFill="1" applyBorder="1" applyAlignment="1">
      <alignment horizontal="center"/>
    </xf>
    <xf numFmtId="49" fontId="36" fillId="2" borderId="3" xfId="0" applyNumberFormat="1" applyFont="1" applyFill="1" applyBorder="1" applyAlignment="1">
      <alignment horizontal="center"/>
    </xf>
    <xf numFmtId="0" fontId="36" fillId="2" borderId="5" xfId="0" applyFont="1" applyFill="1" applyBorder="1" applyAlignment="1">
      <alignment horizontal="left"/>
    </xf>
    <xf numFmtId="170" fontId="36" fillId="2" borderId="3" xfId="5" applyNumberFormat="1" applyFont="1" applyFill="1" applyBorder="1" applyAlignment="1">
      <alignment horizontal="right"/>
    </xf>
    <xf numFmtId="170" fontId="52" fillId="12" borderId="14" xfId="5" applyNumberFormat="1" applyFont="1" applyFill="1" applyBorder="1" applyAlignment="1">
      <alignment horizontal="center" vertical="center"/>
    </xf>
    <xf numFmtId="0" fontId="23" fillId="12" borderId="13" xfId="0" applyFont="1" applyFill="1" applyBorder="1" applyAlignment="1">
      <alignment horizontal="center" vertical="center" wrapText="1"/>
    </xf>
    <xf numFmtId="166" fontId="10" fillId="0" borderId="15" xfId="5" applyFont="1" applyBorder="1"/>
    <xf numFmtId="170" fontId="53" fillId="12" borderId="14" xfId="0" applyNumberFormat="1" applyFont="1" applyFill="1" applyBorder="1" applyAlignment="1">
      <alignment horizontal="center" vertical="center" wrapText="1"/>
    </xf>
    <xf numFmtId="166" fontId="27" fillId="12" borderId="14" xfId="5" applyFont="1" applyFill="1" applyBorder="1" applyAlignment="1">
      <alignment wrapText="1"/>
    </xf>
    <xf numFmtId="166" fontId="27" fillId="12" borderId="14" xfId="5" applyFont="1" applyFill="1" applyBorder="1" applyAlignment="1"/>
    <xf numFmtId="170" fontId="53" fillId="12" borderId="14" xfId="0" applyNumberFormat="1" applyFont="1" applyFill="1" applyBorder="1" applyAlignment="1">
      <alignment horizontal="center" vertical="center"/>
    </xf>
    <xf numFmtId="170" fontId="47" fillId="0" borderId="9" xfId="5" applyNumberFormat="1" applyFont="1" applyFill="1" applyBorder="1" applyAlignment="1">
      <alignment horizontal="right" vertical="center"/>
    </xf>
    <xf numFmtId="170" fontId="10" fillId="2" borderId="18" xfId="0" applyNumberFormat="1" applyFont="1" applyFill="1" applyBorder="1" applyAlignment="1">
      <alignment horizontal="left" wrapText="1"/>
    </xf>
    <xf numFmtId="170" fontId="10" fillId="2" borderId="2" xfId="0" applyNumberFormat="1" applyFont="1" applyFill="1" applyBorder="1" applyAlignment="1">
      <alignment horizontal="left" wrapText="1"/>
    </xf>
    <xf numFmtId="170" fontId="10" fillId="2" borderId="2" xfId="0" applyNumberFormat="1" applyFont="1" applyFill="1" applyBorder="1" applyAlignment="1">
      <alignment horizontal="left"/>
    </xf>
    <xf numFmtId="0" fontId="10" fillId="0" borderId="15" xfId="0" applyFont="1" applyBorder="1"/>
    <xf numFmtId="170" fontId="10" fillId="2" borderId="3" xfId="0" applyNumberFormat="1" applyFont="1" applyFill="1" applyBorder="1" applyAlignment="1">
      <alignment horizontal="left"/>
    </xf>
    <xf numFmtId="170" fontId="10" fillId="2" borderId="56" xfId="0" applyNumberFormat="1" applyFont="1" applyFill="1" applyBorder="1" applyAlignment="1">
      <alignment horizontal="left"/>
    </xf>
    <xf numFmtId="170" fontId="10" fillId="0" borderId="2" xfId="5" applyNumberFormat="1" applyFont="1" applyFill="1" applyBorder="1" applyAlignment="1">
      <alignment horizontal="right" wrapText="1"/>
    </xf>
    <xf numFmtId="0" fontId="18" fillId="0" borderId="16" xfId="0" applyFont="1" applyBorder="1" applyAlignment="1">
      <alignment vertical="center" wrapText="1"/>
    </xf>
    <xf numFmtId="0" fontId="1" fillId="0" borderId="0" xfId="0" applyNumberFormat="1" applyFont="1" applyAlignment="1">
      <alignment wrapText="1"/>
    </xf>
    <xf numFmtId="0" fontId="47" fillId="0" borderId="1" xfId="0" applyFont="1" applyBorder="1"/>
    <xf numFmtId="0" fontId="47" fillId="0" borderId="1" xfId="0" applyFont="1" applyFill="1" applyBorder="1"/>
    <xf numFmtId="166" fontId="47" fillId="0" borderId="1" xfId="5" applyFont="1" applyFill="1" applyBorder="1"/>
    <xf numFmtId="0" fontId="47" fillId="0" borderId="1" xfId="0" applyFont="1" applyFill="1" applyBorder="1" applyAlignment="1">
      <alignment horizontal="left"/>
    </xf>
    <xf numFmtId="0" fontId="11" fillId="11" borderId="36" xfId="2" applyFont="1" applyFill="1" applyBorder="1" applyAlignment="1">
      <alignment horizontal="center" vertical="center" textRotation="90" wrapText="1"/>
    </xf>
    <xf numFmtId="0" fontId="11" fillId="11" borderId="37" xfId="2" applyFont="1" applyFill="1" applyBorder="1" applyAlignment="1">
      <alignment horizontal="center" vertical="center" textRotation="90" wrapText="1"/>
    </xf>
    <xf numFmtId="0" fontId="11" fillId="11" borderId="39" xfId="2" applyFont="1" applyFill="1" applyBorder="1" applyAlignment="1">
      <alignment horizontal="center" vertical="center" textRotation="90" wrapText="1"/>
    </xf>
    <xf numFmtId="0" fontId="11" fillId="11" borderId="38" xfId="2" applyFont="1" applyFill="1" applyBorder="1" applyAlignment="1">
      <alignment horizontal="center" vertical="center" textRotation="90" wrapText="1"/>
    </xf>
    <xf numFmtId="167" fontId="25" fillId="11" borderId="14" xfId="2" applyNumberFormat="1" applyFont="1" applyFill="1" applyBorder="1" applyAlignment="1">
      <alignment horizontal="center" vertical="center"/>
    </xf>
    <xf numFmtId="0" fontId="54" fillId="0" borderId="0" xfId="9" applyAlignment="1" applyProtection="1"/>
    <xf numFmtId="1" fontId="20" fillId="12" borderId="13" xfId="0" applyNumberFormat="1" applyFont="1" applyFill="1" applyBorder="1" applyAlignment="1">
      <alignment horizontal="center" vertical="center" wrapText="1"/>
    </xf>
    <xf numFmtId="170" fontId="47" fillId="0" borderId="10" xfId="0" applyNumberFormat="1" applyFont="1" applyFill="1" applyBorder="1" applyAlignment="1">
      <alignment horizontal="left" vertical="center"/>
    </xf>
    <xf numFmtId="166" fontId="22" fillId="12" borderId="16" xfId="5" applyFont="1" applyFill="1" applyBorder="1" applyAlignment="1">
      <alignment vertical="center" wrapText="1"/>
    </xf>
    <xf numFmtId="164" fontId="6" fillId="0" borderId="0" xfId="0" applyNumberFormat="1" applyFont="1" applyBorder="1"/>
    <xf numFmtId="0" fontId="6" fillId="0" borderId="0" xfId="0" applyFont="1" applyBorder="1"/>
    <xf numFmtId="0" fontId="55" fillId="0" borderId="0" xfId="0" applyFont="1"/>
    <xf numFmtId="0" fontId="56" fillId="0" borderId="34" xfId="0" applyFont="1" applyBorder="1"/>
    <xf numFmtId="0" fontId="57" fillId="0" borderId="34" xfId="0" applyFont="1" applyBorder="1" applyAlignment="1">
      <alignment horizontal="center"/>
    </xf>
    <xf numFmtId="17" fontId="57" fillId="0" borderId="34" xfId="0" applyNumberFormat="1" applyFont="1" applyBorder="1" applyAlignment="1">
      <alignment horizontal="center"/>
    </xf>
    <xf numFmtId="0" fontId="1" fillId="0" borderId="33" xfId="0" applyFont="1" applyBorder="1"/>
    <xf numFmtId="0" fontId="58" fillId="13" borderId="62" xfId="0" applyFont="1" applyFill="1" applyBorder="1" applyAlignment="1">
      <alignment horizontal="center"/>
    </xf>
    <xf numFmtId="0" fontId="58" fillId="14" borderId="61" xfId="0" applyFont="1" applyFill="1" applyBorder="1" applyAlignment="1">
      <alignment horizontal="center"/>
    </xf>
    <xf numFmtId="0" fontId="56" fillId="0" borderId="34" xfId="0" applyFont="1" applyFill="1" applyBorder="1"/>
    <xf numFmtId="0" fontId="60" fillId="16" borderId="0" xfId="0" applyFont="1" applyFill="1" applyBorder="1" applyAlignment="1">
      <alignment horizontal="center"/>
    </xf>
    <xf numFmtId="0" fontId="59" fillId="16" borderId="0" xfId="0" applyFont="1" applyFill="1" applyAlignment="1">
      <alignment horizontal="right" vertical="center" textRotation="180"/>
    </xf>
    <xf numFmtId="0" fontId="59" fillId="15" borderId="0" xfId="0" applyFont="1" applyFill="1" applyAlignment="1">
      <alignment horizontal="right" vertical="center" textRotation="180"/>
    </xf>
    <xf numFmtId="0" fontId="61" fillId="15" borderId="0" xfId="0" applyFont="1" applyFill="1" applyBorder="1" applyAlignment="1">
      <alignment horizontal="right"/>
    </xf>
    <xf numFmtId="0" fontId="62" fillId="0" borderId="1" xfId="0" applyFont="1" applyBorder="1" applyAlignment="1">
      <alignment horizontal="center"/>
    </xf>
    <xf numFmtId="172" fontId="62" fillId="0" borderId="1" xfId="5" applyNumberFormat="1" applyFont="1" applyBorder="1" applyAlignment="1">
      <alignment horizontal="center"/>
    </xf>
    <xf numFmtId="0" fontId="63" fillId="0" borderId="1" xfId="0" applyFont="1" applyBorder="1"/>
    <xf numFmtId="0" fontId="62" fillId="0" borderId="1" xfId="0" applyFont="1" applyFill="1" applyBorder="1"/>
    <xf numFmtId="166" fontId="62" fillId="0" borderId="1" xfId="5" applyFont="1" applyFill="1" applyBorder="1"/>
    <xf numFmtId="166" fontId="63" fillId="0" borderId="1" xfId="5" applyFont="1" applyFill="1" applyBorder="1"/>
    <xf numFmtId="0" fontId="32" fillId="0" borderId="1" xfId="0" applyFont="1" applyFill="1" applyBorder="1" applyAlignment="1"/>
    <xf numFmtId="166" fontId="32" fillId="0" borderId="1" xfId="5" applyFont="1" applyFill="1" applyBorder="1" applyAlignment="1"/>
    <xf numFmtId="166" fontId="32" fillId="0" borderId="1" xfId="5" applyFont="1" applyFill="1" applyBorder="1"/>
    <xf numFmtId="166" fontId="64" fillId="0" borderId="1" xfId="5" applyFont="1" applyFill="1" applyBorder="1"/>
    <xf numFmtId="0" fontId="62" fillId="0" borderId="1" xfId="0" applyFont="1" applyFill="1" applyBorder="1" applyAlignment="1">
      <alignment horizontal="left"/>
    </xf>
    <xf numFmtId="166" fontId="62" fillId="0" borderId="1" xfId="5" applyFont="1" applyFill="1" applyBorder="1" applyAlignment="1">
      <alignment horizontal="left"/>
    </xf>
    <xf numFmtId="0" fontId="32" fillId="0" borderId="1" xfId="0" applyFont="1" applyFill="1" applyBorder="1"/>
    <xf numFmtId="166" fontId="63" fillId="0" borderId="1" xfId="5" quotePrefix="1" applyFont="1" applyFill="1" applyBorder="1"/>
    <xf numFmtId="0" fontId="32" fillId="0" borderId="1" xfId="0" applyFont="1" applyFill="1" applyBorder="1" applyAlignment="1">
      <alignment horizontal="left"/>
    </xf>
    <xf numFmtId="166" fontId="32" fillId="0" borderId="1" xfId="5" applyFont="1" applyFill="1" applyBorder="1" applyAlignment="1">
      <alignment horizontal="left"/>
    </xf>
    <xf numFmtId="166" fontId="32" fillId="0" borderId="1" xfId="0" applyNumberFormat="1" applyFont="1" applyFill="1" applyBorder="1"/>
    <xf numFmtId="166" fontId="63" fillId="0" borderId="1" xfId="5" applyFont="1" applyBorder="1"/>
    <xf numFmtId="0" fontId="62" fillId="0" borderId="33" xfId="0" applyFont="1" applyFill="1" applyBorder="1" applyAlignment="1">
      <alignment horizontal="left"/>
    </xf>
    <xf numFmtId="49" fontId="9" fillId="2" borderId="0" xfId="0" applyNumberFormat="1" applyFont="1" applyFill="1" applyBorder="1" applyAlignment="1">
      <alignment vertical="center"/>
    </xf>
    <xf numFmtId="0" fontId="65" fillId="0" borderId="0" xfId="0" applyFont="1" applyAlignment="1">
      <alignment vertical="center"/>
    </xf>
    <xf numFmtId="166" fontId="65" fillId="0" borderId="0" xfId="0" applyNumberFormat="1" applyFont="1" applyAlignment="1">
      <alignment vertical="center"/>
    </xf>
    <xf numFmtId="0" fontId="65" fillId="0" borderId="0" xfId="0" applyFont="1" applyAlignment="1">
      <alignment horizontal="left" vertical="center"/>
    </xf>
    <xf numFmtId="0" fontId="65" fillId="0" borderId="0" xfId="0" applyFont="1" applyFill="1" applyAlignment="1">
      <alignment vertical="center"/>
    </xf>
    <xf numFmtId="0" fontId="65" fillId="0" borderId="0" xfId="0" applyFont="1" applyFill="1" applyAlignment="1">
      <alignment horizontal="left" vertical="center"/>
    </xf>
    <xf numFmtId="170" fontId="66" fillId="0" borderId="0" xfId="0" applyNumberFormat="1" applyFont="1"/>
    <xf numFmtId="0" fontId="66" fillId="0" borderId="0" xfId="0" applyFont="1"/>
    <xf numFmtId="166" fontId="65" fillId="0" borderId="1" xfId="0" applyNumberFormat="1" applyFont="1" applyBorder="1" applyAlignment="1">
      <alignment vertical="center"/>
    </xf>
    <xf numFmtId="165" fontId="65" fillId="0" borderId="0" xfId="8" applyFont="1"/>
    <xf numFmtId="164" fontId="65" fillId="0" borderId="0" xfId="0" applyNumberFormat="1" applyFont="1" applyAlignment="1">
      <alignment vertical="center"/>
    </xf>
    <xf numFmtId="0" fontId="67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49" fontId="65" fillId="2" borderId="0" xfId="0" applyNumberFormat="1" applyFont="1" applyFill="1" applyAlignment="1">
      <alignment horizontal="center" vertical="center"/>
    </xf>
    <xf numFmtId="0" fontId="67" fillId="3" borderId="0" xfId="0" applyFont="1" applyFill="1" applyBorder="1" applyAlignment="1">
      <alignment vertical="center" wrapText="1"/>
    </xf>
    <xf numFmtId="9" fontId="65" fillId="2" borderId="0" xfId="0" applyNumberFormat="1" applyFont="1" applyFill="1" applyAlignment="1">
      <alignment horizontal="center" vertical="center"/>
    </xf>
    <xf numFmtId="0" fontId="65" fillId="2" borderId="0" xfId="0" applyFont="1" applyFill="1" applyAlignment="1">
      <alignment horizontal="center" vertical="center"/>
    </xf>
    <xf numFmtId="0" fontId="65" fillId="2" borderId="0" xfId="0" applyFont="1" applyFill="1" applyAlignment="1">
      <alignment vertical="center"/>
    </xf>
    <xf numFmtId="0" fontId="68" fillId="2" borderId="0" xfId="0" applyFont="1" applyFill="1" applyAlignment="1">
      <alignment vertical="center"/>
    </xf>
    <xf numFmtId="49" fontId="67" fillId="2" borderId="0" xfId="0" applyNumberFormat="1" applyFont="1" applyFill="1" applyBorder="1" applyAlignment="1">
      <alignment horizontal="left" vertical="center"/>
    </xf>
    <xf numFmtId="166" fontId="68" fillId="2" borderId="0" xfId="0" applyNumberFormat="1" applyFont="1" applyFill="1" applyAlignment="1">
      <alignment vertical="center"/>
    </xf>
    <xf numFmtId="166" fontId="65" fillId="2" borderId="0" xfId="5" applyFont="1" applyFill="1" applyAlignment="1">
      <alignment vertical="center"/>
    </xf>
    <xf numFmtId="166" fontId="65" fillId="2" borderId="0" xfId="0" applyNumberFormat="1" applyFont="1" applyFill="1" applyAlignment="1">
      <alignment vertical="center"/>
    </xf>
    <xf numFmtId="0" fontId="70" fillId="2" borderId="0" xfId="0" applyFont="1" applyFill="1" applyAlignment="1">
      <alignment vertical="center"/>
    </xf>
    <xf numFmtId="0" fontId="70" fillId="0" borderId="0" xfId="0" applyFont="1" applyAlignment="1">
      <alignment vertical="center"/>
    </xf>
    <xf numFmtId="170" fontId="70" fillId="0" borderId="0" xfId="0" applyNumberFormat="1" applyFont="1" applyAlignment="1">
      <alignment vertical="center"/>
    </xf>
    <xf numFmtId="0" fontId="70" fillId="0" borderId="0" xfId="0" applyFont="1" applyFill="1" applyAlignment="1">
      <alignment vertical="center"/>
    </xf>
    <xf numFmtId="0" fontId="72" fillId="2" borderId="0" xfId="0" applyFont="1" applyFill="1" applyAlignment="1">
      <alignment vertical="center"/>
    </xf>
    <xf numFmtId="0" fontId="72" fillId="0" borderId="0" xfId="0" applyFont="1" applyAlignment="1">
      <alignment vertical="center"/>
    </xf>
    <xf numFmtId="170" fontId="72" fillId="0" borderId="0" xfId="0" applyNumberFormat="1" applyFont="1" applyAlignment="1">
      <alignment vertical="center"/>
    </xf>
    <xf numFmtId="170" fontId="72" fillId="0" borderId="0" xfId="0" applyNumberFormat="1" applyFont="1" applyBorder="1" applyAlignment="1">
      <alignment vertical="center"/>
    </xf>
    <xf numFmtId="0" fontId="72" fillId="0" borderId="0" xfId="0" applyFont="1" applyFill="1" applyAlignment="1">
      <alignment vertical="center"/>
    </xf>
    <xf numFmtId="165" fontId="70" fillId="0" borderId="0" xfId="8" applyFont="1" applyAlignment="1">
      <alignment vertical="center"/>
    </xf>
    <xf numFmtId="170" fontId="70" fillId="0" borderId="0" xfId="0" applyNumberFormat="1" applyFont="1" applyBorder="1" applyAlignment="1">
      <alignment vertical="center"/>
    </xf>
    <xf numFmtId="170" fontId="71" fillId="0" borderId="0" xfId="0" applyNumberFormat="1" applyFont="1" applyFill="1" applyBorder="1" applyAlignment="1">
      <alignment vertical="center"/>
    </xf>
    <xf numFmtId="0" fontId="73" fillId="0" borderId="0" xfId="0" applyFont="1" applyAlignment="1">
      <alignment horizontal="center"/>
    </xf>
    <xf numFmtId="0" fontId="65" fillId="0" borderId="0" xfId="0" applyFont="1"/>
    <xf numFmtId="0" fontId="65" fillId="0" borderId="0" xfId="0" applyFont="1" applyFill="1"/>
    <xf numFmtId="170" fontId="66" fillId="0" borderId="55" xfId="0" applyNumberFormat="1" applyFont="1" applyBorder="1"/>
    <xf numFmtId="0" fontId="65" fillId="2" borderId="0" xfId="0" applyFont="1" applyFill="1"/>
    <xf numFmtId="166" fontId="68" fillId="2" borderId="0" xfId="5" applyFont="1" applyFill="1"/>
    <xf numFmtId="166" fontId="68" fillId="2" borderId="47" xfId="5" applyFont="1" applyFill="1" applyBorder="1"/>
    <xf numFmtId="166" fontId="66" fillId="0" borderId="0" xfId="0" applyNumberFormat="1" applyFont="1"/>
    <xf numFmtId="167" fontId="66" fillId="0" borderId="0" xfId="0" applyNumberFormat="1" applyFont="1"/>
    <xf numFmtId="167" fontId="74" fillId="0" borderId="0" xfId="0" applyNumberFormat="1" applyFont="1"/>
    <xf numFmtId="166" fontId="65" fillId="0" borderId="0" xfId="0" applyNumberFormat="1" applyFont="1"/>
    <xf numFmtId="49" fontId="65" fillId="2" borderId="0" xfId="0" applyNumberFormat="1" applyFont="1" applyFill="1" applyBorder="1" applyAlignment="1">
      <alignment horizontal="center"/>
    </xf>
    <xf numFmtId="0" fontId="67" fillId="2" borderId="0" xfId="0" applyFont="1" applyFill="1"/>
    <xf numFmtId="166" fontId="65" fillId="2" borderId="0" xfId="0" applyNumberFormat="1" applyFont="1" applyFill="1"/>
    <xf numFmtId="166" fontId="65" fillId="2" borderId="0" xfId="5" applyFont="1" applyFill="1" applyBorder="1" applyAlignment="1">
      <alignment horizontal="justify"/>
    </xf>
    <xf numFmtId="49" fontId="65" fillId="2" borderId="0" xfId="0" applyNumberFormat="1" applyFont="1" applyFill="1" applyBorder="1" applyAlignment="1">
      <alignment horizontal="justify"/>
    </xf>
    <xf numFmtId="0" fontId="65" fillId="2" borderId="0" xfId="0" applyFont="1" applyFill="1" applyAlignment="1">
      <alignment horizontal="center"/>
    </xf>
    <xf numFmtId="167" fontId="66" fillId="0" borderId="0" xfId="0" applyNumberFormat="1" applyFont="1" applyBorder="1"/>
    <xf numFmtId="0" fontId="66" fillId="0" borderId="0" xfId="0" applyFont="1" applyBorder="1"/>
    <xf numFmtId="166" fontId="75" fillId="2" borderId="0" xfId="5" applyFont="1" applyFill="1" applyBorder="1"/>
    <xf numFmtId="166" fontId="68" fillId="2" borderId="0" xfId="5" applyFont="1" applyFill="1" applyBorder="1"/>
    <xf numFmtId="166" fontId="75" fillId="8" borderId="0" xfId="5" applyFont="1" applyFill="1" applyBorder="1"/>
    <xf numFmtId="169" fontId="36" fillId="2" borderId="48" xfId="0" applyNumberFormat="1" applyFont="1" applyFill="1" applyBorder="1" applyAlignment="1">
      <alignment horizontal="left" vertical="center"/>
    </xf>
    <xf numFmtId="169" fontId="36" fillId="13" borderId="48" xfId="0" applyNumberFormat="1" applyFont="1" applyFill="1" applyBorder="1" applyAlignment="1">
      <alignment horizontal="left" vertical="center"/>
    </xf>
    <xf numFmtId="169" fontId="36" fillId="9" borderId="48" xfId="0" applyNumberFormat="1" applyFont="1" applyFill="1" applyBorder="1" applyAlignment="1">
      <alignment horizontal="left" vertical="center"/>
    </xf>
    <xf numFmtId="169" fontId="36" fillId="2" borderId="63" xfId="0" applyNumberFormat="1" applyFont="1" applyFill="1" applyBorder="1" applyAlignment="1">
      <alignment horizontal="left" vertical="center"/>
    </xf>
    <xf numFmtId="169" fontId="52" fillId="12" borderId="41" xfId="1" applyNumberFormat="1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vertical="center"/>
    </xf>
    <xf numFmtId="0" fontId="65" fillId="0" borderId="0" xfId="0" applyFont="1" applyBorder="1" applyAlignment="1">
      <alignment vertical="center"/>
    </xf>
    <xf numFmtId="169" fontId="65" fillId="0" borderId="0" xfId="0" applyNumberFormat="1" applyFont="1" applyBorder="1" applyAlignment="1">
      <alignment vertical="center"/>
    </xf>
    <xf numFmtId="0" fontId="76" fillId="0" borderId="0" xfId="0" applyFont="1" applyBorder="1" applyAlignment="1">
      <alignment vertical="center"/>
    </xf>
    <xf numFmtId="170" fontId="65" fillId="0" borderId="0" xfId="0" applyNumberFormat="1" applyFont="1"/>
    <xf numFmtId="167" fontId="65" fillId="0" borderId="0" xfId="0" applyNumberFormat="1" applyFont="1"/>
    <xf numFmtId="0" fontId="61" fillId="0" borderId="0" xfId="0" applyFont="1" applyFill="1" applyBorder="1" applyAlignment="1">
      <alignment horizontal="center" textRotation="90" wrapText="1"/>
    </xf>
    <xf numFmtId="0" fontId="61" fillId="0" borderId="0" xfId="0" applyFont="1" applyFill="1" applyBorder="1" applyAlignment="1">
      <alignment horizontal="center" textRotation="90"/>
    </xf>
    <xf numFmtId="0" fontId="70" fillId="0" borderId="0" xfId="0" applyFont="1" applyFill="1" applyBorder="1" applyAlignment="1">
      <alignment horizontal="center" textRotation="90" wrapText="1"/>
    </xf>
    <xf numFmtId="0" fontId="70" fillId="0" borderId="0" xfId="0" applyFont="1" applyFill="1" applyBorder="1" applyAlignment="1">
      <alignment horizontal="center" textRotation="90"/>
    </xf>
    <xf numFmtId="0" fontId="70" fillId="0" borderId="0" xfId="0" applyFont="1" applyFill="1" applyBorder="1" applyAlignment="1"/>
    <xf numFmtId="0" fontId="70" fillId="0" borderId="0" xfId="0" applyFont="1" applyFill="1" applyBorder="1"/>
    <xf numFmtId="166" fontId="77" fillId="0" borderId="0" xfId="5" applyFont="1" applyFill="1" applyBorder="1"/>
    <xf numFmtId="166" fontId="70" fillId="0" borderId="0" xfId="5" applyFont="1" applyFill="1" applyBorder="1"/>
    <xf numFmtId="166" fontId="61" fillId="0" borderId="0" xfId="0" applyNumberFormat="1" applyFont="1" applyFill="1" applyBorder="1"/>
    <xf numFmtId="166" fontId="70" fillId="0" borderId="0" xfId="0" applyNumberFormat="1" applyFont="1" applyFill="1" applyBorder="1"/>
    <xf numFmtId="0" fontId="70" fillId="0" borderId="0" xfId="0" applyFont="1" applyFill="1"/>
    <xf numFmtId="164" fontId="78" fillId="0" borderId="0" xfId="0" applyNumberFormat="1" applyFont="1" applyFill="1" applyBorder="1"/>
    <xf numFmtId="0" fontId="78" fillId="0" borderId="0" xfId="0" applyFont="1" applyFill="1" applyBorder="1"/>
    <xf numFmtId="166" fontId="70" fillId="0" borderId="0" xfId="5" applyFont="1" applyFill="1"/>
    <xf numFmtId="166" fontId="28" fillId="0" borderId="0" xfId="5" applyFont="1" applyFill="1"/>
    <xf numFmtId="164" fontId="70" fillId="0" borderId="0" xfId="0" applyNumberFormat="1" applyFont="1" applyFill="1"/>
    <xf numFmtId="166" fontId="79" fillId="0" borderId="0" xfId="5" applyFont="1" applyFill="1" applyBorder="1"/>
    <xf numFmtId="166" fontId="78" fillId="0" borderId="0" xfId="5" applyFont="1" applyFill="1" applyBorder="1"/>
    <xf numFmtId="0" fontId="18" fillId="0" borderId="1" xfId="0" applyFont="1" applyFill="1" applyBorder="1" applyAlignment="1">
      <alignment horizontal="left"/>
    </xf>
    <xf numFmtId="0" fontId="18" fillId="0" borderId="60" xfId="0" applyFont="1" applyFill="1" applyBorder="1"/>
    <xf numFmtId="0" fontId="62" fillId="0" borderId="60" xfId="0" applyFont="1" applyFill="1" applyBorder="1"/>
    <xf numFmtId="0" fontId="62" fillId="0" borderId="8" xfId="0" applyFont="1" applyFill="1" applyBorder="1"/>
    <xf numFmtId="0" fontId="62" fillId="17" borderId="1" xfId="0" applyFont="1" applyFill="1" applyBorder="1" applyAlignment="1">
      <alignment horizontal="left"/>
    </xf>
    <xf numFmtId="0" fontId="32" fillId="17" borderId="1" xfId="0" applyFont="1" applyFill="1" applyBorder="1" applyAlignment="1">
      <alignment horizontal="center"/>
    </xf>
    <xf numFmtId="166" fontId="32" fillId="17" borderId="1" xfId="5" applyFont="1" applyFill="1" applyBorder="1" applyAlignment="1">
      <alignment horizontal="center"/>
    </xf>
    <xf numFmtId="0" fontId="64" fillId="17" borderId="1" xfId="0" applyFont="1" applyFill="1" applyBorder="1" applyAlignment="1">
      <alignment horizontal="center"/>
    </xf>
    <xf numFmtId="166" fontId="62" fillId="17" borderId="1" xfId="5" applyFont="1" applyFill="1" applyBorder="1"/>
    <xf numFmtId="166" fontId="63" fillId="17" borderId="1" xfId="5" applyFont="1" applyFill="1" applyBorder="1"/>
    <xf numFmtId="0" fontId="33" fillId="17" borderId="1" xfId="0" applyFont="1" applyFill="1" applyBorder="1"/>
    <xf numFmtId="166" fontId="47" fillId="17" borderId="1" xfId="0" applyNumberFormat="1" applyFont="1" applyFill="1" applyBorder="1"/>
    <xf numFmtId="166" fontId="47" fillId="17" borderId="1" xfId="5" applyFont="1" applyFill="1" applyBorder="1"/>
    <xf numFmtId="0" fontId="70" fillId="0" borderId="0" xfId="0" applyFont="1"/>
    <xf numFmtId="49" fontId="20" fillId="0" borderId="5" xfId="0" applyNumberFormat="1" applyFont="1" applyBorder="1" applyAlignment="1">
      <alignment horizontal="left" vertical="center" wrapText="1" indent="1"/>
    </xf>
    <xf numFmtId="49" fontId="20" fillId="0" borderId="10" xfId="0" applyNumberFormat="1" applyFont="1" applyBorder="1" applyAlignment="1">
      <alignment horizontal="left" vertical="center" wrapText="1" inden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15" xfId="0" applyNumberFormat="1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49" fontId="20" fillId="0" borderId="15" xfId="0" applyNumberFormat="1" applyFont="1" applyBorder="1" applyAlignment="1">
      <alignment horizontal="center" vertical="center" wrapText="1"/>
    </xf>
    <xf numFmtId="49" fontId="20" fillId="0" borderId="9" xfId="0" applyNumberFormat="1" applyFont="1" applyBorder="1" applyAlignment="1">
      <alignment horizontal="center" vertical="center" wrapText="1"/>
    </xf>
    <xf numFmtId="49" fontId="31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 wrapText="1"/>
    </xf>
    <xf numFmtId="49" fontId="23" fillId="0" borderId="42" xfId="0" applyNumberFormat="1" applyFont="1" applyBorder="1" applyAlignment="1">
      <alignment horizontal="center" vertical="center" wrapText="1"/>
    </xf>
    <xf numFmtId="49" fontId="20" fillId="0" borderId="45" xfId="0" applyNumberFormat="1" applyFont="1" applyBorder="1" applyAlignment="1">
      <alignment horizontal="left" vertical="center" wrapText="1" indent="1"/>
    </xf>
    <xf numFmtId="49" fontId="20" fillId="0" borderId="15" xfId="0" applyNumberFormat="1" applyFont="1" applyBorder="1" applyAlignment="1">
      <alignment horizontal="left" vertical="center" wrapText="1" indent="1"/>
    </xf>
    <xf numFmtId="49" fontId="20" fillId="0" borderId="9" xfId="0" applyNumberFormat="1" applyFont="1" applyBorder="1" applyAlignment="1">
      <alignment horizontal="left" vertical="center" wrapText="1" indent="1"/>
    </xf>
    <xf numFmtId="49" fontId="20" fillId="0" borderId="43" xfId="0" applyNumberFormat="1" applyFont="1" applyBorder="1" applyAlignment="1">
      <alignment horizontal="left" vertical="center" wrapText="1" indent="1"/>
    </xf>
    <xf numFmtId="49" fontId="18" fillId="0" borderId="45" xfId="0" applyNumberFormat="1" applyFont="1" applyBorder="1" applyAlignment="1">
      <alignment horizontal="center" vertical="center" wrapText="1"/>
    </xf>
    <xf numFmtId="49" fontId="34" fillId="0" borderId="0" xfId="0" applyNumberFormat="1" applyFont="1" applyAlignment="1">
      <alignment horizontal="left" vertical="center" wrapText="1"/>
    </xf>
    <xf numFmtId="49" fontId="18" fillId="0" borderId="0" xfId="0" applyNumberFormat="1" applyFont="1" applyAlignment="1">
      <alignment horizontal="left" vertical="center" wrapText="1" indent="1"/>
    </xf>
    <xf numFmtId="49" fontId="20" fillId="0" borderId="44" xfId="0" applyNumberFormat="1" applyFont="1" applyBorder="1" applyAlignment="1">
      <alignment horizontal="left" vertical="center" wrapText="1" indent="1"/>
    </xf>
    <xf numFmtId="49" fontId="42" fillId="0" borderId="42" xfId="0" applyNumberFormat="1" applyFont="1" applyBorder="1" applyAlignment="1">
      <alignment horizontal="center" vertical="center" wrapText="1"/>
    </xf>
    <xf numFmtId="0" fontId="42" fillId="12" borderId="29" xfId="0" applyFont="1" applyFill="1" applyBorder="1" applyAlignment="1">
      <alignment horizontal="center" vertical="center" wrapText="1"/>
    </xf>
    <xf numFmtId="0" fontId="42" fillId="12" borderId="41" xfId="0" applyFont="1" applyFill="1" applyBorder="1" applyAlignment="1">
      <alignment horizontal="center" vertical="center" wrapText="1"/>
    </xf>
    <xf numFmtId="49" fontId="42" fillId="0" borderId="0" xfId="0" applyNumberFormat="1" applyFont="1" applyBorder="1" applyAlignment="1">
      <alignment horizontal="left" vertical="center" wrapText="1"/>
    </xf>
    <xf numFmtId="49" fontId="40" fillId="0" borderId="0" xfId="0" applyNumberFormat="1" applyFont="1" applyAlignment="1">
      <alignment horizontal="center" vertical="center" wrapText="1"/>
    </xf>
    <xf numFmtId="49" fontId="41" fillId="0" borderId="0" xfId="0" applyNumberFormat="1" applyFont="1" applyAlignment="1">
      <alignment horizontal="center" vertical="center" wrapText="1"/>
    </xf>
    <xf numFmtId="49" fontId="42" fillId="0" borderId="0" xfId="0" applyNumberFormat="1" applyFont="1" applyBorder="1" applyAlignment="1">
      <alignment horizontal="center" vertical="center" wrapText="1"/>
    </xf>
    <xf numFmtId="0" fontId="37" fillId="2" borderId="0" xfId="0" applyFont="1" applyFill="1" applyAlignment="1">
      <alignment horizontal="center" vertical="center"/>
    </xf>
    <xf numFmtId="0" fontId="23" fillId="12" borderId="46" xfId="0" applyFont="1" applyFill="1" applyBorder="1" applyAlignment="1">
      <alignment horizontal="center" vertical="center" textRotation="90" wrapText="1"/>
    </xf>
    <xf numFmtId="0" fontId="23" fillId="12" borderId="43" xfId="0" applyFont="1" applyFill="1" applyBorder="1" applyAlignment="1">
      <alignment horizontal="center" vertical="center" textRotation="90" wrapText="1"/>
    </xf>
    <xf numFmtId="0" fontId="23" fillId="12" borderId="44" xfId="0" applyFont="1" applyFill="1" applyBorder="1" applyAlignment="1">
      <alignment horizontal="center" vertical="center" textRotation="90" wrapText="1"/>
    </xf>
    <xf numFmtId="0" fontId="22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2" borderId="42" xfId="0" applyFont="1" applyFill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3" fillId="12" borderId="45" xfId="0" applyFont="1" applyFill="1" applyBorder="1" applyAlignment="1">
      <alignment horizontal="center" vertical="center" wrapText="1"/>
    </xf>
    <xf numFmtId="0" fontId="23" fillId="12" borderId="15" xfId="0" applyFont="1" applyFill="1" applyBorder="1" applyAlignment="1">
      <alignment horizontal="center" vertical="center" wrapText="1"/>
    </xf>
    <xf numFmtId="0" fontId="23" fillId="12" borderId="16" xfId="0" applyFont="1" applyFill="1" applyBorder="1" applyAlignment="1">
      <alignment horizontal="center" vertical="center" wrapText="1"/>
    </xf>
    <xf numFmtId="0" fontId="23" fillId="12" borderId="29" xfId="0" applyFont="1" applyFill="1" applyBorder="1" applyAlignment="1">
      <alignment horizontal="center" vertical="center"/>
    </xf>
    <xf numFmtId="0" fontId="23" fillId="12" borderId="41" xfId="0" applyFont="1" applyFill="1" applyBorder="1" applyAlignment="1">
      <alignment horizontal="center" vertical="center"/>
    </xf>
    <xf numFmtId="0" fontId="23" fillId="12" borderId="40" xfId="0" applyFont="1" applyFill="1" applyBorder="1" applyAlignment="1">
      <alignment horizontal="center" vertical="center"/>
    </xf>
    <xf numFmtId="0" fontId="23" fillId="12" borderId="45" xfId="0" applyFont="1" applyFill="1" applyBorder="1" applyAlignment="1" applyProtection="1">
      <alignment horizontal="center" vertical="center" textRotation="90" wrapText="1"/>
      <protection locked="0" hidden="1"/>
    </xf>
    <xf numFmtId="0" fontId="23" fillId="12" borderId="15" xfId="0" applyFont="1" applyFill="1" applyBorder="1" applyAlignment="1" applyProtection="1">
      <alignment horizontal="center" vertical="center" textRotation="90" wrapText="1"/>
      <protection locked="0" hidden="1"/>
    </xf>
    <xf numFmtId="0" fontId="23" fillId="12" borderId="16" xfId="0" applyFont="1" applyFill="1" applyBorder="1" applyAlignment="1" applyProtection="1">
      <alignment horizontal="center" vertical="center" textRotation="90" wrapText="1"/>
      <protection locked="0" hidden="1"/>
    </xf>
    <xf numFmtId="0" fontId="23" fillId="12" borderId="45" xfId="0" applyFont="1" applyFill="1" applyBorder="1" applyAlignment="1">
      <alignment horizontal="center" vertical="center" textRotation="90" wrapText="1"/>
    </xf>
    <xf numFmtId="0" fontId="23" fillId="12" borderId="15" xfId="0" applyFont="1" applyFill="1" applyBorder="1" applyAlignment="1">
      <alignment horizontal="center" vertical="center" textRotation="90" wrapText="1"/>
    </xf>
    <xf numFmtId="0" fontId="23" fillId="12" borderId="16" xfId="0" applyFont="1" applyFill="1" applyBorder="1" applyAlignment="1">
      <alignment horizontal="center" vertical="center" textRotation="90" wrapText="1"/>
    </xf>
    <xf numFmtId="0" fontId="20" fillId="12" borderId="29" xfId="0" applyFont="1" applyFill="1" applyBorder="1" applyAlignment="1">
      <alignment horizontal="center" vertical="center"/>
    </xf>
    <xf numFmtId="0" fontId="20" fillId="12" borderId="40" xfId="0" applyFont="1" applyFill="1" applyBorder="1" applyAlignment="1">
      <alignment horizontal="center" vertical="center"/>
    </xf>
    <xf numFmtId="49" fontId="65" fillId="2" borderId="0" xfId="0" applyNumberFormat="1" applyFont="1" applyFill="1" applyBorder="1" applyAlignment="1">
      <alignment horizontal="justify" vertical="center"/>
    </xf>
    <xf numFmtId="0" fontId="69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3" fillId="12" borderId="45" xfId="2" applyFont="1" applyFill="1" applyBorder="1" applyAlignment="1" applyProtection="1">
      <alignment horizontal="center" vertical="center" textRotation="90" wrapText="1"/>
      <protection locked="0" hidden="1"/>
    </xf>
    <xf numFmtId="0" fontId="33" fillId="12" borderId="16" xfId="2" applyFont="1" applyFill="1" applyBorder="1" applyAlignment="1" applyProtection="1">
      <alignment horizontal="center" vertical="center" textRotation="90" wrapText="1"/>
      <protection locked="0" hidden="1"/>
    </xf>
    <xf numFmtId="0" fontId="23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justify" vertical="center"/>
    </xf>
    <xf numFmtId="49" fontId="4" fillId="2" borderId="0" xfId="0" applyNumberFormat="1" applyFont="1" applyFill="1" applyBorder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3" fillId="2" borderId="42" xfId="0" applyFont="1" applyFill="1" applyBorder="1" applyAlignment="1">
      <alignment horizontal="center" vertical="center"/>
    </xf>
    <xf numFmtId="0" fontId="33" fillId="12" borderId="29" xfId="2" applyFont="1" applyFill="1" applyBorder="1" applyAlignment="1">
      <alignment horizontal="center" vertical="center"/>
    </xf>
    <xf numFmtId="0" fontId="33" fillId="12" borderId="41" xfId="2" applyFont="1" applyFill="1" applyBorder="1" applyAlignment="1">
      <alignment horizontal="center" vertical="center"/>
    </xf>
    <xf numFmtId="0" fontId="33" fillId="12" borderId="45" xfId="2" applyFont="1" applyFill="1" applyBorder="1" applyAlignment="1">
      <alignment horizontal="center" vertical="center" wrapText="1"/>
    </xf>
    <xf numFmtId="0" fontId="33" fillId="12" borderId="16" xfId="2" applyFont="1" applyFill="1" applyBorder="1" applyAlignment="1">
      <alignment horizontal="center" vertical="center" wrapText="1"/>
    </xf>
    <xf numFmtId="164" fontId="23" fillId="0" borderId="29" xfId="2" applyNumberFormat="1" applyFont="1" applyFill="1" applyBorder="1" applyAlignment="1">
      <alignment horizontal="center" vertical="center"/>
    </xf>
    <xf numFmtId="164" fontId="23" fillId="0" borderId="41" xfId="2" applyNumberFormat="1" applyFont="1" applyFill="1" applyBorder="1" applyAlignment="1">
      <alignment horizontal="center" vertical="center"/>
    </xf>
    <xf numFmtId="164" fontId="23" fillId="0" borderId="40" xfId="2" applyNumberFormat="1" applyFont="1" applyFill="1" applyBorder="1" applyAlignment="1">
      <alignment horizontal="center" vertical="center"/>
    </xf>
    <xf numFmtId="49" fontId="6" fillId="12" borderId="29" xfId="0" applyNumberFormat="1" applyFont="1" applyFill="1" applyBorder="1" applyAlignment="1">
      <alignment horizontal="center" vertical="center"/>
    </xf>
    <xf numFmtId="49" fontId="6" fillId="12" borderId="41" xfId="0" applyNumberFormat="1" applyFont="1" applyFill="1" applyBorder="1" applyAlignment="1">
      <alignment horizontal="center" vertical="center"/>
    </xf>
    <xf numFmtId="49" fontId="6" fillId="12" borderId="40" xfId="0" applyNumberFormat="1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/>
    </xf>
    <xf numFmtId="0" fontId="8" fillId="12" borderId="29" xfId="2" applyFont="1" applyFill="1" applyBorder="1" applyAlignment="1">
      <alignment horizontal="center" wrapText="1"/>
    </xf>
    <xf numFmtId="0" fontId="8" fillId="12" borderId="41" xfId="2" applyFont="1" applyFill="1" applyBorder="1" applyAlignment="1">
      <alignment horizontal="center" wrapText="1"/>
    </xf>
    <xf numFmtId="0" fontId="6" fillId="12" borderId="45" xfId="2" applyFont="1" applyFill="1" applyBorder="1" applyAlignment="1">
      <alignment horizontal="center" vertical="center" wrapText="1"/>
    </xf>
    <xf numFmtId="0" fontId="6" fillId="12" borderId="16" xfId="2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12" borderId="45" xfId="2" applyFont="1" applyFill="1" applyBorder="1" applyAlignment="1" applyProtection="1">
      <alignment horizontal="center" vertical="center" textRotation="90" wrapText="1"/>
      <protection locked="0" hidden="1"/>
    </xf>
    <xf numFmtId="0" fontId="9" fillId="12" borderId="16" xfId="2" applyFont="1" applyFill="1" applyBorder="1" applyAlignment="1" applyProtection="1">
      <alignment horizontal="center" vertical="center" textRotation="90" wrapText="1"/>
      <protection locked="0" hidden="1"/>
    </xf>
    <xf numFmtId="0" fontId="7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11" fillId="2" borderId="0" xfId="0" applyFont="1" applyFill="1" applyBorder="1" applyAlignment="1">
      <alignment horizontal="center"/>
    </xf>
    <xf numFmtId="0" fontId="6" fillId="12" borderId="45" xfId="2" applyFont="1" applyFill="1" applyBorder="1" applyAlignment="1" applyProtection="1">
      <alignment horizontal="center" vertical="center" textRotation="90" wrapText="1"/>
      <protection locked="0" hidden="1"/>
    </xf>
    <xf numFmtId="0" fontId="6" fillId="12" borderId="16" xfId="2" applyFont="1" applyFill="1" applyBorder="1" applyAlignment="1" applyProtection="1">
      <alignment horizontal="center" vertical="center" textRotation="90" wrapText="1"/>
      <protection locked="0" hidden="1"/>
    </xf>
    <xf numFmtId="49" fontId="65" fillId="2" borderId="0" xfId="0" applyNumberFormat="1" applyFont="1" applyFill="1" applyBorder="1" applyAlignment="1">
      <alignment horizontal="justify"/>
    </xf>
    <xf numFmtId="0" fontId="23" fillId="2" borderId="0" xfId="0" applyFont="1" applyFill="1" applyBorder="1" applyAlignment="1">
      <alignment horizontal="left"/>
    </xf>
    <xf numFmtId="0" fontId="23" fillId="2" borderId="42" xfId="0" applyFont="1" applyFill="1" applyBorder="1" applyAlignment="1">
      <alignment horizontal="left"/>
    </xf>
    <xf numFmtId="0" fontId="33" fillId="12" borderId="29" xfId="2" applyFont="1" applyFill="1" applyBorder="1" applyAlignment="1">
      <alignment horizontal="center"/>
    </xf>
    <xf numFmtId="0" fontId="33" fillId="12" borderId="41" xfId="2" applyFont="1" applyFill="1" applyBorder="1" applyAlignment="1">
      <alignment horizontal="center"/>
    </xf>
    <xf numFmtId="49" fontId="76" fillId="2" borderId="0" xfId="0" applyNumberFormat="1" applyFont="1" applyFill="1" applyBorder="1" applyAlignment="1">
      <alignment horizontal="left"/>
    </xf>
    <xf numFmtId="0" fontId="23" fillId="12" borderId="29" xfId="2" applyFont="1" applyFill="1" applyBorder="1" applyAlignment="1">
      <alignment horizontal="center" vertical="center"/>
    </xf>
    <xf numFmtId="0" fontId="23" fillId="12" borderId="41" xfId="2" applyFont="1" applyFill="1" applyBorder="1" applyAlignment="1">
      <alignment horizontal="center" vertical="center"/>
    </xf>
    <xf numFmtId="0" fontId="23" fillId="12" borderId="40" xfId="2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/>
    </xf>
    <xf numFmtId="0" fontId="37" fillId="0" borderId="0" xfId="0" applyFont="1" applyAlignment="1">
      <alignment horizontal="left"/>
    </xf>
    <xf numFmtId="0" fontId="36" fillId="2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23" fillId="12" borderId="29" xfId="1" applyFont="1" applyFill="1" applyBorder="1" applyAlignment="1">
      <alignment horizontal="center" vertical="center"/>
    </xf>
    <xf numFmtId="0" fontId="23" fillId="12" borderId="41" xfId="1" applyFont="1" applyFill="1" applyBorder="1" applyAlignment="1">
      <alignment horizontal="center" vertical="center"/>
    </xf>
    <xf numFmtId="0" fontId="23" fillId="12" borderId="40" xfId="1" applyFont="1" applyFill="1" applyBorder="1" applyAlignment="1">
      <alignment horizontal="center" vertical="center"/>
    </xf>
    <xf numFmtId="0" fontId="23" fillId="12" borderId="45" xfId="1" applyFont="1" applyFill="1" applyBorder="1" applyAlignment="1">
      <alignment horizontal="center" vertical="center" wrapText="1"/>
    </xf>
    <xf numFmtId="0" fontId="23" fillId="12" borderId="16" xfId="1" applyFont="1" applyFill="1" applyBorder="1" applyAlignment="1">
      <alignment horizontal="center" vertical="center" wrapText="1"/>
    </xf>
    <xf numFmtId="0" fontId="23" fillId="12" borderId="45" xfId="1" applyFont="1" applyFill="1" applyBorder="1" applyAlignment="1" applyProtection="1">
      <alignment horizontal="center" vertical="center" textRotation="90" wrapText="1"/>
      <protection locked="0" hidden="1"/>
    </xf>
    <xf numFmtId="0" fontId="23" fillId="12" borderId="17" xfId="1" applyFont="1" applyFill="1" applyBorder="1" applyAlignment="1" applyProtection="1">
      <alignment horizontal="center" vertical="center" textRotation="90" wrapText="1"/>
      <protection locked="0" hidden="1"/>
    </xf>
    <xf numFmtId="0" fontId="22" fillId="12" borderId="29" xfId="1" applyFont="1" applyFill="1" applyBorder="1" applyAlignment="1">
      <alignment horizontal="center" vertical="center" wrapText="1"/>
    </xf>
    <xf numFmtId="0" fontId="22" fillId="12" borderId="41" xfId="1" applyFont="1" applyFill="1" applyBorder="1" applyAlignment="1">
      <alignment horizontal="center" vertical="center" wrapText="1"/>
    </xf>
    <xf numFmtId="0" fontId="22" fillId="12" borderId="40" xfId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/>
    </xf>
    <xf numFmtId="0" fontId="6" fillId="2" borderId="42" xfId="0" applyFont="1" applyFill="1" applyBorder="1" applyAlignment="1">
      <alignment horizontal="left"/>
    </xf>
    <xf numFmtId="0" fontId="8" fillId="11" borderId="29" xfId="2" applyFont="1" applyFill="1" applyBorder="1" applyAlignment="1">
      <alignment horizontal="center"/>
    </xf>
    <xf numFmtId="0" fontId="8" fillId="11" borderId="41" xfId="2" applyFont="1" applyFill="1" applyBorder="1" applyAlignment="1">
      <alignment horizontal="center"/>
    </xf>
    <xf numFmtId="0" fontId="11" fillId="11" borderId="45" xfId="2" applyFont="1" applyFill="1" applyBorder="1" applyAlignment="1">
      <alignment horizontal="center" vertical="center" wrapText="1"/>
    </xf>
    <xf numFmtId="0" fontId="11" fillId="11" borderId="16" xfId="2" applyFont="1" applyFill="1" applyBorder="1" applyAlignment="1">
      <alignment horizontal="center" vertical="center" wrapText="1"/>
    </xf>
    <xf numFmtId="0" fontId="11" fillId="11" borderId="45" xfId="2" applyFont="1" applyFill="1" applyBorder="1" applyAlignment="1" applyProtection="1">
      <alignment horizontal="center" vertical="center" textRotation="90" wrapText="1"/>
      <protection locked="0" hidden="1"/>
    </xf>
    <xf numFmtId="0" fontId="11" fillId="11" borderId="16" xfId="2" applyFont="1" applyFill="1" applyBorder="1" applyAlignment="1" applyProtection="1">
      <alignment horizontal="center" vertical="center" textRotation="90" wrapText="1"/>
      <protection locked="0" hidden="1"/>
    </xf>
    <xf numFmtId="49" fontId="1" fillId="2" borderId="0" xfId="0" applyNumberFormat="1" applyFont="1" applyFill="1" applyBorder="1" applyAlignment="1">
      <alignment horizontal="justify"/>
    </xf>
    <xf numFmtId="0" fontId="9" fillId="11" borderId="29" xfId="2" applyFont="1" applyFill="1" applyBorder="1" applyAlignment="1">
      <alignment horizontal="center" vertical="center"/>
    </xf>
    <xf numFmtId="0" fontId="9" fillId="11" borderId="41" xfId="2" applyFont="1" applyFill="1" applyBorder="1" applyAlignment="1">
      <alignment horizontal="center" vertical="center"/>
    </xf>
    <xf numFmtId="0" fontId="9" fillId="11" borderId="40" xfId="2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left"/>
    </xf>
    <xf numFmtId="0" fontId="23" fillId="2" borderId="0" xfId="0" applyFont="1" applyFill="1" applyBorder="1" applyAlignment="1">
      <alignment horizontal="center"/>
    </xf>
    <xf numFmtId="0" fontId="23" fillId="2" borderId="42" xfId="0" applyFont="1" applyFill="1" applyBorder="1" applyAlignment="1">
      <alignment horizontal="center"/>
    </xf>
    <xf numFmtId="0" fontId="20" fillId="12" borderId="29" xfId="2" applyFont="1" applyFill="1" applyBorder="1" applyAlignment="1">
      <alignment horizontal="center"/>
    </xf>
    <xf numFmtId="0" fontId="20" fillId="12" borderId="41" xfId="2" applyFont="1" applyFill="1" applyBorder="1" applyAlignment="1">
      <alignment horizontal="center"/>
    </xf>
    <xf numFmtId="0" fontId="22" fillId="12" borderId="29" xfId="2" applyFont="1" applyFill="1" applyBorder="1" applyAlignment="1">
      <alignment horizontal="center" vertical="center"/>
    </xf>
    <xf numFmtId="0" fontId="22" fillId="12" borderId="41" xfId="2" applyFont="1" applyFill="1" applyBorder="1" applyAlignment="1">
      <alignment horizontal="center" vertical="center"/>
    </xf>
    <xf numFmtId="0" fontId="22" fillId="12" borderId="40" xfId="2" applyFont="1" applyFill="1" applyBorder="1" applyAlignment="1">
      <alignment horizontal="center" vertical="center"/>
    </xf>
    <xf numFmtId="0" fontId="11" fillId="10" borderId="45" xfId="2" applyFont="1" applyFill="1" applyBorder="1" applyAlignment="1">
      <alignment horizontal="center" vertical="center" wrapText="1"/>
    </xf>
    <xf numFmtId="0" fontId="11" fillId="10" borderId="15" xfId="2" applyFont="1" applyFill="1" applyBorder="1" applyAlignment="1">
      <alignment horizontal="center" vertical="center" wrapText="1"/>
    </xf>
    <xf numFmtId="0" fontId="11" fillId="10" borderId="45" xfId="2" applyFont="1" applyFill="1" applyBorder="1" applyAlignment="1" applyProtection="1">
      <alignment horizontal="center" vertical="center" textRotation="90" wrapText="1"/>
      <protection locked="0" hidden="1"/>
    </xf>
    <xf numFmtId="0" fontId="11" fillId="10" borderId="16" xfId="2" applyFont="1" applyFill="1" applyBorder="1" applyAlignment="1" applyProtection="1">
      <alignment horizontal="center" vertical="center" textRotation="90" wrapText="1"/>
      <protection locked="0" hidden="1"/>
    </xf>
    <xf numFmtId="0" fontId="9" fillId="10" borderId="29" xfId="2" applyFont="1" applyFill="1" applyBorder="1" applyAlignment="1">
      <alignment horizontal="center" vertical="center"/>
    </xf>
    <xf numFmtId="0" fontId="9" fillId="10" borderId="41" xfId="2" applyFont="1" applyFill="1" applyBorder="1" applyAlignment="1">
      <alignment horizontal="center" vertical="center"/>
    </xf>
    <xf numFmtId="0" fontId="9" fillId="10" borderId="40" xfId="2" applyFont="1" applyFill="1" applyBorder="1" applyAlignment="1">
      <alignment horizontal="center" vertical="center"/>
    </xf>
    <xf numFmtId="0" fontId="11" fillId="10" borderId="29" xfId="2" applyFont="1" applyFill="1" applyBorder="1" applyAlignment="1">
      <alignment horizontal="center"/>
    </xf>
    <xf numFmtId="0" fontId="11" fillId="10" borderId="41" xfId="2" applyFont="1" applyFill="1" applyBorder="1" applyAlignment="1">
      <alignment horizontal="center"/>
    </xf>
    <xf numFmtId="0" fontId="6" fillId="6" borderId="32" xfId="0" applyFont="1" applyFill="1" applyBorder="1" applyAlignment="1">
      <alignment horizontal="center" vertical="center" wrapText="1"/>
    </xf>
    <xf numFmtId="0" fontId="6" fillId="6" borderId="47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6" fillId="6" borderId="4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4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4" fontId="20" fillId="0" borderId="33" xfId="0" applyNumberFormat="1" applyFont="1" applyBorder="1" applyAlignment="1">
      <alignment horizontal="center" vertical="center"/>
    </xf>
    <xf numFmtId="4" fontId="20" fillId="0" borderId="48" xfId="0" applyNumberFormat="1" applyFont="1" applyBorder="1" applyAlignment="1">
      <alignment horizontal="center" vertical="center"/>
    </xf>
    <xf numFmtId="4" fontId="20" fillId="0" borderId="49" xfId="0" applyNumberFormat="1" applyFont="1" applyBorder="1" applyAlignment="1">
      <alignment horizontal="center" vertical="center"/>
    </xf>
    <xf numFmtId="49" fontId="22" fillId="0" borderId="0" xfId="0" applyNumberFormat="1" applyFont="1" applyAlignment="1">
      <alignment horizontal="center"/>
    </xf>
    <xf numFmtId="0" fontId="23" fillId="0" borderId="0" xfId="0" applyFont="1" applyBorder="1" applyAlignment="1">
      <alignment horizontal="center"/>
    </xf>
    <xf numFmtId="4" fontId="18" fillId="0" borderId="50" xfId="0" applyNumberFormat="1" applyFont="1" applyBorder="1" applyAlignment="1">
      <alignment horizontal="center"/>
    </xf>
    <xf numFmtId="4" fontId="18" fillId="0" borderId="51" xfId="0" applyNumberFormat="1" applyFont="1" applyBorder="1" applyAlignment="1">
      <alignment horizontal="center"/>
    </xf>
    <xf numFmtId="4" fontId="18" fillId="0" borderId="52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4" fontId="18" fillId="0" borderId="33" xfId="0" applyNumberFormat="1" applyFont="1" applyBorder="1" applyAlignment="1">
      <alignment horizontal="center"/>
    </xf>
    <xf numFmtId="4" fontId="18" fillId="0" borderId="49" xfId="0" applyNumberFormat="1" applyFont="1" applyBorder="1" applyAlignment="1">
      <alignment horizontal="center"/>
    </xf>
    <xf numFmtId="4" fontId="19" fillId="0" borderId="11" xfId="0" applyNumberFormat="1" applyFont="1" applyBorder="1" applyAlignment="1">
      <alignment horizontal="center" vertical="center"/>
    </xf>
    <xf numFmtId="4" fontId="19" fillId="0" borderId="8" xfId="0" applyNumberFormat="1" applyFont="1" applyBorder="1" applyAlignment="1">
      <alignment horizontal="center" vertical="center"/>
    </xf>
    <xf numFmtId="170" fontId="20" fillId="0" borderId="29" xfId="0" applyNumberFormat="1" applyFont="1" applyBorder="1"/>
    <xf numFmtId="0" fontId="20" fillId="0" borderId="40" xfId="0" applyFont="1" applyBorder="1"/>
    <xf numFmtId="49" fontId="23" fillId="0" borderId="0" xfId="0" applyNumberFormat="1" applyFont="1" applyBorder="1" applyAlignment="1">
      <alignment horizontal="center" vertical="center" wrapText="1"/>
    </xf>
    <xf numFmtId="0" fontId="23" fillId="12" borderId="29" xfId="0" applyFont="1" applyFill="1" applyBorder="1" applyAlignment="1">
      <alignment horizontal="center" vertical="center" wrapText="1"/>
    </xf>
    <xf numFmtId="0" fontId="23" fillId="12" borderId="41" xfId="0" applyFont="1" applyFill="1" applyBorder="1" applyAlignment="1">
      <alignment horizontal="center" vertical="center" wrapText="1"/>
    </xf>
    <xf numFmtId="0" fontId="32" fillId="12" borderId="25" xfId="0" applyFont="1" applyFill="1" applyBorder="1" applyAlignment="1">
      <alignment horizontal="center" vertical="center" wrapText="1"/>
    </xf>
    <xf numFmtId="0" fontId="32" fillId="12" borderId="23" xfId="0" applyFont="1" applyFill="1" applyBorder="1" applyAlignment="1">
      <alignment horizontal="center" vertical="center" wrapText="1"/>
    </xf>
    <xf numFmtId="0" fontId="23" fillId="12" borderId="26" xfId="0" applyFont="1" applyFill="1" applyBorder="1" applyAlignment="1">
      <alignment horizontal="center" vertical="center" wrapText="1"/>
    </xf>
    <xf numFmtId="0" fontId="23" fillId="12" borderId="13" xfId="0" applyFont="1" applyFill="1" applyBorder="1" applyAlignment="1">
      <alignment horizontal="center" vertical="center" wrapText="1"/>
    </xf>
    <xf numFmtId="0" fontId="33" fillId="12" borderId="26" xfId="0" applyFont="1" applyFill="1" applyBorder="1" applyAlignment="1">
      <alignment horizontal="center" vertical="center" wrapText="1"/>
    </xf>
    <xf numFmtId="0" fontId="20" fillId="12" borderId="27" xfId="0" applyFont="1" applyFill="1" applyBorder="1" applyAlignment="1">
      <alignment horizontal="center" vertical="center" wrapText="1"/>
    </xf>
    <xf numFmtId="0" fontId="20" fillId="12" borderId="24" xfId="0" applyFont="1" applyFill="1" applyBorder="1" applyAlignment="1">
      <alignment horizontal="center" vertical="center" wrapText="1"/>
    </xf>
    <xf numFmtId="0" fontId="8" fillId="12" borderId="45" xfId="0" applyFont="1" applyFill="1" applyBorder="1" applyAlignment="1">
      <alignment horizontal="center" wrapText="1"/>
    </xf>
    <xf numFmtId="0" fontId="8" fillId="12" borderId="16" xfId="0" applyFont="1" applyFill="1" applyBorder="1" applyAlignment="1">
      <alignment horizontal="center" wrapText="1"/>
    </xf>
    <xf numFmtId="164" fontId="64" fillId="0" borderId="1" xfId="0" applyNumberFormat="1" applyFont="1" applyBorder="1"/>
    <xf numFmtId="0" fontId="64" fillId="0" borderId="1" xfId="0" applyFont="1" applyBorder="1"/>
    <xf numFmtId="0" fontId="70" fillId="0" borderId="0" xfId="0" applyFont="1" applyFill="1" applyBorder="1" applyAlignment="1"/>
    <xf numFmtId="0" fontId="70" fillId="0" borderId="0" xfId="0" applyFont="1" applyFill="1" applyBorder="1" applyAlignment="1">
      <alignment horizontal="center" textRotation="90"/>
    </xf>
    <xf numFmtId="0" fontId="59" fillId="16" borderId="0" xfId="0" applyFont="1" applyFill="1" applyAlignment="1">
      <alignment horizontal="right" vertical="center" textRotation="180"/>
    </xf>
  </cellXfs>
  <cellStyles count="10">
    <cellStyle name="60% - Énfasis2" xfId="1" builtinId="36"/>
    <cellStyle name="Énfasis1" xfId="2" builtinId="29"/>
    <cellStyle name="Euro" xfId="3" xr:uid="{00000000-0005-0000-0000-000002000000}"/>
    <cellStyle name="Hipervínculo" xfId="9" builtinId="8"/>
    <cellStyle name="Millares" xfId="8" builtinId="3"/>
    <cellStyle name="Millares 4" xfId="4" xr:uid="{00000000-0005-0000-0000-000005000000}"/>
    <cellStyle name="Moneda" xfId="5" builtinId="4"/>
    <cellStyle name="Normal" xfId="0" builtinId="0"/>
    <cellStyle name="Normal 2" xfId="6" xr:uid="{00000000-0005-0000-0000-000008000000}"/>
    <cellStyle name="Normal 4" xfId="7" xr:uid="{00000000-0005-0000-0000-000009000000}"/>
  </cellStyles>
  <dxfs count="0"/>
  <tableStyles count="0" defaultTableStyle="TableStyleMedium9" defaultPivotStyle="PivotStyleLight16"/>
  <colors>
    <mruColors>
      <color rgb="FFCCCCFF"/>
      <color rgb="FF00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INGRESOS</a:t>
            </a:r>
            <a:r>
              <a:rPr lang="es-ES" baseline="0"/>
              <a:t> Y EGRESOS 2018</a:t>
            </a:r>
            <a:endParaRPr lang="es-ES"/>
          </a:p>
        </c:rich>
      </c:tx>
      <c:layout>
        <c:manualLayout>
          <c:xMode val="edge"/>
          <c:yMode val="edge"/>
          <c:x val="0.27772222222222226"/>
          <c:y val="0"/>
        </c:manualLayout>
      </c:layout>
      <c:overlay val="0"/>
      <c:spPr>
        <a:solidFill>
          <a:schemeClr val="accent3">
            <a:lumMod val="60000"/>
            <a:lumOff val="40000"/>
          </a:schemeClr>
        </a:solidFill>
      </c:sp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2"/>
          <c:order val="1"/>
          <c:tx>
            <c:v>Egresos</c:v>
          </c:tx>
          <c:spPr>
            <a:ln w="28575">
              <a:noFill/>
            </a:ln>
          </c:spPr>
          <c:invertIfNegative val="0"/>
          <c:cat>
            <c:strLit>
              <c:ptCount val="1"/>
              <c:pt idx="0">
                <c:v>Ing.Egr.</c:v>
              </c:pt>
            </c:strLit>
          </c:cat>
          <c:val>
            <c:numRef>
              <c:f>Hoja5!$F$2</c:f>
              <c:numCache>
                <c:formatCode>General</c:formatCode>
                <c:ptCount val="1"/>
                <c:pt idx="0">
                  <c:v>2353961.85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E-485E-9DDD-34EB95B098B1}"/>
            </c:ext>
          </c:extLst>
        </c:ser>
        <c:ser>
          <c:idx val="1"/>
          <c:order val="0"/>
          <c:tx>
            <c:v>Ingresos</c:v>
          </c:tx>
          <c:spPr>
            <a:ln w="28575">
              <a:noFill/>
            </a:ln>
          </c:spPr>
          <c:invertIfNegative val="0"/>
          <c:cat>
            <c:strLit>
              <c:ptCount val="1"/>
              <c:pt idx="0">
                <c:v>Ing.Egr.</c:v>
              </c:pt>
            </c:strLit>
          </c:cat>
          <c:val>
            <c:numRef>
              <c:f>Hoja5!$F$2</c:f>
              <c:numCache>
                <c:formatCode>General</c:formatCode>
                <c:ptCount val="1"/>
                <c:pt idx="0">
                  <c:v>2353961.85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E-485E-9DDD-34EB95B09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2168448"/>
        <c:axId val="62166912"/>
        <c:axId val="0"/>
      </c:bar3DChart>
      <c:valAx>
        <c:axId val="6216691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62168448"/>
        <c:crosses val="autoZero"/>
        <c:crossBetween val="between"/>
      </c:valAx>
      <c:catAx>
        <c:axId val="62168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62166912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txPr>
        <a:bodyPr/>
        <a:lstStyle/>
        <a:p>
          <a:pPr rtl="0">
            <a:defRPr/>
          </a:pPr>
          <a:endParaRPr lang="es-SV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landscape" horizontalDpi="-3" verticalDpi="0"/>
  </c:printSettings>
</c:chartSpace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237" name="Rectangle 3">
          <a:extLst>
            <a:ext uri="{FF2B5EF4-FFF2-40B4-BE49-F238E27FC236}">
              <a16:creationId xmlns:a16="http://schemas.microsoft.com/office/drawing/2014/main" id="{00000000-0008-0000-0200-0000D5040000}"/>
            </a:ext>
          </a:extLst>
        </xdr:cNvPr>
        <xdr:cNvSpPr>
          <a:spLocks noChangeArrowheads="1"/>
        </xdr:cNvSpPr>
      </xdr:nvSpPr>
      <xdr:spPr bwMode="auto">
        <a:xfrm>
          <a:off x="102298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4309" name="Rectangle 3">
          <a:extLst>
            <a:ext uri="{FF2B5EF4-FFF2-40B4-BE49-F238E27FC236}">
              <a16:creationId xmlns:a16="http://schemas.microsoft.com/office/drawing/2014/main" id="{00000000-0008-0000-0300-0000D5100000}"/>
            </a:ext>
          </a:extLst>
        </xdr:cNvPr>
        <xdr:cNvSpPr>
          <a:spLocks noChangeArrowheads="1"/>
        </xdr:cNvSpPr>
      </xdr:nvSpPr>
      <xdr:spPr bwMode="auto">
        <a:xfrm>
          <a:off x="72199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300-000004080000}"/>
            </a:ext>
          </a:extLst>
        </xdr:cNvPr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6597" name="Rectangle 3">
          <a:extLst>
            <a:ext uri="{FF2B5EF4-FFF2-40B4-BE49-F238E27FC236}">
              <a16:creationId xmlns:a16="http://schemas.microsoft.com/office/drawing/2014/main" id="{00000000-0008-0000-0600-0000D5400000}"/>
            </a:ext>
          </a:extLst>
        </xdr:cNvPr>
        <xdr:cNvSpPr>
          <a:spLocks noChangeArrowheads="1"/>
        </xdr:cNvSpPr>
      </xdr:nvSpPr>
      <xdr:spPr bwMode="auto">
        <a:xfrm>
          <a:off x="834390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600-000004080000}"/>
            </a:ext>
          </a:extLst>
        </xdr:cNvPr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6</xdr:row>
      <xdr:rowOff>390525</xdr:rowOff>
    </xdr:from>
    <xdr:to>
      <xdr:col>2</xdr:col>
      <xdr:colOff>4914900</xdr:colOff>
      <xdr:row>13</xdr:row>
      <xdr:rowOff>333375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Equidad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50"/>
  <sheetViews>
    <sheetView view="pageBreakPreview" zoomScale="112" zoomScaleSheetLayoutView="112" workbookViewId="0">
      <selection activeCell="C5" sqref="C5"/>
    </sheetView>
  </sheetViews>
  <sheetFormatPr baseColWidth="10" defaultColWidth="11.42578125" defaultRowHeight="12.75" x14ac:dyDescent="0.2"/>
  <cols>
    <col min="1" max="1" width="8.85546875" style="50" customWidth="1"/>
    <col min="2" max="2" width="10.5703125" style="50" customWidth="1"/>
    <col min="3" max="3" width="39" style="50" customWidth="1"/>
    <col min="4" max="4" width="30.5703125" style="50" customWidth="1"/>
    <col min="5" max="16384" width="11.42578125" style="50"/>
  </cols>
  <sheetData>
    <row r="1" spans="1:7" ht="19.5" customHeight="1" x14ac:dyDescent="0.2">
      <c r="A1" s="531" t="s">
        <v>409</v>
      </c>
      <c r="B1" s="531"/>
      <c r="C1" s="531"/>
      <c r="D1" s="531"/>
    </row>
    <row r="2" spans="1:7" ht="20.25" customHeight="1" x14ac:dyDescent="0.2">
      <c r="A2" s="532" t="s">
        <v>408</v>
      </c>
      <c r="B2" s="532"/>
      <c r="C2" s="532"/>
      <c r="D2" s="532"/>
    </row>
    <row r="3" spans="1:7" ht="26.25" customHeight="1" thickBot="1" x14ac:dyDescent="0.25">
      <c r="A3" s="533" t="s">
        <v>494</v>
      </c>
      <c r="B3" s="533"/>
      <c r="C3" s="533"/>
      <c r="D3" s="533"/>
    </row>
    <row r="4" spans="1:7" s="49" customFormat="1" ht="45" customHeight="1" thickBot="1" x14ac:dyDescent="0.25">
      <c r="A4" s="205" t="s">
        <v>145</v>
      </c>
      <c r="B4" s="206" t="s">
        <v>146</v>
      </c>
      <c r="C4" s="207" t="s">
        <v>111</v>
      </c>
      <c r="D4" s="208" t="s">
        <v>147</v>
      </c>
      <c r="G4"/>
    </row>
    <row r="5" spans="1:7" ht="33" customHeight="1" x14ac:dyDescent="0.2">
      <c r="A5" s="538" t="s">
        <v>49</v>
      </c>
      <c r="B5" s="188"/>
      <c r="C5" s="189" t="s">
        <v>343</v>
      </c>
      <c r="D5" s="534" t="s">
        <v>148</v>
      </c>
    </row>
    <row r="6" spans="1:7" ht="27.75" customHeight="1" x14ac:dyDescent="0.2">
      <c r="A6" s="526"/>
      <c r="B6" s="190" t="s">
        <v>101</v>
      </c>
      <c r="C6" s="191" t="s">
        <v>369</v>
      </c>
      <c r="D6" s="535"/>
    </row>
    <row r="7" spans="1:7" ht="27" customHeight="1" x14ac:dyDescent="0.2">
      <c r="A7" s="526"/>
      <c r="B7" s="190" t="s">
        <v>361</v>
      </c>
      <c r="C7" s="191" t="s">
        <v>352</v>
      </c>
      <c r="D7" s="535"/>
    </row>
    <row r="8" spans="1:7" ht="22.5" customHeight="1" x14ac:dyDescent="0.2">
      <c r="A8" s="192"/>
      <c r="B8" s="190" t="s">
        <v>415</v>
      </c>
      <c r="C8" s="191" t="s">
        <v>416</v>
      </c>
      <c r="D8" s="535"/>
    </row>
    <row r="9" spans="1:7" ht="18" customHeight="1" x14ac:dyDescent="0.2">
      <c r="A9" s="526" t="s">
        <v>332</v>
      </c>
      <c r="B9" s="190"/>
      <c r="C9" s="193" t="s">
        <v>368</v>
      </c>
      <c r="D9" s="535"/>
    </row>
    <row r="10" spans="1:7" ht="18" customHeight="1" x14ac:dyDescent="0.2">
      <c r="A10" s="526"/>
      <c r="B10" s="190" t="s">
        <v>362</v>
      </c>
      <c r="C10" s="191" t="s">
        <v>418</v>
      </c>
      <c r="D10" s="535"/>
    </row>
    <row r="11" spans="1:7" ht="18" customHeight="1" x14ac:dyDescent="0.2">
      <c r="A11" s="526"/>
      <c r="B11" s="190" t="s">
        <v>363</v>
      </c>
      <c r="C11" s="191" t="s">
        <v>419</v>
      </c>
      <c r="D11" s="535"/>
    </row>
    <row r="12" spans="1:7" ht="18" customHeight="1" x14ac:dyDescent="0.2">
      <c r="A12" s="525"/>
      <c r="B12" s="194" t="s">
        <v>417</v>
      </c>
      <c r="C12" s="195" t="s">
        <v>420</v>
      </c>
      <c r="D12" s="536"/>
    </row>
    <row r="13" spans="1:7" ht="45" customHeight="1" x14ac:dyDescent="0.2">
      <c r="A13" s="524" t="s">
        <v>53</v>
      </c>
      <c r="B13" s="196"/>
      <c r="C13" s="197" t="s">
        <v>370</v>
      </c>
      <c r="D13" s="522" t="s">
        <v>149</v>
      </c>
    </row>
    <row r="14" spans="1:7" ht="18" customHeight="1" x14ac:dyDescent="0.2">
      <c r="A14" s="526"/>
      <c r="B14" s="190" t="s">
        <v>92</v>
      </c>
      <c r="C14" s="191" t="s">
        <v>367</v>
      </c>
      <c r="D14" s="537"/>
    </row>
    <row r="15" spans="1:7" ht="18" customHeight="1" x14ac:dyDescent="0.2">
      <c r="A15" s="526"/>
      <c r="B15" s="190" t="s">
        <v>110</v>
      </c>
      <c r="C15" s="191" t="s">
        <v>371</v>
      </c>
      <c r="D15" s="537"/>
    </row>
    <row r="16" spans="1:7" ht="18" customHeight="1" x14ac:dyDescent="0.2">
      <c r="A16" s="525"/>
      <c r="B16" s="194" t="s">
        <v>421</v>
      </c>
      <c r="C16" s="195" t="s">
        <v>422</v>
      </c>
      <c r="D16" s="523"/>
    </row>
    <row r="17" spans="1:4" ht="21.75" customHeight="1" x14ac:dyDescent="0.2">
      <c r="A17" s="524" t="s">
        <v>365</v>
      </c>
      <c r="B17" s="198"/>
      <c r="C17" s="197" t="s">
        <v>426</v>
      </c>
      <c r="D17" s="528" t="s">
        <v>366</v>
      </c>
    </row>
    <row r="18" spans="1:4" ht="25.5" customHeight="1" x14ac:dyDescent="0.2">
      <c r="A18" s="526"/>
      <c r="B18" s="190" t="s">
        <v>423</v>
      </c>
      <c r="C18" s="191" t="s">
        <v>427</v>
      </c>
      <c r="D18" s="529"/>
    </row>
    <row r="19" spans="1:4" ht="21.75" customHeight="1" x14ac:dyDescent="0.2">
      <c r="A19" s="525"/>
      <c r="B19" s="194" t="s">
        <v>424</v>
      </c>
      <c r="C19" s="195" t="s">
        <v>425</v>
      </c>
      <c r="D19" s="530"/>
    </row>
    <row r="20" spans="1:4" s="51" customFormat="1" ht="38.25" customHeight="1" x14ac:dyDescent="0.2">
      <c r="A20" s="524" t="s">
        <v>57</v>
      </c>
      <c r="B20" s="196"/>
      <c r="C20" s="197" t="s">
        <v>150</v>
      </c>
      <c r="D20" s="522" t="s">
        <v>151</v>
      </c>
    </row>
    <row r="21" spans="1:4" ht="29.25" customHeight="1" x14ac:dyDescent="0.2">
      <c r="A21" s="525"/>
      <c r="B21" s="194" t="s">
        <v>93</v>
      </c>
      <c r="C21" s="195" t="s">
        <v>364</v>
      </c>
      <c r="D21" s="523"/>
    </row>
    <row r="22" spans="1:4" s="51" customFormat="1" ht="39.75" customHeight="1" x14ac:dyDescent="0.2">
      <c r="A22" s="526" t="s">
        <v>109</v>
      </c>
      <c r="B22" s="192"/>
      <c r="C22" s="193" t="s">
        <v>152</v>
      </c>
      <c r="D22" s="537" t="s">
        <v>149</v>
      </c>
    </row>
    <row r="23" spans="1:4" s="51" customFormat="1" ht="18" customHeight="1" x14ac:dyDescent="0.2">
      <c r="A23" s="526"/>
      <c r="B23" s="190" t="s">
        <v>153</v>
      </c>
      <c r="C23" s="191" t="s">
        <v>287</v>
      </c>
      <c r="D23" s="537"/>
    </row>
    <row r="24" spans="1:4" ht="10.5" customHeight="1" thickBot="1" x14ac:dyDescent="0.25">
      <c r="A24" s="527"/>
      <c r="B24" s="199"/>
      <c r="C24" s="200"/>
      <c r="D24" s="541"/>
    </row>
    <row r="25" spans="1:4" ht="6.75" customHeight="1" x14ac:dyDescent="0.2">
      <c r="A25" s="201"/>
      <c r="B25" s="201"/>
      <c r="C25" s="202"/>
      <c r="D25" s="202"/>
    </row>
    <row r="26" spans="1:4" s="51" customFormat="1" ht="15" customHeight="1" x14ac:dyDescent="0.2">
      <c r="A26" s="539" t="s">
        <v>154</v>
      </c>
      <c r="B26" s="539"/>
      <c r="C26" s="539"/>
      <c r="D26" s="203" t="s">
        <v>155</v>
      </c>
    </row>
    <row r="27" spans="1:4" ht="15" customHeight="1" x14ac:dyDescent="0.2">
      <c r="A27" s="202"/>
      <c r="B27" s="202"/>
      <c r="C27" s="202"/>
      <c r="D27" s="202"/>
    </row>
    <row r="28" spans="1:4" ht="15" customHeight="1" x14ac:dyDescent="0.2">
      <c r="A28" s="204" t="s">
        <v>112</v>
      </c>
      <c r="B28" s="540" t="s">
        <v>113</v>
      </c>
      <c r="C28" s="540"/>
      <c r="D28" s="202" t="s">
        <v>156</v>
      </c>
    </row>
    <row r="29" spans="1:4" ht="15" customHeight="1" x14ac:dyDescent="0.2">
      <c r="A29" s="204" t="s">
        <v>114</v>
      </c>
      <c r="B29" s="540" t="s">
        <v>115</v>
      </c>
      <c r="C29" s="540"/>
      <c r="D29" s="202" t="s">
        <v>157</v>
      </c>
    </row>
    <row r="30" spans="1:4" ht="15" customHeight="1" x14ac:dyDescent="0.2">
      <c r="A30" s="204" t="s">
        <v>116</v>
      </c>
      <c r="B30" s="540" t="s">
        <v>117</v>
      </c>
      <c r="C30" s="540"/>
      <c r="D30" s="202" t="s">
        <v>331</v>
      </c>
    </row>
    <row r="31" spans="1:4" ht="15" customHeight="1" x14ac:dyDescent="0.2">
      <c r="A31" s="202"/>
      <c r="B31" s="202"/>
      <c r="C31" s="202"/>
      <c r="D31" s="202" t="s">
        <v>158</v>
      </c>
    </row>
    <row r="32" spans="1:4" ht="15" customHeight="1" x14ac:dyDescent="0.2">
      <c r="A32" s="52"/>
      <c r="B32" s="52"/>
      <c r="C32" s="52"/>
      <c r="D32" s="52"/>
    </row>
    <row r="33" spans="1:4" ht="15" customHeight="1" x14ac:dyDescent="0.2">
      <c r="A33" s="52"/>
      <c r="B33" s="52"/>
      <c r="C33" s="52"/>
      <c r="D33" s="52"/>
    </row>
    <row r="34" spans="1:4" ht="15" customHeight="1" x14ac:dyDescent="0.2">
      <c r="A34" s="52"/>
      <c r="B34" s="52"/>
      <c r="C34" s="52"/>
      <c r="D34" s="52"/>
    </row>
    <row r="35" spans="1:4" ht="15" customHeight="1" x14ac:dyDescent="0.2">
      <c r="A35" s="52"/>
      <c r="B35" s="52"/>
      <c r="C35" s="52"/>
      <c r="D35" s="52"/>
    </row>
    <row r="36" spans="1:4" ht="15" customHeight="1" x14ac:dyDescent="0.2">
      <c r="A36" s="52"/>
      <c r="B36" s="52"/>
      <c r="C36" s="52"/>
      <c r="D36" s="52"/>
    </row>
    <row r="37" spans="1:4" ht="15" customHeight="1" x14ac:dyDescent="0.2">
      <c r="A37" s="52"/>
      <c r="B37" s="52"/>
      <c r="C37" s="52"/>
      <c r="D37" s="52"/>
    </row>
    <row r="38" spans="1:4" ht="15" customHeight="1" x14ac:dyDescent="0.2">
      <c r="A38" s="52"/>
      <c r="B38" s="52"/>
      <c r="C38" s="52"/>
      <c r="D38" s="52"/>
    </row>
    <row r="39" spans="1:4" ht="15" customHeight="1" x14ac:dyDescent="0.2">
      <c r="A39" s="52"/>
      <c r="B39" s="52"/>
      <c r="C39" s="52"/>
      <c r="D39" s="52"/>
    </row>
    <row r="40" spans="1:4" ht="15" customHeight="1" x14ac:dyDescent="0.2">
      <c r="A40" s="52"/>
      <c r="B40" s="52"/>
      <c r="C40" s="52"/>
      <c r="D40" s="52"/>
    </row>
    <row r="41" spans="1:4" ht="15" customHeight="1" x14ac:dyDescent="0.2">
      <c r="A41" s="52"/>
      <c r="B41" s="52"/>
      <c r="C41" s="52"/>
      <c r="D41" s="52"/>
    </row>
    <row r="42" spans="1:4" ht="15" customHeight="1" x14ac:dyDescent="0.2">
      <c r="A42" s="52"/>
      <c r="B42" s="52"/>
      <c r="C42" s="52"/>
      <c r="D42" s="52"/>
    </row>
    <row r="43" spans="1:4" ht="15" customHeight="1" x14ac:dyDescent="0.2">
      <c r="A43" s="52"/>
      <c r="B43" s="52"/>
      <c r="C43" s="52"/>
      <c r="D43" s="52"/>
    </row>
    <row r="44" spans="1:4" ht="15" customHeight="1" x14ac:dyDescent="0.2">
      <c r="A44" s="52"/>
      <c r="B44" s="52"/>
      <c r="C44" s="52"/>
      <c r="D44" s="52"/>
    </row>
    <row r="45" spans="1:4" ht="15" customHeight="1" x14ac:dyDescent="0.2">
      <c r="A45" s="52"/>
      <c r="B45" s="52"/>
      <c r="C45" s="52"/>
      <c r="D45" s="52"/>
    </row>
    <row r="46" spans="1:4" ht="15" customHeight="1" x14ac:dyDescent="0.2">
      <c r="A46" s="52"/>
      <c r="B46" s="52"/>
      <c r="C46" s="52"/>
      <c r="D46" s="52"/>
    </row>
    <row r="47" spans="1:4" ht="15" customHeight="1" x14ac:dyDescent="0.2"/>
    <row r="48" spans="1:4" ht="15" customHeight="1" x14ac:dyDescent="0.2"/>
    <row r="49" ht="15" customHeight="1" x14ac:dyDescent="0.2"/>
    <row r="50" ht="15" customHeight="1" x14ac:dyDescent="0.2"/>
  </sheetData>
  <sheetProtection algorithmName="SHA-512" hashValue="m7Cmxoz4s2AW+Sy+h5nPusbJ9tpYpTJ373jScbSbUCDcpDUaX5BrEfW65AwcpCxf1KWlqgvYoRmCRKs/9szGtw==" saltValue="/Xnb2WNo0FZS2kliWTjLhw==" spinCount="100000" sheet="1" objects="1" scenarios="1"/>
  <mergeCells count="18">
    <mergeCell ref="A26:C26"/>
    <mergeCell ref="B28:C28"/>
    <mergeCell ref="B29:C29"/>
    <mergeCell ref="B30:C30"/>
    <mergeCell ref="D22:D24"/>
    <mergeCell ref="A1:D1"/>
    <mergeCell ref="A2:D2"/>
    <mergeCell ref="A3:D3"/>
    <mergeCell ref="D5:D12"/>
    <mergeCell ref="D13:D16"/>
    <mergeCell ref="A5:A7"/>
    <mergeCell ref="A9:A12"/>
    <mergeCell ref="D20:D21"/>
    <mergeCell ref="A20:A21"/>
    <mergeCell ref="A22:A24"/>
    <mergeCell ref="A13:A16"/>
    <mergeCell ref="A17:A19"/>
    <mergeCell ref="D17:D19"/>
  </mergeCells>
  <printOptions horizontalCentered="1"/>
  <pageMargins left="1.07" right="0.26" top="0.8" bottom="0.74803149606299213" header="0.31496062992125984" footer="0.31496062992125984"/>
  <pageSetup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O42"/>
  <sheetViews>
    <sheetView view="pageBreakPreview" zoomScale="93" zoomScaleSheetLayoutView="93" workbookViewId="0">
      <selection activeCell="G13" sqref="G13"/>
    </sheetView>
  </sheetViews>
  <sheetFormatPr baseColWidth="10" defaultColWidth="11.42578125" defaultRowHeight="12.75" x14ac:dyDescent="0.2"/>
  <cols>
    <col min="1" max="1" width="4.5703125" style="24" customWidth="1"/>
    <col min="2" max="2" width="4.42578125" style="24" customWidth="1"/>
    <col min="3" max="4" width="4.5703125" style="24" customWidth="1"/>
    <col min="5" max="5" width="6.140625" style="24" customWidth="1"/>
    <col min="6" max="6" width="8.7109375" style="24" customWidth="1"/>
    <col min="7" max="7" width="45.7109375" style="19" customWidth="1"/>
    <col min="8" max="8" width="18.5703125" style="4" customWidth="1"/>
    <col min="9" max="10" width="11.42578125" style="21"/>
    <col min="11" max="11" width="13" style="21" bestFit="1" customWidth="1"/>
    <col min="12" max="16384" width="11.42578125" style="21"/>
  </cols>
  <sheetData>
    <row r="1" spans="1:9" ht="18" x14ac:dyDescent="0.25">
      <c r="A1" s="601" t="s">
        <v>409</v>
      </c>
      <c r="B1" s="602"/>
      <c r="C1" s="602"/>
      <c r="D1" s="602"/>
      <c r="E1" s="602"/>
      <c r="F1" s="602"/>
      <c r="G1" s="602"/>
      <c r="H1" s="602"/>
      <c r="I1" s="5"/>
    </row>
    <row r="2" spans="1:9" ht="18" x14ac:dyDescent="0.25">
      <c r="A2" s="601" t="s">
        <v>408</v>
      </c>
      <c r="B2" s="602"/>
      <c r="C2" s="602"/>
      <c r="D2" s="602"/>
      <c r="E2" s="602"/>
      <c r="F2" s="602"/>
      <c r="G2" s="602"/>
      <c r="H2" s="602"/>
      <c r="I2" s="5"/>
    </row>
    <row r="3" spans="1:9" ht="15.75" x14ac:dyDescent="0.2">
      <c r="A3" s="605" t="s">
        <v>233</v>
      </c>
      <c r="B3" s="606"/>
      <c r="C3" s="606"/>
      <c r="D3" s="606"/>
      <c r="E3" s="606"/>
      <c r="F3" s="606"/>
      <c r="G3" s="606"/>
      <c r="H3" s="606"/>
    </row>
    <row r="4" spans="1:9" ht="15.75" x14ac:dyDescent="0.2">
      <c r="A4" s="605" t="s">
        <v>496</v>
      </c>
      <c r="B4" s="606"/>
      <c r="C4" s="606"/>
      <c r="D4" s="606"/>
      <c r="E4" s="606"/>
      <c r="F4" s="606"/>
      <c r="G4" s="606"/>
      <c r="H4" s="606"/>
    </row>
    <row r="5" spans="1:9" ht="15" x14ac:dyDescent="0.2">
      <c r="A5" s="603" t="s">
        <v>13</v>
      </c>
      <c r="B5" s="604"/>
      <c r="C5" s="604"/>
      <c r="D5" s="604"/>
      <c r="E5" s="604"/>
      <c r="F5" s="604"/>
      <c r="G5" s="604"/>
      <c r="H5" s="604"/>
    </row>
    <row r="6" spans="1:9" ht="8.25" customHeight="1" x14ac:dyDescent="0.25">
      <c r="A6" s="609"/>
      <c r="B6" s="610"/>
      <c r="C6" s="610"/>
      <c r="D6" s="610"/>
      <c r="E6" s="610"/>
      <c r="F6" s="610"/>
      <c r="G6" s="610"/>
      <c r="H6" s="610"/>
    </row>
    <row r="7" spans="1:9" ht="15.75" x14ac:dyDescent="0.25">
      <c r="A7" s="637" t="s">
        <v>234</v>
      </c>
      <c r="B7" s="637"/>
      <c r="C7" s="637"/>
      <c r="D7" s="637"/>
      <c r="E7" s="637"/>
      <c r="F7" s="637"/>
      <c r="G7" s="637"/>
      <c r="H7" s="637"/>
    </row>
    <row r="8" spans="1:9" ht="16.5" thickBot="1" x14ac:dyDescent="0.3">
      <c r="A8" s="638" t="s">
        <v>252</v>
      </c>
      <c r="B8" s="638"/>
      <c r="C8" s="638"/>
      <c r="D8" s="638"/>
      <c r="E8" s="638"/>
      <c r="F8" s="638"/>
      <c r="G8" s="638"/>
      <c r="H8" s="638"/>
    </row>
    <row r="9" spans="1:9" ht="15.75" thickBot="1" x14ac:dyDescent="0.3">
      <c r="A9" s="664" t="s">
        <v>0</v>
      </c>
      <c r="B9" s="665"/>
      <c r="C9" s="665"/>
      <c r="D9" s="665"/>
      <c r="E9" s="665"/>
      <c r="F9" s="665"/>
      <c r="G9" s="657" t="s">
        <v>186</v>
      </c>
      <c r="H9" s="659" t="s">
        <v>187</v>
      </c>
    </row>
    <row r="10" spans="1:9" s="22" customFormat="1" ht="200.25" customHeight="1" thickBot="1" x14ac:dyDescent="0.25">
      <c r="A10" s="167" t="s">
        <v>177</v>
      </c>
      <c r="B10" s="168" t="s">
        <v>178</v>
      </c>
      <c r="C10" s="168" t="s">
        <v>146</v>
      </c>
      <c r="D10" s="168" t="s">
        <v>180</v>
      </c>
      <c r="E10" s="169"/>
      <c r="F10" s="170" t="s">
        <v>119</v>
      </c>
      <c r="G10" s="658"/>
      <c r="H10" s="660"/>
    </row>
    <row r="11" spans="1:9" ht="15.75" customHeight="1" x14ac:dyDescent="0.2">
      <c r="A11" s="9">
        <v>3</v>
      </c>
      <c r="B11" s="10" t="s">
        <v>53</v>
      </c>
      <c r="C11" s="10" t="s">
        <v>53</v>
      </c>
      <c r="D11" s="10" t="s">
        <v>108</v>
      </c>
      <c r="E11" s="10"/>
      <c r="F11" s="158">
        <v>61102</v>
      </c>
      <c r="G11" s="164" t="s">
        <v>393</v>
      </c>
      <c r="H11" s="160">
        <v>0</v>
      </c>
    </row>
    <row r="12" spans="1:9" ht="15.75" customHeight="1" x14ac:dyDescent="0.2">
      <c r="A12" s="8">
        <v>3</v>
      </c>
      <c r="B12" s="1" t="s">
        <v>53</v>
      </c>
      <c r="C12" s="1" t="s">
        <v>53</v>
      </c>
      <c r="D12" s="1" t="s">
        <v>108</v>
      </c>
      <c r="E12" s="10"/>
      <c r="F12" s="158">
        <v>61105</v>
      </c>
      <c r="G12" s="154" t="s">
        <v>396</v>
      </c>
      <c r="H12" s="14">
        <v>0</v>
      </c>
    </row>
    <row r="13" spans="1:9" ht="15.75" customHeight="1" x14ac:dyDescent="0.2">
      <c r="A13" s="8">
        <v>3</v>
      </c>
      <c r="B13" s="1" t="s">
        <v>53</v>
      </c>
      <c r="C13" s="1" t="s">
        <v>53</v>
      </c>
      <c r="D13" s="1" t="s">
        <v>108</v>
      </c>
      <c r="E13" s="10"/>
      <c r="F13" s="158">
        <v>61501</v>
      </c>
      <c r="G13" s="154" t="s">
        <v>403</v>
      </c>
      <c r="H13" s="14"/>
    </row>
    <row r="14" spans="1:9" ht="15.75" customHeight="1" x14ac:dyDescent="0.2">
      <c r="A14" s="8">
        <v>3</v>
      </c>
      <c r="B14" s="1" t="s">
        <v>53</v>
      </c>
      <c r="C14" s="1" t="s">
        <v>53</v>
      </c>
      <c r="D14" s="1" t="s">
        <v>108</v>
      </c>
      <c r="E14" s="10"/>
      <c r="F14" s="158">
        <v>61599</v>
      </c>
      <c r="G14" s="154" t="s">
        <v>402</v>
      </c>
      <c r="H14" s="14"/>
    </row>
    <row r="15" spans="1:9" ht="15.75" customHeight="1" x14ac:dyDescent="0.2">
      <c r="A15" s="8">
        <v>3</v>
      </c>
      <c r="B15" s="1" t="s">
        <v>53</v>
      </c>
      <c r="C15" s="1" t="s">
        <v>53</v>
      </c>
      <c r="D15" s="1" t="s">
        <v>108</v>
      </c>
      <c r="E15" s="10"/>
      <c r="F15" s="158">
        <v>61601</v>
      </c>
      <c r="G15" s="154" t="s">
        <v>397</v>
      </c>
      <c r="H15" s="14"/>
    </row>
    <row r="16" spans="1:9" ht="15.75" customHeight="1" x14ac:dyDescent="0.2">
      <c r="A16" s="8">
        <v>3</v>
      </c>
      <c r="B16" s="1" t="s">
        <v>53</v>
      </c>
      <c r="C16" s="1" t="s">
        <v>53</v>
      </c>
      <c r="D16" s="1" t="s">
        <v>108</v>
      </c>
      <c r="E16" s="10"/>
      <c r="F16" s="158">
        <v>61602</v>
      </c>
      <c r="G16" s="154" t="s">
        <v>398</v>
      </c>
      <c r="H16" s="14"/>
    </row>
    <row r="17" spans="1:15" ht="15.75" customHeight="1" x14ac:dyDescent="0.2">
      <c r="A17" s="8">
        <v>3</v>
      </c>
      <c r="B17" s="1" t="s">
        <v>53</v>
      </c>
      <c r="C17" s="1" t="s">
        <v>53</v>
      </c>
      <c r="D17" s="1" t="s">
        <v>108</v>
      </c>
      <c r="E17" s="10"/>
      <c r="F17" s="158">
        <v>61603</v>
      </c>
      <c r="G17" s="154" t="s">
        <v>399</v>
      </c>
      <c r="H17" s="14">
        <v>0</v>
      </c>
    </row>
    <row r="18" spans="1:15" ht="15.75" customHeight="1" x14ac:dyDescent="0.2">
      <c r="A18" s="8">
        <v>3</v>
      </c>
      <c r="B18" s="1" t="s">
        <v>53</v>
      </c>
      <c r="C18" s="1" t="s">
        <v>53</v>
      </c>
      <c r="D18" s="1" t="s">
        <v>108</v>
      </c>
      <c r="E18" s="10"/>
      <c r="F18" s="158">
        <v>61606</v>
      </c>
      <c r="G18" s="154" t="s">
        <v>400</v>
      </c>
      <c r="H18" s="14">
        <v>0</v>
      </c>
      <c r="O18" s="21" t="s">
        <v>562</v>
      </c>
    </row>
    <row r="19" spans="1:15" ht="15.75" customHeight="1" x14ac:dyDescent="0.2">
      <c r="A19" s="8">
        <v>3</v>
      </c>
      <c r="B19" s="1" t="s">
        <v>53</v>
      </c>
      <c r="C19" s="1" t="s">
        <v>53</v>
      </c>
      <c r="D19" s="1" t="s">
        <v>108</v>
      </c>
      <c r="E19" s="10"/>
      <c r="F19" s="158">
        <v>61608</v>
      </c>
      <c r="G19" s="154" t="s">
        <v>401</v>
      </c>
      <c r="H19" s="14"/>
    </row>
    <row r="20" spans="1:15" ht="15.75" customHeight="1" x14ac:dyDescent="0.2">
      <c r="A20" s="8">
        <v>3</v>
      </c>
      <c r="B20" s="1" t="s">
        <v>53</v>
      </c>
      <c r="C20" s="1" t="s">
        <v>53</v>
      </c>
      <c r="D20" s="1" t="s">
        <v>108</v>
      </c>
      <c r="E20" s="10"/>
      <c r="F20" s="158">
        <v>61699</v>
      </c>
      <c r="G20" s="154" t="s">
        <v>395</v>
      </c>
      <c r="H20" s="14"/>
      <c r="I20" s="458"/>
      <c r="J20" s="458"/>
      <c r="K20" s="458"/>
    </row>
    <row r="21" spans="1:15" ht="15.75" customHeight="1" x14ac:dyDescent="0.2">
      <c r="A21" s="8"/>
      <c r="B21" s="1"/>
      <c r="C21" s="1"/>
      <c r="D21" s="1"/>
      <c r="E21" s="10"/>
      <c r="F21" s="162"/>
      <c r="G21" s="155"/>
      <c r="H21" s="14"/>
      <c r="I21" s="458"/>
      <c r="J21" s="458">
        <v>61</v>
      </c>
      <c r="K21" s="489">
        <f>SUM(H13:H20)</f>
        <v>0</v>
      </c>
    </row>
    <row r="22" spans="1:15" ht="15.75" customHeight="1" x14ac:dyDescent="0.2">
      <c r="A22" s="8"/>
      <c r="B22" s="1"/>
      <c r="C22" s="1"/>
      <c r="D22" s="1"/>
      <c r="E22" s="10"/>
      <c r="F22" s="162"/>
      <c r="G22" s="155"/>
      <c r="H22" s="14">
        <v>0</v>
      </c>
      <c r="I22" s="458">
        <v>5000</v>
      </c>
      <c r="J22" s="458"/>
      <c r="K22" s="458"/>
    </row>
    <row r="23" spans="1:15" ht="15.75" customHeight="1" x14ac:dyDescent="0.2">
      <c r="A23" s="8"/>
      <c r="B23" s="1"/>
      <c r="C23" s="1"/>
      <c r="D23" s="1"/>
      <c r="E23" s="10"/>
      <c r="F23" s="162"/>
      <c r="G23" s="155"/>
      <c r="H23" s="14"/>
      <c r="I23" s="458"/>
      <c r="J23" s="458"/>
      <c r="K23" s="458"/>
    </row>
    <row r="24" spans="1:15" ht="15.75" customHeight="1" x14ac:dyDescent="0.2">
      <c r="A24" s="8"/>
      <c r="B24" s="1"/>
      <c r="C24" s="1"/>
      <c r="D24" s="1"/>
      <c r="E24" s="10"/>
      <c r="F24" s="162"/>
      <c r="G24" s="155"/>
      <c r="H24" s="14">
        <v>0</v>
      </c>
      <c r="I24" s="458">
        <v>5000</v>
      </c>
      <c r="J24" s="458"/>
      <c r="K24" s="458"/>
    </row>
    <row r="25" spans="1:15" ht="15.75" customHeight="1" x14ac:dyDescent="0.2">
      <c r="A25" s="8"/>
      <c r="B25" s="1"/>
      <c r="C25" s="1"/>
      <c r="D25" s="1"/>
      <c r="E25" s="10"/>
      <c r="F25" s="162"/>
      <c r="G25" s="155"/>
      <c r="H25" s="14"/>
      <c r="I25" s="458">
        <v>62727</v>
      </c>
      <c r="J25" s="458"/>
      <c r="K25" s="458"/>
    </row>
    <row r="26" spans="1:15" ht="15.75" customHeight="1" thickBot="1" x14ac:dyDescent="0.25">
      <c r="A26" s="17"/>
      <c r="B26" s="15"/>
      <c r="C26" s="15"/>
      <c r="D26" s="15"/>
      <c r="E26" s="15"/>
      <c r="F26" s="163"/>
      <c r="G26" s="156"/>
      <c r="H26" s="161"/>
      <c r="I26" s="458"/>
      <c r="J26" s="458"/>
      <c r="K26" s="458"/>
    </row>
    <row r="27" spans="1:15" ht="29.25" customHeight="1" thickBot="1" x14ac:dyDescent="0.25">
      <c r="A27" s="661" t="s">
        <v>333</v>
      </c>
      <c r="B27" s="662"/>
      <c r="C27" s="662"/>
      <c r="D27" s="662"/>
      <c r="E27" s="662"/>
      <c r="F27" s="662"/>
      <c r="G27" s="663"/>
      <c r="H27" s="183">
        <v>0</v>
      </c>
    </row>
    <row r="28" spans="1:15" x14ac:dyDescent="0.2">
      <c r="A28" s="23"/>
      <c r="B28" s="23"/>
      <c r="C28" s="23"/>
      <c r="D28" s="23"/>
      <c r="E28" s="23"/>
      <c r="F28" s="23"/>
      <c r="H28" s="41"/>
    </row>
    <row r="29" spans="1:15" ht="15.75" x14ac:dyDescent="0.25">
      <c r="A29" s="32"/>
      <c r="B29" s="32"/>
      <c r="C29" s="32"/>
      <c r="D29" s="32"/>
      <c r="E29" s="32"/>
      <c r="F29" s="32"/>
      <c r="G29" s="42"/>
      <c r="H29" s="143">
        <f>SUM(Ingresos!H49)</f>
        <v>0</v>
      </c>
    </row>
    <row r="30" spans="1:15" ht="19.5" customHeight="1" thickBot="1" x14ac:dyDescent="0.3">
      <c r="A30" s="649" t="s">
        <v>14</v>
      </c>
      <c r="B30" s="649"/>
      <c r="C30" s="649"/>
      <c r="D30" s="649"/>
      <c r="E30" s="649"/>
      <c r="F30" s="649"/>
      <c r="H30" s="144">
        <f>SUM(H27-H29)</f>
        <v>0</v>
      </c>
    </row>
    <row r="31" spans="1:15" ht="15.75" thickTop="1" x14ac:dyDescent="0.25">
      <c r="A31" s="645" t="s">
        <v>2</v>
      </c>
      <c r="B31" s="645"/>
      <c r="C31" s="645"/>
      <c r="D31" s="645"/>
      <c r="E31" s="645"/>
      <c r="F31" s="645"/>
      <c r="G31" s="645"/>
      <c r="H31" s="143"/>
    </row>
    <row r="32" spans="1:15" ht="15" x14ac:dyDescent="0.25">
      <c r="A32" s="645" t="s">
        <v>8</v>
      </c>
      <c r="B32" s="645"/>
      <c r="C32" s="645"/>
      <c r="D32" s="645"/>
      <c r="E32" s="645"/>
      <c r="F32" s="645"/>
      <c r="G32" s="645"/>
      <c r="H32" s="143"/>
    </row>
    <row r="33" spans="1:8" ht="15" x14ac:dyDescent="0.25">
      <c r="A33" s="645" t="s">
        <v>9</v>
      </c>
      <c r="B33" s="645"/>
      <c r="C33" s="645"/>
      <c r="D33" s="645"/>
      <c r="E33" s="645"/>
      <c r="F33" s="645"/>
      <c r="G33" s="645"/>
      <c r="H33" s="143"/>
    </row>
    <row r="34" spans="1:8" ht="15" x14ac:dyDescent="0.25">
      <c r="A34" s="645"/>
      <c r="B34" s="645"/>
      <c r="C34" s="645"/>
      <c r="D34" s="645"/>
      <c r="E34" s="645"/>
      <c r="F34" s="645"/>
      <c r="G34" s="645"/>
      <c r="H34" s="143"/>
    </row>
    <row r="35" spans="1:8" ht="15" x14ac:dyDescent="0.25">
      <c r="H35" s="143"/>
    </row>
    <row r="36" spans="1:8" ht="15" x14ac:dyDescent="0.25">
      <c r="H36" s="143"/>
    </row>
    <row r="37" spans="1:8" ht="15" x14ac:dyDescent="0.25">
      <c r="H37" s="143"/>
    </row>
    <row r="38" spans="1:8" ht="15" x14ac:dyDescent="0.25">
      <c r="H38" s="143"/>
    </row>
    <row r="39" spans="1:8" ht="15" x14ac:dyDescent="0.25">
      <c r="H39" s="143"/>
    </row>
    <row r="40" spans="1:8" ht="15" x14ac:dyDescent="0.25">
      <c r="H40" s="143"/>
    </row>
    <row r="41" spans="1:8" ht="15" x14ac:dyDescent="0.25">
      <c r="H41" s="143"/>
    </row>
    <row r="42" spans="1:8" ht="15" x14ac:dyDescent="0.25">
      <c r="H42" s="143"/>
    </row>
  </sheetData>
  <sheetProtection algorithmName="SHA-512" hashValue="0GcDjd7qUW4kx0fp2pM2QESums9hdwPp2yA/YeOqY7fbTa6ZAhoPkq5FhJWH8K7rIr2HqDh7otaYZOc/2yBDXQ==" saltValue="TOiYcM9docCowvvJ+fJABA==" spinCount="100000" sheet="1" objects="1" scenarios="1"/>
  <mergeCells count="17">
    <mergeCell ref="A6:H6"/>
    <mergeCell ref="A31:G31"/>
    <mergeCell ref="A32:G32"/>
    <mergeCell ref="A30:F30"/>
    <mergeCell ref="A7:H7"/>
    <mergeCell ref="A8:H8"/>
    <mergeCell ref="A9:F9"/>
    <mergeCell ref="A1:H1"/>
    <mergeCell ref="A2:H2"/>
    <mergeCell ref="A3:H3"/>
    <mergeCell ref="A4:H4"/>
    <mergeCell ref="A5:H5"/>
    <mergeCell ref="G9:G10"/>
    <mergeCell ref="H9:H10"/>
    <mergeCell ref="A33:G33"/>
    <mergeCell ref="A34:G34"/>
    <mergeCell ref="A27:G27"/>
  </mergeCells>
  <printOptions horizontalCentered="1"/>
  <pageMargins left="1.02" right="0.35" top="0.96" bottom="0.74803149606299213" header="0.31496062992125984" footer="0.31496062992125984"/>
  <pageSetup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-0.249977111117893"/>
  </sheetPr>
  <dimension ref="A2:G19"/>
  <sheetViews>
    <sheetView topLeftCell="A4" workbookViewId="0">
      <selection activeCell="B4" sqref="B4"/>
    </sheetView>
  </sheetViews>
  <sheetFormatPr baseColWidth="10" defaultColWidth="11.42578125" defaultRowHeight="12.75" x14ac:dyDescent="0.2"/>
  <cols>
    <col min="1" max="1" width="7" style="82" customWidth="1"/>
    <col min="2" max="2" width="38.5703125" style="82" customWidth="1"/>
    <col min="3" max="3" width="23.42578125" style="82" customWidth="1"/>
    <col min="4" max="4" width="15.5703125" style="82" customWidth="1"/>
    <col min="5" max="5" width="11.42578125" style="82"/>
    <col min="6" max="6" width="15.140625" style="82" customWidth="1"/>
    <col min="7" max="7" width="15" style="82" customWidth="1"/>
    <col min="8" max="16384" width="11.42578125" style="82"/>
  </cols>
  <sheetData>
    <row r="2" spans="2:7" ht="15.75" x14ac:dyDescent="0.2">
      <c r="B2" s="606" t="s">
        <v>285</v>
      </c>
      <c r="C2" s="606"/>
      <c r="D2" s="606"/>
      <c r="E2" s="606"/>
      <c r="F2" s="606"/>
      <c r="G2" s="606"/>
    </row>
    <row r="3" spans="2:7" ht="12.75" customHeight="1" x14ac:dyDescent="0.2">
      <c r="B3" s="606" t="s">
        <v>286</v>
      </c>
      <c r="C3" s="606"/>
      <c r="D3" s="606"/>
      <c r="E3" s="606"/>
      <c r="F3" s="606"/>
      <c r="G3" s="606"/>
    </row>
    <row r="4" spans="2:7" ht="13.5" thickBot="1" x14ac:dyDescent="0.25"/>
    <row r="5" spans="2:7" s="83" customFormat="1" ht="51" customHeight="1" thickBot="1" x14ac:dyDescent="0.25">
      <c r="B5" s="671" t="s">
        <v>95</v>
      </c>
      <c r="C5" s="672" t="s">
        <v>96</v>
      </c>
      <c r="D5" s="671" t="s">
        <v>97</v>
      </c>
      <c r="E5" s="671" t="s">
        <v>94</v>
      </c>
      <c r="F5" s="671" t="s">
        <v>98</v>
      </c>
      <c r="G5" s="671"/>
    </row>
    <row r="6" spans="2:7" s="83" customFormat="1" ht="26.25" customHeight="1" thickBot="1" x14ac:dyDescent="0.25">
      <c r="B6" s="671"/>
      <c r="C6" s="673"/>
      <c r="D6" s="671"/>
      <c r="E6" s="671"/>
      <c r="F6" s="671" t="s">
        <v>99</v>
      </c>
      <c r="G6" s="671" t="s">
        <v>100</v>
      </c>
    </row>
    <row r="7" spans="2:7" s="83" customFormat="1" ht="13.5" thickBot="1" x14ac:dyDescent="0.25">
      <c r="B7" s="671"/>
      <c r="C7" s="674"/>
      <c r="D7" s="671"/>
      <c r="E7" s="671"/>
      <c r="F7" s="671"/>
      <c r="G7" s="671"/>
    </row>
    <row r="8" spans="2:7" ht="30" customHeight="1" x14ac:dyDescent="0.2">
      <c r="B8" s="91"/>
      <c r="C8" s="93"/>
      <c r="D8" s="43" t="s">
        <v>103</v>
      </c>
      <c r="E8" s="84" t="s">
        <v>101</v>
      </c>
      <c r="F8" s="85">
        <v>300</v>
      </c>
      <c r="G8" s="86">
        <f t="shared" ref="G8:G14" si="0">F8*12</f>
        <v>3600</v>
      </c>
    </row>
    <row r="9" spans="2:7" ht="30" customHeight="1" x14ac:dyDescent="0.2">
      <c r="B9" s="92"/>
      <c r="C9" s="92"/>
      <c r="D9" s="90" t="s">
        <v>103</v>
      </c>
      <c r="E9" s="18" t="s">
        <v>101</v>
      </c>
      <c r="F9" s="85">
        <v>250</v>
      </c>
      <c r="G9" s="86">
        <f t="shared" si="0"/>
        <v>3000</v>
      </c>
    </row>
    <row r="10" spans="2:7" ht="30" customHeight="1" x14ac:dyDescent="0.2">
      <c r="B10" s="92"/>
      <c r="C10" s="92"/>
      <c r="D10" s="90" t="s">
        <v>103</v>
      </c>
      <c r="E10" s="18" t="s">
        <v>101</v>
      </c>
      <c r="F10" s="85">
        <v>250</v>
      </c>
      <c r="G10" s="86">
        <f t="shared" si="0"/>
        <v>3000</v>
      </c>
    </row>
    <row r="11" spans="2:7" ht="30" customHeight="1" x14ac:dyDescent="0.2">
      <c r="B11" s="92"/>
      <c r="C11" s="92"/>
      <c r="D11" s="90" t="s">
        <v>103</v>
      </c>
      <c r="E11" s="18" t="s">
        <v>101</v>
      </c>
      <c r="F11" s="85">
        <v>200</v>
      </c>
      <c r="G11" s="86">
        <f t="shared" si="0"/>
        <v>2400</v>
      </c>
    </row>
    <row r="12" spans="2:7" ht="30" customHeight="1" x14ac:dyDescent="0.2">
      <c r="B12" s="92"/>
      <c r="C12" s="92"/>
      <c r="D12" s="90" t="s">
        <v>103</v>
      </c>
      <c r="E12" s="18" t="s">
        <v>101</v>
      </c>
      <c r="F12" s="85">
        <v>200</v>
      </c>
      <c r="G12" s="86">
        <f t="shared" si="0"/>
        <v>2400</v>
      </c>
    </row>
    <row r="13" spans="2:7" ht="30" customHeight="1" x14ac:dyDescent="0.2">
      <c r="B13" s="92"/>
      <c r="C13" s="92"/>
      <c r="D13" s="90" t="s">
        <v>103</v>
      </c>
      <c r="E13" s="18" t="s">
        <v>101</v>
      </c>
      <c r="F13" s="85">
        <v>200</v>
      </c>
      <c r="G13" s="86">
        <f t="shared" si="0"/>
        <v>2400</v>
      </c>
    </row>
    <row r="14" spans="2:7" ht="30" customHeight="1" x14ac:dyDescent="0.2">
      <c r="B14" s="92"/>
      <c r="C14" s="92"/>
      <c r="D14" s="90" t="s">
        <v>103</v>
      </c>
      <c r="E14" s="18" t="s">
        <v>101</v>
      </c>
      <c r="F14" s="85">
        <v>200</v>
      </c>
      <c r="G14" s="86">
        <f t="shared" si="0"/>
        <v>2400</v>
      </c>
    </row>
    <row r="15" spans="2:7" ht="24.95" customHeight="1" thickBot="1" x14ac:dyDescent="0.25">
      <c r="B15" s="666" t="s">
        <v>102</v>
      </c>
      <c r="C15" s="667"/>
      <c r="D15" s="667"/>
      <c r="E15" s="667"/>
      <c r="F15" s="89">
        <f>SUM(F8:F14)</f>
        <v>1600</v>
      </c>
      <c r="G15" s="89">
        <f>SUM(G8:G14)</f>
        <v>19200</v>
      </c>
    </row>
    <row r="16" spans="2:7" ht="24.95" customHeight="1" thickBot="1" x14ac:dyDescent="0.25">
      <c r="B16" s="668" t="s">
        <v>213</v>
      </c>
      <c r="C16" s="669"/>
      <c r="D16" s="669"/>
      <c r="E16" s="669"/>
      <c r="F16" s="87"/>
      <c r="G16" s="87">
        <f>SUM(G8:G14)</f>
        <v>19200</v>
      </c>
    </row>
    <row r="17" spans="1:4" ht="24.95" customHeight="1" x14ac:dyDescent="0.2"/>
    <row r="18" spans="1:4" ht="24.95" customHeight="1" x14ac:dyDescent="0.2">
      <c r="A18" s="88"/>
      <c r="B18" s="670"/>
      <c r="C18" s="670"/>
      <c r="D18" s="670"/>
    </row>
    <row r="19" spans="1:4" ht="24.95" customHeight="1" x14ac:dyDescent="0.2"/>
  </sheetData>
  <mergeCells count="12">
    <mergeCell ref="B2:G2"/>
    <mergeCell ref="F5:G5"/>
    <mergeCell ref="F6:F7"/>
    <mergeCell ref="G6:G7"/>
    <mergeCell ref="B5:B7"/>
    <mergeCell ref="C5:C7"/>
    <mergeCell ref="D5:D7"/>
    <mergeCell ref="B15:E15"/>
    <mergeCell ref="B16:E16"/>
    <mergeCell ref="B18:D18"/>
    <mergeCell ref="E5:E7"/>
    <mergeCell ref="B3:G3"/>
  </mergeCells>
  <phoneticPr fontId="2" type="noConversion"/>
  <printOptions horizontalCentered="1"/>
  <pageMargins left="0.78740157480314965" right="0.78740157480314965" top="0.98425196850393704" bottom="0.98425196850393704" header="0" footer="0"/>
  <pageSetup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</sheetPr>
  <dimension ref="A1:R36"/>
  <sheetViews>
    <sheetView topLeftCell="A10" workbookViewId="0">
      <selection activeCell="K39" sqref="K39"/>
    </sheetView>
  </sheetViews>
  <sheetFormatPr baseColWidth="10" defaultColWidth="11.42578125" defaultRowHeight="12.75" x14ac:dyDescent="0.2"/>
  <cols>
    <col min="1" max="1" width="10.7109375" style="53" customWidth="1"/>
    <col min="2" max="2" width="5.140625" style="53" customWidth="1"/>
    <col min="3" max="3" width="12.7109375" style="54" customWidth="1"/>
    <col min="4" max="4" width="14.140625" style="54" customWidth="1"/>
    <col min="5" max="5" width="14.5703125" style="54" customWidth="1"/>
    <col min="6" max="6" width="12" style="54" customWidth="1"/>
    <col min="7" max="7" width="8" style="54" customWidth="1"/>
    <col min="8" max="8" width="13.7109375" style="54" customWidth="1"/>
    <col min="9" max="9" width="12.7109375" style="54" customWidth="1"/>
    <col min="10" max="10" width="10.85546875" style="53" customWidth="1"/>
    <col min="11" max="11" width="21.140625" style="53" customWidth="1"/>
    <col min="12" max="12" width="12.28515625" style="53" customWidth="1"/>
    <col min="13" max="13" width="11.5703125" style="53" customWidth="1"/>
    <col min="14" max="14" width="14.5703125" style="53" customWidth="1"/>
    <col min="15" max="15" width="11.7109375" style="53" customWidth="1"/>
    <col min="16" max="17" width="12.5703125" style="53" customWidth="1"/>
    <col min="18" max="16384" width="11.42578125" style="53"/>
  </cols>
  <sheetData>
    <row r="1" spans="1:18" ht="18" x14ac:dyDescent="0.25">
      <c r="A1" s="680" t="s">
        <v>262</v>
      </c>
      <c r="B1" s="680"/>
      <c r="C1" s="680"/>
      <c r="D1" s="680"/>
      <c r="E1" s="680"/>
      <c r="F1" s="680"/>
      <c r="G1" s="680"/>
      <c r="H1" s="680"/>
      <c r="I1" s="680"/>
      <c r="J1" s="685" t="s">
        <v>262</v>
      </c>
      <c r="K1" s="685"/>
      <c r="L1" s="685"/>
      <c r="M1" s="685"/>
      <c r="N1" s="685"/>
      <c r="O1" s="685"/>
      <c r="P1" s="685"/>
      <c r="Q1" s="102"/>
      <c r="R1" s="102"/>
    </row>
    <row r="2" spans="1:18" ht="18" x14ac:dyDescent="0.25">
      <c r="A2" s="680" t="s">
        <v>211</v>
      </c>
      <c r="B2" s="680"/>
      <c r="C2" s="680"/>
      <c r="D2" s="680"/>
      <c r="E2" s="680"/>
      <c r="F2" s="680"/>
      <c r="G2" s="680"/>
      <c r="H2" s="680"/>
      <c r="I2" s="680"/>
      <c r="J2" s="685" t="s">
        <v>211</v>
      </c>
      <c r="K2" s="685"/>
      <c r="L2" s="685"/>
      <c r="M2" s="685"/>
      <c r="N2" s="685"/>
      <c r="O2" s="685"/>
      <c r="P2" s="685"/>
      <c r="Q2" s="102"/>
      <c r="R2" s="102"/>
    </row>
    <row r="3" spans="1:18" ht="18" x14ac:dyDescent="0.25">
      <c r="A3" s="680" t="s">
        <v>290</v>
      </c>
      <c r="B3" s="680"/>
      <c r="C3" s="680"/>
      <c r="D3" s="680"/>
      <c r="E3" s="680"/>
      <c r="F3" s="680"/>
      <c r="G3" s="680"/>
      <c r="H3" s="680"/>
      <c r="I3" s="680"/>
      <c r="J3" s="685" t="s">
        <v>290</v>
      </c>
      <c r="K3" s="685"/>
      <c r="L3" s="685"/>
      <c r="M3" s="685"/>
      <c r="N3" s="685"/>
      <c r="O3" s="685"/>
      <c r="P3" s="685"/>
      <c r="Q3" s="102"/>
      <c r="R3" s="102"/>
    </row>
    <row r="4" spans="1:18" ht="13.5" thickBot="1" x14ac:dyDescent="0.25">
      <c r="J4" s="104" t="s">
        <v>295</v>
      </c>
      <c r="K4" s="21"/>
      <c r="L4" s="21"/>
      <c r="M4" s="21"/>
      <c r="N4" s="21"/>
      <c r="O4" s="21"/>
      <c r="P4" s="21"/>
      <c r="Q4" s="21"/>
      <c r="R4" s="21"/>
    </row>
    <row r="5" spans="1:18" ht="16.5" thickBot="1" x14ac:dyDescent="0.3">
      <c r="A5" s="681" t="s">
        <v>189</v>
      </c>
      <c r="B5" s="681"/>
      <c r="C5" s="681"/>
      <c r="D5" s="681"/>
      <c r="E5" s="681"/>
      <c r="F5" s="681"/>
      <c r="G5" s="681"/>
      <c r="H5" s="681"/>
      <c r="I5" s="681"/>
      <c r="J5" s="110" t="s">
        <v>296</v>
      </c>
      <c r="K5" s="111" t="s">
        <v>111</v>
      </c>
      <c r="L5" s="112" t="s">
        <v>124</v>
      </c>
      <c r="M5" s="111" t="s">
        <v>256</v>
      </c>
      <c r="N5" s="111" t="s">
        <v>257</v>
      </c>
      <c r="O5" s="111" t="s">
        <v>297</v>
      </c>
      <c r="P5" s="111" t="s">
        <v>73</v>
      </c>
      <c r="Q5" s="113" t="s">
        <v>197</v>
      </c>
      <c r="R5" s="21"/>
    </row>
    <row r="6" spans="1:18" x14ac:dyDescent="0.2">
      <c r="A6" s="72"/>
      <c r="B6" s="72"/>
      <c r="C6" s="73"/>
      <c r="D6" s="73"/>
      <c r="E6" s="73"/>
      <c r="F6" s="73"/>
      <c r="G6" s="73"/>
      <c r="H6" s="73"/>
      <c r="I6" s="73"/>
      <c r="J6" s="21"/>
      <c r="K6" s="21"/>
      <c r="L6" s="21"/>
      <c r="M6" s="21"/>
      <c r="N6" s="21"/>
      <c r="O6" s="21"/>
      <c r="P6" s="21"/>
      <c r="Q6" s="103"/>
      <c r="R6" s="21"/>
    </row>
    <row r="7" spans="1:18" x14ac:dyDescent="0.2">
      <c r="A7" s="78" t="s">
        <v>190</v>
      </c>
      <c r="B7" s="74" t="s">
        <v>191</v>
      </c>
      <c r="C7" s="79">
        <v>497124.78</v>
      </c>
      <c r="D7" s="73" t="s">
        <v>192</v>
      </c>
      <c r="E7" s="73"/>
      <c r="F7" s="73" t="s">
        <v>293</v>
      </c>
      <c r="G7" s="73"/>
      <c r="H7" s="101">
        <v>40845</v>
      </c>
      <c r="I7" s="73"/>
      <c r="J7" s="106">
        <v>21109001</v>
      </c>
      <c r="K7" s="107" t="s">
        <v>298</v>
      </c>
      <c r="L7" s="108">
        <v>919.17</v>
      </c>
      <c r="M7" s="108"/>
      <c r="N7" s="108"/>
      <c r="O7" s="108"/>
      <c r="P7" s="108"/>
      <c r="Q7" s="108"/>
      <c r="R7" s="21"/>
    </row>
    <row r="8" spans="1:18" x14ac:dyDescent="0.2">
      <c r="A8" s="79" t="s">
        <v>193</v>
      </c>
      <c r="B8" s="72"/>
      <c r="C8" s="80">
        <v>0.1</v>
      </c>
      <c r="D8" s="73" t="s">
        <v>100</v>
      </c>
      <c r="E8" s="73"/>
      <c r="F8" s="73" t="s">
        <v>292</v>
      </c>
      <c r="G8" s="73"/>
      <c r="H8" s="101">
        <v>46326</v>
      </c>
      <c r="I8" s="73"/>
      <c r="J8" s="106">
        <v>21109002</v>
      </c>
      <c r="K8" s="107" t="s">
        <v>256</v>
      </c>
      <c r="L8" s="108"/>
      <c r="M8" s="108">
        <v>2363.0100000000002</v>
      </c>
      <c r="N8" s="108"/>
      <c r="O8" s="108"/>
      <c r="P8" s="108"/>
      <c r="Q8" s="108"/>
      <c r="R8" s="21"/>
    </row>
    <row r="9" spans="1:18" x14ac:dyDescent="0.2">
      <c r="A9" s="79" t="s">
        <v>194</v>
      </c>
      <c r="B9" s="72"/>
      <c r="C9" s="79">
        <v>46.25</v>
      </c>
      <c r="D9" s="73" t="s">
        <v>195</v>
      </c>
      <c r="E9" s="73"/>
      <c r="F9" s="73"/>
      <c r="G9" s="73"/>
      <c r="H9" s="73"/>
      <c r="I9" s="73"/>
      <c r="J9" s="106">
        <v>21109003</v>
      </c>
      <c r="K9" s="109" t="s">
        <v>299</v>
      </c>
      <c r="L9" s="108"/>
      <c r="M9" s="108"/>
      <c r="N9" s="108">
        <v>761.8</v>
      </c>
      <c r="O9" s="108"/>
      <c r="P9" s="108"/>
      <c r="Q9" s="108"/>
      <c r="R9" s="21"/>
    </row>
    <row r="10" spans="1:18" x14ac:dyDescent="0.2">
      <c r="A10" s="79" t="s">
        <v>196</v>
      </c>
      <c r="B10" s="74" t="s">
        <v>191</v>
      </c>
      <c r="C10" s="79">
        <v>6023.33</v>
      </c>
      <c r="D10" s="73" t="s">
        <v>195</v>
      </c>
      <c r="E10" s="73"/>
      <c r="F10" s="73"/>
      <c r="G10" s="73"/>
      <c r="H10" s="73"/>
      <c r="I10" s="73"/>
      <c r="J10" s="106">
        <v>21109004</v>
      </c>
      <c r="K10" s="109" t="s">
        <v>300</v>
      </c>
      <c r="L10" s="108"/>
      <c r="M10" s="108"/>
      <c r="N10" s="108">
        <v>39359.339999999997</v>
      </c>
      <c r="O10" s="108"/>
      <c r="P10" s="108"/>
      <c r="Q10" s="108"/>
      <c r="R10" s="21"/>
    </row>
    <row r="11" spans="1:18" ht="13.5" thickBot="1" x14ac:dyDescent="0.25">
      <c r="A11" s="72"/>
      <c r="B11" s="73"/>
      <c r="C11" s="73"/>
      <c r="D11" s="73"/>
      <c r="E11" s="73"/>
      <c r="F11" s="73"/>
      <c r="G11" s="73"/>
      <c r="H11" s="73"/>
      <c r="I11" s="73"/>
      <c r="J11" s="106">
        <v>21109068</v>
      </c>
      <c r="K11" s="109" t="s">
        <v>301</v>
      </c>
      <c r="L11" s="108"/>
      <c r="M11" s="108"/>
      <c r="N11" s="108"/>
      <c r="O11" s="108">
        <v>28.05</v>
      </c>
      <c r="P11" s="108"/>
      <c r="Q11" s="108"/>
      <c r="R11" s="21"/>
    </row>
    <row r="12" spans="1:18" x14ac:dyDescent="0.2">
      <c r="A12" s="75"/>
      <c r="B12" s="76"/>
      <c r="C12" s="682" t="s">
        <v>197</v>
      </c>
      <c r="D12" s="683"/>
      <c r="E12" s="682" t="s">
        <v>198</v>
      </c>
      <c r="F12" s="684"/>
      <c r="G12" s="684"/>
      <c r="H12" s="683"/>
      <c r="I12" s="77"/>
      <c r="J12" s="119">
        <v>21109084</v>
      </c>
      <c r="K12" s="109" t="s">
        <v>302</v>
      </c>
      <c r="L12" s="108"/>
      <c r="M12" s="108"/>
      <c r="N12" s="108"/>
      <c r="O12" s="108"/>
      <c r="P12" s="108"/>
      <c r="Q12" s="108">
        <v>67099.22</v>
      </c>
      <c r="R12" s="21"/>
    </row>
    <row r="13" spans="1:18" x14ac:dyDescent="0.2">
      <c r="A13" s="55"/>
      <c r="B13" s="56"/>
      <c r="C13" s="686" t="s">
        <v>199</v>
      </c>
      <c r="D13" s="687"/>
      <c r="E13" s="59" t="s">
        <v>200</v>
      </c>
      <c r="F13" s="59" t="s">
        <v>201</v>
      </c>
      <c r="G13" s="59" t="s">
        <v>202</v>
      </c>
      <c r="H13" s="688" t="s">
        <v>294</v>
      </c>
      <c r="I13" s="60" t="s">
        <v>203</v>
      </c>
      <c r="J13" s="119">
        <v>21109101</v>
      </c>
      <c r="K13" s="109" t="s">
        <v>303</v>
      </c>
      <c r="L13" s="108"/>
      <c r="M13" s="108"/>
      <c r="N13" s="108">
        <v>2.2599999999999998</v>
      </c>
      <c r="O13" s="108"/>
      <c r="P13" s="108"/>
      <c r="Q13" s="108"/>
      <c r="R13" s="21"/>
    </row>
    <row r="14" spans="1:18" x14ac:dyDescent="0.2">
      <c r="A14" s="57" t="s">
        <v>204</v>
      </c>
      <c r="B14" s="58" t="s">
        <v>205</v>
      </c>
      <c r="C14" s="61" t="s">
        <v>212</v>
      </c>
      <c r="D14" s="61" t="s">
        <v>206</v>
      </c>
      <c r="E14" s="62" t="s">
        <v>207</v>
      </c>
      <c r="F14" s="61" t="s">
        <v>208</v>
      </c>
      <c r="G14" s="62" t="s">
        <v>209</v>
      </c>
      <c r="H14" s="689"/>
      <c r="I14" s="63" t="s">
        <v>210</v>
      </c>
      <c r="J14" s="119">
        <v>21109111</v>
      </c>
      <c r="K14" s="109" t="s">
        <v>304</v>
      </c>
      <c r="L14" s="108"/>
      <c r="M14" s="108"/>
      <c r="N14" s="108">
        <v>24.91</v>
      </c>
      <c r="O14" s="108"/>
      <c r="P14" s="108"/>
      <c r="Q14" s="108"/>
      <c r="R14" s="21"/>
    </row>
    <row r="15" spans="1:18" x14ac:dyDescent="0.2">
      <c r="A15" s="100">
        <v>39814</v>
      </c>
      <c r="B15" s="58">
        <v>0</v>
      </c>
      <c r="C15" s="65">
        <v>0</v>
      </c>
      <c r="D15" s="65">
        <v>0</v>
      </c>
      <c r="E15" s="65">
        <v>0</v>
      </c>
      <c r="F15" s="65">
        <v>0</v>
      </c>
      <c r="G15" s="65"/>
      <c r="H15" s="65"/>
      <c r="I15" s="66">
        <v>497124.78</v>
      </c>
      <c r="J15" s="119">
        <v>21109112</v>
      </c>
      <c r="K15" s="109" t="s">
        <v>305</v>
      </c>
      <c r="L15" s="108"/>
      <c r="M15" s="108"/>
      <c r="N15" s="108">
        <v>59.84</v>
      </c>
      <c r="O15" s="108"/>
      <c r="P15" s="108"/>
      <c r="Q15" s="108"/>
      <c r="R15" s="21"/>
    </row>
    <row r="16" spans="1:18" x14ac:dyDescent="0.2">
      <c r="A16" s="100">
        <v>39844</v>
      </c>
      <c r="B16" s="58">
        <v>31</v>
      </c>
      <c r="C16" s="65">
        <f>SUM(I15*31/3600)</f>
        <v>4280.7967166666667</v>
      </c>
      <c r="D16" s="65">
        <f>SUM(C10-C16)</f>
        <v>1742.5332833333332</v>
      </c>
      <c r="E16" s="67">
        <f>SUM(C16:D16)</f>
        <v>6023.33</v>
      </c>
      <c r="F16" s="65">
        <v>46.25</v>
      </c>
      <c r="G16" s="65">
        <v>0</v>
      </c>
      <c r="H16" s="65">
        <f>SUM(E16:G16)</f>
        <v>6069.58</v>
      </c>
      <c r="I16" s="66">
        <f>+I15-D16</f>
        <v>495382.24671666668</v>
      </c>
      <c r="J16" s="119">
        <v>21109114</v>
      </c>
      <c r="K16" s="109" t="s">
        <v>306</v>
      </c>
      <c r="L16" s="108"/>
      <c r="M16" s="108"/>
      <c r="N16" s="108">
        <v>2021.02</v>
      </c>
      <c r="O16" s="108"/>
      <c r="P16" s="108"/>
      <c r="Q16" s="108"/>
      <c r="R16" s="21"/>
    </row>
    <row r="17" spans="1:18" x14ac:dyDescent="0.2">
      <c r="A17" s="100">
        <v>39872</v>
      </c>
      <c r="B17" s="58">
        <v>28</v>
      </c>
      <c r="C17" s="65">
        <f>SUM(I16*28/3600)</f>
        <v>3852.9730300185188</v>
      </c>
      <c r="D17" s="65">
        <f>SUM(C10-C17)</f>
        <v>2170.3569699814811</v>
      </c>
      <c r="E17" s="67">
        <f>SUM(C17:D17)</f>
        <v>6023.33</v>
      </c>
      <c r="F17" s="65">
        <v>46.25</v>
      </c>
      <c r="G17" s="65"/>
      <c r="H17" s="65">
        <f>SUM(E17:G17)</f>
        <v>6069.58</v>
      </c>
      <c r="I17" s="66">
        <f t="shared" ref="I17:I27" si="0">+I16-D17</f>
        <v>493211.88974668522</v>
      </c>
      <c r="J17" s="119">
        <v>21109116</v>
      </c>
      <c r="K17" s="109" t="s">
        <v>307</v>
      </c>
      <c r="L17" s="108"/>
      <c r="M17" s="108"/>
      <c r="N17" s="108">
        <v>14997.17</v>
      </c>
      <c r="O17" s="108"/>
      <c r="P17" s="108"/>
      <c r="Q17" s="108"/>
      <c r="R17" s="21"/>
    </row>
    <row r="18" spans="1:18" x14ac:dyDescent="0.2">
      <c r="A18" s="100">
        <v>39903</v>
      </c>
      <c r="B18" s="58">
        <v>31</v>
      </c>
      <c r="C18" s="65">
        <f>SUM(I17*31/3600)</f>
        <v>4247.1023839297895</v>
      </c>
      <c r="D18" s="65">
        <f>SUM(C10-C18)</f>
        <v>1776.2276160702104</v>
      </c>
      <c r="E18" s="67">
        <f t="shared" ref="E18:E27" si="1">SUM(C18:D18)</f>
        <v>6023.33</v>
      </c>
      <c r="F18" s="65">
        <v>46.25</v>
      </c>
      <c r="G18" s="65"/>
      <c r="H18" s="65">
        <f t="shared" ref="H18:H27" si="2">SUM(E18:G18)</f>
        <v>6069.58</v>
      </c>
      <c r="I18" s="66">
        <f t="shared" si="0"/>
        <v>491435.66213061503</v>
      </c>
      <c r="J18" s="119">
        <v>21109117</v>
      </c>
      <c r="K18" s="109" t="s">
        <v>308</v>
      </c>
      <c r="L18" s="108"/>
      <c r="M18" s="108"/>
      <c r="N18" s="108">
        <v>2191.12</v>
      </c>
      <c r="O18" s="108"/>
      <c r="P18" s="108"/>
      <c r="Q18" s="108"/>
      <c r="R18" s="21"/>
    </row>
    <row r="19" spans="1:18" x14ac:dyDescent="0.2">
      <c r="A19" s="100">
        <v>39933</v>
      </c>
      <c r="B19" s="58">
        <v>30</v>
      </c>
      <c r="C19" s="65">
        <f>SUM(I18*30/3600)</f>
        <v>4095.2971844217923</v>
      </c>
      <c r="D19" s="65">
        <f>SUM(C10-C19)</f>
        <v>1928.0328155782076</v>
      </c>
      <c r="E19" s="67">
        <f t="shared" si="1"/>
        <v>6023.33</v>
      </c>
      <c r="F19" s="65">
        <v>46.25</v>
      </c>
      <c r="G19" s="65"/>
      <c r="H19" s="65">
        <f t="shared" si="2"/>
        <v>6069.58</v>
      </c>
      <c r="I19" s="66">
        <f t="shared" si="0"/>
        <v>489507.62931503681</v>
      </c>
      <c r="J19" s="119">
        <v>21109121</v>
      </c>
      <c r="K19" s="109" t="s">
        <v>309</v>
      </c>
      <c r="L19" s="108"/>
      <c r="M19" s="108"/>
      <c r="N19" s="108"/>
      <c r="O19" s="108">
        <v>2344.64</v>
      </c>
      <c r="P19" s="108"/>
      <c r="Q19" s="108"/>
      <c r="R19" s="21"/>
    </row>
    <row r="20" spans="1:18" x14ac:dyDescent="0.2">
      <c r="A20" s="100">
        <v>39964</v>
      </c>
      <c r="B20" s="58">
        <v>31</v>
      </c>
      <c r="C20" s="65">
        <f>SUM(I19*31/3600)</f>
        <v>4215.2045857683725</v>
      </c>
      <c r="D20" s="65">
        <f>SUM(C10-C20)</f>
        <v>1808.1254142316275</v>
      </c>
      <c r="E20" s="67">
        <f t="shared" si="1"/>
        <v>6023.33</v>
      </c>
      <c r="F20" s="65">
        <v>46.25</v>
      </c>
      <c r="G20" s="65"/>
      <c r="H20" s="65">
        <f t="shared" si="2"/>
        <v>6069.58</v>
      </c>
      <c r="I20" s="66">
        <f t="shared" si="0"/>
        <v>487699.5039008052</v>
      </c>
      <c r="J20" s="119">
        <v>21109123</v>
      </c>
      <c r="K20" s="109" t="s">
        <v>310</v>
      </c>
      <c r="L20" s="108"/>
      <c r="M20" s="108"/>
      <c r="N20" s="108">
        <v>4118.5600000000004</v>
      </c>
      <c r="O20" s="108"/>
      <c r="P20" s="108"/>
      <c r="Q20" s="108"/>
      <c r="R20" s="21"/>
    </row>
    <row r="21" spans="1:18" x14ac:dyDescent="0.2">
      <c r="A21" s="100">
        <v>39994</v>
      </c>
      <c r="B21" s="58">
        <v>30</v>
      </c>
      <c r="C21" s="65">
        <f>SUM(I20*30/3600)</f>
        <v>4064.1625325067098</v>
      </c>
      <c r="D21" s="65">
        <f>SUM(C10-C21)</f>
        <v>1959.1674674932901</v>
      </c>
      <c r="E21" s="67">
        <f t="shared" si="1"/>
        <v>6023.33</v>
      </c>
      <c r="F21" s="65">
        <v>46.25</v>
      </c>
      <c r="G21" s="65"/>
      <c r="H21" s="65">
        <f t="shared" si="2"/>
        <v>6069.58</v>
      </c>
      <c r="I21" s="66">
        <f t="shared" si="0"/>
        <v>485740.33643331192</v>
      </c>
      <c r="J21" s="119">
        <v>21109124</v>
      </c>
      <c r="K21" s="109" t="s">
        <v>311</v>
      </c>
      <c r="L21" s="108"/>
      <c r="M21" s="108"/>
      <c r="N21" s="108">
        <v>24692.04</v>
      </c>
      <c r="O21" s="108"/>
      <c r="P21" s="108"/>
      <c r="Q21" s="108"/>
      <c r="R21" s="21"/>
    </row>
    <row r="22" spans="1:18" x14ac:dyDescent="0.2">
      <c r="A22" s="100">
        <v>40025</v>
      </c>
      <c r="B22" s="58">
        <v>31</v>
      </c>
      <c r="C22" s="65">
        <f>SUM(I21*31/3600)</f>
        <v>4182.7640081757418</v>
      </c>
      <c r="D22" s="65">
        <f>SUM(C10-C22)</f>
        <v>1840.5659918242582</v>
      </c>
      <c r="E22" s="67">
        <f t="shared" si="1"/>
        <v>6023.33</v>
      </c>
      <c r="F22" s="65">
        <v>46.25</v>
      </c>
      <c r="G22" s="65"/>
      <c r="H22" s="65">
        <f t="shared" si="2"/>
        <v>6069.58</v>
      </c>
      <c r="I22" s="66">
        <f t="shared" si="0"/>
        <v>483899.77044148766</v>
      </c>
      <c r="J22" s="119">
        <v>21109125</v>
      </c>
      <c r="K22" s="109" t="s">
        <v>312</v>
      </c>
      <c r="L22" s="108"/>
      <c r="M22" s="108"/>
      <c r="N22" s="108">
        <v>1350</v>
      </c>
      <c r="O22" s="108"/>
      <c r="P22" s="108"/>
      <c r="Q22" s="108"/>
      <c r="R22" s="21"/>
    </row>
    <row r="23" spans="1:18" x14ac:dyDescent="0.2">
      <c r="A23" s="100">
        <v>40056</v>
      </c>
      <c r="B23" s="58">
        <v>31</v>
      </c>
      <c r="C23" s="65">
        <f>SUM(I22*31/3600)</f>
        <v>4166.9146899128109</v>
      </c>
      <c r="D23" s="65">
        <f>SUM(C10-C23)</f>
        <v>1856.415310087189</v>
      </c>
      <c r="E23" s="67">
        <f t="shared" si="1"/>
        <v>6023.33</v>
      </c>
      <c r="F23" s="65">
        <v>46.25</v>
      </c>
      <c r="G23" s="65"/>
      <c r="H23" s="65">
        <f t="shared" si="2"/>
        <v>6069.58</v>
      </c>
      <c r="I23" s="66">
        <f t="shared" si="0"/>
        <v>482043.35513140046</v>
      </c>
      <c r="J23" s="119">
        <v>21109127</v>
      </c>
      <c r="K23" s="109" t="s">
        <v>313</v>
      </c>
      <c r="L23" s="108"/>
      <c r="M23" s="108"/>
      <c r="N23" s="108">
        <v>5497.17</v>
      </c>
      <c r="O23" s="108"/>
      <c r="P23" s="108"/>
      <c r="Q23" s="108"/>
      <c r="R23" s="21"/>
    </row>
    <row r="24" spans="1:18" x14ac:dyDescent="0.2">
      <c r="A24" s="100">
        <v>40086</v>
      </c>
      <c r="B24" s="58">
        <v>30</v>
      </c>
      <c r="C24" s="65">
        <f>SUM(I23*30/3600)</f>
        <v>4017.027959428337</v>
      </c>
      <c r="D24" s="65">
        <f>SUM(C10-C24)</f>
        <v>2006.3020405716629</v>
      </c>
      <c r="E24" s="67">
        <f t="shared" si="1"/>
        <v>6023.33</v>
      </c>
      <c r="F24" s="65">
        <v>46.25</v>
      </c>
      <c r="G24" s="65"/>
      <c r="H24" s="65">
        <f t="shared" si="2"/>
        <v>6069.58</v>
      </c>
      <c r="I24" s="66">
        <f t="shared" si="0"/>
        <v>480037.05309082882</v>
      </c>
      <c r="J24" s="119">
        <v>21109128</v>
      </c>
      <c r="K24" s="109" t="s">
        <v>314</v>
      </c>
      <c r="L24" s="108"/>
      <c r="M24" s="108"/>
      <c r="N24" s="108">
        <v>440.91</v>
      </c>
      <c r="O24" s="108"/>
      <c r="P24" s="108"/>
      <c r="Q24" s="108"/>
      <c r="R24" s="21"/>
    </row>
    <row r="25" spans="1:18" x14ac:dyDescent="0.2">
      <c r="A25" s="100">
        <v>40117</v>
      </c>
      <c r="B25" s="58">
        <v>31</v>
      </c>
      <c r="C25" s="65">
        <f>SUM(I24*31/3600)</f>
        <v>4133.6524016154699</v>
      </c>
      <c r="D25" s="65">
        <f>SUM(C10-C25)</f>
        <v>1889.67759838453</v>
      </c>
      <c r="E25" s="67">
        <f t="shared" si="1"/>
        <v>6023.33</v>
      </c>
      <c r="F25" s="65">
        <v>46.25</v>
      </c>
      <c r="G25" s="65"/>
      <c r="H25" s="65">
        <f t="shared" si="2"/>
        <v>6069.58</v>
      </c>
      <c r="I25" s="66">
        <f t="shared" si="0"/>
        <v>478147.37549244426</v>
      </c>
      <c r="J25" s="119">
        <v>21109129</v>
      </c>
      <c r="K25" s="109" t="s">
        <v>315</v>
      </c>
      <c r="L25" s="108"/>
      <c r="M25" s="108"/>
      <c r="N25" s="108"/>
      <c r="O25" s="108">
        <v>1</v>
      </c>
      <c r="P25" s="108"/>
      <c r="Q25" s="108"/>
      <c r="R25" s="21"/>
    </row>
    <row r="26" spans="1:18" x14ac:dyDescent="0.2">
      <c r="A26" s="100">
        <v>40147</v>
      </c>
      <c r="B26" s="58">
        <v>30</v>
      </c>
      <c r="C26" s="65">
        <f>SUM(I25*30/3600)</f>
        <v>3984.5614624370355</v>
      </c>
      <c r="D26" s="65">
        <f>SUM(C10-C26)</f>
        <v>2038.7685375629644</v>
      </c>
      <c r="E26" s="67">
        <f t="shared" si="1"/>
        <v>6023.33</v>
      </c>
      <c r="F26" s="65">
        <v>46.25</v>
      </c>
      <c r="G26" s="65"/>
      <c r="H26" s="65">
        <f t="shared" si="2"/>
        <v>6069.58</v>
      </c>
      <c r="I26" s="66">
        <f t="shared" si="0"/>
        <v>476108.60695488128</v>
      </c>
      <c r="J26" s="119">
        <v>21109130</v>
      </c>
      <c r="K26" s="109" t="s">
        <v>316</v>
      </c>
      <c r="L26" s="108"/>
      <c r="M26" s="108"/>
      <c r="N26" s="108"/>
      <c r="O26" s="108">
        <v>1</v>
      </c>
      <c r="P26" s="108"/>
      <c r="Q26" s="108"/>
      <c r="R26" s="21"/>
    </row>
    <row r="27" spans="1:18" x14ac:dyDescent="0.2">
      <c r="A27" s="100">
        <v>40178</v>
      </c>
      <c r="B27" s="58">
        <v>31</v>
      </c>
      <c r="C27" s="65">
        <f>SUM(I26*31/3600)</f>
        <v>4099.8241154448106</v>
      </c>
      <c r="D27" s="65">
        <f>SUM(C10-C27)</f>
        <v>1923.5058845551894</v>
      </c>
      <c r="E27" s="67">
        <f t="shared" si="1"/>
        <v>6023.33</v>
      </c>
      <c r="F27" s="65">
        <v>46.25</v>
      </c>
      <c r="G27" s="65"/>
      <c r="H27" s="65">
        <f t="shared" si="2"/>
        <v>6069.58</v>
      </c>
      <c r="I27" s="66">
        <f t="shared" si="0"/>
        <v>474185.10107032611</v>
      </c>
      <c r="J27" s="119">
        <v>21109131</v>
      </c>
      <c r="K27" s="109" t="s">
        <v>317</v>
      </c>
      <c r="L27" s="108"/>
      <c r="M27" s="108"/>
      <c r="N27" s="108">
        <v>658.72</v>
      </c>
      <c r="O27" s="108"/>
      <c r="P27" s="108"/>
      <c r="Q27" s="108"/>
      <c r="R27" s="21"/>
    </row>
    <row r="28" spans="1:18" x14ac:dyDescent="0.2">
      <c r="A28" s="64"/>
      <c r="B28" s="58"/>
      <c r="C28" s="65"/>
      <c r="D28" s="65"/>
      <c r="E28" s="67"/>
      <c r="F28" s="65"/>
      <c r="G28" s="65"/>
      <c r="H28" s="65"/>
      <c r="I28" s="66"/>
      <c r="J28" s="119">
        <v>21109132</v>
      </c>
      <c r="K28" s="109" t="s">
        <v>318</v>
      </c>
      <c r="L28" s="108"/>
      <c r="M28" s="108"/>
      <c r="N28" s="108">
        <v>26711.17</v>
      </c>
      <c r="O28" s="108"/>
      <c r="P28" s="108"/>
      <c r="Q28" s="108"/>
      <c r="R28" s="21"/>
    </row>
    <row r="29" spans="1:18" ht="15.75" thickBot="1" x14ac:dyDescent="0.4">
      <c r="A29" s="68"/>
      <c r="B29" s="69">
        <f t="shared" ref="B29:H29" si="3">SUM(B15:B28)</f>
        <v>365</v>
      </c>
      <c r="C29" s="70">
        <f t="shared" si="3"/>
        <v>49340.281070326062</v>
      </c>
      <c r="D29" s="70">
        <f t="shared" si="3"/>
        <v>22939.678929673944</v>
      </c>
      <c r="E29" s="70">
        <f t="shared" si="3"/>
        <v>72279.960000000006</v>
      </c>
      <c r="F29" s="70">
        <f t="shared" si="3"/>
        <v>555</v>
      </c>
      <c r="G29" s="70">
        <f t="shared" si="3"/>
        <v>0</v>
      </c>
      <c r="H29" s="70">
        <f t="shared" si="3"/>
        <v>72834.960000000006</v>
      </c>
      <c r="I29" s="71"/>
      <c r="J29" s="119">
        <v>21117001</v>
      </c>
      <c r="K29" s="109" t="s">
        <v>319</v>
      </c>
      <c r="L29" s="107"/>
      <c r="M29" s="107"/>
      <c r="N29" s="107"/>
      <c r="O29" s="107"/>
      <c r="P29" s="107">
        <v>270.88</v>
      </c>
      <c r="Q29" s="108"/>
      <c r="R29" s="21"/>
    </row>
    <row r="30" spans="1:18" x14ac:dyDescent="0.2">
      <c r="J30" s="106">
        <v>21117002</v>
      </c>
      <c r="K30" s="109" t="s">
        <v>320</v>
      </c>
      <c r="L30" s="108"/>
      <c r="M30" s="108"/>
      <c r="N30" s="108"/>
      <c r="O30" s="108"/>
      <c r="P30" s="108">
        <v>15646.03</v>
      </c>
      <c r="Q30" s="108"/>
    </row>
    <row r="31" spans="1:18" x14ac:dyDescent="0.2">
      <c r="J31" s="106">
        <v>21117003</v>
      </c>
      <c r="K31" s="109" t="s">
        <v>321</v>
      </c>
      <c r="L31" s="108"/>
      <c r="M31" s="108"/>
      <c r="N31" s="108"/>
      <c r="O31" s="108"/>
      <c r="P31" s="108">
        <v>1</v>
      </c>
      <c r="Q31" s="108"/>
    </row>
    <row r="32" spans="1:18" ht="13.5" thickBot="1" x14ac:dyDescent="0.25">
      <c r="D32" s="677" t="s">
        <v>291</v>
      </c>
      <c r="E32" s="678"/>
      <c r="F32" s="679"/>
      <c r="J32" s="114"/>
      <c r="K32" s="115"/>
      <c r="L32" s="115"/>
      <c r="M32" s="115"/>
      <c r="N32" s="115"/>
      <c r="O32" s="115"/>
      <c r="P32" s="115"/>
      <c r="Q32" s="116"/>
    </row>
    <row r="33" spans="10:17" ht="13.5" thickBot="1" x14ac:dyDescent="0.25">
      <c r="J33" s="675" t="s">
        <v>258</v>
      </c>
      <c r="K33" s="676"/>
      <c r="L33" s="117">
        <f>SUM(L7:L32)</f>
        <v>919.17</v>
      </c>
      <c r="M33" s="117">
        <f t="shared" ref="M33:Q33" si="4">SUM(M7:M32)</f>
        <v>2363.0100000000002</v>
      </c>
      <c r="N33" s="117">
        <f t="shared" si="4"/>
        <v>122886.03</v>
      </c>
      <c r="O33" s="117">
        <f t="shared" si="4"/>
        <v>2374.69</v>
      </c>
      <c r="P33" s="117">
        <f t="shared" si="4"/>
        <v>15917.91</v>
      </c>
      <c r="Q33" s="118">
        <f t="shared" si="4"/>
        <v>67099.22</v>
      </c>
    </row>
    <row r="34" spans="10:17" x14ac:dyDescent="0.2">
      <c r="Q34" s="105"/>
    </row>
    <row r="35" spans="10:17" x14ac:dyDescent="0.2">
      <c r="Q35" s="105"/>
    </row>
    <row r="36" spans="10:17" x14ac:dyDescent="0.2">
      <c r="Q36" s="105"/>
    </row>
  </sheetData>
  <mergeCells count="13">
    <mergeCell ref="J33:K33"/>
    <mergeCell ref="D32:F32"/>
    <mergeCell ref="A1:I1"/>
    <mergeCell ref="A2:I2"/>
    <mergeCell ref="A3:I3"/>
    <mergeCell ref="A5:I5"/>
    <mergeCell ref="C12:D12"/>
    <mergeCell ref="E12:H12"/>
    <mergeCell ref="J1:P1"/>
    <mergeCell ref="J2:P2"/>
    <mergeCell ref="J3:P3"/>
    <mergeCell ref="C13:D13"/>
    <mergeCell ref="H13:H14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J50"/>
  <sheetViews>
    <sheetView workbookViewId="0">
      <selection activeCell="B5" sqref="B5:B6"/>
    </sheetView>
  </sheetViews>
  <sheetFormatPr baseColWidth="10" defaultColWidth="11.42578125" defaultRowHeight="12.75" x14ac:dyDescent="0.2"/>
  <cols>
    <col min="1" max="1" width="9" customWidth="1"/>
    <col min="2" max="2" width="30.7109375" customWidth="1"/>
    <col min="3" max="3" width="14.28515625" customWidth="1"/>
    <col min="4" max="4" width="14.140625" customWidth="1"/>
    <col min="5" max="5" width="15.28515625" customWidth="1"/>
    <col min="6" max="6" width="14.42578125" customWidth="1"/>
    <col min="7" max="7" width="14.28515625" customWidth="1"/>
    <col min="8" max="8" width="13.85546875" customWidth="1"/>
    <col min="9" max="9" width="14.42578125" bestFit="1" customWidth="1"/>
    <col min="10" max="10" width="16.28515625" customWidth="1"/>
  </cols>
  <sheetData>
    <row r="1" spans="1:10" ht="20.25" x14ac:dyDescent="0.2">
      <c r="A1" s="531" t="s">
        <v>409</v>
      </c>
      <c r="B1" s="531"/>
      <c r="C1" s="531"/>
      <c r="D1" s="531"/>
      <c r="E1" s="531"/>
      <c r="F1" s="531"/>
      <c r="G1" s="531"/>
      <c r="H1" s="531"/>
    </row>
    <row r="2" spans="1:10" ht="18" x14ac:dyDescent="0.2">
      <c r="A2" s="532" t="s">
        <v>408</v>
      </c>
      <c r="B2" s="532"/>
      <c r="C2" s="532"/>
      <c r="D2" s="532"/>
      <c r="E2" s="532"/>
      <c r="F2" s="532"/>
      <c r="G2" s="532"/>
      <c r="H2" s="532"/>
    </row>
    <row r="3" spans="1:10" ht="15.75" x14ac:dyDescent="0.2">
      <c r="A3" s="692" t="s">
        <v>338</v>
      </c>
      <c r="B3" s="692"/>
      <c r="C3" s="692"/>
      <c r="D3" s="692"/>
      <c r="E3" s="692"/>
      <c r="F3" s="692"/>
      <c r="G3" s="692"/>
      <c r="H3" s="692"/>
    </row>
    <row r="4" spans="1:10" ht="16.5" customHeight="1" thickBot="1" x14ac:dyDescent="0.25">
      <c r="A4" s="533" t="s">
        <v>496</v>
      </c>
      <c r="B4" s="533"/>
      <c r="C4" s="533"/>
      <c r="D4" s="533"/>
      <c r="E4" s="533"/>
      <c r="F4" s="533"/>
      <c r="G4" s="533"/>
      <c r="H4" s="533"/>
    </row>
    <row r="5" spans="1:10" ht="28.5" customHeight="1" x14ac:dyDescent="0.2">
      <c r="A5" s="695" t="s">
        <v>336</v>
      </c>
      <c r="B5" s="697" t="s">
        <v>111</v>
      </c>
      <c r="C5" s="699" t="s">
        <v>498</v>
      </c>
      <c r="D5" s="699"/>
      <c r="E5" s="700" t="s">
        <v>497</v>
      </c>
      <c r="F5" s="702" t="s">
        <v>559</v>
      </c>
      <c r="G5" s="702" t="s">
        <v>558</v>
      </c>
      <c r="H5" s="702" t="s">
        <v>557</v>
      </c>
    </row>
    <row r="6" spans="1:10" ht="16.5" customHeight="1" thickBot="1" x14ac:dyDescent="0.25">
      <c r="A6" s="696"/>
      <c r="B6" s="698"/>
      <c r="C6" s="360">
        <v>2017</v>
      </c>
      <c r="D6" s="386" t="s">
        <v>503</v>
      </c>
      <c r="E6" s="701"/>
      <c r="F6" s="703"/>
      <c r="G6" s="703"/>
      <c r="H6" s="703"/>
    </row>
    <row r="7" spans="1:10" s="122" customFormat="1" ht="15.95" customHeight="1" x14ac:dyDescent="0.2">
      <c r="A7" s="339" t="s">
        <v>17</v>
      </c>
      <c r="B7" s="340" t="s">
        <v>18</v>
      </c>
      <c r="C7" s="342">
        <v>37047.919999999998</v>
      </c>
      <c r="D7" s="341">
        <f>C7*10%</f>
        <v>3704.7919999999999</v>
      </c>
      <c r="E7" s="341">
        <f>SUM(C7:D7)</f>
        <v>40752.712</v>
      </c>
      <c r="F7" s="361">
        <v>49085.05</v>
      </c>
      <c r="G7" s="361">
        <v>41537.269999999997</v>
      </c>
      <c r="H7" s="361">
        <v>79699.429999999993</v>
      </c>
      <c r="I7" s="152"/>
      <c r="J7" s="211"/>
    </row>
    <row r="8" spans="1:10" s="122" customFormat="1" ht="15.95" customHeight="1" x14ac:dyDescent="0.2">
      <c r="A8" s="339" t="s">
        <v>19</v>
      </c>
      <c r="B8" s="340" t="s">
        <v>20</v>
      </c>
      <c r="C8" s="342">
        <v>183881.74</v>
      </c>
      <c r="D8" s="341">
        <f t="shared" ref="D8:D43" si="0">C8*10%</f>
        <v>18388.173999999999</v>
      </c>
      <c r="E8" s="341">
        <f t="shared" ref="E8:E38" si="1">SUM(C8:D8)</f>
        <v>202269.91399999999</v>
      </c>
      <c r="F8" s="361">
        <v>145573.28</v>
      </c>
      <c r="G8" s="361">
        <v>105417.76</v>
      </c>
      <c r="H8" s="361">
        <v>95564.34</v>
      </c>
      <c r="I8" s="152"/>
      <c r="J8" s="211"/>
    </row>
    <row r="9" spans="1:10" s="122" customFormat="1" ht="15.95" customHeight="1" x14ac:dyDescent="0.2">
      <c r="A9" s="339">
        <v>11803</v>
      </c>
      <c r="B9" s="340" t="s">
        <v>410</v>
      </c>
      <c r="C9" s="342">
        <v>4686.96</v>
      </c>
      <c r="D9" s="341">
        <f t="shared" si="0"/>
        <v>468.69600000000003</v>
      </c>
      <c r="E9" s="341">
        <f t="shared" si="1"/>
        <v>5155.6559999999999</v>
      </c>
      <c r="F9" s="361">
        <v>6163.63</v>
      </c>
      <c r="G9" s="361">
        <v>4068.06</v>
      </c>
      <c r="H9" s="361">
        <v>6331.54</v>
      </c>
      <c r="I9" s="152"/>
      <c r="J9" s="211"/>
    </row>
    <row r="10" spans="1:10" s="122" customFormat="1" ht="15.95" customHeight="1" x14ac:dyDescent="0.2">
      <c r="A10" s="339">
        <v>11804</v>
      </c>
      <c r="B10" s="340" t="s">
        <v>22</v>
      </c>
      <c r="C10" s="342">
        <v>3612</v>
      </c>
      <c r="D10" s="341">
        <f t="shared" si="0"/>
        <v>361.20000000000005</v>
      </c>
      <c r="E10" s="341">
        <f t="shared" si="1"/>
        <v>3973.2</v>
      </c>
      <c r="F10" s="361">
        <v>5719.97</v>
      </c>
      <c r="G10" s="361">
        <v>17010.05</v>
      </c>
      <c r="H10" s="361">
        <v>19307.82</v>
      </c>
      <c r="I10" s="152"/>
      <c r="J10" s="211"/>
    </row>
    <row r="11" spans="1:10" s="122" customFormat="1" ht="15.95" customHeight="1" x14ac:dyDescent="0.2">
      <c r="A11" s="339">
        <v>11817</v>
      </c>
      <c r="B11" s="340" t="s">
        <v>135</v>
      </c>
      <c r="C11" s="342">
        <v>11076.33</v>
      </c>
      <c r="D11" s="341">
        <f t="shared" si="0"/>
        <v>1107.633</v>
      </c>
      <c r="E11" s="341">
        <f t="shared" si="1"/>
        <v>12183.963</v>
      </c>
      <c r="F11" s="361">
        <v>11041.17</v>
      </c>
      <c r="G11" s="361">
        <v>13969.59</v>
      </c>
      <c r="H11" s="361">
        <v>22831.08</v>
      </c>
      <c r="I11" s="152"/>
      <c r="J11" s="211"/>
    </row>
    <row r="12" spans="1:10" s="122" customFormat="1" ht="15.95" customHeight="1" x14ac:dyDescent="0.2">
      <c r="A12" s="339">
        <v>11818</v>
      </c>
      <c r="B12" s="340" t="s">
        <v>411</v>
      </c>
      <c r="C12" s="342">
        <v>2637.17</v>
      </c>
      <c r="D12" s="341">
        <f t="shared" si="0"/>
        <v>263.71700000000004</v>
      </c>
      <c r="E12" s="341">
        <f t="shared" si="1"/>
        <v>2900.8870000000002</v>
      </c>
      <c r="F12" s="361">
        <v>3251.47</v>
      </c>
      <c r="G12" s="361">
        <v>2565.64</v>
      </c>
      <c r="H12" s="361">
        <v>2485.1999999999998</v>
      </c>
      <c r="I12" s="152"/>
      <c r="J12" s="211"/>
    </row>
    <row r="13" spans="1:10" s="122" customFormat="1" ht="15.95" customHeight="1" x14ac:dyDescent="0.2">
      <c r="A13" s="339">
        <v>12105</v>
      </c>
      <c r="B13" s="340" t="s">
        <v>412</v>
      </c>
      <c r="C13" s="342">
        <v>13006.8</v>
      </c>
      <c r="D13" s="341">
        <f t="shared" si="0"/>
        <v>1300.68</v>
      </c>
      <c r="E13" s="341">
        <f t="shared" si="1"/>
        <v>14307.48</v>
      </c>
      <c r="F13" s="361">
        <v>12721.95</v>
      </c>
      <c r="G13" s="361">
        <v>11842.56</v>
      </c>
      <c r="H13" s="361">
        <v>12469.51</v>
      </c>
      <c r="I13" s="152"/>
      <c r="J13" s="211"/>
    </row>
    <row r="14" spans="1:10" s="122" customFormat="1" ht="15.95" customHeight="1" x14ac:dyDescent="0.2">
      <c r="A14" s="339">
        <v>12106</v>
      </c>
      <c r="B14" s="340" t="s">
        <v>268</v>
      </c>
      <c r="C14" s="342">
        <v>417.71</v>
      </c>
      <c r="D14" s="341">
        <f t="shared" si="0"/>
        <v>41.771000000000001</v>
      </c>
      <c r="E14" s="341">
        <f t="shared" si="1"/>
        <v>459.48099999999999</v>
      </c>
      <c r="F14" s="361">
        <v>1723.74</v>
      </c>
      <c r="G14" s="361">
        <v>4552.04</v>
      </c>
      <c r="H14" s="361">
        <v>3955.85</v>
      </c>
      <c r="I14" s="152"/>
      <c r="J14" s="211"/>
    </row>
    <row r="15" spans="1:10" s="122" customFormat="1" ht="15.95" customHeight="1" x14ac:dyDescent="0.2">
      <c r="A15" s="339">
        <v>12108</v>
      </c>
      <c r="B15" s="340" t="s">
        <v>25</v>
      </c>
      <c r="C15" s="342">
        <v>161924.82</v>
      </c>
      <c r="D15" s="341">
        <f t="shared" si="0"/>
        <v>16192.482000000002</v>
      </c>
      <c r="E15" s="341">
        <f t="shared" si="1"/>
        <v>178117.302</v>
      </c>
      <c r="F15" s="361">
        <v>79762.09</v>
      </c>
      <c r="G15" s="361">
        <v>65243.15</v>
      </c>
      <c r="H15" s="361">
        <v>71376.2</v>
      </c>
      <c r="I15" s="152"/>
      <c r="J15" s="211"/>
    </row>
    <row r="16" spans="1:10" s="122" customFormat="1" ht="15.95" customHeight="1" x14ac:dyDescent="0.2">
      <c r="A16" s="339" t="s">
        <v>23</v>
      </c>
      <c r="B16" s="340" t="s">
        <v>24</v>
      </c>
      <c r="C16" s="342">
        <v>130139.64</v>
      </c>
      <c r="D16" s="341">
        <f t="shared" si="0"/>
        <v>13013.964</v>
      </c>
      <c r="E16" s="341">
        <f t="shared" si="1"/>
        <v>143153.60399999999</v>
      </c>
      <c r="F16" s="361">
        <v>106312.83</v>
      </c>
      <c r="G16" s="361">
        <v>81044.83</v>
      </c>
      <c r="H16" s="361">
        <v>75607.350000000006</v>
      </c>
      <c r="I16" s="152"/>
      <c r="J16" s="211"/>
    </row>
    <row r="17" spans="1:10" s="122" customFormat="1" ht="15.95" customHeight="1" x14ac:dyDescent="0.2">
      <c r="A17" s="339" t="s">
        <v>59</v>
      </c>
      <c r="B17" s="340" t="s">
        <v>60</v>
      </c>
      <c r="C17" s="342">
        <v>1462.39</v>
      </c>
      <c r="D17" s="341">
        <f t="shared" si="0"/>
        <v>146.239</v>
      </c>
      <c r="E17" s="341">
        <f t="shared" si="1"/>
        <v>1608.6290000000001</v>
      </c>
      <c r="F17" s="361">
        <v>1207.33</v>
      </c>
      <c r="G17" s="361">
        <v>1133.96</v>
      </c>
      <c r="H17" s="361">
        <v>681.03</v>
      </c>
      <c r="I17" s="152"/>
      <c r="J17" s="211"/>
    </row>
    <row r="18" spans="1:10" s="122" customFormat="1" ht="15.95" customHeight="1" x14ac:dyDescent="0.2">
      <c r="A18" s="339" t="s">
        <v>136</v>
      </c>
      <c r="B18" s="340" t="s">
        <v>137</v>
      </c>
      <c r="C18" s="342"/>
      <c r="D18" s="341">
        <f t="shared" si="0"/>
        <v>0</v>
      </c>
      <c r="E18" s="341">
        <f t="shared" si="1"/>
        <v>0</v>
      </c>
      <c r="F18" s="361"/>
      <c r="G18" s="361"/>
      <c r="H18" s="361"/>
      <c r="I18" s="152"/>
      <c r="J18" s="211"/>
    </row>
    <row r="19" spans="1:10" s="122" customFormat="1" ht="15.95" customHeight="1" x14ac:dyDescent="0.2">
      <c r="A19" s="339" t="s">
        <v>61</v>
      </c>
      <c r="B19" s="340" t="s">
        <v>62</v>
      </c>
      <c r="C19" s="342">
        <v>34326.75</v>
      </c>
      <c r="D19" s="341">
        <f t="shared" si="0"/>
        <v>3432.6750000000002</v>
      </c>
      <c r="E19" s="341">
        <f t="shared" si="1"/>
        <v>37759.425000000003</v>
      </c>
      <c r="F19" s="361">
        <v>28476.12</v>
      </c>
      <c r="G19" s="361">
        <v>24078.66</v>
      </c>
      <c r="H19" s="361">
        <v>21393.86</v>
      </c>
      <c r="I19" s="152"/>
      <c r="J19" s="211"/>
    </row>
    <row r="20" spans="1:10" s="122" customFormat="1" ht="15.95" customHeight="1" x14ac:dyDescent="0.2">
      <c r="A20" s="339" t="s">
        <v>138</v>
      </c>
      <c r="B20" s="340" t="s">
        <v>139</v>
      </c>
      <c r="C20" s="342">
        <v>6735.94</v>
      </c>
      <c r="D20" s="341">
        <f t="shared" si="0"/>
        <v>673.59400000000005</v>
      </c>
      <c r="E20" s="341">
        <f t="shared" si="1"/>
        <v>7409.5339999999997</v>
      </c>
      <c r="F20" s="361">
        <v>5027.32</v>
      </c>
      <c r="G20" s="361">
        <v>7172.75</v>
      </c>
      <c r="H20" s="361">
        <v>8230.27</v>
      </c>
      <c r="I20" s="152"/>
      <c r="J20" s="211"/>
    </row>
    <row r="21" spans="1:10" s="122" customFormat="1" ht="15.95" customHeight="1" x14ac:dyDescent="0.2">
      <c r="A21" s="339" t="s">
        <v>63</v>
      </c>
      <c r="B21" s="340" t="s">
        <v>64</v>
      </c>
      <c r="C21" s="342">
        <v>35994.660000000003</v>
      </c>
      <c r="D21" s="341">
        <f t="shared" si="0"/>
        <v>3599.4660000000003</v>
      </c>
      <c r="E21" s="341">
        <f t="shared" si="1"/>
        <v>39594.126000000004</v>
      </c>
      <c r="F21" s="361">
        <v>31273.24</v>
      </c>
      <c r="G21" s="361">
        <v>22934.59</v>
      </c>
      <c r="H21" s="361">
        <v>23873.97</v>
      </c>
      <c r="I21" s="152"/>
      <c r="J21" s="211"/>
    </row>
    <row r="22" spans="1:10" s="122" customFormat="1" ht="15.95" customHeight="1" x14ac:dyDescent="0.2">
      <c r="A22" s="339" t="s">
        <v>65</v>
      </c>
      <c r="B22" s="340" t="s">
        <v>66</v>
      </c>
      <c r="C22" s="342">
        <v>56157.99</v>
      </c>
      <c r="D22" s="341">
        <f t="shared" si="0"/>
        <v>5615.799</v>
      </c>
      <c r="E22" s="341">
        <f t="shared" si="1"/>
        <v>61773.788999999997</v>
      </c>
      <c r="F22" s="361">
        <v>68719.3</v>
      </c>
      <c r="G22" s="361">
        <v>57597.72</v>
      </c>
      <c r="H22" s="361">
        <v>63390.17</v>
      </c>
      <c r="I22" s="152"/>
      <c r="J22" s="211"/>
    </row>
    <row r="23" spans="1:10" s="122" customFormat="1" ht="15.95" customHeight="1" x14ac:dyDescent="0.2">
      <c r="A23" s="339" t="s">
        <v>67</v>
      </c>
      <c r="B23" s="340" t="s">
        <v>68</v>
      </c>
      <c r="C23" s="342">
        <v>141.85</v>
      </c>
      <c r="D23" s="341">
        <f t="shared" si="0"/>
        <v>14.185</v>
      </c>
      <c r="E23" s="341">
        <f t="shared" si="1"/>
        <v>156.035</v>
      </c>
      <c r="F23" s="361">
        <v>53.43</v>
      </c>
      <c r="G23" s="361">
        <v>138.82</v>
      </c>
      <c r="H23" s="361">
        <v>56</v>
      </c>
      <c r="I23" s="152"/>
      <c r="J23" s="211"/>
    </row>
    <row r="24" spans="1:10" s="122" customFormat="1" ht="15.95" customHeight="1" x14ac:dyDescent="0.2">
      <c r="A24" s="339">
        <v>12199</v>
      </c>
      <c r="B24" s="340" t="s">
        <v>413</v>
      </c>
      <c r="C24" s="342"/>
      <c r="D24" s="341">
        <f t="shared" si="0"/>
        <v>0</v>
      </c>
      <c r="E24" s="341">
        <f t="shared" si="1"/>
        <v>0</v>
      </c>
      <c r="F24" s="361">
        <v>808.99</v>
      </c>
      <c r="G24" s="361">
        <v>3559.88</v>
      </c>
      <c r="H24" s="361">
        <v>17635.189999999999</v>
      </c>
      <c r="I24" s="152"/>
      <c r="J24" s="211"/>
    </row>
    <row r="25" spans="1:10" s="122" customFormat="1" ht="15.95" customHeight="1" x14ac:dyDescent="0.2">
      <c r="A25" s="339">
        <v>12123</v>
      </c>
      <c r="B25" s="340" t="s">
        <v>337</v>
      </c>
      <c r="C25" s="342"/>
      <c r="D25" s="341">
        <f t="shared" si="0"/>
        <v>0</v>
      </c>
      <c r="E25" s="341">
        <f t="shared" ref="E25" si="2">SUM(C25:D25)</f>
        <v>0</v>
      </c>
      <c r="F25" s="361"/>
      <c r="G25" s="361"/>
      <c r="H25" s="361"/>
      <c r="I25" s="152"/>
      <c r="J25" s="211"/>
    </row>
    <row r="26" spans="1:10" s="122" customFormat="1" ht="15.95" customHeight="1" x14ac:dyDescent="0.2">
      <c r="A26" s="339" t="s">
        <v>118</v>
      </c>
      <c r="B26" s="340" t="s">
        <v>140</v>
      </c>
      <c r="C26" s="342">
        <v>83048.58</v>
      </c>
      <c r="D26" s="341">
        <f t="shared" si="0"/>
        <v>8304.8580000000002</v>
      </c>
      <c r="E26" s="341">
        <f t="shared" si="1"/>
        <v>91353.437999999995</v>
      </c>
      <c r="F26" s="361">
        <v>91309.32</v>
      </c>
      <c r="G26" s="361">
        <v>83884.490000000005</v>
      </c>
      <c r="H26" s="361">
        <v>43969.82</v>
      </c>
      <c r="I26" s="152"/>
      <c r="J26" s="211"/>
    </row>
    <row r="27" spans="1:10" s="122" customFormat="1" ht="15.95" customHeight="1" x14ac:dyDescent="0.2">
      <c r="A27" s="339" t="s">
        <v>26</v>
      </c>
      <c r="B27" s="340" t="s">
        <v>27</v>
      </c>
      <c r="C27" s="342">
        <v>21.08</v>
      </c>
      <c r="D27" s="341">
        <f t="shared" si="0"/>
        <v>2.1080000000000001</v>
      </c>
      <c r="E27" s="341">
        <f t="shared" si="1"/>
        <v>23.187999999999999</v>
      </c>
      <c r="F27" s="361">
        <v>1.08</v>
      </c>
      <c r="G27" s="361">
        <v>7</v>
      </c>
      <c r="H27" s="361">
        <v>14.34</v>
      </c>
      <c r="I27" s="152"/>
      <c r="J27" s="211"/>
    </row>
    <row r="28" spans="1:10" s="122" customFormat="1" ht="15.95" customHeight="1" x14ac:dyDescent="0.2">
      <c r="A28" s="339" t="s">
        <v>142</v>
      </c>
      <c r="B28" s="340" t="s">
        <v>143</v>
      </c>
      <c r="C28" s="342"/>
      <c r="D28" s="341">
        <f t="shared" si="0"/>
        <v>0</v>
      </c>
      <c r="E28" s="341">
        <f t="shared" si="1"/>
        <v>0</v>
      </c>
      <c r="F28" s="361"/>
      <c r="G28" s="361"/>
      <c r="H28" s="361"/>
      <c r="I28" s="152"/>
      <c r="J28" s="211"/>
    </row>
    <row r="29" spans="1:10" s="122" customFormat="1" ht="15.95" customHeight="1" x14ac:dyDescent="0.2">
      <c r="A29" s="339" t="s">
        <v>28</v>
      </c>
      <c r="B29" s="340" t="s">
        <v>29</v>
      </c>
      <c r="C29" s="342">
        <v>978.4</v>
      </c>
      <c r="D29" s="341">
        <f t="shared" si="0"/>
        <v>97.84</v>
      </c>
      <c r="E29" s="341">
        <f t="shared" si="1"/>
        <v>1076.24</v>
      </c>
      <c r="F29" s="361">
        <v>52.57</v>
      </c>
      <c r="G29" s="361"/>
      <c r="H29" s="361"/>
      <c r="I29" s="152"/>
      <c r="J29" s="211"/>
    </row>
    <row r="30" spans="1:10" s="122" customFormat="1" ht="15.95" customHeight="1" x14ac:dyDescent="0.2">
      <c r="A30" s="339" t="s">
        <v>30</v>
      </c>
      <c r="B30" s="340" t="s">
        <v>31</v>
      </c>
      <c r="C30" s="342">
        <v>10554.35</v>
      </c>
      <c r="D30" s="341">
        <f t="shared" si="0"/>
        <v>1055.4350000000002</v>
      </c>
      <c r="E30" s="341">
        <f t="shared" si="1"/>
        <v>11609.785</v>
      </c>
      <c r="F30" s="361">
        <v>1657.08</v>
      </c>
      <c r="G30" s="361">
        <v>459.79</v>
      </c>
      <c r="H30" s="361"/>
      <c r="I30" s="152"/>
      <c r="J30" s="211"/>
    </row>
    <row r="31" spans="1:10" s="122" customFormat="1" ht="15.95" customHeight="1" x14ac:dyDescent="0.2">
      <c r="A31" s="339" t="s">
        <v>33</v>
      </c>
      <c r="B31" s="340" t="s">
        <v>32</v>
      </c>
      <c r="C31" s="342">
        <v>8286.35</v>
      </c>
      <c r="D31" s="341">
        <f t="shared" si="0"/>
        <v>828.6350000000001</v>
      </c>
      <c r="E31" s="341">
        <f t="shared" si="1"/>
        <v>9114.9850000000006</v>
      </c>
      <c r="F31" s="361">
        <v>6983.55</v>
      </c>
      <c r="G31" s="361">
        <v>5931.81</v>
      </c>
      <c r="H31" s="361">
        <v>7127.94</v>
      </c>
      <c r="I31" s="152"/>
      <c r="J31" s="211"/>
    </row>
    <row r="32" spans="1:10" s="122" customFormat="1" ht="15.95" customHeight="1" x14ac:dyDescent="0.2">
      <c r="A32" s="339">
        <v>15310</v>
      </c>
      <c r="B32" s="340" t="s">
        <v>414</v>
      </c>
      <c r="C32" s="342">
        <v>571.45000000000005</v>
      </c>
      <c r="D32" s="341">
        <f t="shared" si="0"/>
        <v>57.14500000000001</v>
      </c>
      <c r="E32" s="341">
        <f t="shared" si="1"/>
        <v>628.59500000000003</v>
      </c>
      <c r="F32" s="361">
        <v>714.9</v>
      </c>
      <c r="G32" s="361">
        <v>1718.32</v>
      </c>
      <c r="H32" s="361"/>
      <c r="I32" s="152"/>
      <c r="J32" s="211"/>
    </row>
    <row r="33" spans="1:10" s="122" customFormat="1" ht="15.95" customHeight="1" x14ac:dyDescent="0.2">
      <c r="A33" s="339">
        <v>15312</v>
      </c>
      <c r="B33" s="340" t="s">
        <v>339</v>
      </c>
      <c r="C33" s="342">
        <v>225.55</v>
      </c>
      <c r="D33" s="341">
        <f t="shared" si="0"/>
        <v>22.555000000000003</v>
      </c>
      <c r="E33" s="341">
        <f t="shared" ref="E33" si="3">SUM(C33:D33)</f>
        <v>248.10500000000002</v>
      </c>
      <c r="F33" s="361">
        <v>157.05000000000001</v>
      </c>
      <c r="G33" s="361">
        <v>42.84</v>
      </c>
      <c r="H33" s="361"/>
      <c r="I33" s="152"/>
      <c r="J33" s="211"/>
    </row>
    <row r="34" spans="1:10" s="122" customFormat="1" ht="15.95" customHeight="1" x14ac:dyDescent="0.2">
      <c r="A34" s="339" t="s">
        <v>105</v>
      </c>
      <c r="B34" s="340" t="s">
        <v>106</v>
      </c>
      <c r="C34" s="342"/>
      <c r="D34" s="341">
        <f t="shared" si="0"/>
        <v>0</v>
      </c>
      <c r="E34" s="341">
        <f t="shared" si="1"/>
        <v>0</v>
      </c>
      <c r="F34" s="361">
        <v>9225.6299999999992</v>
      </c>
      <c r="G34" s="361">
        <v>9006.83</v>
      </c>
      <c r="H34" s="361">
        <v>10152.36</v>
      </c>
      <c r="I34" s="152"/>
      <c r="J34" s="211"/>
    </row>
    <row r="35" spans="1:10" s="122" customFormat="1" ht="15.95" customHeight="1" x14ac:dyDescent="0.2">
      <c r="A35" s="339">
        <v>15399</v>
      </c>
      <c r="B35" s="340" t="s">
        <v>322</v>
      </c>
      <c r="C35" s="342"/>
      <c r="D35" s="341">
        <f t="shared" si="0"/>
        <v>0</v>
      </c>
      <c r="E35" s="341">
        <f t="shared" si="1"/>
        <v>0</v>
      </c>
      <c r="F35" s="361"/>
      <c r="G35" s="361"/>
      <c r="H35" s="361"/>
      <c r="I35" s="152"/>
      <c r="J35" s="211"/>
    </row>
    <row r="36" spans="1:10" s="122" customFormat="1" ht="15.95" customHeight="1" x14ac:dyDescent="0.2">
      <c r="A36" s="339" t="s">
        <v>69</v>
      </c>
      <c r="B36" s="340" t="s">
        <v>70</v>
      </c>
      <c r="C36" s="342"/>
      <c r="D36" s="341">
        <f t="shared" si="0"/>
        <v>0</v>
      </c>
      <c r="E36" s="341">
        <f t="shared" si="1"/>
        <v>0</v>
      </c>
      <c r="F36" s="361">
        <v>617.6</v>
      </c>
      <c r="G36" s="361"/>
      <c r="H36" s="361"/>
      <c r="I36" s="152"/>
      <c r="J36" s="211"/>
    </row>
    <row r="37" spans="1:10" s="122" customFormat="1" ht="15.95" customHeight="1" x14ac:dyDescent="0.2">
      <c r="A37" s="339" t="s">
        <v>71</v>
      </c>
      <c r="B37" s="340" t="s">
        <v>72</v>
      </c>
      <c r="C37" s="342">
        <f>9131.45+3077.33</f>
        <v>12208.78</v>
      </c>
      <c r="D37" s="341">
        <f t="shared" si="0"/>
        <v>1220.8780000000002</v>
      </c>
      <c r="E37" s="341">
        <f>SUM(C37:D37)+0.51</f>
        <v>13430.168000000001</v>
      </c>
      <c r="F37" s="361">
        <v>423.51</v>
      </c>
      <c r="G37" s="361">
        <v>101.3</v>
      </c>
      <c r="H37" s="361">
        <v>8339.19</v>
      </c>
      <c r="I37" s="152"/>
      <c r="J37" s="211"/>
    </row>
    <row r="38" spans="1:10" s="122" customFormat="1" ht="15.95" customHeight="1" x14ac:dyDescent="0.2">
      <c r="A38" s="339" t="s">
        <v>176</v>
      </c>
      <c r="B38" s="340" t="s">
        <v>144</v>
      </c>
      <c r="C38" s="341"/>
      <c r="D38" s="341">
        <f t="shared" si="0"/>
        <v>0</v>
      </c>
      <c r="E38" s="341">
        <f t="shared" si="1"/>
        <v>0</v>
      </c>
      <c r="F38" s="361"/>
      <c r="G38" s="361"/>
      <c r="H38" s="361"/>
      <c r="I38" s="152"/>
      <c r="J38" s="211"/>
    </row>
    <row r="39" spans="1:10" s="122" customFormat="1" ht="15.95" customHeight="1" x14ac:dyDescent="0.2">
      <c r="A39" s="339" t="s">
        <v>263</v>
      </c>
      <c r="B39" s="340" t="s">
        <v>264</v>
      </c>
      <c r="C39" s="341"/>
      <c r="D39" s="341">
        <f t="shared" si="0"/>
        <v>0</v>
      </c>
      <c r="E39" s="341">
        <v>0</v>
      </c>
      <c r="F39" s="361"/>
      <c r="G39" s="361"/>
      <c r="H39" s="361"/>
      <c r="I39" s="152"/>
      <c r="J39" s="211"/>
    </row>
    <row r="40" spans="1:10" s="122" customFormat="1" ht="15.95" customHeight="1" x14ac:dyDescent="0.2">
      <c r="A40" s="339" t="s">
        <v>259</v>
      </c>
      <c r="B40" s="340" t="s">
        <v>260</v>
      </c>
      <c r="C40" s="341"/>
      <c r="D40" s="341">
        <f t="shared" si="0"/>
        <v>0</v>
      </c>
      <c r="E40" s="341">
        <v>0</v>
      </c>
      <c r="F40" s="361"/>
      <c r="G40" s="361"/>
      <c r="H40" s="361"/>
      <c r="I40" s="152"/>
      <c r="J40" s="211"/>
    </row>
    <row r="41" spans="1:10" s="122" customFormat="1" ht="15.95" customHeight="1" x14ac:dyDescent="0.2">
      <c r="A41" s="339" t="s">
        <v>90</v>
      </c>
      <c r="B41" s="340" t="s">
        <v>265</v>
      </c>
      <c r="C41" s="341"/>
      <c r="D41" s="341">
        <f t="shared" si="0"/>
        <v>0</v>
      </c>
      <c r="E41" s="341"/>
      <c r="F41" s="361"/>
      <c r="G41" s="361"/>
      <c r="H41" s="361"/>
      <c r="I41" s="152"/>
      <c r="J41" s="211"/>
    </row>
    <row r="42" spans="1:10" s="122" customFormat="1" ht="15.95" customHeight="1" x14ac:dyDescent="0.2">
      <c r="A42" s="339" t="s">
        <v>261</v>
      </c>
      <c r="B42" s="340" t="s">
        <v>489</v>
      </c>
      <c r="C42" s="341"/>
      <c r="D42" s="341">
        <f t="shared" si="0"/>
        <v>0</v>
      </c>
      <c r="E42" s="341">
        <v>104067.87</v>
      </c>
      <c r="F42" s="361"/>
      <c r="G42" s="361"/>
      <c r="H42" s="361"/>
      <c r="I42" s="152"/>
      <c r="J42" s="211"/>
    </row>
    <row r="43" spans="1:10" s="122" customFormat="1" ht="15.95" customHeight="1" thickBot="1" x14ac:dyDescent="0.25">
      <c r="A43" s="339"/>
      <c r="B43" s="374" t="s">
        <v>491</v>
      </c>
      <c r="C43" s="341"/>
      <c r="D43" s="341">
        <f t="shared" si="0"/>
        <v>0</v>
      </c>
      <c r="E43" s="341"/>
      <c r="F43" s="361"/>
      <c r="G43" s="361"/>
      <c r="H43" s="361"/>
      <c r="I43" s="152"/>
      <c r="J43" s="211"/>
    </row>
    <row r="44" spans="1:10" ht="21.75" customHeight="1" thickBot="1" x14ac:dyDescent="0.45">
      <c r="A44" s="693" t="s">
        <v>258</v>
      </c>
      <c r="B44" s="694"/>
      <c r="C44" s="362">
        <f>SUM(C7:C43)</f>
        <v>799145.20999999985</v>
      </c>
      <c r="D44" s="362">
        <f>SUM(D7:D43)</f>
        <v>79914.520999999993</v>
      </c>
      <c r="E44" s="365">
        <f>SUM(E7:E43)-0.01</f>
        <v>983128.10099999991</v>
      </c>
      <c r="F44" s="364">
        <f>SUM(F7:F43)</f>
        <v>668063.20000000019</v>
      </c>
      <c r="G44" s="363">
        <f>SUM(G7:G43)</f>
        <v>565019.71000000008</v>
      </c>
      <c r="H44" s="363">
        <f>SUM(H7:H43)</f>
        <v>594492.45999999985</v>
      </c>
      <c r="J44" s="209"/>
    </row>
    <row r="45" spans="1:10" ht="13.5" thickBot="1" x14ac:dyDescent="0.25">
      <c r="A45" s="53"/>
      <c r="B45" s="53"/>
      <c r="C45" s="690">
        <f>+C44+D44</f>
        <v>879059.7309999998</v>
      </c>
      <c r="D45" s="691"/>
      <c r="E45" s="53"/>
      <c r="F45" s="97"/>
      <c r="G45" s="97"/>
    </row>
    <row r="46" spans="1:10" x14ac:dyDescent="0.2">
      <c r="A46" s="53"/>
      <c r="B46" s="53"/>
      <c r="C46" s="53"/>
      <c r="D46" s="343"/>
      <c r="E46" s="53"/>
      <c r="F46" s="97"/>
      <c r="G46" s="97"/>
      <c r="H46" s="210"/>
    </row>
    <row r="47" spans="1:10" x14ac:dyDescent="0.2">
      <c r="F47" s="97"/>
      <c r="G47" s="97"/>
    </row>
    <row r="48" spans="1:10" x14ac:dyDescent="0.2">
      <c r="F48" s="97"/>
      <c r="G48" s="97"/>
    </row>
    <row r="49" spans="6:7" x14ac:dyDescent="0.2">
      <c r="F49" s="97"/>
      <c r="G49" s="97"/>
    </row>
    <row r="50" spans="6:7" x14ac:dyDescent="0.2">
      <c r="F50" s="97"/>
      <c r="G50" s="97"/>
    </row>
  </sheetData>
  <sheetProtection algorithmName="SHA-512" hashValue="G2rcRnFvfx9+qibOK+FMQGttH7w/7WRRBQH2FqQ65wo7oe6uh4k7nDEc4ZVh5wIXJ//LMwt0E7xeMI+Lhjf1zA==" saltValue="SRxmeTVubTPHYll4AW42PA==" spinCount="100000" sheet="1" objects="1" scenarios="1"/>
  <mergeCells count="13">
    <mergeCell ref="C45:D45"/>
    <mergeCell ref="A1:H1"/>
    <mergeCell ref="A2:H2"/>
    <mergeCell ref="A3:H3"/>
    <mergeCell ref="A4:H4"/>
    <mergeCell ref="A44:B44"/>
    <mergeCell ref="A5:A6"/>
    <mergeCell ref="B5:B6"/>
    <mergeCell ref="C5:D5"/>
    <mergeCell ref="E5:E6"/>
    <mergeCell ref="F5:F6"/>
    <mergeCell ref="G5:G6"/>
    <mergeCell ref="H5:H6"/>
  </mergeCells>
  <printOptions horizontalCentered="1"/>
  <pageMargins left="0.25" right="0.51181102362204722" top="1.03" bottom="0.55118110236220474" header="0.31496062992125984" footer="0.31496062992125984"/>
  <pageSetup scale="95" orientation="landscape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D97"/>
  <sheetViews>
    <sheetView zoomScaleNormal="100" workbookViewId="0">
      <pane ySplit="1" topLeftCell="A2" activePane="bottomLeft" state="frozen"/>
      <selection activeCell="X1" sqref="X1"/>
      <selection pane="bottomLeft" activeCell="K52" sqref="K52"/>
    </sheetView>
  </sheetViews>
  <sheetFormatPr baseColWidth="10" defaultColWidth="11.42578125" defaultRowHeight="12.75" x14ac:dyDescent="0.2"/>
  <cols>
    <col min="1" max="1" width="3.5703125" customWidth="1"/>
    <col min="2" max="2" width="66.42578125" customWidth="1"/>
    <col min="3" max="3" width="14.85546875" customWidth="1"/>
    <col min="4" max="4" width="13.42578125" customWidth="1"/>
    <col min="5" max="5" width="14.28515625" customWidth="1"/>
    <col min="6" max="6" width="13.42578125" customWidth="1"/>
    <col min="7" max="8" width="6.85546875" customWidth="1"/>
    <col min="9" max="9" width="6.7109375" customWidth="1"/>
    <col min="10" max="10" width="6" customWidth="1"/>
    <col min="11" max="11" width="7" customWidth="1"/>
    <col min="12" max="12" width="8.7109375" customWidth="1"/>
    <col min="13" max="14" width="6.85546875" customWidth="1"/>
    <col min="15" max="16" width="5.85546875" customWidth="1"/>
    <col min="17" max="17" width="7.5703125" bestFit="1" customWidth="1"/>
    <col min="18" max="18" width="10.140625" customWidth="1"/>
    <col min="19" max="21" width="6.140625" customWidth="1"/>
    <col min="22" max="25" width="7.42578125" customWidth="1"/>
    <col min="26" max="26" width="5.140625" customWidth="1"/>
    <col min="27" max="27" width="8" customWidth="1"/>
    <col min="28" max="28" width="6" bestFit="1" customWidth="1"/>
    <col min="29" max="29" width="7" customWidth="1"/>
    <col min="30" max="30" width="7.85546875" customWidth="1"/>
    <col min="31" max="31" width="8.7109375" customWidth="1"/>
    <col min="32" max="32" width="8.42578125" customWidth="1"/>
    <col min="33" max="33" width="7.7109375" customWidth="1"/>
    <col min="34" max="34" width="8.5703125" customWidth="1"/>
    <col min="35" max="35" width="6.42578125" customWidth="1"/>
    <col min="36" max="36" width="9" customWidth="1"/>
    <col min="37" max="37" width="7.7109375" customWidth="1"/>
    <col min="38" max="38" width="6.85546875" customWidth="1"/>
    <col min="39" max="44" width="5.85546875" customWidth="1"/>
    <col min="45" max="45" width="11" customWidth="1"/>
    <col min="46" max="46" width="5.85546875" customWidth="1"/>
    <col min="47" max="47" width="6.28515625" customWidth="1"/>
    <col min="48" max="48" width="8.7109375" customWidth="1"/>
    <col min="49" max="49" width="6.28515625" customWidth="1"/>
    <col min="50" max="50" width="14.42578125" customWidth="1"/>
    <col min="51" max="51" width="18.140625" customWidth="1"/>
  </cols>
  <sheetData>
    <row r="1" spans="1:56" ht="48.75" customHeight="1" x14ac:dyDescent="0.25">
      <c r="A1" s="584" t="s">
        <v>452</v>
      </c>
      <c r="B1" s="584"/>
      <c r="C1" s="584"/>
      <c r="D1" s="584"/>
      <c r="E1" s="584"/>
      <c r="F1" s="153"/>
      <c r="G1" s="490" t="str">
        <f>'Egr.FODES 75%'!E11</f>
        <v>Sueldos</v>
      </c>
      <c r="H1" s="490" t="s">
        <v>405</v>
      </c>
      <c r="I1" s="491" t="str">
        <f>'Egr.FODES 75%'!E13</f>
        <v>Contribuciones patronales a Instit. Sector Publico</v>
      </c>
      <c r="J1" s="491" t="str">
        <f>'Egr.FODES 75%'!E14</f>
        <v>Contrib. Patronales a institucionesl del Sector Priv.</v>
      </c>
      <c r="K1" s="491" t="str">
        <f>'Egr.FODES 75%'!E15</f>
        <v>Salarios por Jornal</v>
      </c>
      <c r="L1" s="491" t="str">
        <f>'Egr.FODES 75%'!E16</f>
        <v>Honorarios</v>
      </c>
      <c r="M1" s="491" t="s">
        <v>383</v>
      </c>
      <c r="N1" s="491" t="str">
        <f>'Egr.FODES 75%'!E18</f>
        <v>Productos Agropecuarios y Forestales</v>
      </c>
      <c r="O1" s="491" t="s">
        <v>389</v>
      </c>
      <c r="P1" s="491" t="s">
        <v>390</v>
      </c>
      <c r="Q1" s="491" t="str">
        <f>'Egr.FODES 75%'!E23</f>
        <v>Combustibles y Lubricantes</v>
      </c>
      <c r="R1" s="491" t="str">
        <f>'Egr.FODES 75%'!E24</f>
        <v>Miner. No Metalicos y Prod. Der.</v>
      </c>
      <c r="S1" s="491" t="str">
        <f>'Egr.FODES 75%'!E26</f>
        <v>Materiales de Oficina</v>
      </c>
      <c r="T1" s="491" t="s">
        <v>449</v>
      </c>
      <c r="U1" s="491" t="s">
        <v>80</v>
      </c>
      <c r="V1" s="491" t="str">
        <f>'Egr.FODES 75%'!E29</f>
        <v>Herramientas, Repuestos y Accesorios</v>
      </c>
      <c r="W1" s="491" t="s">
        <v>543</v>
      </c>
      <c r="X1" s="491" t="s">
        <v>544</v>
      </c>
      <c r="Y1" s="491" t="s">
        <v>545</v>
      </c>
      <c r="Z1" s="491" t="str">
        <f>'Egr.FODES 75%'!E30</f>
        <v>Materiales Electricos</v>
      </c>
      <c r="AA1" s="491" t="str">
        <f>'Egr.FODES 75%'!E31</f>
        <v>Bienes de Uso y Consumo Diverso</v>
      </c>
      <c r="AB1" s="491" t="str">
        <f>'Egr.FODES 75%'!E34</f>
        <v>Mantenimiento  y Repar. de Bienes  Muebles</v>
      </c>
      <c r="AC1" s="491" t="s">
        <v>462</v>
      </c>
      <c r="AD1" s="491" t="str">
        <f>'Egr.FODES 75%'!E37</f>
        <v>Transportes Fletes y almacenamientos</v>
      </c>
      <c r="AE1" s="491" t="str">
        <f>'Egr.FODES 75%'!E42</f>
        <v>Atenciones Oficiales</v>
      </c>
      <c r="AF1" s="491" t="str">
        <f>'Egr.FODES 75%'!E44</f>
        <v>Servicios Generales y Arrendamientos Diversos</v>
      </c>
      <c r="AG1" s="491" t="str">
        <f>'Egr.FODES 75%'!E52</f>
        <v>A Personas Naturales</v>
      </c>
      <c r="AH1" s="491" t="str">
        <f>'Egr.FODES 75%'!E53</f>
        <v>Becas</v>
      </c>
      <c r="AI1" s="491" t="str">
        <f>'Egr.FODES 75%'!E55</f>
        <v>Maquinaria y Equipos (61102)</v>
      </c>
      <c r="AJ1" s="491" t="s">
        <v>381</v>
      </c>
      <c r="AK1" s="491" t="s">
        <v>450</v>
      </c>
      <c r="AL1" s="491" t="s">
        <v>382</v>
      </c>
      <c r="AM1" s="491" t="s">
        <v>384</v>
      </c>
      <c r="AN1" s="491" t="s">
        <v>385</v>
      </c>
      <c r="AO1" s="491" t="s">
        <v>386</v>
      </c>
      <c r="AP1" s="491" t="s">
        <v>387</v>
      </c>
      <c r="AQ1" s="491" t="s">
        <v>391</v>
      </c>
      <c r="AR1" s="491" t="s">
        <v>230</v>
      </c>
      <c r="AS1" s="491" t="s">
        <v>455</v>
      </c>
      <c r="AT1" s="491" t="s">
        <v>456</v>
      </c>
      <c r="AU1" s="491" t="s">
        <v>380</v>
      </c>
      <c r="AV1" s="491" t="s">
        <v>463</v>
      </c>
      <c r="AW1" s="491" t="s">
        <v>457</v>
      </c>
      <c r="AX1" s="707"/>
      <c r="AY1" s="706"/>
      <c r="AZ1" s="149"/>
      <c r="BA1" s="149"/>
      <c r="BB1" s="149"/>
      <c r="BC1" s="149"/>
      <c r="BD1" s="149"/>
    </row>
    <row r="2" spans="1:56" ht="16.5" customHeight="1" x14ac:dyDescent="0.25">
      <c r="A2" s="626" t="s">
        <v>541</v>
      </c>
      <c r="B2" s="626"/>
      <c r="C2" s="626"/>
      <c r="D2" s="626"/>
      <c r="E2" s="626"/>
      <c r="F2" s="150"/>
      <c r="G2" s="490"/>
      <c r="H2" s="490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  <c r="X2" s="491"/>
      <c r="Y2" s="491"/>
      <c r="Z2" s="491"/>
      <c r="AA2" s="491"/>
      <c r="AB2" s="491"/>
      <c r="AC2" s="491"/>
      <c r="AD2" s="491"/>
      <c r="AE2" s="491"/>
      <c r="AF2" s="491"/>
      <c r="AG2" s="491"/>
      <c r="AH2" s="491"/>
      <c r="AI2" s="491"/>
      <c r="AJ2" s="491"/>
      <c r="AK2" s="491"/>
      <c r="AL2" s="491"/>
      <c r="AM2" s="491"/>
      <c r="AN2" s="491"/>
      <c r="AO2" s="491"/>
      <c r="AP2" s="491"/>
      <c r="AQ2" s="491"/>
      <c r="AR2" s="491"/>
      <c r="AS2" s="491"/>
      <c r="AT2" s="491"/>
      <c r="AU2" s="491"/>
      <c r="AV2" s="491"/>
      <c r="AW2" s="491"/>
      <c r="AX2" s="707"/>
      <c r="AY2" s="706"/>
      <c r="AZ2" s="149"/>
      <c r="BA2" s="149"/>
      <c r="BB2" s="149"/>
      <c r="BC2" s="149"/>
      <c r="BD2" s="149"/>
    </row>
    <row r="3" spans="1:56" ht="21" customHeight="1" x14ac:dyDescent="0.2">
      <c r="A3" s="376"/>
      <c r="B3" s="403"/>
      <c r="C3" s="403"/>
      <c r="D3" s="404">
        <v>2018</v>
      </c>
      <c r="E3" s="403">
        <v>2017</v>
      </c>
      <c r="F3" s="405"/>
      <c r="G3" s="492"/>
      <c r="H3" s="492"/>
      <c r="I3" s="493"/>
      <c r="J3" s="493"/>
      <c r="K3" s="493"/>
      <c r="L3" s="493"/>
      <c r="M3" s="493"/>
      <c r="N3" s="493"/>
      <c r="O3" s="493"/>
      <c r="P3" s="493"/>
      <c r="Q3" s="493"/>
      <c r="R3" s="493"/>
      <c r="S3" s="493"/>
      <c r="T3" s="493"/>
      <c r="U3" s="493"/>
      <c r="V3" s="493"/>
      <c r="W3" s="493"/>
      <c r="X3" s="493"/>
      <c r="Y3" s="493"/>
      <c r="Z3" s="493"/>
      <c r="AA3" s="493"/>
      <c r="AB3" s="493"/>
      <c r="AC3" s="493"/>
      <c r="AD3" s="493"/>
      <c r="AE3" s="493"/>
      <c r="AF3" s="493"/>
      <c r="AG3" s="493"/>
      <c r="AH3" s="493"/>
      <c r="AI3" s="493"/>
      <c r="AJ3" s="493"/>
      <c r="AK3" s="493"/>
      <c r="AL3" s="493"/>
      <c r="AM3" s="493"/>
      <c r="AN3" s="493"/>
      <c r="AO3" s="493"/>
      <c r="AP3" s="493"/>
      <c r="AQ3" s="493"/>
      <c r="AR3" s="493"/>
      <c r="AS3" s="493"/>
      <c r="AT3" s="493"/>
      <c r="AU3" s="493"/>
      <c r="AV3" s="493"/>
      <c r="AW3" s="493"/>
      <c r="AX3" s="493"/>
      <c r="AY3" s="494"/>
      <c r="AZ3" s="149"/>
      <c r="BA3" s="149"/>
      <c r="BB3" s="149"/>
      <c r="BC3" s="149"/>
      <c r="BD3" s="149"/>
    </row>
    <row r="4" spans="1:56" ht="18" customHeight="1" x14ac:dyDescent="0.2">
      <c r="A4" s="512"/>
      <c r="B4" s="513" t="s">
        <v>505</v>
      </c>
      <c r="C4" s="513"/>
      <c r="D4" s="514"/>
      <c r="E4" s="513" t="s">
        <v>378</v>
      </c>
      <c r="F4" s="515"/>
      <c r="G4" s="495"/>
      <c r="H4" s="495"/>
      <c r="I4" s="495"/>
      <c r="J4" s="495"/>
      <c r="K4" s="495"/>
      <c r="L4" s="495"/>
      <c r="M4" s="495"/>
      <c r="N4" s="495"/>
      <c r="O4" s="495"/>
      <c r="P4" s="495"/>
      <c r="Q4" s="495"/>
      <c r="R4" s="495"/>
      <c r="S4" s="495"/>
      <c r="T4" s="495"/>
      <c r="U4" s="495"/>
      <c r="V4" s="495"/>
      <c r="W4" s="495"/>
      <c r="X4" s="495"/>
      <c r="Y4" s="495"/>
      <c r="Z4" s="495"/>
      <c r="AA4" s="495"/>
      <c r="AB4" s="495"/>
      <c r="AC4" s="495"/>
      <c r="AD4" s="495"/>
      <c r="AE4" s="495"/>
      <c r="AF4" s="495"/>
      <c r="AG4" s="495"/>
      <c r="AH4" s="495"/>
      <c r="AI4" s="495"/>
      <c r="AJ4" s="495"/>
      <c r="AK4" s="495"/>
      <c r="AL4" s="495"/>
      <c r="AM4" s="495"/>
      <c r="AN4" s="495"/>
      <c r="AO4" s="495"/>
      <c r="AP4" s="495"/>
      <c r="AQ4" s="495"/>
      <c r="AR4" s="495"/>
      <c r="AS4" s="495"/>
      <c r="AT4" s="495"/>
      <c r="AU4" s="495"/>
      <c r="AV4" s="495"/>
      <c r="AW4" s="495"/>
      <c r="AX4" s="495"/>
      <c r="AY4" s="495"/>
    </row>
    <row r="5" spans="1:56" ht="18" customHeight="1" x14ac:dyDescent="0.2">
      <c r="A5" s="413">
        <v>1</v>
      </c>
      <c r="B5" s="406" t="s">
        <v>527</v>
      </c>
      <c r="C5" s="406"/>
      <c r="D5" s="407">
        <v>20000</v>
      </c>
      <c r="E5" s="407"/>
      <c r="F5" s="408">
        <f>SUM(G5:AW5)</f>
        <v>20000</v>
      </c>
      <c r="G5" s="495"/>
      <c r="H5" s="495"/>
      <c r="I5" s="495"/>
      <c r="J5" s="495"/>
      <c r="K5" s="495"/>
      <c r="L5" s="496">
        <v>2000</v>
      </c>
      <c r="M5" s="495"/>
      <c r="N5" s="495"/>
      <c r="O5" s="495"/>
      <c r="P5" s="495"/>
      <c r="Q5" s="495"/>
      <c r="R5" s="495"/>
      <c r="S5" s="495"/>
      <c r="T5" s="495"/>
      <c r="U5" s="495"/>
      <c r="V5" s="495"/>
      <c r="W5" s="495"/>
      <c r="X5" s="495"/>
      <c r="Y5" s="495"/>
      <c r="Z5" s="495"/>
      <c r="AA5" s="495"/>
      <c r="AB5" s="495"/>
      <c r="AC5" s="495"/>
      <c r="AD5" s="496"/>
      <c r="AE5" s="496">
        <v>1000</v>
      </c>
      <c r="AF5" s="496">
        <v>1000</v>
      </c>
      <c r="AG5" s="496">
        <v>16000</v>
      </c>
      <c r="AH5" s="496"/>
      <c r="AI5" s="495"/>
      <c r="AJ5" s="495"/>
      <c r="AK5" s="495"/>
      <c r="AL5" s="495"/>
      <c r="AM5" s="495"/>
      <c r="AN5" s="495"/>
      <c r="AO5" s="495"/>
      <c r="AP5" s="495"/>
      <c r="AQ5" s="495"/>
      <c r="AR5" s="495"/>
      <c r="AS5" s="495"/>
      <c r="AT5" s="495"/>
      <c r="AU5" s="495"/>
      <c r="AV5" s="496"/>
      <c r="AW5" s="496"/>
      <c r="AX5" s="496">
        <f t="shared" ref="AX5:AX16" si="0">SUM(G5:AU5)</f>
        <v>20000</v>
      </c>
      <c r="AY5" s="496">
        <f t="shared" ref="AY5:AY16" si="1">SUM(G5:AU5)</f>
        <v>20000</v>
      </c>
      <c r="BA5" s="151"/>
    </row>
    <row r="6" spans="1:56" ht="18" customHeight="1" x14ac:dyDescent="0.2">
      <c r="A6" s="413">
        <f>A5+1</f>
        <v>2</v>
      </c>
      <c r="B6" s="406" t="s">
        <v>528</v>
      </c>
      <c r="C6" s="406"/>
      <c r="D6" s="407"/>
      <c r="E6" s="407">
        <f>880+180+205.41+200+258.78+3738.07+825.3+347.98+309.4+340+238.5+718.15+735.28</f>
        <v>8976.8700000000008</v>
      </c>
      <c r="F6" s="408"/>
      <c r="G6" s="495"/>
      <c r="H6" s="495"/>
      <c r="I6" s="495"/>
      <c r="J6" s="495"/>
      <c r="K6" s="495"/>
      <c r="L6" s="496"/>
      <c r="M6" s="495"/>
      <c r="N6" s="495"/>
      <c r="O6" s="495"/>
      <c r="P6" s="495"/>
      <c r="Q6" s="495"/>
      <c r="R6" s="495"/>
      <c r="S6" s="495"/>
      <c r="T6" s="495"/>
      <c r="U6" s="495"/>
      <c r="V6" s="495"/>
      <c r="W6" s="495"/>
      <c r="X6" s="495"/>
      <c r="Y6" s="495"/>
      <c r="Z6" s="495"/>
      <c r="AA6" s="495"/>
      <c r="AB6" s="495"/>
      <c r="AC6" s="495"/>
      <c r="AD6" s="496"/>
      <c r="AE6" s="496"/>
      <c r="AF6" s="496"/>
      <c r="AG6" s="496"/>
      <c r="AH6" s="496"/>
      <c r="AI6" s="495"/>
      <c r="AJ6" s="495"/>
      <c r="AK6" s="495"/>
      <c r="AL6" s="495"/>
      <c r="AM6" s="495"/>
      <c r="AN6" s="495"/>
      <c r="AO6" s="495"/>
      <c r="AP6" s="495"/>
      <c r="AQ6" s="495"/>
      <c r="AR6" s="495"/>
      <c r="AS6" s="495"/>
      <c r="AT6" s="495"/>
      <c r="AU6" s="495"/>
      <c r="AV6" s="496"/>
      <c r="AW6" s="496"/>
      <c r="AX6" s="496"/>
      <c r="AY6" s="496"/>
      <c r="BA6" s="151"/>
    </row>
    <row r="7" spans="1:56" ht="18" customHeight="1" x14ac:dyDescent="0.2">
      <c r="A7" s="413">
        <f t="shared" ref="A7:A18" si="2">A6+1</f>
        <v>3</v>
      </c>
      <c r="B7" s="406" t="s">
        <v>542</v>
      </c>
      <c r="C7" s="406"/>
      <c r="D7" s="407">
        <v>26000</v>
      </c>
      <c r="E7" s="407"/>
      <c r="F7" s="408">
        <f t="shared" ref="F7:F18" si="3">SUM(G7:AW7)</f>
        <v>26000</v>
      </c>
      <c r="G7" s="495"/>
      <c r="H7" s="495"/>
      <c r="I7" s="495"/>
      <c r="J7" s="495"/>
      <c r="K7" s="495"/>
      <c r="L7" s="495"/>
      <c r="M7" s="495"/>
      <c r="N7" s="495"/>
      <c r="O7" s="495"/>
      <c r="P7" s="495"/>
      <c r="Q7" s="495"/>
      <c r="R7" s="495"/>
      <c r="S7" s="495"/>
      <c r="T7" s="495">
        <v>13000</v>
      </c>
      <c r="U7" s="496"/>
      <c r="V7" s="496"/>
      <c r="W7" s="496"/>
      <c r="X7" s="496"/>
      <c r="Y7" s="496"/>
      <c r="Z7" s="496"/>
      <c r="AA7" s="496"/>
      <c r="AB7" s="496"/>
      <c r="AC7" s="496"/>
      <c r="AD7" s="496"/>
      <c r="AE7" s="496"/>
      <c r="AF7" s="496"/>
      <c r="AG7" s="496"/>
      <c r="AH7" s="496">
        <v>13000</v>
      </c>
      <c r="AI7" s="496"/>
      <c r="AJ7" s="496"/>
      <c r="AK7" s="496"/>
      <c r="AL7" s="495"/>
      <c r="AM7" s="495"/>
      <c r="AN7" s="495"/>
      <c r="AO7" s="495"/>
      <c r="AP7" s="495"/>
      <c r="AQ7" s="495"/>
      <c r="AR7" s="495"/>
      <c r="AS7" s="495"/>
      <c r="AT7" s="495"/>
      <c r="AU7" s="495"/>
      <c r="AV7" s="496"/>
      <c r="AW7" s="496"/>
      <c r="AX7" s="496">
        <f t="shared" si="0"/>
        <v>26000</v>
      </c>
      <c r="AY7" s="496">
        <f t="shared" si="1"/>
        <v>26000</v>
      </c>
    </row>
    <row r="8" spans="1:56" ht="18" customHeight="1" x14ac:dyDescent="0.2">
      <c r="A8" s="413">
        <f t="shared" si="2"/>
        <v>4</v>
      </c>
      <c r="B8" s="406" t="s">
        <v>529</v>
      </c>
      <c r="C8" s="406"/>
      <c r="D8" s="407">
        <v>156837.53</v>
      </c>
      <c r="E8" s="407">
        <v>30482.03</v>
      </c>
      <c r="F8" s="408">
        <f t="shared" si="3"/>
        <v>156837.53</v>
      </c>
      <c r="G8" s="495"/>
      <c r="H8" s="495"/>
      <c r="I8" s="495"/>
      <c r="J8" s="495"/>
      <c r="K8" s="495"/>
      <c r="L8" s="495"/>
      <c r="M8" s="495"/>
      <c r="N8" s="495"/>
      <c r="O8" s="495"/>
      <c r="P8" s="495"/>
      <c r="Q8" s="495"/>
      <c r="R8" s="495"/>
      <c r="S8" s="495"/>
      <c r="T8" s="495"/>
      <c r="U8" s="496"/>
      <c r="V8" s="496"/>
      <c r="W8" s="496"/>
      <c r="X8" s="496"/>
      <c r="Y8" s="496"/>
      <c r="Z8" s="496"/>
      <c r="AA8" s="496"/>
      <c r="AB8" s="496"/>
      <c r="AC8" s="496"/>
      <c r="AD8" s="496"/>
      <c r="AE8" s="496"/>
      <c r="AF8" s="496"/>
      <c r="AG8" s="496"/>
      <c r="AH8" s="496"/>
      <c r="AI8" s="496"/>
      <c r="AJ8" s="496">
        <v>98360.03</v>
      </c>
      <c r="AK8" s="496">
        <f>5085*11+2542.5</f>
        <v>58477.5</v>
      </c>
      <c r="AL8" s="495"/>
      <c r="AM8" s="495"/>
      <c r="AN8" s="495"/>
      <c r="AO8" s="495"/>
      <c r="AP8" s="495"/>
      <c r="AQ8" s="495"/>
      <c r="AR8" s="495"/>
      <c r="AS8" s="495"/>
      <c r="AT8" s="495"/>
      <c r="AU8" s="495"/>
      <c r="AV8" s="496"/>
      <c r="AW8" s="496"/>
      <c r="AX8" s="496">
        <f t="shared" si="0"/>
        <v>156837.53</v>
      </c>
      <c r="AY8" s="496">
        <f t="shared" si="1"/>
        <v>156837.53</v>
      </c>
    </row>
    <row r="9" spans="1:56" ht="18" customHeight="1" x14ac:dyDescent="0.2">
      <c r="A9" s="413">
        <f t="shared" si="2"/>
        <v>5</v>
      </c>
      <c r="B9" s="406" t="s">
        <v>525</v>
      </c>
      <c r="C9" s="406"/>
      <c r="D9" s="407"/>
      <c r="E9" s="407">
        <f>3000+4800+1500+51.5+300+1650+2000+427.05+800+5400+2700+1200+660+80+250+1350+904+5085+160+3500+4000</f>
        <v>39817.550000000003</v>
      </c>
      <c r="F9" s="408"/>
      <c r="G9" s="495"/>
      <c r="H9" s="495"/>
      <c r="I9" s="495"/>
      <c r="J9" s="495"/>
      <c r="K9" s="495"/>
      <c r="L9" s="495"/>
      <c r="M9" s="495"/>
      <c r="N9" s="495"/>
      <c r="O9" s="495"/>
      <c r="P9" s="495"/>
      <c r="Q9" s="495"/>
      <c r="R9" s="495"/>
      <c r="S9" s="495"/>
      <c r="T9" s="495"/>
      <c r="U9" s="496"/>
      <c r="V9" s="496"/>
      <c r="W9" s="496"/>
      <c r="X9" s="496"/>
      <c r="Y9" s="496"/>
      <c r="Z9" s="496"/>
      <c r="AA9" s="496"/>
      <c r="AB9" s="496"/>
      <c r="AC9" s="496"/>
      <c r="AD9" s="496"/>
      <c r="AE9" s="496"/>
      <c r="AF9" s="496"/>
      <c r="AG9" s="496"/>
      <c r="AH9" s="496"/>
      <c r="AI9" s="496"/>
      <c r="AJ9" s="496"/>
      <c r="AK9" s="496"/>
      <c r="AL9" s="495"/>
      <c r="AM9" s="495"/>
      <c r="AN9" s="495"/>
      <c r="AO9" s="495"/>
      <c r="AP9" s="495"/>
      <c r="AQ9" s="495"/>
      <c r="AR9" s="495"/>
      <c r="AS9" s="495"/>
      <c r="AT9" s="495"/>
      <c r="AU9" s="495"/>
      <c r="AV9" s="496"/>
      <c r="AW9" s="496"/>
      <c r="AX9" s="496"/>
      <c r="AY9" s="496"/>
    </row>
    <row r="10" spans="1:56" ht="18" customHeight="1" x14ac:dyDescent="0.2">
      <c r="A10" s="413">
        <f t="shared" si="2"/>
        <v>6</v>
      </c>
      <c r="B10" s="406" t="s">
        <v>502</v>
      </c>
      <c r="C10" s="406"/>
      <c r="D10" s="407">
        <v>41340</v>
      </c>
      <c r="E10" s="407"/>
      <c r="F10" s="408">
        <f t="shared" si="3"/>
        <v>41340</v>
      </c>
      <c r="G10" s="495"/>
      <c r="H10" s="495"/>
      <c r="I10" s="495"/>
      <c r="J10" s="495"/>
      <c r="K10" s="495"/>
      <c r="L10" s="495"/>
      <c r="M10" s="495"/>
      <c r="N10" s="495"/>
      <c r="O10" s="495"/>
      <c r="P10" s="495"/>
      <c r="Q10" s="495"/>
      <c r="R10" s="495"/>
      <c r="S10" s="495"/>
      <c r="T10" s="495"/>
      <c r="U10" s="496"/>
      <c r="V10" s="496"/>
      <c r="W10" s="496"/>
      <c r="X10" s="496"/>
      <c r="Y10" s="496"/>
      <c r="Z10" s="496"/>
      <c r="AA10" s="496"/>
      <c r="AB10" s="496"/>
      <c r="AC10" s="496"/>
      <c r="AD10" s="496"/>
      <c r="AE10" s="496">
        <v>41340</v>
      </c>
      <c r="AF10" s="496"/>
      <c r="AG10" s="496"/>
      <c r="AH10" s="496"/>
      <c r="AI10" s="496"/>
      <c r="AJ10" s="496"/>
      <c r="AK10" s="496"/>
      <c r="AL10" s="495"/>
      <c r="AM10" s="495"/>
      <c r="AN10" s="495"/>
      <c r="AO10" s="495"/>
      <c r="AP10" s="495"/>
      <c r="AQ10" s="495"/>
      <c r="AR10" s="495"/>
      <c r="AS10" s="495"/>
      <c r="AT10" s="495"/>
      <c r="AU10" s="495"/>
      <c r="AV10" s="496"/>
      <c r="AW10" s="496"/>
      <c r="AX10" s="496">
        <f t="shared" si="0"/>
        <v>41340</v>
      </c>
      <c r="AY10" s="496">
        <f t="shared" si="1"/>
        <v>41340</v>
      </c>
    </row>
    <row r="11" spans="1:56" ht="18" customHeight="1" x14ac:dyDescent="0.2">
      <c r="A11" s="413">
        <f t="shared" si="2"/>
        <v>7</v>
      </c>
      <c r="B11" s="406" t="s">
        <v>535</v>
      </c>
      <c r="C11" s="406"/>
      <c r="D11" s="407">
        <v>6000</v>
      </c>
      <c r="E11" s="407"/>
      <c r="F11" s="408">
        <f t="shared" si="3"/>
        <v>6000</v>
      </c>
      <c r="G11" s="495"/>
      <c r="H11" s="495"/>
      <c r="I11" s="495"/>
      <c r="J11" s="495"/>
      <c r="K11" s="495"/>
      <c r="L11" s="496">
        <v>1500</v>
      </c>
      <c r="M11" s="496"/>
      <c r="N11" s="496"/>
      <c r="O11" s="495"/>
      <c r="P11" s="495"/>
      <c r="Q11" s="495"/>
      <c r="R11" s="495"/>
      <c r="S11" s="495"/>
      <c r="T11" s="495"/>
      <c r="U11" s="496"/>
      <c r="V11" s="496"/>
      <c r="W11" s="496"/>
      <c r="X11" s="496"/>
      <c r="Y11" s="496"/>
      <c r="Z11" s="496"/>
      <c r="AA11" s="496">
        <v>2000</v>
      </c>
      <c r="AB11" s="496"/>
      <c r="AC11" s="496"/>
      <c r="AD11" s="496">
        <v>1000</v>
      </c>
      <c r="AE11" s="496">
        <v>1500</v>
      </c>
      <c r="AF11" s="496"/>
      <c r="AG11" s="496"/>
      <c r="AH11" s="496"/>
      <c r="AI11" s="496"/>
      <c r="AJ11" s="496"/>
      <c r="AK11" s="496"/>
      <c r="AL11" s="495"/>
      <c r="AM11" s="495"/>
      <c r="AN11" s="495"/>
      <c r="AO11" s="495"/>
      <c r="AP11" s="495"/>
      <c r="AQ11" s="495"/>
      <c r="AR11" s="495"/>
      <c r="AS11" s="495"/>
      <c r="AT11" s="495"/>
      <c r="AU11" s="495"/>
      <c r="AV11" s="496"/>
      <c r="AW11" s="496"/>
      <c r="AX11" s="496">
        <f t="shared" si="0"/>
        <v>6000</v>
      </c>
      <c r="AY11" s="496">
        <f t="shared" si="1"/>
        <v>6000</v>
      </c>
    </row>
    <row r="12" spans="1:56" ht="18" customHeight="1" x14ac:dyDescent="0.2">
      <c r="A12" s="413">
        <f t="shared" si="2"/>
        <v>8</v>
      </c>
      <c r="B12" s="406" t="s">
        <v>534</v>
      </c>
      <c r="C12" s="406"/>
      <c r="D12" s="407"/>
      <c r="E12" s="407">
        <v>2120</v>
      </c>
      <c r="F12" s="408"/>
      <c r="G12" s="495"/>
      <c r="H12" s="495"/>
      <c r="I12" s="495"/>
      <c r="J12" s="495"/>
      <c r="K12" s="495"/>
      <c r="L12" s="496"/>
      <c r="M12" s="496"/>
      <c r="N12" s="496"/>
      <c r="O12" s="495"/>
      <c r="P12" s="495"/>
      <c r="Q12" s="495"/>
      <c r="R12" s="495"/>
      <c r="S12" s="495"/>
      <c r="T12" s="495"/>
      <c r="U12" s="496"/>
      <c r="V12" s="496"/>
      <c r="W12" s="496"/>
      <c r="X12" s="496"/>
      <c r="Y12" s="496"/>
      <c r="Z12" s="496"/>
      <c r="AA12" s="496"/>
      <c r="AB12" s="496"/>
      <c r="AC12" s="496"/>
      <c r="AD12" s="496"/>
      <c r="AE12" s="496"/>
      <c r="AF12" s="496"/>
      <c r="AG12" s="496"/>
      <c r="AH12" s="496"/>
      <c r="AI12" s="496"/>
      <c r="AJ12" s="496"/>
      <c r="AK12" s="496"/>
      <c r="AL12" s="495"/>
      <c r="AM12" s="495"/>
      <c r="AN12" s="495"/>
      <c r="AO12" s="495"/>
      <c r="AP12" s="495"/>
      <c r="AQ12" s="495"/>
      <c r="AR12" s="495"/>
      <c r="AS12" s="495"/>
      <c r="AT12" s="495"/>
      <c r="AU12" s="495"/>
      <c r="AV12" s="496"/>
      <c r="AW12" s="496"/>
      <c r="AX12" s="496"/>
      <c r="AY12" s="496"/>
    </row>
    <row r="13" spans="1:56" ht="18" customHeight="1" x14ac:dyDescent="0.2">
      <c r="A13" s="413">
        <f t="shared" si="2"/>
        <v>9</v>
      </c>
      <c r="B13" s="406" t="s">
        <v>532</v>
      </c>
      <c r="C13" s="406"/>
      <c r="D13" s="407">
        <f>7000-122.41</f>
        <v>6877.59</v>
      </c>
      <c r="E13" s="407"/>
      <c r="F13" s="408">
        <f t="shared" si="3"/>
        <v>6877.59</v>
      </c>
      <c r="G13" s="495"/>
      <c r="H13" s="495"/>
      <c r="I13" s="495"/>
      <c r="J13" s="495"/>
      <c r="K13" s="495"/>
      <c r="L13" s="496">
        <v>1500</v>
      </c>
      <c r="M13" s="496"/>
      <c r="N13" s="496"/>
      <c r="O13" s="495"/>
      <c r="P13" s="495"/>
      <c r="Q13" s="495"/>
      <c r="R13" s="495">
        <v>0</v>
      </c>
      <c r="S13" s="495"/>
      <c r="T13" s="495"/>
      <c r="U13" s="496"/>
      <c r="V13" s="496"/>
      <c r="W13" s="496"/>
      <c r="X13" s="496"/>
      <c r="Y13" s="496"/>
      <c r="Z13" s="496"/>
      <c r="AA13" s="496"/>
      <c r="AB13" s="496"/>
      <c r="AC13" s="496"/>
      <c r="AD13" s="496">
        <v>1500</v>
      </c>
      <c r="AE13" s="496">
        <f>3500+377.59</f>
        <v>3877.59</v>
      </c>
      <c r="AF13" s="496"/>
      <c r="AG13" s="496"/>
      <c r="AH13" s="496"/>
      <c r="AI13" s="496"/>
      <c r="AJ13" s="496"/>
      <c r="AK13" s="496"/>
      <c r="AL13" s="495"/>
      <c r="AM13" s="495"/>
      <c r="AN13" s="495"/>
      <c r="AO13" s="495"/>
      <c r="AP13" s="495"/>
      <c r="AQ13" s="495"/>
      <c r="AR13" s="495"/>
      <c r="AS13" s="495"/>
      <c r="AT13" s="495"/>
      <c r="AU13" s="495"/>
      <c r="AV13" s="496"/>
      <c r="AW13" s="496"/>
      <c r="AX13" s="496">
        <f t="shared" si="0"/>
        <v>6877.59</v>
      </c>
      <c r="AY13" s="496">
        <f t="shared" si="1"/>
        <v>6877.59</v>
      </c>
    </row>
    <row r="14" spans="1:56" ht="18" customHeight="1" x14ac:dyDescent="0.2">
      <c r="A14" s="413">
        <f t="shared" si="2"/>
        <v>10</v>
      </c>
      <c r="B14" s="406" t="s">
        <v>533</v>
      </c>
      <c r="C14" s="406"/>
      <c r="D14" s="407"/>
      <c r="E14" s="407">
        <v>2149.6999999999998</v>
      </c>
      <c r="F14" s="408"/>
      <c r="G14" s="495"/>
      <c r="H14" s="495"/>
      <c r="I14" s="495"/>
      <c r="J14" s="495"/>
      <c r="K14" s="495"/>
      <c r="L14" s="496"/>
      <c r="M14" s="496"/>
      <c r="N14" s="496"/>
      <c r="O14" s="495"/>
      <c r="P14" s="495"/>
      <c r="Q14" s="495"/>
      <c r="R14" s="495"/>
      <c r="S14" s="495"/>
      <c r="T14" s="495"/>
      <c r="U14" s="496"/>
      <c r="V14" s="496"/>
      <c r="W14" s="496"/>
      <c r="X14" s="496"/>
      <c r="Y14" s="496"/>
      <c r="Z14" s="496"/>
      <c r="AA14" s="496"/>
      <c r="AB14" s="496"/>
      <c r="AC14" s="496"/>
      <c r="AD14" s="496"/>
      <c r="AE14" s="496"/>
      <c r="AF14" s="496"/>
      <c r="AG14" s="496"/>
      <c r="AH14" s="496"/>
      <c r="AI14" s="496"/>
      <c r="AJ14" s="496"/>
      <c r="AK14" s="496"/>
      <c r="AL14" s="495"/>
      <c r="AM14" s="495"/>
      <c r="AN14" s="495"/>
      <c r="AO14" s="495"/>
      <c r="AP14" s="495"/>
      <c r="AQ14" s="495"/>
      <c r="AR14" s="495"/>
      <c r="AS14" s="495"/>
      <c r="AT14" s="495"/>
      <c r="AU14" s="495"/>
      <c r="AV14" s="496"/>
      <c r="AW14" s="496"/>
      <c r="AX14" s="496"/>
      <c r="AY14" s="496"/>
    </row>
    <row r="15" spans="1:56" ht="18" customHeight="1" x14ac:dyDescent="0.2">
      <c r="A15" s="413">
        <f t="shared" si="2"/>
        <v>11</v>
      </c>
      <c r="B15" s="406" t="s">
        <v>519</v>
      </c>
      <c r="C15" s="406"/>
      <c r="D15" s="407">
        <v>24771</v>
      </c>
      <c r="E15" s="407">
        <v>261</v>
      </c>
      <c r="F15" s="408">
        <f t="shared" si="3"/>
        <v>24771</v>
      </c>
      <c r="G15" s="495"/>
      <c r="H15" s="495"/>
      <c r="I15" s="495"/>
      <c r="J15" s="495"/>
      <c r="K15" s="495"/>
      <c r="L15" s="495"/>
      <c r="M15" s="495"/>
      <c r="N15" s="495"/>
      <c r="O15" s="495"/>
      <c r="P15" s="495"/>
      <c r="Q15" s="495"/>
      <c r="R15" s="495"/>
      <c r="S15" s="495"/>
      <c r="T15" s="495"/>
      <c r="U15" s="496"/>
      <c r="V15" s="496"/>
      <c r="W15" s="496"/>
      <c r="X15" s="496"/>
      <c r="Y15" s="496"/>
      <c r="Z15" s="496"/>
      <c r="AA15" s="496"/>
      <c r="AB15" s="496"/>
      <c r="AC15" s="496"/>
      <c r="AD15" s="496"/>
      <c r="AE15" s="496"/>
      <c r="AF15" s="496"/>
      <c r="AG15" s="496"/>
      <c r="AH15" s="496"/>
      <c r="AI15" s="496"/>
      <c r="AJ15" s="496"/>
      <c r="AK15" s="496"/>
      <c r="AL15" s="495"/>
      <c r="AM15" s="495"/>
      <c r="AN15" s="495"/>
      <c r="AO15" s="495"/>
      <c r="AP15" s="495"/>
      <c r="AQ15" s="495"/>
      <c r="AR15" s="495"/>
      <c r="AS15" s="495"/>
      <c r="AT15" s="495"/>
      <c r="AU15" s="495"/>
      <c r="AV15" s="496">
        <v>24771</v>
      </c>
      <c r="AW15" s="496"/>
      <c r="AX15" s="496">
        <f t="shared" si="0"/>
        <v>0</v>
      </c>
      <c r="AY15" s="496">
        <f t="shared" si="1"/>
        <v>0</v>
      </c>
    </row>
    <row r="16" spans="1:56" ht="18" customHeight="1" x14ac:dyDescent="0.2">
      <c r="A16" s="413">
        <f t="shared" si="2"/>
        <v>12</v>
      </c>
      <c r="B16" s="406" t="s">
        <v>539</v>
      </c>
      <c r="C16" s="406"/>
      <c r="D16" s="407">
        <v>3999.8</v>
      </c>
      <c r="E16" s="407">
        <f>11250+2201+2970</f>
        <v>16421</v>
      </c>
      <c r="F16" s="408">
        <f t="shared" si="3"/>
        <v>3999.8</v>
      </c>
      <c r="G16" s="495"/>
      <c r="H16" s="495"/>
      <c r="I16" s="495"/>
      <c r="J16" s="495"/>
      <c r="K16" s="495"/>
      <c r="L16" s="495"/>
      <c r="M16" s="495"/>
      <c r="N16" s="495">
        <v>3999.8</v>
      </c>
      <c r="O16" s="495"/>
      <c r="P16" s="495"/>
      <c r="Q16" s="495"/>
      <c r="R16" s="495"/>
      <c r="S16" s="495"/>
      <c r="T16" s="495"/>
      <c r="U16" s="495"/>
      <c r="V16" s="495"/>
      <c r="W16" s="495"/>
      <c r="X16" s="495"/>
      <c r="Y16" s="495"/>
      <c r="Z16" s="495"/>
      <c r="AA16" s="495"/>
      <c r="AB16" s="495"/>
      <c r="AC16" s="495"/>
      <c r="AD16" s="495"/>
      <c r="AE16" s="495"/>
      <c r="AF16" s="495"/>
      <c r="AG16" s="495"/>
      <c r="AH16" s="495"/>
      <c r="AI16" s="495"/>
      <c r="AJ16" s="495"/>
      <c r="AK16" s="495"/>
      <c r="AL16" s="495"/>
      <c r="AM16" s="495"/>
      <c r="AN16" s="495"/>
      <c r="AO16" s="495"/>
      <c r="AP16" s="495"/>
      <c r="AQ16" s="495"/>
      <c r="AR16" s="495"/>
      <c r="AS16" s="495"/>
      <c r="AT16" s="495"/>
      <c r="AU16" s="495"/>
      <c r="AV16" s="495"/>
      <c r="AW16" s="495"/>
      <c r="AX16" s="496">
        <f t="shared" si="0"/>
        <v>3999.8</v>
      </c>
      <c r="AY16" s="496">
        <f t="shared" si="1"/>
        <v>3999.8</v>
      </c>
    </row>
    <row r="17" spans="1:51" ht="18" customHeight="1" x14ac:dyDescent="0.2">
      <c r="A17" s="413">
        <f t="shared" si="2"/>
        <v>13</v>
      </c>
      <c r="B17" s="406" t="s">
        <v>526</v>
      </c>
      <c r="C17" s="406"/>
      <c r="D17" s="407"/>
      <c r="E17" s="407">
        <f>2561.7+1464+2665+4165+4518+4518+4518+4518+4518+852.5+780</f>
        <v>35078.199999999997</v>
      </c>
      <c r="F17" s="408">
        <f t="shared" si="3"/>
        <v>0</v>
      </c>
      <c r="G17" s="495"/>
      <c r="H17" s="495"/>
      <c r="I17" s="495"/>
      <c r="J17" s="495"/>
      <c r="K17" s="495"/>
      <c r="L17" s="495"/>
      <c r="M17" s="495"/>
      <c r="N17" s="495"/>
      <c r="O17" s="495"/>
      <c r="P17" s="495"/>
      <c r="Q17" s="495"/>
      <c r="R17" s="495"/>
      <c r="S17" s="495"/>
      <c r="T17" s="495"/>
      <c r="U17" s="495"/>
      <c r="V17" s="495"/>
      <c r="W17" s="495"/>
      <c r="X17" s="495"/>
      <c r="Y17" s="495"/>
      <c r="Z17" s="495"/>
      <c r="AA17" s="495"/>
      <c r="AB17" s="495"/>
      <c r="AC17" s="495"/>
      <c r="AD17" s="495"/>
      <c r="AE17" s="495"/>
      <c r="AF17" s="495"/>
      <c r="AG17" s="495"/>
      <c r="AH17" s="495"/>
      <c r="AI17" s="495"/>
      <c r="AJ17" s="495"/>
      <c r="AK17" s="495"/>
      <c r="AL17" s="495"/>
      <c r="AM17" s="495"/>
      <c r="AN17" s="495"/>
      <c r="AO17" s="495"/>
      <c r="AP17" s="495"/>
      <c r="AQ17" s="495"/>
      <c r="AR17" s="495"/>
      <c r="AS17" s="495"/>
      <c r="AT17" s="495"/>
      <c r="AU17" s="495"/>
      <c r="AV17" s="495"/>
      <c r="AW17" s="495"/>
      <c r="AX17" s="495"/>
      <c r="AY17" s="497"/>
    </row>
    <row r="18" spans="1:51" ht="18" customHeight="1" x14ac:dyDescent="0.2">
      <c r="A18" s="413">
        <f t="shared" si="2"/>
        <v>14</v>
      </c>
      <c r="B18" s="406" t="s">
        <v>538</v>
      </c>
      <c r="C18" s="406"/>
      <c r="D18" s="407"/>
      <c r="E18" s="407">
        <v>9999.2999999999993</v>
      </c>
      <c r="F18" s="408">
        <f t="shared" si="3"/>
        <v>0</v>
      </c>
      <c r="G18" s="495"/>
      <c r="H18" s="495"/>
      <c r="I18" s="495"/>
      <c r="J18" s="495"/>
      <c r="K18" s="495"/>
      <c r="L18" s="495"/>
      <c r="M18" s="495"/>
      <c r="N18" s="495"/>
      <c r="O18" s="495"/>
      <c r="P18" s="495"/>
      <c r="Q18" s="495"/>
      <c r="R18" s="495"/>
      <c r="S18" s="495"/>
      <c r="T18" s="495"/>
      <c r="U18" s="495"/>
      <c r="V18" s="495"/>
      <c r="W18" s="495"/>
      <c r="X18" s="495"/>
      <c r="Y18" s="495"/>
      <c r="Z18" s="495"/>
      <c r="AA18" s="495"/>
      <c r="AB18" s="495"/>
      <c r="AC18" s="495"/>
      <c r="AD18" s="495"/>
      <c r="AE18" s="495"/>
      <c r="AF18" s="495"/>
      <c r="AG18" s="495"/>
      <c r="AH18" s="495"/>
      <c r="AI18" s="495"/>
      <c r="AJ18" s="495"/>
      <c r="AK18" s="495"/>
      <c r="AL18" s="495"/>
      <c r="AM18" s="495"/>
      <c r="AN18" s="495"/>
      <c r="AO18" s="495"/>
      <c r="AP18" s="495"/>
      <c r="AQ18" s="495"/>
      <c r="AR18" s="495"/>
      <c r="AS18" s="495"/>
      <c r="AT18" s="495"/>
      <c r="AU18" s="495"/>
      <c r="AV18" s="495"/>
      <c r="AW18" s="495"/>
      <c r="AX18" s="495"/>
      <c r="AY18" s="497"/>
    </row>
    <row r="19" spans="1:51" ht="18" customHeight="1" x14ac:dyDescent="0.2">
      <c r="A19" s="413"/>
      <c r="B19" s="409" t="s">
        <v>475</v>
      </c>
      <c r="C19" s="409"/>
      <c r="D19" s="410">
        <f>SUM(D5:D18)</f>
        <v>285825.91999999998</v>
      </c>
      <c r="E19" s="411">
        <f>SUM(E5:E18)</f>
        <v>145305.65</v>
      </c>
      <c r="F19" s="412"/>
      <c r="G19" s="495"/>
      <c r="H19" s="495"/>
      <c r="I19" s="495"/>
      <c r="J19" s="495"/>
      <c r="K19" s="495"/>
      <c r="L19" s="495"/>
      <c r="M19" s="495"/>
      <c r="N19" s="495"/>
      <c r="O19" s="495"/>
      <c r="P19" s="495"/>
      <c r="Q19" s="495"/>
      <c r="R19" s="495"/>
      <c r="S19" s="495"/>
      <c r="T19" s="495"/>
      <c r="U19" s="495"/>
      <c r="V19" s="495"/>
      <c r="W19" s="495"/>
      <c r="X19" s="495"/>
      <c r="Y19" s="495"/>
      <c r="Z19" s="495"/>
      <c r="AA19" s="495"/>
      <c r="AB19" s="495"/>
      <c r="AC19" s="495"/>
      <c r="AD19" s="495"/>
      <c r="AE19" s="495"/>
      <c r="AF19" s="495"/>
      <c r="AG19" s="495"/>
      <c r="AH19" s="495"/>
      <c r="AI19" s="495"/>
      <c r="AJ19" s="495"/>
      <c r="AK19" s="495"/>
      <c r="AL19" s="495"/>
      <c r="AM19" s="495"/>
      <c r="AN19" s="495"/>
      <c r="AO19" s="495"/>
      <c r="AP19" s="495"/>
      <c r="AQ19" s="495"/>
      <c r="AR19" s="495"/>
      <c r="AS19" s="495"/>
      <c r="AT19" s="495"/>
      <c r="AU19" s="495"/>
      <c r="AV19" s="495"/>
      <c r="AW19" s="495"/>
      <c r="AX19" s="495"/>
      <c r="AY19" s="497"/>
    </row>
    <row r="20" spans="1:51" ht="18" customHeight="1" x14ac:dyDescent="0.2">
      <c r="A20" s="512"/>
      <c r="B20" s="513" t="s">
        <v>504</v>
      </c>
      <c r="C20" s="513"/>
      <c r="D20" s="513"/>
      <c r="E20" s="516"/>
      <c r="F20" s="517"/>
      <c r="G20" s="495">
        <f>SUM(G4:G19)</f>
        <v>0</v>
      </c>
      <c r="H20" s="495">
        <f t="shared" ref="H20:AW20" si="4">SUM(H4:H19)</f>
        <v>0</v>
      </c>
      <c r="I20" s="495">
        <f t="shared" si="4"/>
        <v>0</v>
      </c>
      <c r="J20" s="495">
        <f t="shared" si="4"/>
        <v>0</v>
      </c>
      <c r="K20" s="495">
        <f t="shared" si="4"/>
        <v>0</v>
      </c>
      <c r="L20" s="495">
        <f t="shared" si="4"/>
        <v>5000</v>
      </c>
      <c r="M20" s="495">
        <f t="shared" si="4"/>
        <v>0</v>
      </c>
      <c r="N20" s="495">
        <f t="shared" si="4"/>
        <v>3999.8</v>
      </c>
      <c r="O20" s="495">
        <f t="shared" si="4"/>
        <v>0</v>
      </c>
      <c r="P20" s="495">
        <f t="shared" si="4"/>
        <v>0</v>
      </c>
      <c r="Q20" s="495">
        <f t="shared" si="4"/>
        <v>0</v>
      </c>
      <c r="R20" s="495">
        <f t="shared" si="4"/>
        <v>0</v>
      </c>
      <c r="S20" s="495">
        <f t="shared" si="4"/>
        <v>0</v>
      </c>
      <c r="T20" s="495">
        <f t="shared" si="4"/>
        <v>13000</v>
      </c>
      <c r="U20" s="495">
        <f t="shared" si="4"/>
        <v>0</v>
      </c>
      <c r="V20" s="495">
        <f t="shared" si="4"/>
        <v>0</v>
      </c>
      <c r="W20" s="495">
        <f t="shared" si="4"/>
        <v>0</v>
      </c>
      <c r="X20" s="495">
        <f t="shared" si="4"/>
        <v>0</v>
      </c>
      <c r="Y20" s="495">
        <f t="shared" si="4"/>
        <v>0</v>
      </c>
      <c r="Z20" s="495">
        <f t="shared" si="4"/>
        <v>0</v>
      </c>
      <c r="AA20" s="495">
        <f t="shared" si="4"/>
        <v>2000</v>
      </c>
      <c r="AB20" s="495">
        <f t="shared" si="4"/>
        <v>0</v>
      </c>
      <c r="AC20" s="495">
        <f t="shared" si="4"/>
        <v>0</v>
      </c>
      <c r="AD20" s="495">
        <f t="shared" si="4"/>
        <v>2500</v>
      </c>
      <c r="AE20" s="495">
        <f t="shared" si="4"/>
        <v>47717.59</v>
      </c>
      <c r="AF20" s="495">
        <f t="shared" si="4"/>
        <v>1000</v>
      </c>
      <c r="AG20" s="495">
        <f t="shared" si="4"/>
        <v>16000</v>
      </c>
      <c r="AH20" s="495">
        <f t="shared" si="4"/>
        <v>13000</v>
      </c>
      <c r="AI20" s="495">
        <f t="shared" si="4"/>
        <v>0</v>
      </c>
      <c r="AJ20" s="495">
        <f t="shared" si="4"/>
        <v>98360.03</v>
      </c>
      <c r="AK20" s="495">
        <f t="shared" si="4"/>
        <v>58477.5</v>
      </c>
      <c r="AL20" s="495">
        <f t="shared" si="4"/>
        <v>0</v>
      </c>
      <c r="AM20" s="495">
        <f t="shared" si="4"/>
        <v>0</v>
      </c>
      <c r="AN20" s="495">
        <f t="shared" si="4"/>
        <v>0</v>
      </c>
      <c r="AO20" s="495">
        <f t="shared" si="4"/>
        <v>0</v>
      </c>
      <c r="AP20" s="495">
        <f t="shared" si="4"/>
        <v>0</v>
      </c>
      <c r="AQ20" s="495">
        <f t="shared" si="4"/>
        <v>0</v>
      </c>
      <c r="AR20" s="495">
        <f t="shared" si="4"/>
        <v>0</v>
      </c>
      <c r="AS20" s="495">
        <f t="shared" si="4"/>
        <v>0</v>
      </c>
      <c r="AT20" s="495">
        <f t="shared" si="4"/>
        <v>0</v>
      </c>
      <c r="AU20" s="495">
        <f t="shared" si="4"/>
        <v>0</v>
      </c>
      <c r="AV20" s="495">
        <f t="shared" si="4"/>
        <v>24771</v>
      </c>
      <c r="AW20" s="495">
        <f t="shared" si="4"/>
        <v>0</v>
      </c>
      <c r="AX20" s="495">
        <f>SUM(G20:AW20)</f>
        <v>285825.91999999998</v>
      </c>
      <c r="AY20" s="497"/>
    </row>
    <row r="21" spans="1:51" ht="18" customHeight="1" x14ac:dyDescent="0.2">
      <c r="A21" s="421">
        <f>A18+1</f>
        <v>15</v>
      </c>
      <c r="B21" s="406" t="s">
        <v>506</v>
      </c>
      <c r="C21" s="407">
        <v>78586.899999999994</v>
      </c>
      <c r="D21" s="407">
        <v>41564.18</v>
      </c>
      <c r="E21" s="407"/>
      <c r="F21" s="408">
        <f t="shared" ref="F21:F38" si="5">SUM(G21:AW21)</f>
        <v>41564.18</v>
      </c>
      <c r="G21" s="495"/>
      <c r="H21" s="495"/>
      <c r="I21" s="495"/>
      <c r="J21" s="495"/>
      <c r="K21" s="495"/>
      <c r="L21" s="495"/>
      <c r="M21" s="495"/>
      <c r="N21" s="495"/>
      <c r="O21" s="495"/>
      <c r="P21" s="495"/>
      <c r="Q21" s="495">
        <f>5000-633.66</f>
        <v>4366.34</v>
      </c>
      <c r="R21" s="495"/>
      <c r="S21" s="495"/>
      <c r="T21" s="495"/>
      <c r="U21" s="495"/>
      <c r="V21" s="495">
        <v>3000</v>
      </c>
      <c r="W21" s="495">
        <v>26217.84</v>
      </c>
      <c r="X21" s="495">
        <v>1980</v>
      </c>
      <c r="Y21" s="495">
        <v>5000</v>
      </c>
      <c r="Z21" s="495"/>
      <c r="AA21" s="495"/>
      <c r="AB21" s="495"/>
      <c r="AC21" s="495">
        <v>1000</v>
      </c>
      <c r="AD21" s="495"/>
      <c r="AE21" s="495"/>
      <c r="AF21" s="495"/>
      <c r="AG21" s="495"/>
      <c r="AH21" s="495"/>
      <c r="AI21" s="495"/>
      <c r="AJ21" s="495"/>
      <c r="AK21" s="495"/>
      <c r="AL21" s="495"/>
      <c r="AM21" s="495"/>
      <c r="AN21" s="495"/>
      <c r="AO21" s="495"/>
      <c r="AP21" s="495"/>
      <c r="AQ21" s="495"/>
      <c r="AR21" s="495"/>
      <c r="AS21" s="495"/>
      <c r="AT21" s="495"/>
      <c r="AU21" s="495"/>
      <c r="AV21" s="495"/>
      <c r="AW21" s="495"/>
      <c r="AX21" s="495"/>
      <c r="AY21" s="497"/>
    </row>
    <row r="22" spans="1:51" ht="18" customHeight="1" x14ac:dyDescent="0.2">
      <c r="A22" s="413">
        <f t="shared" ref="A22" si="6">A21+1</f>
        <v>16</v>
      </c>
      <c r="B22" s="510" t="s">
        <v>507</v>
      </c>
      <c r="C22" s="407">
        <v>34405.67</v>
      </c>
      <c r="D22" s="407">
        <v>34405.67</v>
      </c>
      <c r="E22" s="407"/>
      <c r="F22" s="408">
        <f t="shared" si="5"/>
        <v>34405.67</v>
      </c>
      <c r="G22" s="495"/>
      <c r="H22" s="495"/>
      <c r="I22" s="495"/>
      <c r="J22" s="495"/>
      <c r="K22" s="495">
        <v>25000</v>
      </c>
      <c r="L22" s="495"/>
      <c r="M22" s="495"/>
      <c r="N22" s="495"/>
      <c r="O22" s="495"/>
      <c r="P22" s="495"/>
      <c r="Q22" s="495">
        <v>7405.67</v>
      </c>
      <c r="R22" s="495"/>
      <c r="S22" s="495"/>
      <c r="T22" s="495"/>
      <c r="U22" s="495"/>
      <c r="V22" s="495">
        <v>2000</v>
      </c>
      <c r="W22" s="495"/>
      <c r="X22" s="495"/>
      <c r="Y22" s="495"/>
      <c r="Z22" s="495"/>
      <c r="AA22" s="495"/>
      <c r="AB22" s="495"/>
      <c r="AC22" s="495"/>
      <c r="AD22" s="495"/>
      <c r="AE22" s="495"/>
      <c r="AF22" s="495"/>
      <c r="AG22" s="495"/>
      <c r="AH22" s="495"/>
      <c r="AI22" s="495"/>
      <c r="AJ22" s="495"/>
      <c r="AK22" s="495"/>
      <c r="AL22" s="495"/>
      <c r="AM22" s="495"/>
      <c r="AN22" s="495"/>
      <c r="AO22" s="495"/>
      <c r="AP22" s="495"/>
      <c r="AQ22" s="495"/>
      <c r="AR22" s="495"/>
      <c r="AS22" s="495"/>
      <c r="AT22" s="495"/>
      <c r="AU22" s="495"/>
      <c r="AV22" s="495"/>
      <c r="AW22" s="495"/>
      <c r="AX22" s="495"/>
      <c r="AY22" s="497"/>
    </row>
    <row r="23" spans="1:51" ht="18" customHeight="1" x14ac:dyDescent="0.2">
      <c r="A23" s="421">
        <f>A22+1</f>
        <v>17</v>
      </c>
      <c r="B23" s="406" t="s">
        <v>510</v>
      </c>
      <c r="C23" s="407">
        <v>31988.05</v>
      </c>
      <c r="D23" s="407">
        <v>18823.349999999999</v>
      </c>
      <c r="E23" s="407">
        <v>1000</v>
      </c>
      <c r="F23" s="408">
        <f t="shared" si="5"/>
        <v>18823.349999999999</v>
      </c>
      <c r="G23" s="495"/>
      <c r="H23" s="495"/>
      <c r="I23" s="495"/>
      <c r="J23" s="495"/>
      <c r="K23" s="495">
        <v>15000</v>
      </c>
      <c r="L23" s="495"/>
      <c r="M23" s="495"/>
      <c r="N23" s="495"/>
      <c r="O23" s="495"/>
      <c r="P23" s="495"/>
      <c r="Q23" s="495">
        <v>2323.35</v>
      </c>
      <c r="R23" s="495"/>
      <c r="S23" s="495"/>
      <c r="T23" s="495"/>
      <c r="U23" s="495"/>
      <c r="V23" s="495">
        <v>1500</v>
      </c>
      <c r="W23" s="495"/>
      <c r="X23" s="495"/>
      <c r="Y23" s="495"/>
      <c r="Z23" s="495"/>
      <c r="AA23" s="495"/>
      <c r="AB23" s="495"/>
      <c r="AC23" s="495"/>
      <c r="AD23" s="495"/>
      <c r="AE23" s="495"/>
      <c r="AF23" s="495"/>
      <c r="AG23" s="495"/>
      <c r="AH23" s="495"/>
      <c r="AI23" s="495"/>
      <c r="AJ23" s="495"/>
      <c r="AK23" s="495"/>
      <c r="AL23" s="495"/>
      <c r="AM23" s="495"/>
      <c r="AN23" s="495"/>
      <c r="AO23" s="495"/>
      <c r="AP23" s="495"/>
      <c r="AQ23" s="495"/>
      <c r="AR23" s="495"/>
      <c r="AS23" s="495"/>
      <c r="AT23" s="495"/>
      <c r="AU23" s="495"/>
      <c r="AV23" s="495"/>
      <c r="AW23" s="495"/>
      <c r="AX23" s="495"/>
      <c r="AY23" s="497"/>
    </row>
    <row r="24" spans="1:51" ht="18" customHeight="1" x14ac:dyDescent="0.2">
      <c r="A24" s="413">
        <f t="shared" ref="A24:A32" si="7">A23+1</f>
        <v>18</v>
      </c>
      <c r="B24" s="511" t="s">
        <v>508</v>
      </c>
      <c r="C24" s="407">
        <v>30468.05</v>
      </c>
      <c r="D24" s="407">
        <f>30468.05-10392.39</f>
        <v>20075.66</v>
      </c>
      <c r="E24" s="407"/>
      <c r="F24" s="408">
        <f t="shared" si="5"/>
        <v>20075.66</v>
      </c>
      <c r="G24" s="495"/>
      <c r="H24" s="495"/>
      <c r="I24" s="495"/>
      <c r="J24" s="495"/>
      <c r="K24" s="495">
        <f>15000-1924.34</f>
        <v>13075.66</v>
      </c>
      <c r="L24" s="495"/>
      <c r="M24" s="495"/>
      <c r="N24" s="495"/>
      <c r="O24" s="495"/>
      <c r="P24" s="495"/>
      <c r="Q24" s="495">
        <v>4000</v>
      </c>
      <c r="R24" s="495"/>
      <c r="S24" s="495"/>
      <c r="T24" s="495"/>
      <c r="U24" s="495"/>
      <c r="V24" s="495">
        <v>3000</v>
      </c>
      <c r="W24" s="495"/>
      <c r="X24" s="495"/>
      <c r="Y24" s="495"/>
      <c r="Z24" s="495"/>
      <c r="AA24" s="495"/>
      <c r="AB24" s="495"/>
      <c r="AC24" s="495"/>
      <c r="AD24" s="495"/>
      <c r="AE24" s="495"/>
      <c r="AF24" s="495"/>
      <c r="AG24" s="495"/>
      <c r="AH24" s="495"/>
      <c r="AI24" s="495"/>
      <c r="AJ24" s="495"/>
      <c r="AK24" s="495"/>
      <c r="AL24" s="495"/>
      <c r="AM24" s="495"/>
      <c r="AN24" s="495"/>
      <c r="AO24" s="495"/>
      <c r="AP24" s="495"/>
      <c r="AQ24" s="495"/>
      <c r="AR24" s="495"/>
      <c r="AS24" s="495"/>
      <c r="AT24" s="495"/>
      <c r="AU24" s="495"/>
      <c r="AV24" s="495"/>
      <c r="AW24" s="495"/>
      <c r="AX24" s="495"/>
      <c r="AY24" s="497"/>
    </row>
    <row r="25" spans="1:51" ht="18" customHeight="1" x14ac:dyDescent="0.2">
      <c r="A25" s="413">
        <f t="shared" si="7"/>
        <v>19</v>
      </c>
      <c r="B25" s="406" t="s">
        <v>509</v>
      </c>
      <c r="C25" s="407">
        <v>7774.67</v>
      </c>
      <c r="D25" s="407">
        <v>7774.67</v>
      </c>
      <c r="E25" s="407"/>
      <c r="F25" s="408">
        <f t="shared" si="5"/>
        <v>7774.67</v>
      </c>
      <c r="G25" s="495"/>
      <c r="H25" s="495"/>
      <c r="I25" s="495"/>
      <c r="J25" s="495"/>
      <c r="K25" s="495">
        <v>2774.67</v>
      </c>
      <c r="L25" s="495"/>
      <c r="M25" s="495"/>
      <c r="N25" s="495"/>
      <c r="O25" s="495"/>
      <c r="P25" s="495"/>
      <c r="Q25" s="495">
        <v>2000</v>
      </c>
      <c r="R25" s="495"/>
      <c r="S25" s="495"/>
      <c r="T25" s="495"/>
      <c r="U25" s="495"/>
      <c r="V25" s="495">
        <v>2000</v>
      </c>
      <c r="W25" s="495"/>
      <c r="X25" s="495"/>
      <c r="Y25" s="495"/>
      <c r="Z25" s="495"/>
      <c r="AA25" s="495"/>
      <c r="AB25" s="495"/>
      <c r="AC25" s="495">
        <v>1000</v>
      </c>
      <c r="AD25" s="495"/>
      <c r="AE25" s="495"/>
      <c r="AF25" s="495"/>
      <c r="AG25" s="495"/>
      <c r="AH25" s="495"/>
      <c r="AI25" s="495"/>
      <c r="AJ25" s="495"/>
      <c r="AK25" s="495"/>
      <c r="AL25" s="495"/>
      <c r="AM25" s="495"/>
      <c r="AN25" s="495"/>
      <c r="AO25" s="495"/>
      <c r="AP25" s="495"/>
      <c r="AQ25" s="495"/>
      <c r="AR25" s="495"/>
      <c r="AS25" s="495"/>
      <c r="AT25" s="495"/>
      <c r="AU25" s="495"/>
      <c r="AV25" s="495"/>
      <c r="AW25" s="495"/>
      <c r="AX25" s="495"/>
      <c r="AY25" s="497"/>
    </row>
    <row r="26" spans="1:51" ht="18" customHeight="1" x14ac:dyDescent="0.2">
      <c r="A26" s="413">
        <f>A25+1</f>
        <v>20</v>
      </c>
      <c r="B26" s="406" t="s">
        <v>511</v>
      </c>
      <c r="C26" s="406"/>
      <c r="D26" s="407">
        <v>10000</v>
      </c>
      <c r="E26" s="407"/>
      <c r="F26" s="408">
        <f t="shared" si="5"/>
        <v>10000</v>
      </c>
      <c r="G26" s="495"/>
      <c r="H26" s="495"/>
      <c r="I26" s="495"/>
      <c r="J26" s="495"/>
      <c r="K26" s="495"/>
      <c r="L26" s="495"/>
      <c r="M26" s="495"/>
      <c r="N26" s="495"/>
      <c r="O26" s="495"/>
      <c r="P26" s="495"/>
      <c r="Q26" s="495"/>
      <c r="R26" s="498">
        <f>D26</f>
        <v>10000</v>
      </c>
      <c r="S26" s="495"/>
      <c r="T26" s="495"/>
      <c r="U26" s="495"/>
      <c r="V26" s="495"/>
      <c r="W26" s="495"/>
      <c r="X26" s="495"/>
      <c r="Y26" s="495"/>
      <c r="Z26" s="495"/>
      <c r="AA26" s="495"/>
      <c r="AB26" s="495"/>
      <c r="AC26" s="495"/>
      <c r="AD26" s="495"/>
      <c r="AE26" s="495"/>
      <c r="AF26" s="495"/>
      <c r="AG26" s="495"/>
      <c r="AH26" s="495"/>
      <c r="AI26" s="495"/>
      <c r="AJ26" s="495"/>
      <c r="AK26" s="495"/>
      <c r="AL26" s="495"/>
      <c r="AM26" s="495"/>
      <c r="AN26" s="495"/>
      <c r="AO26" s="495"/>
      <c r="AP26" s="495"/>
      <c r="AQ26" s="495"/>
      <c r="AR26" s="495"/>
      <c r="AS26" s="495"/>
      <c r="AT26" s="495"/>
      <c r="AU26" s="495"/>
      <c r="AV26" s="495"/>
      <c r="AW26" s="495"/>
      <c r="AX26" s="495"/>
      <c r="AY26" s="497"/>
    </row>
    <row r="27" spans="1:51" ht="18" customHeight="1" x14ac:dyDescent="0.2">
      <c r="A27" s="413">
        <f t="shared" si="7"/>
        <v>21</v>
      </c>
      <c r="B27" s="406" t="s">
        <v>512</v>
      </c>
      <c r="C27" s="406"/>
      <c r="D27" s="407">
        <v>4672.21</v>
      </c>
      <c r="E27" s="407">
        <v>1666.97</v>
      </c>
      <c r="F27" s="408">
        <f t="shared" si="5"/>
        <v>4672.21</v>
      </c>
      <c r="G27" s="495"/>
      <c r="H27" s="495"/>
      <c r="I27" s="495"/>
      <c r="J27" s="495"/>
      <c r="K27" s="495"/>
      <c r="L27" s="495"/>
      <c r="M27" s="495"/>
      <c r="N27" s="495"/>
      <c r="O27" s="495"/>
      <c r="P27" s="495"/>
      <c r="Q27" s="495"/>
      <c r="R27" s="495"/>
      <c r="S27" s="495"/>
      <c r="T27" s="495"/>
      <c r="U27" s="495"/>
      <c r="V27" s="495"/>
      <c r="W27" s="495"/>
      <c r="X27" s="495"/>
      <c r="Y27" s="495"/>
      <c r="Z27" s="495"/>
      <c r="AA27" s="495"/>
      <c r="AB27" s="495"/>
      <c r="AC27" s="495"/>
      <c r="AD27" s="495"/>
      <c r="AE27" s="495"/>
      <c r="AF27" s="495"/>
      <c r="AG27" s="495"/>
      <c r="AH27" s="495"/>
      <c r="AI27" s="495"/>
      <c r="AJ27" s="495"/>
      <c r="AK27" s="495"/>
      <c r="AL27" s="495"/>
      <c r="AM27" s="495"/>
      <c r="AN27" s="495"/>
      <c r="AO27" s="495"/>
      <c r="AP27" s="495"/>
      <c r="AQ27" s="495"/>
      <c r="AR27" s="495"/>
      <c r="AS27" s="495">
        <f>D27</f>
        <v>4672.21</v>
      </c>
      <c r="AT27" s="495"/>
      <c r="AU27" s="495"/>
      <c r="AV27" s="495"/>
      <c r="AW27" s="495"/>
      <c r="AX27" s="495"/>
      <c r="AY27" s="497"/>
    </row>
    <row r="28" spans="1:51" ht="18" customHeight="1" x14ac:dyDescent="0.2">
      <c r="A28" s="413">
        <f t="shared" si="7"/>
        <v>22</v>
      </c>
      <c r="B28" s="406" t="s">
        <v>513</v>
      </c>
      <c r="C28" s="406"/>
      <c r="D28" s="407">
        <f>88574.72-9819</f>
        <v>78755.72</v>
      </c>
      <c r="E28" s="407">
        <v>9819</v>
      </c>
      <c r="F28" s="408">
        <f t="shared" si="5"/>
        <v>78755.72</v>
      </c>
      <c r="G28" s="495"/>
      <c r="H28" s="495"/>
      <c r="I28" s="495"/>
      <c r="J28" s="495"/>
      <c r="K28" s="495">
        <v>18000</v>
      </c>
      <c r="L28" s="495"/>
      <c r="M28" s="495"/>
      <c r="N28" s="495"/>
      <c r="O28" s="495"/>
      <c r="P28" s="495"/>
      <c r="Q28" s="495"/>
      <c r="R28" s="495">
        <f>48000+1255.72</f>
        <v>49255.72</v>
      </c>
      <c r="S28" s="495"/>
      <c r="T28" s="495"/>
      <c r="U28" s="495"/>
      <c r="V28" s="495">
        <v>500</v>
      </c>
      <c r="W28" s="495"/>
      <c r="X28" s="495"/>
      <c r="Y28" s="495"/>
      <c r="Z28" s="495"/>
      <c r="AA28" s="495"/>
      <c r="AB28" s="495"/>
      <c r="AC28" s="495"/>
      <c r="AD28" s="495"/>
      <c r="AE28" s="495"/>
      <c r="AF28" s="495">
        <v>6000</v>
      </c>
      <c r="AG28" s="495"/>
      <c r="AH28" s="495"/>
      <c r="AI28" s="495"/>
      <c r="AJ28" s="495"/>
      <c r="AK28" s="495"/>
      <c r="AL28" s="495"/>
      <c r="AM28" s="495"/>
      <c r="AN28" s="495"/>
      <c r="AO28" s="495"/>
      <c r="AP28" s="495"/>
      <c r="AQ28" s="495"/>
      <c r="AR28" s="495"/>
      <c r="AS28" s="495">
        <v>5000</v>
      </c>
      <c r="AT28" s="495"/>
      <c r="AU28" s="495"/>
      <c r="AV28" s="495"/>
      <c r="AW28" s="495"/>
      <c r="AX28" s="495"/>
      <c r="AY28" s="497"/>
    </row>
    <row r="29" spans="1:51" ht="18" customHeight="1" x14ac:dyDescent="0.2">
      <c r="A29" s="413">
        <f t="shared" si="7"/>
        <v>23</v>
      </c>
      <c r="B29" s="406" t="s">
        <v>514</v>
      </c>
      <c r="C29" s="406"/>
      <c r="D29" s="407">
        <f>10645.25-4979.98</f>
        <v>5665.27</v>
      </c>
      <c r="E29" s="407">
        <v>4979.9799999999996</v>
      </c>
      <c r="F29" s="408">
        <f t="shared" si="5"/>
        <v>5665.27</v>
      </c>
      <c r="G29" s="495"/>
      <c r="H29" s="495"/>
      <c r="I29" s="495"/>
      <c r="J29" s="495"/>
      <c r="K29" s="495">
        <v>5665.27</v>
      </c>
      <c r="L29" s="495"/>
      <c r="M29" s="495"/>
      <c r="N29" s="495"/>
      <c r="O29" s="495"/>
      <c r="P29" s="495"/>
      <c r="Q29" s="495"/>
      <c r="R29" s="495"/>
      <c r="S29" s="495"/>
      <c r="T29" s="495"/>
      <c r="U29" s="495"/>
      <c r="V29" s="495"/>
      <c r="W29" s="495"/>
      <c r="X29" s="495"/>
      <c r="Y29" s="495"/>
      <c r="Z29" s="495"/>
      <c r="AA29" s="495"/>
      <c r="AB29" s="495"/>
      <c r="AC29" s="495"/>
      <c r="AD29" s="495"/>
      <c r="AE29" s="495"/>
      <c r="AF29" s="495"/>
      <c r="AG29" s="495"/>
      <c r="AH29" s="495"/>
      <c r="AI29" s="495"/>
      <c r="AJ29" s="495"/>
      <c r="AK29" s="495"/>
      <c r="AL29" s="495"/>
      <c r="AM29" s="495"/>
      <c r="AN29" s="495"/>
      <c r="AO29" s="495"/>
      <c r="AP29" s="495"/>
      <c r="AQ29" s="495"/>
      <c r="AR29" s="495"/>
      <c r="AS29" s="495"/>
      <c r="AT29" s="495"/>
      <c r="AU29" s="495"/>
      <c r="AV29" s="495"/>
      <c r="AW29" s="495"/>
      <c r="AX29" s="495"/>
      <c r="AY29" s="497"/>
    </row>
    <row r="30" spans="1:51" ht="18" customHeight="1" x14ac:dyDescent="0.2">
      <c r="A30" s="413">
        <f t="shared" si="7"/>
        <v>24</v>
      </c>
      <c r="B30" s="406" t="s">
        <v>524</v>
      </c>
      <c r="C30" s="406"/>
      <c r="D30" s="406"/>
      <c r="E30" s="407">
        <f>0.7+8400+43</f>
        <v>8443.7000000000007</v>
      </c>
      <c r="F30" s="408">
        <f t="shared" si="5"/>
        <v>0</v>
      </c>
      <c r="G30" s="495"/>
      <c r="H30" s="495"/>
      <c r="I30" s="495"/>
      <c r="J30" s="495"/>
      <c r="K30" s="495"/>
      <c r="L30" s="495"/>
      <c r="M30" s="495"/>
      <c r="N30" s="495"/>
      <c r="O30" s="495"/>
      <c r="P30" s="495"/>
      <c r="Q30" s="495"/>
      <c r="R30" s="495"/>
      <c r="S30" s="495"/>
      <c r="T30" s="495"/>
      <c r="U30" s="495"/>
      <c r="V30" s="495"/>
      <c r="W30" s="495"/>
      <c r="X30" s="495"/>
      <c r="Y30" s="495"/>
      <c r="Z30" s="495"/>
      <c r="AA30" s="495"/>
      <c r="AB30" s="495"/>
      <c r="AC30" s="495"/>
      <c r="AD30" s="495"/>
      <c r="AE30" s="495"/>
      <c r="AF30" s="495"/>
      <c r="AG30" s="495"/>
      <c r="AH30" s="495"/>
      <c r="AI30" s="495"/>
      <c r="AJ30" s="495"/>
      <c r="AK30" s="495"/>
      <c r="AL30" s="495"/>
      <c r="AM30" s="495"/>
      <c r="AN30" s="495"/>
      <c r="AO30" s="495"/>
      <c r="AP30" s="495"/>
      <c r="AQ30" s="495"/>
      <c r="AR30" s="495"/>
      <c r="AS30" s="495"/>
      <c r="AT30" s="495"/>
      <c r="AU30" s="495"/>
      <c r="AV30" s="495"/>
      <c r="AW30" s="495"/>
      <c r="AX30" s="495"/>
      <c r="AY30" s="497"/>
    </row>
    <row r="31" spans="1:51" ht="18" customHeight="1" x14ac:dyDescent="0.2">
      <c r="A31" s="413">
        <f>A30+1</f>
        <v>25</v>
      </c>
      <c r="B31" s="406" t="s">
        <v>515</v>
      </c>
      <c r="C31" s="406"/>
      <c r="D31" s="407">
        <f>17655.35-1740</f>
        <v>15915.349999999999</v>
      </c>
      <c r="E31" s="407">
        <v>1740</v>
      </c>
      <c r="F31" s="408">
        <f t="shared" si="5"/>
        <v>15915.35</v>
      </c>
      <c r="G31" s="495"/>
      <c r="H31" s="495"/>
      <c r="I31" s="495"/>
      <c r="J31" s="495"/>
      <c r="K31" s="495">
        <v>6000</v>
      </c>
      <c r="L31" s="495"/>
      <c r="M31" s="495"/>
      <c r="N31" s="495"/>
      <c r="O31" s="495"/>
      <c r="P31" s="495"/>
      <c r="Q31" s="495"/>
      <c r="R31" s="495">
        <v>5000</v>
      </c>
      <c r="S31" s="495"/>
      <c r="T31" s="495"/>
      <c r="U31" s="495"/>
      <c r="V31" s="495"/>
      <c r="W31" s="495"/>
      <c r="X31" s="495"/>
      <c r="Y31" s="495"/>
      <c r="Z31" s="495"/>
      <c r="AA31" s="495"/>
      <c r="AB31" s="495"/>
      <c r="AC31" s="495"/>
      <c r="AD31" s="495"/>
      <c r="AE31" s="495"/>
      <c r="AF31" s="495">
        <v>4915.3500000000004</v>
      </c>
      <c r="AG31" s="495"/>
      <c r="AH31" s="495"/>
      <c r="AI31" s="495"/>
      <c r="AJ31" s="495"/>
      <c r="AK31" s="495"/>
      <c r="AL31" s="495"/>
      <c r="AM31" s="495"/>
      <c r="AN31" s="495"/>
      <c r="AO31" s="495"/>
      <c r="AP31" s="495"/>
      <c r="AQ31" s="495"/>
      <c r="AR31" s="495"/>
      <c r="AS31" s="495"/>
      <c r="AT31" s="495"/>
      <c r="AU31" s="495"/>
      <c r="AV31" s="495"/>
      <c r="AW31" s="495"/>
      <c r="AX31" s="495"/>
      <c r="AY31" s="497"/>
    </row>
    <row r="32" spans="1:51" ht="18" customHeight="1" x14ac:dyDescent="0.2">
      <c r="A32" s="413">
        <f t="shared" si="7"/>
        <v>26</v>
      </c>
      <c r="B32" s="413" t="s">
        <v>516</v>
      </c>
      <c r="C32" s="413"/>
      <c r="D32" s="414">
        <v>4096.28</v>
      </c>
      <c r="E32" s="407"/>
      <c r="F32" s="408">
        <f t="shared" si="5"/>
        <v>4096.28</v>
      </c>
      <c r="G32" s="495"/>
      <c r="H32" s="495"/>
      <c r="I32" s="495"/>
      <c r="J32" s="495"/>
      <c r="K32" s="495"/>
      <c r="L32" s="495"/>
      <c r="M32" s="495"/>
      <c r="N32" s="495"/>
      <c r="O32" s="495"/>
      <c r="P32" s="495"/>
      <c r="Q32" s="495"/>
      <c r="R32" s="495"/>
      <c r="S32" s="495"/>
      <c r="T32" s="495"/>
      <c r="U32" s="495"/>
      <c r="V32" s="495"/>
      <c r="W32" s="495"/>
      <c r="X32" s="495"/>
      <c r="Y32" s="495"/>
      <c r="Z32" s="495"/>
      <c r="AA32" s="495"/>
      <c r="AB32" s="495"/>
      <c r="AC32" s="495"/>
      <c r="AD32" s="495"/>
      <c r="AE32" s="495"/>
      <c r="AF32" s="495"/>
      <c r="AG32" s="495"/>
      <c r="AH32" s="495"/>
      <c r="AI32" s="495"/>
      <c r="AJ32" s="495"/>
      <c r="AK32" s="495"/>
      <c r="AL32" s="495"/>
      <c r="AM32" s="495"/>
      <c r="AN32" s="495"/>
      <c r="AO32" s="495"/>
      <c r="AP32" s="495"/>
      <c r="AQ32" s="495"/>
      <c r="AR32" s="495"/>
      <c r="AS32" s="498">
        <f>D32</f>
        <v>4096.28</v>
      </c>
      <c r="AT32" s="495"/>
      <c r="AU32" s="495"/>
      <c r="AV32" s="495"/>
      <c r="AW32" s="495"/>
      <c r="AX32" s="495">
        <f>SUM(G32:AU32)</f>
        <v>4096.28</v>
      </c>
      <c r="AY32" s="497">
        <f>SUM(G32:AU32)</f>
        <v>4096.28</v>
      </c>
    </row>
    <row r="33" spans="1:51" ht="18" customHeight="1" x14ac:dyDescent="0.2">
      <c r="A33" s="413">
        <f>A32+1</f>
        <v>27</v>
      </c>
      <c r="B33" s="413" t="s">
        <v>540</v>
      </c>
      <c r="C33" s="413"/>
      <c r="D33" s="414"/>
      <c r="E33" s="407">
        <v>3390</v>
      </c>
      <c r="F33" s="408">
        <f t="shared" si="5"/>
        <v>0</v>
      </c>
      <c r="G33" s="495"/>
      <c r="H33" s="495"/>
      <c r="I33" s="495"/>
      <c r="J33" s="495"/>
      <c r="K33" s="495"/>
      <c r="L33" s="495"/>
      <c r="M33" s="495"/>
      <c r="N33" s="495"/>
      <c r="O33" s="495"/>
      <c r="P33" s="495"/>
      <c r="Q33" s="495"/>
      <c r="R33" s="495"/>
      <c r="S33" s="495"/>
      <c r="T33" s="495"/>
      <c r="U33" s="495"/>
      <c r="V33" s="495"/>
      <c r="W33" s="495"/>
      <c r="X33" s="495"/>
      <c r="Y33" s="495"/>
      <c r="Z33" s="495"/>
      <c r="AA33" s="495"/>
      <c r="AB33" s="495"/>
      <c r="AC33" s="495"/>
      <c r="AD33" s="495"/>
      <c r="AE33" s="495"/>
      <c r="AF33" s="495"/>
      <c r="AG33" s="495"/>
      <c r="AH33" s="495"/>
      <c r="AI33" s="495"/>
      <c r="AJ33" s="495"/>
      <c r="AK33" s="495"/>
      <c r="AL33" s="495"/>
      <c r="AM33" s="495"/>
      <c r="AN33" s="495"/>
      <c r="AO33" s="495"/>
      <c r="AP33" s="495"/>
      <c r="AQ33" s="495"/>
      <c r="AR33" s="495"/>
      <c r="AS33" s="495"/>
      <c r="AT33" s="495"/>
      <c r="AU33" s="495"/>
      <c r="AV33" s="495"/>
      <c r="AW33" s="495"/>
      <c r="AX33" s="495"/>
      <c r="AY33" s="497"/>
    </row>
    <row r="34" spans="1:51" ht="18" customHeight="1" x14ac:dyDescent="0.2">
      <c r="A34" s="413">
        <f t="shared" ref="A34:A38" si="8">A33+1</f>
        <v>28</v>
      </c>
      <c r="B34" s="413" t="s">
        <v>523</v>
      </c>
      <c r="C34" s="413"/>
      <c r="D34" s="413"/>
      <c r="E34" s="407">
        <f>3286+3286+3286+3797+9715</f>
        <v>23370</v>
      </c>
      <c r="F34" s="408">
        <f t="shared" si="5"/>
        <v>0</v>
      </c>
      <c r="G34" s="495"/>
      <c r="H34" s="495"/>
      <c r="I34" s="495"/>
      <c r="J34" s="495"/>
      <c r="K34" s="495"/>
      <c r="L34" s="495"/>
      <c r="M34" s="495"/>
      <c r="N34" s="495"/>
      <c r="O34" s="495"/>
      <c r="P34" s="495"/>
      <c r="Q34" s="495"/>
      <c r="R34" s="495"/>
      <c r="S34" s="495"/>
      <c r="T34" s="495"/>
      <c r="U34" s="495"/>
      <c r="V34" s="495"/>
      <c r="W34" s="495"/>
      <c r="X34" s="495"/>
      <c r="Y34" s="495"/>
      <c r="Z34" s="495"/>
      <c r="AA34" s="495"/>
      <c r="AB34" s="495"/>
      <c r="AC34" s="495"/>
      <c r="AD34" s="495"/>
      <c r="AE34" s="495"/>
      <c r="AF34" s="495"/>
      <c r="AG34" s="495"/>
      <c r="AH34" s="495"/>
      <c r="AI34" s="495"/>
      <c r="AJ34" s="495"/>
      <c r="AK34" s="495"/>
      <c r="AL34" s="495"/>
      <c r="AM34" s="495"/>
      <c r="AN34" s="495"/>
      <c r="AO34" s="495"/>
      <c r="AP34" s="495"/>
      <c r="AQ34" s="495"/>
      <c r="AR34" s="495"/>
      <c r="AS34" s="495"/>
      <c r="AT34" s="495"/>
      <c r="AU34" s="495"/>
      <c r="AV34" s="495"/>
      <c r="AW34" s="495"/>
      <c r="AX34" s="495"/>
      <c r="AY34" s="497"/>
    </row>
    <row r="35" spans="1:51" ht="18" customHeight="1" x14ac:dyDescent="0.2">
      <c r="A35" s="413">
        <f t="shared" si="8"/>
        <v>29</v>
      </c>
      <c r="B35" s="413" t="s">
        <v>530</v>
      </c>
      <c r="C35" s="413"/>
      <c r="D35" s="413"/>
      <c r="E35" s="407">
        <v>21055.98</v>
      </c>
      <c r="F35" s="408">
        <f t="shared" si="5"/>
        <v>0</v>
      </c>
      <c r="G35" s="495"/>
      <c r="H35" s="495"/>
      <c r="I35" s="495"/>
      <c r="J35" s="495"/>
      <c r="K35" s="495"/>
      <c r="L35" s="495"/>
      <c r="M35" s="495"/>
      <c r="N35" s="495"/>
      <c r="O35" s="495"/>
      <c r="P35" s="495"/>
      <c r="Q35" s="495"/>
      <c r="R35" s="495"/>
      <c r="S35" s="495"/>
      <c r="T35" s="495"/>
      <c r="U35" s="495"/>
      <c r="V35" s="495"/>
      <c r="W35" s="495"/>
      <c r="X35" s="495"/>
      <c r="Y35" s="495"/>
      <c r="Z35" s="495"/>
      <c r="AA35" s="495"/>
      <c r="AB35" s="495"/>
      <c r="AC35" s="495"/>
      <c r="AD35" s="495"/>
      <c r="AE35" s="495"/>
      <c r="AF35" s="495"/>
      <c r="AG35" s="495"/>
      <c r="AH35" s="495"/>
      <c r="AI35" s="495"/>
      <c r="AJ35" s="495"/>
      <c r="AK35" s="495"/>
      <c r="AL35" s="495"/>
      <c r="AM35" s="495"/>
      <c r="AN35" s="495"/>
      <c r="AO35" s="495"/>
      <c r="AP35" s="495"/>
      <c r="AQ35" s="495"/>
      <c r="AR35" s="495"/>
      <c r="AS35" s="495"/>
      <c r="AT35" s="495"/>
      <c r="AU35" s="495"/>
      <c r="AV35" s="495"/>
      <c r="AW35" s="495"/>
      <c r="AX35" s="495"/>
      <c r="AY35" s="497"/>
    </row>
    <row r="36" spans="1:51" ht="18" customHeight="1" x14ac:dyDescent="0.2">
      <c r="A36" s="413">
        <f t="shared" si="8"/>
        <v>30</v>
      </c>
      <c r="B36" s="413" t="s">
        <v>531</v>
      </c>
      <c r="C36" s="413"/>
      <c r="D36" s="414">
        <f>20159.98-14550</f>
        <v>5609.98</v>
      </c>
      <c r="E36" s="407">
        <v>14550</v>
      </c>
      <c r="F36" s="408">
        <f t="shared" si="5"/>
        <v>5609.98</v>
      </c>
      <c r="G36" s="495"/>
      <c r="H36" s="495"/>
      <c r="I36" s="495"/>
      <c r="J36" s="495"/>
      <c r="K36" s="495">
        <v>2500</v>
      </c>
      <c r="L36" s="495"/>
      <c r="M36" s="495"/>
      <c r="N36" s="495"/>
      <c r="O36" s="495"/>
      <c r="P36" s="495"/>
      <c r="Q36" s="495"/>
      <c r="R36" s="495"/>
      <c r="S36" s="495"/>
      <c r="T36" s="495"/>
      <c r="U36" s="495"/>
      <c r="V36" s="495"/>
      <c r="W36" s="495"/>
      <c r="X36" s="495"/>
      <c r="Y36" s="495"/>
      <c r="Z36" s="495"/>
      <c r="AA36" s="495"/>
      <c r="AB36" s="495"/>
      <c r="AC36" s="495"/>
      <c r="AD36" s="495"/>
      <c r="AE36" s="495"/>
      <c r="AF36" s="495"/>
      <c r="AG36" s="495"/>
      <c r="AH36" s="495"/>
      <c r="AI36" s="495"/>
      <c r="AJ36" s="495"/>
      <c r="AK36" s="495"/>
      <c r="AL36" s="495"/>
      <c r="AM36" s="495"/>
      <c r="AN36" s="495"/>
      <c r="AO36" s="495"/>
      <c r="AP36" s="495"/>
      <c r="AQ36" s="495"/>
      <c r="AR36" s="495"/>
      <c r="AS36" s="495">
        <v>3109.98</v>
      </c>
      <c r="AT36" s="495"/>
      <c r="AU36" s="495"/>
      <c r="AV36" s="495"/>
      <c r="AW36" s="495"/>
      <c r="AX36" s="495"/>
      <c r="AY36" s="497"/>
    </row>
    <row r="37" spans="1:51" ht="18" customHeight="1" x14ac:dyDescent="0.2">
      <c r="A37" s="413">
        <f t="shared" si="8"/>
        <v>31</v>
      </c>
      <c r="B37" s="413" t="s">
        <v>536</v>
      </c>
      <c r="C37" s="413"/>
      <c r="D37" s="413"/>
      <c r="E37" s="407">
        <f>1549.92</f>
        <v>1549.92</v>
      </c>
      <c r="F37" s="408">
        <f t="shared" si="5"/>
        <v>0</v>
      </c>
      <c r="G37" s="495"/>
      <c r="H37" s="495"/>
      <c r="I37" s="495"/>
      <c r="J37" s="495"/>
      <c r="K37" s="495"/>
      <c r="L37" s="495"/>
      <c r="M37" s="495"/>
      <c r="N37" s="495"/>
      <c r="O37" s="495"/>
      <c r="P37" s="495"/>
      <c r="Q37" s="495"/>
      <c r="R37" s="495"/>
      <c r="S37" s="495"/>
      <c r="T37" s="495"/>
      <c r="U37" s="495"/>
      <c r="V37" s="495"/>
      <c r="W37" s="495"/>
      <c r="X37" s="495"/>
      <c r="Y37" s="495"/>
      <c r="Z37" s="495"/>
      <c r="AA37" s="495"/>
      <c r="AB37" s="495"/>
      <c r="AC37" s="495"/>
      <c r="AD37" s="495"/>
      <c r="AE37" s="495"/>
      <c r="AF37" s="495"/>
      <c r="AG37" s="495"/>
      <c r="AH37" s="495"/>
      <c r="AI37" s="495"/>
      <c r="AJ37" s="495"/>
      <c r="AK37" s="495"/>
      <c r="AL37" s="495"/>
      <c r="AM37" s="495"/>
      <c r="AN37" s="495"/>
      <c r="AO37" s="495"/>
      <c r="AP37" s="495"/>
      <c r="AQ37" s="495"/>
      <c r="AR37" s="495"/>
      <c r="AS37" s="495"/>
      <c r="AT37" s="495"/>
      <c r="AU37" s="495"/>
      <c r="AV37" s="495"/>
      <c r="AW37" s="495"/>
      <c r="AX37" s="495"/>
      <c r="AY37" s="497"/>
    </row>
    <row r="38" spans="1:51" ht="18" customHeight="1" x14ac:dyDescent="0.2">
      <c r="A38" s="413">
        <f t="shared" si="8"/>
        <v>32</v>
      </c>
      <c r="B38" s="413" t="s">
        <v>537</v>
      </c>
      <c r="C38" s="413"/>
      <c r="D38" s="414">
        <f>5906.66-450</f>
        <v>5456.66</v>
      </c>
      <c r="E38" s="407">
        <v>450</v>
      </c>
      <c r="F38" s="408">
        <f t="shared" si="5"/>
        <v>5456.66</v>
      </c>
      <c r="G38" s="495"/>
      <c r="H38" s="495"/>
      <c r="I38" s="495"/>
      <c r="J38" s="495"/>
      <c r="K38" s="495"/>
      <c r="L38" s="495"/>
      <c r="M38" s="495"/>
      <c r="N38" s="495"/>
      <c r="O38" s="495"/>
      <c r="P38" s="495"/>
      <c r="Q38" s="495"/>
      <c r="R38" s="495">
        <v>5456.66</v>
      </c>
      <c r="S38" s="495"/>
      <c r="T38" s="495"/>
      <c r="U38" s="495"/>
      <c r="V38" s="495"/>
      <c r="W38" s="495"/>
      <c r="X38" s="495"/>
      <c r="Y38" s="495"/>
      <c r="Z38" s="495"/>
      <c r="AA38" s="495"/>
      <c r="AB38" s="495"/>
      <c r="AC38" s="495"/>
      <c r="AD38" s="495"/>
      <c r="AE38" s="495"/>
      <c r="AF38" s="495"/>
      <c r="AG38" s="495"/>
      <c r="AH38" s="495"/>
      <c r="AI38" s="495"/>
      <c r="AJ38" s="495"/>
      <c r="AK38" s="495"/>
      <c r="AL38" s="495"/>
      <c r="AM38" s="495"/>
      <c r="AN38" s="495"/>
      <c r="AO38" s="495"/>
      <c r="AP38" s="495"/>
      <c r="AQ38" s="495"/>
      <c r="AR38" s="495"/>
      <c r="AS38" s="495"/>
      <c r="AT38" s="495"/>
      <c r="AU38" s="495"/>
      <c r="AV38" s="495"/>
      <c r="AW38" s="495"/>
      <c r="AX38" s="495"/>
      <c r="AY38" s="497"/>
    </row>
    <row r="39" spans="1:51" ht="18" customHeight="1" x14ac:dyDescent="0.2">
      <c r="A39" s="377"/>
      <c r="B39" s="415" t="s">
        <v>474</v>
      </c>
      <c r="C39" s="415"/>
      <c r="D39" s="411">
        <f>SUM(D21:D38)</f>
        <v>252815.00000000003</v>
      </c>
      <c r="E39" s="411">
        <f>SUM(E21:E38)</f>
        <v>92015.55</v>
      </c>
      <c r="F39" s="408"/>
      <c r="G39" s="495"/>
      <c r="H39" s="495"/>
      <c r="I39" s="495"/>
      <c r="J39" s="495"/>
      <c r="K39" s="495"/>
      <c r="L39" s="495"/>
      <c r="M39" s="495"/>
      <c r="N39" s="495"/>
      <c r="O39" s="495"/>
      <c r="P39" s="495"/>
      <c r="Q39" s="495"/>
      <c r="R39" s="495"/>
      <c r="S39" s="495"/>
      <c r="T39" s="495"/>
      <c r="U39" s="495"/>
      <c r="V39" s="495"/>
      <c r="W39" s="495"/>
      <c r="X39" s="495"/>
      <c r="Y39" s="495"/>
      <c r="Z39" s="495"/>
      <c r="AA39" s="495"/>
      <c r="AB39" s="495"/>
      <c r="AC39" s="495"/>
      <c r="AD39" s="495"/>
      <c r="AE39" s="495"/>
      <c r="AF39" s="495"/>
      <c r="AG39" s="495"/>
      <c r="AH39" s="495"/>
      <c r="AI39" s="495"/>
      <c r="AJ39" s="495"/>
      <c r="AK39" s="495"/>
      <c r="AL39" s="495"/>
      <c r="AM39" s="495"/>
      <c r="AN39" s="495"/>
      <c r="AO39" s="495"/>
      <c r="AP39" s="495"/>
      <c r="AQ39" s="495"/>
      <c r="AR39" s="495"/>
      <c r="AS39" s="495"/>
      <c r="AT39" s="495"/>
      <c r="AU39" s="495"/>
      <c r="AV39" s="495"/>
      <c r="AW39" s="495"/>
      <c r="AX39" s="495"/>
      <c r="AY39" s="497"/>
    </row>
    <row r="40" spans="1:51" ht="18" hidden="1" customHeight="1" x14ac:dyDescent="0.2">
      <c r="A40" s="377"/>
      <c r="B40" s="413" t="s">
        <v>464</v>
      </c>
      <c r="C40" s="413"/>
      <c r="D40" s="413"/>
      <c r="E40" s="408">
        <v>0</v>
      </c>
      <c r="F40" s="405"/>
      <c r="G40" s="495"/>
      <c r="H40" s="495"/>
      <c r="I40" s="495"/>
      <c r="J40" s="495"/>
      <c r="K40" s="495"/>
      <c r="L40" s="495"/>
      <c r="M40" s="495"/>
      <c r="N40" s="495"/>
      <c r="O40" s="495"/>
      <c r="P40" s="495"/>
      <c r="Q40" s="495"/>
      <c r="R40" s="495"/>
      <c r="S40" s="495"/>
      <c r="T40" s="495"/>
      <c r="U40" s="495"/>
      <c r="V40" s="495"/>
      <c r="W40" s="495"/>
      <c r="X40" s="495"/>
      <c r="Y40" s="495"/>
      <c r="Z40" s="495"/>
      <c r="AA40" s="495"/>
      <c r="AB40" s="495"/>
      <c r="AC40" s="495"/>
      <c r="AD40" s="495"/>
      <c r="AE40" s="495"/>
      <c r="AF40" s="495"/>
      <c r="AG40" s="495"/>
      <c r="AH40" s="495"/>
      <c r="AI40" s="495"/>
      <c r="AJ40" s="495"/>
      <c r="AK40" s="495"/>
      <c r="AL40" s="495"/>
      <c r="AM40" s="495"/>
      <c r="AN40" s="495"/>
      <c r="AO40" s="495"/>
      <c r="AP40" s="495"/>
      <c r="AQ40" s="495"/>
      <c r="AR40" s="495"/>
      <c r="AS40" s="495"/>
      <c r="AT40" s="495"/>
      <c r="AU40" s="495"/>
      <c r="AV40" s="495"/>
      <c r="AW40" s="495"/>
      <c r="AX40" s="495"/>
      <c r="AY40" s="497"/>
    </row>
    <row r="41" spans="1:51" ht="18" hidden="1" customHeight="1" x14ac:dyDescent="0.2">
      <c r="A41" s="377"/>
      <c r="B41" s="413" t="s">
        <v>394</v>
      </c>
      <c r="C41" s="413"/>
      <c r="D41" s="413"/>
      <c r="E41" s="408">
        <v>0</v>
      </c>
      <c r="F41" s="405"/>
      <c r="G41" s="495"/>
      <c r="H41" s="495"/>
      <c r="I41" s="495"/>
      <c r="J41" s="495"/>
      <c r="K41" s="495"/>
      <c r="L41" s="495"/>
      <c r="M41" s="495"/>
      <c r="N41" s="495"/>
      <c r="O41" s="495"/>
      <c r="P41" s="495"/>
      <c r="Q41" s="495"/>
      <c r="R41" s="495"/>
      <c r="S41" s="495"/>
      <c r="T41" s="495"/>
      <c r="U41" s="495"/>
      <c r="V41" s="495"/>
      <c r="W41" s="495"/>
      <c r="X41" s="495"/>
      <c r="Y41" s="495"/>
      <c r="Z41" s="495"/>
      <c r="AA41" s="495"/>
      <c r="AB41" s="495"/>
      <c r="AC41" s="495"/>
      <c r="AD41" s="495"/>
      <c r="AE41" s="495"/>
      <c r="AF41" s="495"/>
      <c r="AG41" s="495"/>
      <c r="AH41" s="495"/>
      <c r="AI41" s="495"/>
      <c r="AJ41" s="495"/>
      <c r="AK41" s="495"/>
      <c r="AL41" s="495"/>
      <c r="AM41" s="495"/>
      <c r="AN41" s="495"/>
      <c r="AO41" s="495"/>
      <c r="AP41" s="495"/>
      <c r="AQ41" s="495"/>
      <c r="AR41" s="495"/>
      <c r="AS41" s="495"/>
      <c r="AT41" s="495"/>
      <c r="AU41" s="495"/>
      <c r="AV41" s="495"/>
      <c r="AW41" s="495"/>
      <c r="AX41" s="499">
        <f t="shared" ref="AX41:AX50" si="9">SUM(E41:AU41)</f>
        <v>0</v>
      </c>
      <c r="AY41" s="497">
        <v>10000</v>
      </c>
    </row>
    <row r="42" spans="1:51" ht="18" hidden="1" customHeight="1" x14ac:dyDescent="0.2">
      <c r="A42" s="377"/>
      <c r="B42" s="413" t="s">
        <v>465</v>
      </c>
      <c r="C42" s="413"/>
      <c r="D42" s="414"/>
      <c r="E42" s="416"/>
      <c r="F42" s="405"/>
      <c r="G42" s="495"/>
      <c r="H42" s="495"/>
      <c r="I42" s="495"/>
      <c r="J42" s="495"/>
      <c r="K42" s="495"/>
      <c r="L42" s="495"/>
      <c r="M42" s="495"/>
      <c r="N42" s="495"/>
      <c r="O42" s="495"/>
      <c r="P42" s="495"/>
      <c r="Q42" s="495"/>
      <c r="R42" s="495"/>
      <c r="S42" s="495"/>
      <c r="T42" s="495"/>
      <c r="U42" s="495"/>
      <c r="V42" s="495"/>
      <c r="W42" s="495"/>
      <c r="X42" s="495"/>
      <c r="Y42" s="495"/>
      <c r="Z42" s="495"/>
      <c r="AA42" s="495"/>
      <c r="AB42" s="495"/>
      <c r="AC42" s="495"/>
      <c r="AD42" s="495"/>
      <c r="AE42" s="495"/>
      <c r="AF42" s="495"/>
      <c r="AG42" s="495"/>
      <c r="AH42" s="495"/>
      <c r="AI42" s="495"/>
      <c r="AJ42" s="495"/>
      <c r="AK42" s="495"/>
      <c r="AL42" s="495"/>
      <c r="AM42" s="495"/>
      <c r="AN42" s="495"/>
      <c r="AO42" s="495"/>
      <c r="AP42" s="495"/>
      <c r="AQ42" s="495"/>
      <c r="AR42" s="495"/>
      <c r="AS42" s="495"/>
      <c r="AT42" s="495"/>
      <c r="AU42" s="495"/>
      <c r="AV42" s="495"/>
      <c r="AW42" s="495"/>
      <c r="AX42" s="499">
        <f t="shared" si="9"/>
        <v>0</v>
      </c>
      <c r="AY42" s="497">
        <f>SUM(G42:AU42)</f>
        <v>0</v>
      </c>
    </row>
    <row r="43" spans="1:51" ht="18" customHeight="1" x14ac:dyDescent="0.2">
      <c r="A43" s="377"/>
      <c r="B43" s="413" t="s">
        <v>466</v>
      </c>
      <c r="C43" s="413"/>
      <c r="D43" s="414">
        <v>3000</v>
      </c>
      <c r="E43" s="408"/>
      <c r="F43" s="405">
        <v>3000</v>
      </c>
      <c r="G43" s="495"/>
      <c r="H43" s="495"/>
      <c r="I43" s="495"/>
      <c r="J43" s="495"/>
      <c r="K43" s="495"/>
      <c r="L43" s="495"/>
      <c r="M43" s="495"/>
      <c r="N43" s="495"/>
      <c r="O43" s="495"/>
      <c r="P43" s="495"/>
      <c r="Q43" s="495"/>
      <c r="R43" s="495"/>
      <c r="S43" s="495"/>
      <c r="T43" s="495"/>
      <c r="U43" s="495"/>
      <c r="V43" s="495"/>
      <c r="W43" s="495"/>
      <c r="X43" s="495"/>
      <c r="Y43" s="495"/>
      <c r="Z43" s="495"/>
      <c r="AA43" s="495"/>
      <c r="AB43" s="495"/>
      <c r="AC43" s="495"/>
      <c r="AD43" s="495"/>
      <c r="AE43" s="495"/>
      <c r="AF43" s="495"/>
      <c r="AG43" s="495"/>
      <c r="AH43" s="495"/>
      <c r="AI43" s="495"/>
      <c r="AJ43" s="495"/>
      <c r="AK43" s="495"/>
      <c r="AL43" s="495"/>
      <c r="AM43" s="495"/>
      <c r="AN43" s="495"/>
      <c r="AO43" s="495"/>
      <c r="AP43" s="495"/>
      <c r="AQ43" s="495"/>
      <c r="AR43" s="495"/>
      <c r="AS43" s="495"/>
      <c r="AT43" s="495"/>
      <c r="AU43" s="495"/>
      <c r="AV43" s="495"/>
      <c r="AW43" s="495"/>
      <c r="AX43" s="499">
        <f t="shared" si="9"/>
        <v>3000</v>
      </c>
      <c r="AY43" s="497">
        <v>15000</v>
      </c>
    </row>
    <row r="44" spans="1:51" ht="18" customHeight="1" x14ac:dyDescent="0.2">
      <c r="A44" s="377"/>
      <c r="B44" s="413" t="s">
        <v>467</v>
      </c>
      <c r="C44" s="413"/>
      <c r="D44" s="414">
        <v>1500</v>
      </c>
      <c r="E44" s="408"/>
      <c r="F44" s="405">
        <v>1500</v>
      </c>
      <c r="G44" s="495"/>
      <c r="H44" s="495"/>
      <c r="I44" s="495"/>
      <c r="J44" s="495"/>
      <c r="K44" s="495"/>
      <c r="L44" s="495"/>
      <c r="M44" s="495"/>
      <c r="N44" s="495"/>
      <c r="O44" s="495"/>
      <c r="P44" s="495"/>
      <c r="Q44" s="495"/>
      <c r="R44" s="495"/>
      <c r="S44" s="495"/>
      <c r="T44" s="495"/>
      <c r="U44" s="495"/>
      <c r="V44" s="495"/>
      <c r="W44" s="495"/>
      <c r="X44" s="495"/>
      <c r="Y44" s="495"/>
      <c r="Z44" s="495"/>
      <c r="AA44" s="495"/>
      <c r="AB44" s="495"/>
      <c r="AC44" s="495"/>
      <c r="AD44" s="495"/>
      <c r="AE44" s="495"/>
      <c r="AF44" s="495"/>
      <c r="AG44" s="495"/>
      <c r="AH44" s="495"/>
      <c r="AI44" s="495"/>
      <c r="AJ44" s="495"/>
      <c r="AK44" s="495"/>
      <c r="AL44" s="495"/>
      <c r="AM44" s="495"/>
      <c r="AN44" s="495"/>
      <c r="AO44" s="495"/>
      <c r="AP44" s="495"/>
      <c r="AQ44" s="495"/>
      <c r="AR44" s="495"/>
      <c r="AS44" s="495"/>
      <c r="AT44" s="495"/>
      <c r="AU44" s="495"/>
      <c r="AV44" s="495"/>
      <c r="AW44" s="495"/>
      <c r="AX44" s="499">
        <f t="shared" si="9"/>
        <v>1500</v>
      </c>
      <c r="AY44" s="497">
        <v>5000</v>
      </c>
    </row>
    <row r="45" spans="1:51" ht="18" hidden="1" customHeight="1" x14ac:dyDescent="0.2">
      <c r="A45" s="377"/>
      <c r="B45" s="413" t="s">
        <v>468</v>
      </c>
      <c r="C45" s="413"/>
      <c r="D45" s="414"/>
      <c r="E45" s="408"/>
      <c r="F45" s="405"/>
      <c r="G45" s="495"/>
      <c r="H45" s="495"/>
      <c r="I45" s="495"/>
      <c r="J45" s="495"/>
      <c r="K45" s="495"/>
      <c r="L45" s="495"/>
      <c r="M45" s="495"/>
      <c r="N45" s="495"/>
      <c r="O45" s="495"/>
      <c r="P45" s="495"/>
      <c r="Q45" s="495"/>
      <c r="R45" s="495"/>
      <c r="S45" s="495"/>
      <c r="T45" s="495"/>
      <c r="U45" s="495"/>
      <c r="V45" s="495"/>
      <c r="W45" s="495"/>
      <c r="X45" s="495"/>
      <c r="Y45" s="495"/>
      <c r="Z45" s="495"/>
      <c r="AA45" s="495"/>
      <c r="AB45" s="495"/>
      <c r="AC45" s="495"/>
      <c r="AD45" s="495"/>
      <c r="AE45" s="495"/>
      <c r="AF45" s="495"/>
      <c r="AG45" s="495"/>
      <c r="AH45" s="495"/>
      <c r="AI45" s="495"/>
      <c r="AJ45" s="495"/>
      <c r="AK45" s="495"/>
      <c r="AL45" s="495"/>
      <c r="AM45" s="495"/>
      <c r="AN45" s="495"/>
      <c r="AO45" s="495"/>
      <c r="AP45" s="495"/>
      <c r="AQ45" s="495"/>
      <c r="AR45" s="495"/>
      <c r="AS45" s="495"/>
      <c r="AT45" s="495"/>
      <c r="AU45" s="495"/>
      <c r="AV45" s="495"/>
      <c r="AW45" s="495"/>
      <c r="AX45" s="499">
        <f t="shared" si="9"/>
        <v>0</v>
      </c>
      <c r="AY45" s="497">
        <v>20000</v>
      </c>
    </row>
    <row r="46" spans="1:51" ht="18" hidden="1" customHeight="1" x14ac:dyDescent="0.2">
      <c r="A46" s="377"/>
      <c r="B46" s="413" t="s">
        <v>469</v>
      </c>
      <c r="C46" s="413"/>
      <c r="D46" s="414"/>
      <c r="E46" s="408">
        <v>0</v>
      </c>
      <c r="F46" s="405"/>
      <c r="G46" s="495"/>
      <c r="H46" s="495"/>
      <c r="I46" s="495"/>
      <c r="J46" s="495"/>
      <c r="K46" s="495"/>
      <c r="L46" s="495"/>
      <c r="M46" s="495"/>
      <c r="N46" s="495"/>
      <c r="O46" s="495"/>
      <c r="P46" s="495"/>
      <c r="Q46" s="495"/>
      <c r="R46" s="495"/>
      <c r="S46" s="495"/>
      <c r="T46" s="495"/>
      <c r="U46" s="495"/>
      <c r="V46" s="495"/>
      <c r="W46" s="495"/>
      <c r="X46" s="495"/>
      <c r="Y46" s="495"/>
      <c r="Z46" s="495"/>
      <c r="AA46" s="495"/>
      <c r="AB46" s="495"/>
      <c r="AC46" s="495"/>
      <c r="AD46" s="495"/>
      <c r="AE46" s="495"/>
      <c r="AF46" s="495"/>
      <c r="AG46" s="495"/>
      <c r="AH46" s="495"/>
      <c r="AI46" s="495"/>
      <c r="AJ46" s="495"/>
      <c r="AK46" s="495"/>
      <c r="AL46" s="495"/>
      <c r="AM46" s="495"/>
      <c r="AN46" s="495"/>
      <c r="AO46" s="495"/>
      <c r="AP46" s="495"/>
      <c r="AQ46" s="495"/>
      <c r="AR46" s="495"/>
      <c r="AS46" s="495"/>
      <c r="AT46" s="495"/>
      <c r="AU46" s="495"/>
      <c r="AV46" s="495"/>
      <c r="AW46" s="495"/>
      <c r="AX46" s="499">
        <f t="shared" si="9"/>
        <v>0</v>
      </c>
      <c r="AY46" s="497">
        <v>9000</v>
      </c>
    </row>
    <row r="47" spans="1:51" ht="18" hidden="1" customHeight="1" x14ac:dyDescent="0.2">
      <c r="A47" s="377"/>
      <c r="B47" s="413" t="s">
        <v>470</v>
      </c>
      <c r="C47" s="413"/>
      <c r="D47" s="414"/>
      <c r="E47" s="408">
        <v>0</v>
      </c>
      <c r="F47" s="405"/>
      <c r="G47" s="495"/>
      <c r="H47" s="495"/>
      <c r="I47" s="495"/>
      <c r="J47" s="495"/>
      <c r="K47" s="495"/>
      <c r="L47" s="495"/>
      <c r="M47" s="495"/>
      <c r="N47" s="495"/>
      <c r="O47" s="495"/>
      <c r="P47" s="495"/>
      <c r="Q47" s="495"/>
      <c r="R47" s="495"/>
      <c r="S47" s="495"/>
      <c r="T47" s="495"/>
      <c r="U47" s="495"/>
      <c r="V47" s="495"/>
      <c r="W47" s="495"/>
      <c r="X47" s="495"/>
      <c r="Y47" s="495"/>
      <c r="Z47" s="495"/>
      <c r="AA47" s="495"/>
      <c r="AB47" s="495"/>
      <c r="AC47" s="495"/>
      <c r="AD47" s="495"/>
      <c r="AE47" s="495"/>
      <c r="AF47" s="495"/>
      <c r="AG47" s="495"/>
      <c r="AH47" s="495"/>
      <c r="AI47" s="495"/>
      <c r="AJ47" s="495"/>
      <c r="AK47" s="495"/>
      <c r="AL47" s="495"/>
      <c r="AM47" s="495"/>
      <c r="AN47" s="495"/>
      <c r="AO47" s="495"/>
      <c r="AP47" s="495"/>
      <c r="AQ47" s="495"/>
      <c r="AR47" s="495"/>
      <c r="AS47" s="495"/>
      <c r="AT47" s="495"/>
      <c r="AU47" s="495"/>
      <c r="AV47" s="495"/>
      <c r="AW47" s="495"/>
      <c r="AX47" s="499">
        <f t="shared" si="9"/>
        <v>0</v>
      </c>
      <c r="AY47" s="497">
        <v>8000</v>
      </c>
    </row>
    <row r="48" spans="1:51" ht="18" hidden="1" customHeight="1" x14ac:dyDescent="0.2">
      <c r="A48" s="377"/>
      <c r="B48" s="413" t="s">
        <v>471</v>
      </c>
      <c r="C48" s="413"/>
      <c r="D48" s="414"/>
      <c r="E48" s="408">
        <v>0</v>
      </c>
      <c r="F48" s="405"/>
      <c r="G48" s="495"/>
      <c r="H48" s="495"/>
      <c r="I48" s="495"/>
      <c r="J48" s="495"/>
      <c r="K48" s="495"/>
      <c r="L48" s="495"/>
      <c r="M48" s="495"/>
      <c r="N48" s="495"/>
      <c r="O48" s="495"/>
      <c r="P48" s="495"/>
      <c r="Q48" s="495"/>
      <c r="R48" s="495"/>
      <c r="S48" s="495"/>
      <c r="T48" s="495"/>
      <c r="U48" s="495"/>
      <c r="V48" s="495"/>
      <c r="W48" s="495"/>
      <c r="X48" s="495"/>
      <c r="Y48" s="495"/>
      <c r="Z48" s="495"/>
      <c r="AA48" s="495"/>
      <c r="AB48" s="495"/>
      <c r="AC48" s="495"/>
      <c r="AD48" s="495"/>
      <c r="AE48" s="495"/>
      <c r="AF48" s="495"/>
      <c r="AG48" s="495"/>
      <c r="AH48" s="495"/>
      <c r="AI48" s="495"/>
      <c r="AJ48" s="495"/>
      <c r="AK48" s="495"/>
      <c r="AL48" s="495"/>
      <c r="AM48" s="495"/>
      <c r="AN48" s="495"/>
      <c r="AO48" s="495"/>
      <c r="AP48" s="495"/>
      <c r="AQ48" s="495"/>
      <c r="AR48" s="495"/>
      <c r="AS48" s="495"/>
      <c r="AT48" s="495"/>
      <c r="AU48" s="495"/>
      <c r="AV48" s="495"/>
      <c r="AW48" s="495"/>
      <c r="AX48" s="499">
        <f t="shared" si="9"/>
        <v>0</v>
      </c>
      <c r="AY48" s="497">
        <v>10000</v>
      </c>
    </row>
    <row r="49" spans="1:51" ht="18" customHeight="1" x14ac:dyDescent="0.2">
      <c r="A49" s="377"/>
      <c r="B49" s="413" t="s">
        <v>472</v>
      </c>
      <c r="C49" s="413"/>
      <c r="D49" s="414">
        <v>2000</v>
      </c>
      <c r="E49" s="408"/>
      <c r="F49" s="405">
        <v>2000</v>
      </c>
      <c r="G49" s="495"/>
      <c r="H49" s="495"/>
      <c r="I49" s="495"/>
      <c r="J49" s="495"/>
      <c r="K49" s="495"/>
      <c r="L49" s="495"/>
      <c r="M49" s="495"/>
      <c r="N49" s="495"/>
      <c r="O49" s="495"/>
      <c r="P49" s="495"/>
      <c r="Q49" s="495"/>
      <c r="R49" s="495"/>
      <c r="S49" s="495"/>
      <c r="T49" s="495"/>
      <c r="U49" s="495"/>
      <c r="V49" s="495"/>
      <c r="W49" s="495"/>
      <c r="X49" s="495"/>
      <c r="Y49" s="495"/>
      <c r="Z49" s="495"/>
      <c r="AA49" s="495"/>
      <c r="AB49" s="495"/>
      <c r="AC49" s="495"/>
      <c r="AD49" s="495"/>
      <c r="AE49" s="495"/>
      <c r="AF49" s="495"/>
      <c r="AG49" s="495"/>
      <c r="AH49" s="495"/>
      <c r="AI49" s="495"/>
      <c r="AJ49" s="495"/>
      <c r="AK49" s="495"/>
      <c r="AL49" s="495"/>
      <c r="AM49" s="495"/>
      <c r="AN49" s="495"/>
      <c r="AO49" s="495"/>
      <c r="AP49" s="495"/>
      <c r="AQ49" s="495"/>
      <c r="AR49" s="495"/>
      <c r="AS49" s="495"/>
      <c r="AT49" s="495"/>
      <c r="AU49" s="495"/>
      <c r="AV49" s="495"/>
      <c r="AW49" s="495"/>
      <c r="AX49" s="499">
        <f t="shared" si="9"/>
        <v>2000</v>
      </c>
      <c r="AY49" s="497">
        <v>25000</v>
      </c>
    </row>
    <row r="50" spans="1:51" ht="18" customHeight="1" x14ac:dyDescent="0.2">
      <c r="A50" s="377"/>
      <c r="B50" s="413" t="s">
        <v>473</v>
      </c>
      <c r="C50" s="413"/>
      <c r="D50" s="414"/>
      <c r="E50" s="408"/>
      <c r="F50" s="405"/>
      <c r="G50" s="495"/>
      <c r="H50" s="495"/>
      <c r="I50" s="495"/>
      <c r="J50" s="495"/>
      <c r="K50" s="495"/>
      <c r="L50" s="495"/>
      <c r="M50" s="495"/>
      <c r="N50" s="495"/>
      <c r="O50" s="495"/>
      <c r="P50" s="495"/>
      <c r="Q50" s="495"/>
      <c r="R50" s="495"/>
      <c r="S50" s="495"/>
      <c r="T50" s="495"/>
      <c r="U50" s="495"/>
      <c r="V50" s="495"/>
      <c r="W50" s="495"/>
      <c r="X50" s="495"/>
      <c r="Y50" s="495"/>
      <c r="Z50" s="495"/>
      <c r="AA50" s="495"/>
      <c r="AB50" s="495"/>
      <c r="AC50" s="495"/>
      <c r="AD50" s="495"/>
      <c r="AE50" s="495"/>
      <c r="AF50" s="495"/>
      <c r="AG50" s="495"/>
      <c r="AH50" s="495"/>
      <c r="AI50" s="495"/>
      <c r="AJ50" s="495"/>
      <c r="AK50" s="495"/>
      <c r="AL50" s="495"/>
      <c r="AM50" s="495"/>
      <c r="AN50" s="495"/>
      <c r="AO50" s="495"/>
      <c r="AP50" s="495"/>
      <c r="AQ50" s="495"/>
      <c r="AR50" s="495"/>
      <c r="AS50" s="495"/>
      <c r="AT50" s="495"/>
      <c r="AU50" s="495"/>
      <c r="AV50" s="495"/>
      <c r="AW50" s="495"/>
      <c r="AX50" s="499">
        <f t="shared" si="9"/>
        <v>0</v>
      </c>
      <c r="AY50" s="497">
        <v>51730.74</v>
      </c>
    </row>
    <row r="51" spans="1:51" ht="18" customHeight="1" x14ac:dyDescent="0.2">
      <c r="A51" s="377"/>
      <c r="B51" s="417" t="s">
        <v>476</v>
      </c>
      <c r="C51" s="417"/>
      <c r="D51" s="418">
        <f>SUM(D40:D50)</f>
        <v>6500</v>
      </c>
      <c r="E51" s="419">
        <f>SUM(E40:E50)</f>
        <v>0</v>
      </c>
      <c r="F51" s="408"/>
      <c r="G51" s="495"/>
      <c r="H51" s="495"/>
      <c r="I51" s="495"/>
      <c r="J51" s="495"/>
      <c r="K51" s="495"/>
      <c r="L51" s="495"/>
      <c r="M51" s="495"/>
      <c r="N51" s="495"/>
      <c r="O51" s="495"/>
      <c r="P51" s="495"/>
      <c r="Q51" s="495"/>
      <c r="R51" s="495"/>
      <c r="S51" s="495"/>
      <c r="T51" s="495"/>
      <c r="U51" s="495"/>
      <c r="V51" s="495"/>
      <c r="W51" s="495"/>
      <c r="X51" s="495"/>
      <c r="Y51" s="495"/>
      <c r="Z51" s="495"/>
      <c r="AA51" s="495"/>
      <c r="AB51" s="495"/>
      <c r="AC51" s="495"/>
      <c r="AD51" s="495"/>
      <c r="AE51" s="495"/>
      <c r="AF51" s="495"/>
      <c r="AG51" s="495"/>
      <c r="AH51" s="495"/>
      <c r="AI51" s="495"/>
      <c r="AJ51" s="495"/>
      <c r="AK51" s="495"/>
      <c r="AL51" s="495"/>
      <c r="AM51" s="495"/>
      <c r="AN51" s="495"/>
      <c r="AO51" s="495"/>
      <c r="AP51" s="495"/>
      <c r="AQ51" s="495"/>
      <c r="AR51" s="495"/>
      <c r="AS51" s="495"/>
      <c r="AT51" s="495"/>
      <c r="AU51" s="495"/>
      <c r="AV51" s="495"/>
      <c r="AW51" s="495"/>
      <c r="AX51" s="499">
        <f>SUM(AX5:AX50)</f>
        <v>557477.12</v>
      </c>
      <c r="AY51" s="499">
        <f>SUM(AY5:AY50)</f>
        <v>418881.94</v>
      </c>
    </row>
    <row r="52" spans="1:51" ht="18" customHeight="1" x14ac:dyDescent="0.2">
      <c r="A52" s="377"/>
      <c r="B52" s="417" t="s">
        <v>551</v>
      </c>
      <c r="C52" s="417"/>
      <c r="D52" s="418">
        <f>+D51+D39+D19</f>
        <v>545140.92000000004</v>
      </c>
      <c r="E52" s="411">
        <f>E51+E39+E19</f>
        <v>237321.2</v>
      </c>
      <c r="F52" s="408">
        <f t="shared" ref="F52" si="10">SUM(F5:F51)</f>
        <v>545140.91999999993</v>
      </c>
      <c r="G52" s="495">
        <f>SUM(G21:G51)</f>
        <v>0</v>
      </c>
      <c r="H52" s="495">
        <f t="shared" ref="H52:AW52" si="11">SUM(H21:H51)</f>
        <v>0</v>
      </c>
      <c r="I52" s="495">
        <f t="shared" si="11"/>
        <v>0</v>
      </c>
      <c r="J52" s="495">
        <f t="shared" si="11"/>
        <v>0</v>
      </c>
      <c r="K52" s="495">
        <f t="shared" si="11"/>
        <v>88015.6</v>
      </c>
      <c r="L52" s="495">
        <f t="shared" si="11"/>
        <v>0</v>
      </c>
      <c r="M52" s="495">
        <f t="shared" si="11"/>
        <v>0</v>
      </c>
      <c r="N52" s="495">
        <f t="shared" si="11"/>
        <v>0</v>
      </c>
      <c r="O52" s="495">
        <f t="shared" si="11"/>
        <v>0</v>
      </c>
      <c r="P52" s="495">
        <f t="shared" si="11"/>
        <v>0</v>
      </c>
      <c r="Q52" s="495">
        <f t="shared" si="11"/>
        <v>20095.36</v>
      </c>
      <c r="R52" s="495">
        <f t="shared" si="11"/>
        <v>69712.38</v>
      </c>
      <c r="S52" s="495">
        <f t="shared" si="11"/>
        <v>0</v>
      </c>
      <c r="T52" s="495">
        <f t="shared" si="11"/>
        <v>0</v>
      </c>
      <c r="U52" s="495">
        <f t="shared" si="11"/>
        <v>0</v>
      </c>
      <c r="V52" s="495">
        <f t="shared" si="11"/>
        <v>12000</v>
      </c>
      <c r="W52" s="495">
        <f t="shared" si="11"/>
        <v>26217.84</v>
      </c>
      <c r="X52" s="495">
        <f t="shared" si="11"/>
        <v>1980</v>
      </c>
      <c r="Y52" s="495">
        <f t="shared" si="11"/>
        <v>5000</v>
      </c>
      <c r="Z52" s="495">
        <f t="shared" si="11"/>
        <v>0</v>
      </c>
      <c r="AA52" s="495">
        <f t="shared" si="11"/>
        <v>0</v>
      </c>
      <c r="AB52" s="495">
        <f t="shared" si="11"/>
        <v>0</v>
      </c>
      <c r="AC52" s="495">
        <f t="shared" si="11"/>
        <v>2000</v>
      </c>
      <c r="AD52" s="495">
        <f t="shared" si="11"/>
        <v>0</v>
      </c>
      <c r="AE52" s="495">
        <f t="shared" si="11"/>
        <v>0</v>
      </c>
      <c r="AF52" s="495">
        <f t="shared" si="11"/>
        <v>10915.35</v>
      </c>
      <c r="AG52" s="495">
        <f t="shared" si="11"/>
        <v>0</v>
      </c>
      <c r="AH52" s="495">
        <f t="shared" si="11"/>
        <v>0</v>
      </c>
      <c r="AI52" s="495">
        <f t="shared" si="11"/>
        <v>0</v>
      </c>
      <c r="AJ52" s="495">
        <f t="shared" si="11"/>
        <v>0</v>
      </c>
      <c r="AK52" s="495">
        <f t="shared" si="11"/>
        <v>0</v>
      </c>
      <c r="AL52" s="495">
        <f t="shared" si="11"/>
        <v>0</v>
      </c>
      <c r="AM52" s="495">
        <f t="shared" si="11"/>
        <v>0</v>
      </c>
      <c r="AN52" s="495">
        <f t="shared" si="11"/>
        <v>0</v>
      </c>
      <c r="AO52" s="495">
        <f t="shared" si="11"/>
        <v>0</v>
      </c>
      <c r="AP52" s="495">
        <f t="shared" si="11"/>
        <v>0</v>
      </c>
      <c r="AQ52" s="495">
        <f t="shared" si="11"/>
        <v>0</v>
      </c>
      <c r="AR52" s="495">
        <f t="shared" si="11"/>
        <v>0</v>
      </c>
      <c r="AS52" s="495">
        <f t="shared" si="11"/>
        <v>16878.469999999998</v>
      </c>
      <c r="AT52" s="495">
        <f t="shared" si="11"/>
        <v>0</v>
      </c>
      <c r="AU52" s="495">
        <f t="shared" si="11"/>
        <v>0</v>
      </c>
      <c r="AV52" s="495">
        <f t="shared" si="11"/>
        <v>0</v>
      </c>
      <c r="AW52" s="495">
        <f t="shared" si="11"/>
        <v>0</v>
      </c>
      <c r="AX52" s="497">
        <f>SUM(G52:AU52)</f>
        <v>252815.00000000003</v>
      </c>
      <c r="AY52" s="499">
        <f>SUM(G52:AW52)</f>
        <v>252815.00000000003</v>
      </c>
    </row>
    <row r="53" spans="1:51" ht="21.75" customHeight="1" x14ac:dyDescent="0.2">
      <c r="A53" s="395"/>
      <c r="B53" s="413" t="s">
        <v>550</v>
      </c>
      <c r="C53" s="405"/>
      <c r="D53" s="704">
        <f>+D52+E52</f>
        <v>782462.12000000011</v>
      </c>
      <c r="E53" s="705"/>
      <c r="F53" s="420"/>
      <c r="G53" s="495">
        <f>G52+G20</f>
        <v>0</v>
      </c>
      <c r="H53" s="495">
        <f t="shared" ref="H53:AW53" si="12">H52+H20</f>
        <v>0</v>
      </c>
      <c r="I53" s="495">
        <f t="shared" si="12"/>
        <v>0</v>
      </c>
      <c r="J53" s="495">
        <f t="shared" si="12"/>
        <v>0</v>
      </c>
      <c r="K53" s="495">
        <f t="shared" si="12"/>
        <v>88015.6</v>
      </c>
      <c r="L53" s="495">
        <f t="shared" si="12"/>
        <v>5000</v>
      </c>
      <c r="M53" s="495">
        <f t="shared" si="12"/>
        <v>0</v>
      </c>
      <c r="N53" s="495">
        <f t="shared" si="12"/>
        <v>3999.8</v>
      </c>
      <c r="O53" s="495">
        <f t="shared" si="12"/>
        <v>0</v>
      </c>
      <c r="P53" s="495">
        <f t="shared" si="12"/>
        <v>0</v>
      </c>
      <c r="Q53" s="495">
        <f t="shared" si="12"/>
        <v>20095.36</v>
      </c>
      <c r="R53" s="495">
        <f t="shared" si="12"/>
        <v>69712.38</v>
      </c>
      <c r="S53" s="495">
        <f t="shared" si="12"/>
        <v>0</v>
      </c>
      <c r="T53" s="495">
        <f t="shared" si="12"/>
        <v>13000</v>
      </c>
      <c r="U53" s="495">
        <f t="shared" si="12"/>
        <v>0</v>
      </c>
      <c r="V53" s="495">
        <f t="shared" si="12"/>
        <v>12000</v>
      </c>
      <c r="W53" s="495">
        <f t="shared" si="12"/>
        <v>26217.84</v>
      </c>
      <c r="X53" s="495">
        <f t="shared" si="12"/>
        <v>1980</v>
      </c>
      <c r="Y53" s="495">
        <f t="shared" si="12"/>
        <v>5000</v>
      </c>
      <c r="Z53" s="495">
        <f t="shared" si="12"/>
        <v>0</v>
      </c>
      <c r="AA53" s="495">
        <f t="shared" si="12"/>
        <v>2000</v>
      </c>
      <c r="AB53" s="495">
        <f t="shared" si="12"/>
        <v>0</v>
      </c>
      <c r="AC53" s="495">
        <f t="shared" si="12"/>
        <v>2000</v>
      </c>
      <c r="AD53" s="495">
        <f t="shared" si="12"/>
        <v>2500</v>
      </c>
      <c r="AE53" s="495">
        <f t="shared" si="12"/>
        <v>47717.59</v>
      </c>
      <c r="AF53" s="495">
        <f t="shared" si="12"/>
        <v>11915.35</v>
      </c>
      <c r="AG53" s="495">
        <f t="shared" si="12"/>
        <v>16000</v>
      </c>
      <c r="AH53" s="495">
        <f t="shared" si="12"/>
        <v>13000</v>
      </c>
      <c r="AI53" s="495">
        <f t="shared" si="12"/>
        <v>0</v>
      </c>
      <c r="AJ53" s="495">
        <f t="shared" si="12"/>
        <v>98360.03</v>
      </c>
      <c r="AK53" s="495">
        <f t="shared" si="12"/>
        <v>58477.5</v>
      </c>
      <c r="AL53" s="495">
        <f t="shared" si="12"/>
        <v>0</v>
      </c>
      <c r="AM53" s="495">
        <f t="shared" si="12"/>
        <v>0</v>
      </c>
      <c r="AN53" s="495">
        <f t="shared" si="12"/>
        <v>0</v>
      </c>
      <c r="AO53" s="495">
        <f t="shared" si="12"/>
        <v>0</v>
      </c>
      <c r="AP53" s="495">
        <f t="shared" si="12"/>
        <v>0</v>
      </c>
      <c r="AQ53" s="495">
        <f t="shared" si="12"/>
        <v>0</v>
      </c>
      <c r="AR53" s="495">
        <f t="shared" si="12"/>
        <v>0</v>
      </c>
      <c r="AS53" s="495">
        <f t="shared" si="12"/>
        <v>16878.469999999998</v>
      </c>
      <c r="AT53" s="495">
        <f t="shared" si="12"/>
        <v>0</v>
      </c>
      <c r="AU53" s="495">
        <f t="shared" si="12"/>
        <v>0</v>
      </c>
      <c r="AV53" s="495">
        <f t="shared" si="12"/>
        <v>24771</v>
      </c>
      <c r="AW53" s="495">
        <f t="shared" si="12"/>
        <v>0</v>
      </c>
      <c r="AX53" s="495"/>
      <c r="AY53" s="499"/>
    </row>
    <row r="54" spans="1:51" ht="21.75" customHeight="1" x14ac:dyDescent="0.25">
      <c r="A54" s="21"/>
      <c r="D54" s="389"/>
      <c r="E54" s="390"/>
      <c r="F54" s="103"/>
      <c r="G54" s="495"/>
      <c r="H54" s="495"/>
      <c r="I54" s="495"/>
      <c r="J54" s="495"/>
      <c r="K54" s="495"/>
      <c r="L54" s="495"/>
      <c r="M54" s="495"/>
      <c r="N54" s="495"/>
      <c r="O54" s="495"/>
      <c r="P54" s="495"/>
      <c r="Q54" s="495"/>
      <c r="R54" s="495"/>
      <c r="S54" s="495"/>
      <c r="T54" s="495"/>
      <c r="U54" s="495"/>
      <c r="V54" s="495"/>
      <c r="W54" s="495"/>
      <c r="X54" s="495"/>
      <c r="Y54" s="495"/>
      <c r="Z54" s="495"/>
      <c r="AA54" s="495"/>
      <c r="AB54" s="495"/>
      <c r="AC54" s="495"/>
      <c r="AD54" s="495"/>
      <c r="AE54" s="495"/>
      <c r="AF54" s="495"/>
      <c r="AG54" s="495"/>
      <c r="AH54" s="495"/>
      <c r="AI54" s="495"/>
      <c r="AJ54" s="495"/>
      <c r="AK54" s="495"/>
      <c r="AL54" s="495"/>
      <c r="AM54" s="495"/>
      <c r="AN54" s="495"/>
      <c r="AO54" s="495"/>
      <c r="AP54" s="495"/>
      <c r="AQ54" s="495"/>
      <c r="AR54" s="495"/>
      <c r="AS54" s="495"/>
      <c r="AT54" s="495"/>
      <c r="AU54" s="495"/>
      <c r="AV54" s="495"/>
      <c r="AW54" s="495"/>
      <c r="AX54" s="495"/>
      <c r="AY54" s="499"/>
    </row>
    <row r="55" spans="1:51" ht="21.75" customHeight="1" x14ac:dyDescent="0.25">
      <c r="A55" s="21"/>
      <c r="D55" s="389"/>
      <c r="E55" s="390"/>
      <c r="F55" s="103"/>
      <c r="G55" s="495"/>
      <c r="H55" s="495"/>
      <c r="I55" s="495"/>
      <c r="J55" s="495"/>
      <c r="K55" s="495">
        <v>1</v>
      </c>
      <c r="L55" s="495"/>
      <c r="M55" s="495"/>
      <c r="N55" s="495"/>
      <c r="O55" s="495"/>
      <c r="P55" s="495"/>
      <c r="Q55" s="495">
        <v>2</v>
      </c>
      <c r="R55" s="495">
        <v>3</v>
      </c>
      <c r="S55" s="495"/>
      <c r="T55" s="495"/>
      <c r="U55" s="495"/>
      <c r="V55" s="495">
        <v>4</v>
      </c>
      <c r="W55" s="495">
        <v>5</v>
      </c>
      <c r="X55" s="495">
        <v>6</v>
      </c>
      <c r="Y55" s="495">
        <v>7</v>
      </c>
      <c r="Z55" s="495"/>
      <c r="AA55" s="495"/>
      <c r="AB55" s="495"/>
      <c r="AC55" s="495">
        <v>8</v>
      </c>
      <c r="AD55" s="495"/>
      <c r="AE55" s="495"/>
      <c r="AF55" s="495">
        <v>9</v>
      </c>
      <c r="AG55" s="495"/>
      <c r="AH55" s="495"/>
      <c r="AI55" s="495"/>
      <c r="AJ55" s="495"/>
      <c r="AK55" s="495"/>
      <c r="AL55" s="495"/>
      <c r="AM55" s="495"/>
      <c r="AN55" s="495"/>
      <c r="AO55" s="495"/>
      <c r="AP55" s="495"/>
      <c r="AQ55" s="495"/>
      <c r="AR55" s="495"/>
      <c r="AS55" s="495">
        <v>10</v>
      </c>
      <c r="AT55" s="495"/>
      <c r="AU55" s="495"/>
      <c r="AV55" s="495"/>
      <c r="AW55" s="495"/>
      <c r="AX55" s="495"/>
      <c r="AY55" s="499"/>
    </row>
    <row r="56" spans="1:51" ht="0.75" customHeight="1" x14ac:dyDescent="0.25">
      <c r="A56" s="21"/>
      <c r="D56" s="389"/>
      <c r="E56" s="390"/>
      <c r="F56" s="103"/>
      <c r="AY56" s="150"/>
    </row>
    <row r="57" spans="1:51" ht="21.75" hidden="1" customHeight="1" x14ac:dyDescent="0.25">
      <c r="A57" s="21"/>
      <c r="B57" s="500"/>
      <c r="C57" s="500"/>
      <c r="D57" s="501"/>
      <c r="E57" s="502"/>
      <c r="F57" s="503"/>
      <c r="G57" s="500"/>
      <c r="H57" s="500"/>
      <c r="AY57" s="150"/>
    </row>
    <row r="58" spans="1:51" ht="21.75" hidden="1" customHeight="1" x14ac:dyDescent="0.25">
      <c r="A58" s="21"/>
      <c r="B58" s="500"/>
      <c r="C58" s="500">
        <f>227795.2+21236.8</f>
        <v>249032</v>
      </c>
      <c r="D58" s="501"/>
      <c r="E58" s="502"/>
      <c r="F58" s="503"/>
      <c r="G58" s="500"/>
      <c r="H58" s="500"/>
      <c r="AY58" s="150"/>
    </row>
    <row r="59" spans="1:51" ht="15" hidden="1" x14ac:dyDescent="0.2">
      <c r="A59" s="21"/>
      <c r="B59" s="500"/>
      <c r="C59" s="500"/>
      <c r="D59" s="500"/>
      <c r="E59" s="504"/>
      <c r="F59" s="503"/>
      <c r="G59" s="500"/>
      <c r="H59" s="500"/>
      <c r="AY59" s="150"/>
    </row>
    <row r="60" spans="1:51" ht="15" hidden="1" x14ac:dyDescent="0.2">
      <c r="A60" s="21"/>
      <c r="B60" s="500"/>
      <c r="C60" s="500"/>
      <c r="D60" s="500"/>
      <c r="E60" s="504"/>
      <c r="F60" s="503"/>
      <c r="G60" s="500"/>
      <c r="H60" s="500"/>
      <c r="AY60" s="150"/>
    </row>
    <row r="61" spans="1:51" ht="15" hidden="1" x14ac:dyDescent="0.2">
      <c r="A61" s="21"/>
      <c r="B61" s="500" t="s">
        <v>517</v>
      </c>
      <c r="C61" s="500"/>
      <c r="D61" s="500"/>
      <c r="E61" s="504">
        <f>D53</f>
        <v>782462.12000000011</v>
      </c>
      <c r="F61" s="503"/>
      <c r="G61" s="500"/>
      <c r="H61" s="500"/>
      <c r="AY61" s="150"/>
    </row>
    <row r="62" spans="1:51" hidden="1" x14ac:dyDescent="0.2">
      <c r="A62" s="21"/>
      <c r="B62" s="500"/>
      <c r="C62" s="500"/>
      <c r="D62" s="500"/>
      <c r="E62" s="500"/>
      <c r="F62" s="503"/>
      <c r="G62" s="500"/>
      <c r="H62" s="500"/>
      <c r="K62" s="151"/>
      <c r="L62" s="22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</row>
    <row r="63" spans="1:51" hidden="1" x14ac:dyDescent="0.2">
      <c r="A63" s="21"/>
      <c r="B63" s="495"/>
      <c r="C63" s="495"/>
      <c r="D63" s="495" t="s">
        <v>549</v>
      </c>
      <c r="E63" s="505">
        <f>E61-D53</f>
        <v>0</v>
      </c>
      <c r="F63" s="506"/>
      <c r="G63" s="500"/>
      <c r="H63" s="500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</row>
    <row r="64" spans="1:51" ht="15" hidden="1" x14ac:dyDescent="0.2">
      <c r="B64" s="495"/>
      <c r="C64" s="495"/>
      <c r="D64" s="495"/>
      <c r="E64" s="184"/>
      <c r="F64" s="497">
        <f>761122.12-235700.5</f>
        <v>525421.62</v>
      </c>
      <c r="G64" s="500"/>
      <c r="H64" s="500"/>
    </row>
    <row r="65" spans="2:8" ht="15.75" hidden="1" x14ac:dyDescent="0.25">
      <c r="B65" s="495"/>
      <c r="C65" s="495"/>
      <c r="D65" s="495"/>
      <c r="E65" s="507"/>
      <c r="F65" s="497"/>
      <c r="G65" s="500"/>
      <c r="H65" s="500"/>
    </row>
    <row r="66" spans="2:8" hidden="1" x14ac:dyDescent="0.2">
      <c r="B66" s="495"/>
      <c r="C66" s="495"/>
      <c r="D66" s="495"/>
      <c r="E66" s="497"/>
      <c r="F66" s="497"/>
      <c r="G66" s="500"/>
      <c r="H66" s="500"/>
    </row>
    <row r="67" spans="2:8" hidden="1" x14ac:dyDescent="0.2">
      <c r="B67" s="495"/>
      <c r="C67" s="495"/>
      <c r="D67" s="495"/>
      <c r="E67" s="497"/>
      <c r="F67" s="497"/>
      <c r="G67" s="500"/>
      <c r="H67" s="500"/>
    </row>
    <row r="68" spans="2:8" hidden="1" x14ac:dyDescent="0.2">
      <c r="B68" s="495"/>
      <c r="C68" s="495"/>
      <c r="D68" s="495"/>
      <c r="E68" s="506"/>
      <c r="F68" s="506"/>
      <c r="G68" s="500"/>
      <c r="H68" s="500"/>
    </row>
    <row r="69" spans="2:8" hidden="1" x14ac:dyDescent="0.2">
      <c r="B69" s="495"/>
      <c r="C69" s="495"/>
      <c r="D69" s="495"/>
      <c r="E69" s="497"/>
      <c r="F69" s="497"/>
      <c r="G69" s="500"/>
      <c r="H69" s="500"/>
    </row>
    <row r="70" spans="2:8" hidden="1" x14ac:dyDescent="0.2">
      <c r="B70" s="495"/>
      <c r="C70" s="495"/>
      <c r="D70" s="495"/>
      <c r="E70" s="497"/>
      <c r="F70" s="497"/>
      <c r="G70" s="500"/>
      <c r="H70" s="500"/>
    </row>
    <row r="71" spans="2:8" hidden="1" x14ac:dyDescent="0.2">
      <c r="B71" s="495"/>
      <c r="C71" s="495"/>
      <c r="D71" s="495"/>
      <c r="E71" s="497"/>
      <c r="F71" s="497">
        <f>13164.7+3390+1000</f>
        <v>17554.7</v>
      </c>
      <c r="G71" s="500"/>
      <c r="H71" s="500"/>
    </row>
    <row r="72" spans="2:8" hidden="1" x14ac:dyDescent="0.2">
      <c r="B72" s="495" t="s">
        <v>488</v>
      </c>
      <c r="C72" s="495"/>
      <c r="D72" s="495"/>
      <c r="E72" s="497"/>
      <c r="F72" s="497"/>
      <c r="G72" s="500"/>
      <c r="H72" s="500"/>
    </row>
    <row r="73" spans="2:8" hidden="1" x14ac:dyDescent="0.2">
      <c r="B73" s="495"/>
      <c r="C73" s="495"/>
      <c r="D73" s="495"/>
      <c r="E73" s="497"/>
      <c r="F73" s="497"/>
      <c r="G73" s="500"/>
      <c r="H73" s="500"/>
    </row>
    <row r="74" spans="2:8" hidden="1" x14ac:dyDescent="0.2">
      <c r="B74" s="495"/>
      <c r="C74" s="495"/>
      <c r="D74" s="495"/>
      <c r="E74" s="497"/>
      <c r="F74" s="497"/>
      <c r="G74" s="500"/>
      <c r="H74" s="500"/>
    </row>
    <row r="75" spans="2:8" hidden="1" x14ac:dyDescent="0.2">
      <c r="B75" s="495"/>
      <c r="C75" s="495"/>
      <c r="D75" s="495"/>
      <c r="E75" s="497"/>
      <c r="F75" s="497"/>
      <c r="G75" s="500"/>
      <c r="H75" s="500"/>
    </row>
    <row r="76" spans="2:8" hidden="1" x14ac:dyDescent="0.2">
      <c r="B76" s="500" t="s">
        <v>499</v>
      </c>
      <c r="C76" s="500"/>
      <c r="D76" s="500"/>
      <c r="E76" s="500"/>
      <c r="F76" s="503">
        <v>1106176.24</v>
      </c>
      <c r="G76" s="500"/>
      <c r="H76" s="500"/>
    </row>
    <row r="77" spans="2:8" hidden="1" x14ac:dyDescent="0.2">
      <c r="B77" s="500"/>
      <c r="C77" s="500"/>
      <c r="D77" s="500"/>
      <c r="E77" s="500"/>
      <c r="F77" s="503"/>
      <c r="G77" s="500"/>
      <c r="H77" s="500"/>
    </row>
    <row r="78" spans="2:8" hidden="1" x14ac:dyDescent="0.2">
      <c r="B78" s="500" t="s">
        <v>500</v>
      </c>
      <c r="C78" s="500"/>
      <c r="D78" s="500"/>
      <c r="E78" s="500"/>
      <c r="F78" s="503">
        <v>342134.52</v>
      </c>
      <c r="G78" s="500"/>
      <c r="H78" s="500"/>
    </row>
    <row r="79" spans="2:8" hidden="1" x14ac:dyDescent="0.2">
      <c r="B79" s="500"/>
      <c r="C79" s="500"/>
      <c r="D79" s="500"/>
      <c r="E79" s="500"/>
      <c r="F79" s="503"/>
      <c r="G79" s="500"/>
      <c r="H79" s="500"/>
    </row>
    <row r="80" spans="2:8" hidden="1" x14ac:dyDescent="0.2">
      <c r="B80" s="500" t="s">
        <v>501</v>
      </c>
      <c r="C80" s="500"/>
      <c r="D80" s="500"/>
      <c r="E80" s="500"/>
      <c r="F80" s="503">
        <f>F76-F78</f>
        <v>764041.72</v>
      </c>
      <c r="G80" s="500"/>
      <c r="H80" s="500"/>
    </row>
    <row r="81" spans="2:6" x14ac:dyDescent="0.2">
      <c r="F81" s="97"/>
    </row>
    <row r="83" spans="2:6" ht="14.25" x14ac:dyDescent="0.2">
      <c r="B83" s="518" t="s">
        <v>518</v>
      </c>
      <c r="C83" s="519">
        <f>SUM(C84:C88)</f>
        <v>183223.34</v>
      </c>
      <c r="D83" s="519"/>
      <c r="E83" s="520">
        <f>SUM(C84:C88)-44561.78-3151</f>
        <v>135510.56</v>
      </c>
    </row>
    <row r="84" spans="2:6" ht="14.25" x14ac:dyDescent="0.2">
      <c r="B84" s="166" t="s">
        <v>506</v>
      </c>
      <c r="C84" s="378">
        <v>78586.899999999994</v>
      </c>
      <c r="D84" s="378"/>
      <c r="E84" s="378"/>
    </row>
    <row r="85" spans="2:6" ht="14.25" x14ac:dyDescent="0.2">
      <c r="B85" s="166" t="s">
        <v>507</v>
      </c>
      <c r="C85" s="378">
        <v>34405.67</v>
      </c>
      <c r="D85" s="378"/>
      <c r="E85" s="378"/>
    </row>
    <row r="86" spans="2:6" ht="14.25" x14ac:dyDescent="0.2">
      <c r="B86" s="166" t="s">
        <v>510</v>
      </c>
      <c r="C86" s="378">
        <v>31988.05</v>
      </c>
      <c r="D86" s="378"/>
      <c r="E86" s="378"/>
    </row>
    <row r="87" spans="2:6" ht="14.25" x14ac:dyDescent="0.2">
      <c r="B87" s="166" t="s">
        <v>508</v>
      </c>
      <c r="C87" s="378">
        <v>30468.05</v>
      </c>
      <c r="D87" s="378"/>
      <c r="E87" s="378"/>
    </row>
    <row r="88" spans="2:6" ht="14.25" x14ac:dyDescent="0.2">
      <c r="B88" s="166" t="s">
        <v>509</v>
      </c>
      <c r="C88" s="378">
        <v>7774.67</v>
      </c>
      <c r="D88" s="378"/>
      <c r="E88" s="378"/>
    </row>
    <row r="89" spans="2:6" ht="14.25" x14ac:dyDescent="0.2">
      <c r="B89" s="166"/>
      <c r="C89" s="378">
        <v>-47712.78</v>
      </c>
      <c r="D89" s="378"/>
      <c r="E89" s="378"/>
    </row>
    <row r="90" spans="2:6" ht="14.25" x14ac:dyDescent="0.2">
      <c r="B90" s="166" t="s">
        <v>511</v>
      </c>
      <c r="C90" s="377"/>
      <c r="D90" s="377"/>
      <c r="E90" s="378">
        <v>10000</v>
      </c>
    </row>
    <row r="91" spans="2:6" ht="14.25" x14ac:dyDescent="0.2">
      <c r="B91" s="166" t="s">
        <v>512</v>
      </c>
      <c r="C91" s="377"/>
      <c r="D91" s="377"/>
      <c r="E91" s="378">
        <v>4672.21</v>
      </c>
    </row>
    <row r="92" spans="2:6" ht="14.25" x14ac:dyDescent="0.2">
      <c r="B92" s="166" t="s">
        <v>513</v>
      </c>
      <c r="C92" s="377"/>
      <c r="D92" s="377"/>
      <c r="E92" s="378">
        <v>89534.720000000001</v>
      </c>
    </row>
    <row r="93" spans="2:6" ht="14.25" x14ac:dyDescent="0.2">
      <c r="B93" s="166" t="s">
        <v>514</v>
      </c>
      <c r="C93" s="377"/>
      <c r="D93" s="377"/>
      <c r="E93" s="378">
        <v>10225.25</v>
      </c>
    </row>
    <row r="94" spans="2:6" ht="14.25" x14ac:dyDescent="0.2">
      <c r="B94" s="166" t="s">
        <v>515</v>
      </c>
      <c r="C94" s="377"/>
      <c r="D94" s="377"/>
      <c r="E94" s="378">
        <v>20655.349999999999</v>
      </c>
    </row>
    <row r="95" spans="2:6" ht="14.25" x14ac:dyDescent="0.2">
      <c r="B95" s="508" t="s">
        <v>516</v>
      </c>
      <c r="C95" s="379"/>
      <c r="D95" s="379"/>
      <c r="E95" s="378">
        <v>4096.28</v>
      </c>
    </row>
    <row r="96" spans="2:6" ht="14.25" x14ac:dyDescent="0.2">
      <c r="B96" s="508" t="s">
        <v>521</v>
      </c>
      <c r="C96" s="379"/>
      <c r="D96" s="379"/>
      <c r="E96" s="378">
        <v>235700.5</v>
      </c>
    </row>
    <row r="97" spans="2:2" x14ac:dyDescent="0.2">
      <c r="B97" s="509" t="s">
        <v>522</v>
      </c>
    </row>
  </sheetData>
  <sheetProtection algorithmName="SHA-512" hashValue="NpB8CeQqG14I5JU7THEbXOhCK7cEPQIJ/JXgVCS29+DjENzHwYUuJbfCTLHgBB1Pi/XhpZjQUadBQ79dCkNRJw==" saltValue="B5CECFKQE7uILe16SaMXag==" spinCount="100000" sheet="1" objects="1" scenarios="1"/>
  <mergeCells count="5">
    <mergeCell ref="D53:E53"/>
    <mergeCell ref="AY1:AY2"/>
    <mergeCell ref="A1:E1"/>
    <mergeCell ref="A2:E2"/>
    <mergeCell ref="AX1:AX2"/>
  </mergeCells>
  <pageMargins left="0.67" right="0.39" top="0.43307086614173229" bottom="0.74803149606299213" header="0.31496062992125984" footer="0.31496062992125984"/>
  <pageSetup scale="73" orientation="portrait" horizontalDpi="4294967293" verticalDpi="18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3" tint="0.39997558519241921"/>
  </sheetPr>
  <dimension ref="A1:F24"/>
  <sheetViews>
    <sheetView tabSelected="1" workbookViewId="0">
      <selection activeCell="L8" sqref="L8"/>
    </sheetView>
  </sheetViews>
  <sheetFormatPr baseColWidth="10" defaultRowHeight="12.75" x14ac:dyDescent="0.2"/>
  <cols>
    <col min="1" max="1" width="6.85546875" customWidth="1"/>
    <col min="2" max="2" width="1.85546875" style="151" customWidth="1"/>
    <col min="3" max="3" width="79.7109375" customWidth="1"/>
  </cols>
  <sheetData>
    <row r="1" spans="1:6" ht="15" customHeight="1" x14ac:dyDescent="0.45">
      <c r="C1" s="391"/>
      <c r="F1" s="521">
        <v>2353961.85</v>
      </c>
    </row>
    <row r="2" spans="1:6" ht="12.75" customHeight="1" x14ac:dyDescent="0.2">
      <c r="A2" s="708" t="s">
        <v>408</v>
      </c>
      <c r="B2" s="401"/>
      <c r="D2" s="385"/>
      <c r="F2" s="521">
        <v>2353961.85</v>
      </c>
    </row>
    <row r="3" spans="1:6" ht="18" customHeight="1" x14ac:dyDescent="0.2">
      <c r="A3" s="708"/>
      <c r="B3" s="401"/>
    </row>
    <row r="4" spans="1:6" ht="41.25" customHeight="1" thickBot="1" x14ac:dyDescent="0.7">
      <c r="A4" s="708"/>
      <c r="B4" s="401"/>
      <c r="C4" s="396" t="s">
        <v>552</v>
      </c>
    </row>
    <row r="5" spans="1:6" ht="32.1" customHeight="1" thickTop="1" x14ac:dyDescent="0.5">
      <c r="A5" s="708"/>
      <c r="B5" s="401"/>
      <c r="C5" s="398"/>
    </row>
    <row r="6" spans="1:6" ht="42" customHeight="1" thickBot="1" x14ac:dyDescent="0.7">
      <c r="A6" s="708"/>
      <c r="B6" s="401"/>
      <c r="C6" s="397" t="s">
        <v>553</v>
      </c>
    </row>
    <row r="7" spans="1:6" ht="32.1" customHeight="1" thickTop="1" x14ac:dyDescent="0.5">
      <c r="A7" s="708"/>
      <c r="B7" s="401"/>
      <c r="C7" s="398"/>
    </row>
    <row r="8" spans="1:6" ht="32.1" customHeight="1" x14ac:dyDescent="0.5">
      <c r="A8" s="708"/>
      <c r="B8" s="401"/>
      <c r="C8" s="398"/>
    </row>
    <row r="9" spans="1:6" ht="32.1" customHeight="1" x14ac:dyDescent="0.5">
      <c r="A9" s="708"/>
      <c r="B9" s="401"/>
      <c r="C9" s="392"/>
    </row>
    <row r="10" spans="1:6" ht="32.1" customHeight="1" x14ac:dyDescent="0.5">
      <c r="A10" s="708"/>
      <c r="B10" s="401"/>
      <c r="C10" s="392"/>
    </row>
    <row r="11" spans="1:6" ht="32.1" customHeight="1" x14ac:dyDescent="0.5">
      <c r="A11" s="708"/>
      <c r="B11" s="401"/>
      <c r="C11" s="392"/>
    </row>
    <row r="12" spans="1:6" ht="32.1" customHeight="1" x14ac:dyDescent="0.5">
      <c r="A12" s="708"/>
      <c r="B12" s="401"/>
      <c r="C12" s="392"/>
    </row>
    <row r="13" spans="1:6" ht="32.1" customHeight="1" x14ac:dyDescent="0.5">
      <c r="A13" s="708"/>
      <c r="B13" s="401"/>
      <c r="C13" s="392"/>
    </row>
    <row r="14" spans="1:6" ht="32.1" customHeight="1" x14ac:dyDescent="0.5">
      <c r="A14" s="708"/>
      <c r="B14" s="401"/>
      <c r="C14" s="392"/>
    </row>
    <row r="15" spans="1:6" ht="32.1" customHeight="1" x14ac:dyDescent="0.2">
      <c r="A15" s="708"/>
      <c r="B15" s="401"/>
      <c r="C15" s="229"/>
    </row>
    <row r="16" spans="1:6" ht="24.75" customHeight="1" x14ac:dyDescent="0.2">
      <c r="A16" s="708"/>
      <c r="B16" s="401"/>
      <c r="C16" s="229"/>
    </row>
    <row r="17" spans="1:3" ht="32.1" customHeight="1" x14ac:dyDescent="0.2">
      <c r="A17" s="708"/>
      <c r="B17" s="401"/>
      <c r="C17" s="229"/>
    </row>
    <row r="18" spans="1:3" ht="32.1" customHeight="1" x14ac:dyDescent="0.4">
      <c r="A18" s="708"/>
      <c r="B18" s="401"/>
      <c r="C18" s="393" t="s">
        <v>554</v>
      </c>
    </row>
    <row r="19" spans="1:3" ht="32.1" customHeight="1" x14ac:dyDescent="0.4">
      <c r="A19" s="708"/>
      <c r="B19" s="401"/>
      <c r="C19" s="393" t="s">
        <v>555</v>
      </c>
    </row>
    <row r="20" spans="1:3" ht="32.1" customHeight="1" x14ac:dyDescent="0.4">
      <c r="A20" s="708"/>
      <c r="B20" s="401"/>
      <c r="C20" s="394" t="s">
        <v>556</v>
      </c>
    </row>
    <row r="21" spans="1:3" ht="32.1" customHeight="1" x14ac:dyDescent="0.4">
      <c r="A21" s="708"/>
      <c r="B21" s="401"/>
      <c r="C21" s="394"/>
    </row>
    <row r="22" spans="1:3" ht="10.5" customHeight="1" x14ac:dyDescent="0.2">
      <c r="A22" s="708"/>
      <c r="B22" s="401"/>
      <c r="C22" s="402" t="s">
        <v>561</v>
      </c>
    </row>
    <row r="23" spans="1:3" ht="33" customHeight="1" x14ac:dyDescent="0.6">
      <c r="A23" s="708"/>
      <c r="B23" s="400"/>
      <c r="C23" s="399" t="s">
        <v>560</v>
      </c>
    </row>
    <row r="24" spans="1:3" ht="32.1" customHeight="1" x14ac:dyDescent="0.45">
      <c r="C24" s="391"/>
    </row>
  </sheetData>
  <sheetProtection algorithmName="SHA-512" hashValue="Hut8UnyXZnlqCfD7dkernkKQ3MGiseamjLsUGikap72oEjixCd70bpWgKzIVBm7M2cgTWsmQrWF/n+1005Svfw==" saltValue="H3Y+As72ixQ56kbJuT13Og==" spinCount="100000" sheet="1" objects="1" scenarios="1"/>
  <mergeCells count="1">
    <mergeCell ref="A2:A23"/>
  </mergeCells>
  <pageMargins left="1.1000000000000001" right="0.41" top="0.74803149606299213" bottom="0.74803149606299213" header="0.31496062992125984" footer="0.31496062992125984"/>
  <pageSetup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</sheetPr>
  <dimension ref="A1:G33"/>
  <sheetViews>
    <sheetView workbookViewId="0">
      <selection activeCell="B8" sqref="B8"/>
    </sheetView>
  </sheetViews>
  <sheetFormatPr baseColWidth="10" defaultColWidth="18.7109375" defaultRowHeight="12.75" x14ac:dyDescent="0.2"/>
  <cols>
    <col min="1" max="1" width="16.42578125" style="46" customWidth="1"/>
    <col min="2" max="2" width="40.140625" style="46" customWidth="1"/>
    <col min="3" max="3" width="23.5703125" style="46" customWidth="1"/>
    <col min="4" max="16384" width="18.7109375" style="46"/>
  </cols>
  <sheetData>
    <row r="1" spans="1:6" ht="26.25" customHeight="1" x14ac:dyDescent="0.2">
      <c r="A1" s="546" t="s">
        <v>409</v>
      </c>
      <c r="B1" s="546"/>
      <c r="C1" s="546"/>
      <c r="D1" s="45"/>
      <c r="E1" s="45"/>
      <c r="F1" s="45"/>
    </row>
    <row r="2" spans="1:6" ht="24.75" customHeight="1" x14ac:dyDescent="0.2">
      <c r="A2" s="547" t="s">
        <v>408</v>
      </c>
      <c r="B2" s="547"/>
      <c r="C2" s="547"/>
      <c r="D2" s="47"/>
      <c r="E2" s="47"/>
      <c r="F2" s="47"/>
    </row>
    <row r="3" spans="1:6" ht="24" customHeight="1" x14ac:dyDescent="0.2">
      <c r="A3" s="548" t="s">
        <v>495</v>
      </c>
      <c r="B3" s="548"/>
      <c r="C3" s="548"/>
      <c r="D3" s="48"/>
      <c r="E3" s="48"/>
      <c r="F3" s="48"/>
    </row>
    <row r="4" spans="1:6" ht="26.25" customHeight="1" thickBot="1" x14ac:dyDescent="0.25">
      <c r="A4" s="542" t="s">
        <v>480</v>
      </c>
      <c r="B4" s="542"/>
      <c r="C4" s="542"/>
      <c r="D4" s="48"/>
      <c r="E4" s="48"/>
      <c r="F4" s="48"/>
    </row>
    <row r="5" spans="1:6" s="49" customFormat="1" ht="37.5" customHeight="1" thickBot="1" x14ac:dyDescent="0.25">
      <c r="A5" s="230" t="s">
        <v>159</v>
      </c>
      <c r="B5" s="231" t="s">
        <v>111</v>
      </c>
      <c r="C5" s="231" t="s">
        <v>160</v>
      </c>
      <c r="D5" s="44"/>
      <c r="E5" s="44"/>
      <c r="F5" s="44"/>
    </row>
    <row r="6" spans="1:6" s="50" customFormat="1" ht="24.95" customHeight="1" x14ac:dyDescent="0.2">
      <c r="A6" s="214">
        <v>11</v>
      </c>
      <c r="B6" s="215" t="s">
        <v>161</v>
      </c>
      <c r="C6" s="216">
        <f>SUM(Ingresos!K10)</f>
        <v>267236.33199999999</v>
      </c>
    </row>
    <row r="7" spans="1:6" s="50" customFormat="1" ht="24.95" customHeight="1" x14ac:dyDescent="0.2">
      <c r="A7" s="217">
        <v>12</v>
      </c>
      <c r="B7" s="218" t="s">
        <v>162</v>
      </c>
      <c r="C7" s="219">
        <f>SUM(Ingresos!K12)</f>
        <v>575716.03099999984</v>
      </c>
    </row>
    <row r="8" spans="1:6" s="50" customFormat="1" ht="24.95" customHeight="1" x14ac:dyDescent="0.2">
      <c r="A8" s="217">
        <v>14</v>
      </c>
      <c r="B8" s="218" t="s">
        <v>163</v>
      </c>
      <c r="C8" s="219">
        <f>SUM(Ingresos!K13)</f>
        <v>1076.24</v>
      </c>
    </row>
    <row r="9" spans="1:6" s="50" customFormat="1" ht="24.95" customHeight="1" x14ac:dyDescent="0.2">
      <c r="A9" s="217">
        <v>15</v>
      </c>
      <c r="B9" s="218" t="s">
        <v>164</v>
      </c>
      <c r="C9" s="219">
        <f>SUM(Ingresos!K14)</f>
        <v>35031.638000000006</v>
      </c>
    </row>
    <row r="10" spans="1:6" s="50" customFormat="1" ht="24.95" customHeight="1" x14ac:dyDescent="0.2">
      <c r="A10" s="217">
        <v>16</v>
      </c>
      <c r="B10" s="218" t="s">
        <v>166</v>
      </c>
      <c r="C10" s="219">
        <f>SUM(Ingresos!K15)+Ingresos!C48</f>
        <v>368725.37</v>
      </c>
      <c r="D10" s="99"/>
    </row>
    <row r="11" spans="1:6" s="50" customFormat="1" ht="24.95" customHeight="1" x14ac:dyDescent="0.2">
      <c r="A11" s="217">
        <v>22</v>
      </c>
      <c r="B11" s="218" t="s">
        <v>165</v>
      </c>
      <c r="C11" s="219">
        <f>SUM(Ingresos!K16)+Ingresos!D48</f>
        <v>1106176.24</v>
      </c>
    </row>
    <row r="12" spans="1:6" s="50" customFormat="1" ht="24.95" customHeight="1" x14ac:dyDescent="0.2">
      <c r="A12" s="217">
        <v>31</v>
      </c>
      <c r="B12" s="218" t="s">
        <v>167</v>
      </c>
      <c r="C12" s="219">
        <f>Ingresos!H49</f>
        <v>0</v>
      </c>
    </row>
    <row r="13" spans="1:6" s="50" customFormat="1" ht="24.95" customHeight="1" thickBot="1" x14ac:dyDescent="0.25">
      <c r="A13" s="220">
        <v>32</v>
      </c>
      <c r="B13" s="221" t="s">
        <v>168</v>
      </c>
      <c r="C13" s="222">
        <f>Ingresos!I47</f>
        <v>23271.14</v>
      </c>
    </row>
    <row r="14" spans="1:6" s="50" customFormat="1" ht="24.95" customHeight="1" thickBot="1" x14ac:dyDescent="0.25">
      <c r="A14" s="543" t="s">
        <v>169</v>
      </c>
      <c r="B14" s="544"/>
      <c r="C14" s="232">
        <f>SUM(C6:C13)</f>
        <v>2377232.9909999999</v>
      </c>
    </row>
    <row r="15" spans="1:6" s="50" customFormat="1" ht="12.75" customHeight="1" x14ac:dyDescent="0.2">
      <c r="A15" s="223"/>
      <c r="B15" s="223"/>
      <c r="C15" s="224"/>
    </row>
    <row r="16" spans="1:6" s="50" customFormat="1" ht="26.25" customHeight="1" thickBot="1" x14ac:dyDescent="0.25">
      <c r="A16" s="545" t="s">
        <v>481</v>
      </c>
      <c r="B16" s="545"/>
      <c r="C16" s="545"/>
    </row>
    <row r="17" spans="1:7" s="50" customFormat="1" ht="37.5" customHeight="1" thickBot="1" x14ac:dyDescent="0.25">
      <c r="A17" s="230" t="s">
        <v>159</v>
      </c>
      <c r="B17" s="233" t="s">
        <v>111</v>
      </c>
      <c r="C17" s="231" t="s">
        <v>160</v>
      </c>
    </row>
    <row r="18" spans="1:7" s="50" customFormat="1" ht="24.95" customHeight="1" x14ac:dyDescent="0.2">
      <c r="A18" s="214">
        <v>51</v>
      </c>
      <c r="B18" s="225" t="s">
        <v>171</v>
      </c>
      <c r="C18" s="216">
        <f>SUM('Egresos F.P. '!O3+'Egr. FODES 25%'!O11+'Egr.FODES 75%'!L11)</f>
        <v>910251.22600000002</v>
      </c>
    </row>
    <row r="19" spans="1:7" s="50" customFormat="1" ht="32.25" customHeight="1" x14ac:dyDescent="0.2">
      <c r="A19" s="217">
        <v>54</v>
      </c>
      <c r="B19" s="226" t="s">
        <v>172</v>
      </c>
      <c r="C19" s="219">
        <f>SUM('Egresos F.P. '!O4+'Egr. FODES 25%'!O12+'Egr.FODES 75%'!L13)</f>
        <v>744765.12</v>
      </c>
      <c r="E19" s="186"/>
    </row>
    <row r="20" spans="1:7" s="50" customFormat="1" ht="24.95" customHeight="1" x14ac:dyDescent="0.2">
      <c r="A20" s="217">
        <v>55</v>
      </c>
      <c r="B20" s="226" t="s">
        <v>173</v>
      </c>
      <c r="C20" s="338">
        <v>183057.08</v>
      </c>
    </row>
    <row r="21" spans="1:7" s="50" customFormat="1" ht="24.95" customHeight="1" x14ac:dyDescent="0.2">
      <c r="A21" s="217">
        <v>56</v>
      </c>
      <c r="B21" s="226" t="s">
        <v>166</v>
      </c>
      <c r="C21" s="219">
        <f>+'Egresos F.P. '!O6+'Egr. FODES 25%'!O14+'Egr.FODES 75%'!L15</f>
        <v>81086.260000000009</v>
      </c>
      <c r="E21" s="99"/>
    </row>
    <row r="22" spans="1:7" s="50" customFormat="1" ht="24.95" customHeight="1" x14ac:dyDescent="0.2">
      <c r="A22" s="217">
        <v>61</v>
      </c>
      <c r="B22" s="226" t="s">
        <v>379</v>
      </c>
      <c r="C22" s="338">
        <f>SUM('Egresos F.P. '!O7+'Egr. FODES 25%'!O15+'Egr.FODES 75%'!L16+PFGL!K21+'Ejec. Prestamo'!H27)</f>
        <v>39507.440000000002</v>
      </c>
    </row>
    <row r="23" spans="1:7" ht="24.95" customHeight="1" x14ac:dyDescent="0.2">
      <c r="A23" s="217">
        <v>62</v>
      </c>
      <c r="B23" s="226" t="s">
        <v>165</v>
      </c>
      <c r="C23" s="219">
        <f>'Egr.FODES 75%'!I66</f>
        <v>237321.2</v>
      </c>
    </row>
    <row r="24" spans="1:7" ht="34.5" customHeight="1" x14ac:dyDescent="0.2">
      <c r="A24" s="217">
        <v>71</v>
      </c>
      <c r="B24" s="226" t="s">
        <v>174</v>
      </c>
      <c r="C24" s="338">
        <v>181244.66</v>
      </c>
      <c r="E24" s="187"/>
      <c r="G24" s="337"/>
    </row>
    <row r="25" spans="1:7" ht="36" customHeight="1" thickBot="1" x14ac:dyDescent="0.25">
      <c r="A25" s="220">
        <v>72</v>
      </c>
      <c r="B25" s="227" t="s">
        <v>175</v>
      </c>
      <c r="C25" s="222"/>
      <c r="E25" s="187"/>
    </row>
    <row r="26" spans="1:7" ht="24.95" customHeight="1" thickBot="1" x14ac:dyDescent="0.25">
      <c r="A26" s="543" t="s">
        <v>170</v>
      </c>
      <c r="B26" s="544"/>
      <c r="C26" s="232">
        <f>SUM(C18:C25)</f>
        <v>2377232.986</v>
      </c>
      <c r="D26" s="157"/>
      <c r="E26" s="187"/>
    </row>
    <row r="27" spans="1:7" ht="18" customHeight="1" x14ac:dyDescent="0.2">
      <c r="A27" s="228"/>
      <c r="B27" s="228"/>
      <c r="C27" s="228"/>
    </row>
    <row r="28" spans="1:7" ht="18" customHeight="1" x14ac:dyDescent="0.2"/>
    <row r="33" spans="3:5" x14ac:dyDescent="0.2">
      <c r="C33" s="375"/>
      <c r="E33" s="46">
        <v>72500</v>
      </c>
    </row>
  </sheetData>
  <sheetProtection algorithmName="SHA-512" hashValue="Ks8ky6NDlOaXdTzmzL8iHpGoc8ER4LRcTs1gZfkCrqQXoWIMt2Xlx29OMu405dxnhwUfbZFRIJoMF8U/uGpLmw==" saltValue="op4noifQzpnO8URjqEw57Q==" spinCount="100000" sheet="1" objects="1" scenarios="1"/>
  <mergeCells count="7">
    <mergeCell ref="A4:C4"/>
    <mergeCell ref="A14:B14"/>
    <mergeCell ref="A16:C16"/>
    <mergeCell ref="A26:B26"/>
    <mergeCell ref="A1:C1"/>
    <mergeCell ref="A2:C2"/>
    <mergeCell ref="A3:C3"/>
  </mergeCells>
  <printOptions horizontalCentered="1"/>
  <pageMargins left="1.03" right="0.70866141732283472" top="0.45" bottom="0.53" header="0.31496062992125984" footer="0.31496062992125984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tabColor rgb="FF00B0F0"/>
  </sheetPr>
  <dimension ref="A1:Q63"/>
  <sheetViews>
    <sheetView view="pageBreakPreview" zoomScale="95" zoomScaleSheetLayoutView="95" workbookViewId="0">
      <selection activeCell="B17" sqref="B17"/>
    </sheetView>
  </sheetViews>
  <sheetFormatPr baseColWidth="10" defaultColWidth="11.42578125" defaultRowHeight="12.75" x14ac:dyDescent="0.2"/>
  <cols>
    <col min="1" max="1" width="8.140625" style="31" customWidth="1"/>
    <col min="2" max="2" width="34.28515625" style="25" customWidth="1"/>
    <col min="3" max="3" width="16.140625" style="25" customWidth="1"/>
    <col min="4" max="4" width="18" style="25" customWidth="1"/>
    <col min="5" max="5" width="15.5703125" style="25" customWidth="1"/>
    <col min="6" max="6" width="16.140625" style="25" customWidth="1"/>
    <col min="7" max="7" width="11.42578125" style="25" customWidth="1"/>
    <col min="8" max="8" width="15.28515625" style="25" customWidth="1"/>
    <col min="9" max="9" width="24" style="30" customWidth="1"/>
    <col min="10" max="10" width="13.5703125" style="26" bestFit="1" customWidth="1"/>
    <col min="11" max="11" width="14.85546875" style="26" customWidth="1"/>
    <col min="12" max="12" width="6" style="26" customWidth="1"/>
    <col min="13" max="13" width="11.42578125" style="26"/>
    <col min="14" max="14" width="15.5703125" style="26" customWidth="1"/>
    <col min="15" max="16384" width="11.42578125" style="26"/>
  </cols>
  <sheetData>
    <row r="1" spans="1:17" ht="18" x14ac:dyDescent="0.2">
      <c r="A1" s="553" t="s">
        <v>446</v>
      </c>
      <c r="B1" s="554"/>
      <c r="C1" s="554"/>
      <c r="D1" s="554"/>
      <c r="E1" s="554"/>
      <c r="F1" s="554"/>
      <c r="G1" s="554"/>
      <c r="H1" s="554"/>
      <c r="I1" s="554"/>
      <c r="J1" s="423"/>
      <c r="K1" s="423"/>
      <c r="L1" s="423"/>
      <c r="M1" s="423"/>
      <c r="N1" s="423"/>
      <c r="O1" s="423"/>
      <c r="P1" s="423"/>
      <c r="Q1" s="423"/>
    </row>
    <row r="2" spans="1:17" ht="18" x14ac:dyDescent="0.2">
      <c r="A2" s="553" t="s">
        <v>447</v>
      </c>
      <c r="B2" s="554"/>
      <c r="C2" s="554"/>
      <c r="D2" s="554"/>
      <c r="E2" s="554"/>
      <c r="F2" s="554"/>
      <c r="G2" s="554"/>
      <c r="H2" s="554"/>
      <c r="I2" s="554"/>
      <c r="J2" s="423"/>
      <c r="K2" s="424"/>
      <c r="L2" s="425"/>
      <c r="M2" s="423"/>
      <c r="N2" s="423"/>
      <c r="O2" s="423"/>
      <c r="P2" s="423"/>
      <c r="Q2" s="423"/>
    </row>
    <row r="3" spans="1:17" ht="18" x14ac:dyDescent="0.2">
      <c r="A3" s="553" t="s">
        <v>493</v>
      </c>
      <c r="B3" s="553"/>
      <c r="C3" s="553"/>
      <c r="D3" s="553"/>
      <c r="E3" s="553"/>
      <c r="F3" s="553"/>
      <c r="G3" s="553"/>
      <c r="H3" s="553"/>
      <c r="I3" s="553"/>
      <c r="J3" s="423"/>
      <c r="K3" s="423"/>
      <c r="L3" s="425"/>
      <c r="M3" s="423"/>
      <c r="N3" s="423"/>
      <c r="O3" s="423"/>
      <c r="P3" s="423"/>
      <c r="Q3" s="423"/>
    </row>
    <row r="4" spans="1:17" ht="18" x14ac:dyDescent="0.2">
      <c r="A4" s="549" t="s">
        <v>11</v>
      </c>
      <c r="B4" s="549"/>
      <c r="C4" s="549"/>
      <c r="D4" s="549"/>
      <c r="E4" s="549"/>
      <c r="F4" s="549"/>
      <c r="G4" s="549"/>
      <c r="H4" s="549"/>
      <c r="I4" s="549"/>
      <c r="J4" s="423"/>
      <c r="K4" s="423"/>
      <c r="L4" s="425"/>
      <c r="M4" s="423"/>
      <c r="N4" s="423"/>
      <c r="O4" s="423"/>
      <c r="P4" s="423"/>
      <c r="Q4" s="423"/>
    </row>
    <row r="5" spans="1:17" ht="18.75" thickBot="1" x14ac:dyDescent="0.25">
      <c r="A5" s="555" t="s">
        <v>16</v>
      </c>
      <c r="B5" s="556"/>
      <c r="C5" s="556"/>
      <c r="D5" s="556"/>
      <c r="E5" s="556"/>
      <c r="F5" s="556"/>
      <c r="G5" s="556"/>
      <c r="H5" s="556"/>
      <c r="I5" s="556"/>
      <c r="J5" s="423"/>
      <c r="K5" s="423"/>
      <c r="L5" s="425"/>
      <c r="M5" s="423"/>
      <c r="N5" s="423"/>
      <c r="O5" s="423"/>
      <c r="P5" s="423"/>
      <c r="Q5" s="423"/>
    </row>
    <row r="6" spans="1:17" ht="15.75" customHeight="1" thickBot="1" x14ac:dyDescent="0.25">
      <c r="A6" s="566" t="s">
        <v>119</v>
      </c>
      <c r="B6" s="557" t="s">
        <v>120</v>
      </c>
      <c r="C6" s="560" t="s">
        <v>122</v>
      </c>
      <c r="D6" s="561"/>
      <c r="E6" s="562"/>
      <c r="F6" s="550" t="s">
        <v>124</v>
      </c>
      <c r="G6" s="550" t="s">
        <v>127</v>
      </c>
      <c r="H6" s="550" t="s">
        <v>125</v>
      </c>
      <c r="I6" s="563" t="s">
        <v>126</v>
      </c>
      <c r="J6" s="423"/>
      <c r="K6" s="423"/>
      <c r="L6" s="425"/>
      <c r="M6" s="423"/>
      <c r="N6" s="423"/>
      <c r="O6" s="423"/>
      <c r="P6" s="423"/>
      <c r="Q6" s="423"/>
    </row>
    <row r="7" spans="1:17" ht="33" customHeight="1" thickBot="1" x14ac:dyDescent="0.25">
      <c r="A7" s="567"/>
      <c r="B7" s="558"/>
      <c r="C7" s="569" t="s">
        <v>121</v>
      </c>
      <c r="D7" s="570"/>
      <c r="E7" s="251" t="s">
        <v>123</v>
      </c>
      <c r="F7" s="551"/>
      <c r="G7" s="551"/>
      <c r="H7" s="551"/>
      <c r="I7" s="564"/>
      <c r="J7" s="423"/>
      <c r="K7" s="423"/>
      <c r="L7" s="425"/>
      <c r="M7" s="423"/>
      <c r="N7" s="423"/>
      <c r="O7" s="423"/>
      <c r="P7" s="423"/>
      <c r="Q7" s="423"/>
    </row>
    <row r="8" spans="1:17" s="27" customFormat="1" ht="99.75" customHeight="1" thickBot="1" x14ac:dyDescent="0.25">
      <c r="A8" s="568"/>
      <c r="B8" s="559"/>
      <c r="C8" s="252" t="s">
        <v>128</v>
      </c>
      <c r="D8" s="253" t="s">
        <v>129</v>
      </c>
      <c r="E8" s="254" t="s">
        <v>73</v>
      </c>
      <c r="F8" s="552"/>
      <c r="G8" s="552"/>
      <c r="H8" s="552"/>
      <c r="I8" s="565"/>
      <c r="J8" s="426"/>
      <c r="K8" s="426"/>
      <c r="L8" s="427"/>
      <c r="M8" s="426"/>
      <c r="N8" s="426"/>
      <c r="O8" s="426"/>
      <c r="P8" s="426"/>
      <c r="Q8" s="426"/>
    </row>
    <row r="9" spans="1:17" ht="15.75" customHeight="1" x14ac:dyDescent="0.2">
      <c r="A9" s="234" t="s">
        <v>17</v>
      </c>
      <c r="B9" s="235" t="s">
        <v>18</v>
      </c>
      <c r="C9" s="236"/>
      <c r="D9" s="236"/>
      <c r="E9" s="237"/>
      <c r="F9" s="236">
        <f>SUM(ANALISIS!E7)</f>
        <v>40752.712</v>
      </c>
      <c r="G9" s="238"/>
      <c r="H9" s="238"/>
      <c r="I9" s="238">
        <f t="shared" ref="I9:I47" si="0">SUM(C9:H9)</f>
        <v>40752.712</v>
      </c>
      <c r="J9" s="423"/>
      <c r="K9" s="423" t="s">
        <v>341</v>
      </c>
      <c r="L9" s="423" t="s">
        <v>340</v>
      </c>
      <c r="M9" s="423"/>
      <c r="N9" s="428">
        <v>42783.39</v>
      </c>
      <c r="O9" s="423"/>
      <c r="P9" s="423"/>
      <c r="Q9" s="423"/>
    </row>
    <row r="10" spans="1:17" ht="15.75" customHeight="1" x14ac:dyDescent="0.2">
      <c r="A10" s="239" t="s">
        <v>19</v>
      </c>
      <c r="B10" s="240" t="s">
        <v>20</v>
      </c>
      <c r="C10" s="236"/>
      <c r="D10" s="236"/>
      <c r="E10" s="236"/>
      <c r="F10" s="236">
        <f>SUM(ANALISIS!E8)</f>
        <v>202269.91399999999</v>
      </c>
      <c r="G10" s="238"/>
      <c r="H10" s="238"/>
      <c r="I10" s="238">
        <f t="shared" si="0"/>
        <v>202269.91399999999</v>
      </c>
      <c r="J10" s="423"/>
      <c r="K10" s="424">
        <f>SUM(I9:I16)</f>
        <v>267236.33199999999</v>
      </c>
      <c r="L10" s="425">
        <v>11</v>
      </c>
      <c r="M10" s="423"/>
      <c r="N10" s="429">
        <v>108580.29</v>
      </c>
      <c r="O10" s="423"/>
      <c r="P10" s="423"/>
      <c r="Q10" s="423"/>
    </row>
    <row r="11" spans="1:17" ht="15.75" customHeight="1" x14ac:dyDescent="0.2">
      <c r="A11" s="239">
        <v>11803</v>
      </c>
      <c r="B11" s="240" t="s">
        <v>410</v>
      </c>
      <c r="C11" s="236"/>
      <c r="D11" s="236"/>
      <c r="E11" s="236"/>
      <c r="F11" s="236">
        <f>ANALISIS!E9</f>
        <v>5155.6559999999999</v>
      </c>
      <c r="G11" s="238"/>
      <c r="H11" s="238"/>
      <c r="I11" s="238">
        <f t="shared" si="0"/>
        <v>5155.6559999999999</v>
      </c>
      <c r="J11" s="423"/>
      <c r="K11" s="424"/>
      <c r="L11" s="425"/>
      <c r="M11" s="423"/>
      <c r="N11" s="429">
        <v>4190.1000000000004</v>
      </c>
      <c r="O11" s="423"/>
      <c r="P11" s="423"/>
      <c r="Q11" s="423"/>
    </row>
    <row r="12" spans="1:17" ht="15.75" customHeight="1" x14ac:dyDescent="0.2">
      <c r="A12" s="239" t="s">
        <v>21</v>
      </c>
      <c r="B12" s="240" t="s">
        <v>22</v>
      </c>
      <c r="C12" s="236"/>
      <c r="D12" s="236"/>
      <c r="E12" s="236"/>
      <c r="F12" s="236">
        <f>ANALISIS!E10</f>
        <v>3973.2</v>
      </c>
      <c r="G12" s="238"/>
      <c r="H12" s="238"/>
      <c r="I12" s="238">
        <f t="shared" si="0"/>
        <v>3973.2</v>
      </c>
      <c r="J12" s="423"/>
      <c r="K12" s="424">
        <f>SUM(I17:I31)</f>
        <v>575716.03099999984</v>
      </c>
      <c r="L12" s="425">
        <v>12</v>
      </c>
      <c r="M12" s="423"/>
      <c r="N12" s="429">
        <v>17520.349999999999</v>
      </c>
      <c r="O12" s="423"/>
      <c r="P12" s="423"/>
      <c r="Q12" s="423"/>
    </row>
    <row r="13" spans="1:17" ht="15.75" customHeight="1" x14ac:dyDescent="0.2">
      <c r="A13" s="239" t="s">
        <v>130</v>
      </c>
      <c r="B13" s="240" t="s">
        <v>131</v>
      </c>
      <c r="C13" s="236"/>
      <c r="D13" s="236"/>
      <c r="E13" s="236"/>
      <c r="F13" s="236">
        <v>0</v>
      </c>
      <c r="G13" s="238"/>
      <c r="H13" s="238"/>
      <c r="I13" s="238">
        <f t="shared" si="0"/>
        <v>0</v>
      </c>
      <c r="J13" s="423"/>
      <c r="K13" s="424">
        <f>SUM(I32:I33)</f>
        <v>1076.24</v>
      </c>
      <c r="L13" s="425">
        <v>14</v>
      </c>
      <c r="M13" s="423"/>
      <c r="N13" s="429">
        <v>14388.68</v>
      </c>
      <c r="O13" s="423"/>
      <c r="P13" s="423"/>
      <c r="Q13" s="423"/>
    </row>
    <row r="14" spans="1:17" ht="15.75" customHeight="1" x14ac:dyDescent="0.2">
      <c r="A14" s="241" t="s">
        <v>132</v>
      </c>
      <c r="B14" s="242" t="s">
        <v>134</v>
      </c>
      <c r="C14" s="236"/>
      <c r="D14" s="236"/>
      <c r="E14" s="236"/>
      <c r="F14" s="236">
        <v>0</v>
      </c>
      <c r="G14" s="238"/>
      <c r="H14" s="238"/>
      <c r="I14" s="238">
        <f t="shared" si="0"/>
        <v>0</v>
      </c>
      <c r="J14" s="423"/>
      <c r="K14" s="424">
        <f>SUM(I34:I41)</f>
        <v>35031.638000000006</v>
      </c>
      <c r="L14" s="425">
        <v>15</v>
      </c>
      <c r="M14" s="423"/>
      <c r="N14" s="429">
        <v>2642.61</v>
      </c>
      <c r="O14" s="423"/>
      <c r="P14" s="423"/>
      <c r="Q14" s="423"/>
    </row>
    <row r="15" spans="1:17" ht="15.75" customHeight="1" x14ac:dyDescent="0.2">
      <c r="A15" s="239" t="s">
        <v>133</v>
      </c>
      <c r="B15" s="240" t="s">
        <v>135</v>
      </c>
      <c r="C15" s="236"/>
      <c r="D15" s="236"/>
      <c r="E15" s="236"/>
      <c r="F15" s="236">
        <f>ANALISIS!E11</f>
        <v>12183.963</v>
      </c>
      <c r="G15" s="238"/>
      <c r="H15" s="238"/>
      <c r="I15" s="238">
        <f t="shared" si="0"/>
        <v>12183.963</v>
      </c>
      <c r="J15" s="423"/>
      <c r="K15" s="424">
        <f>SUM(I42)</f>
        <v>340361.88</v>
      </c>
      <c r="L15" s="425">
        <v>16</v>
      </c>
      <c r="M15" s="423"/>
      <c r="N15" s="429">
        <v>12197.84</v>
      </c>
      <c r="O15" s="423"/>
      <c r="P15" s="423"/>
      <c r="Q15" s="423"/>
    </row>
    <row r="16" spans="1:17" ht="15.75" customHeight="1" x14ac:dyDescent="0.2">
      <c r="A16" s="241">
        <v>11818</v>
      </c>
      <c r="B16" s="242" t="s">
        <v>58</v>
      </c>
      <c r="C16" s="236"/>
      <c r="D16" s="236"/>
      <c r="E16" s="236"/>
      <c r="F16" s="236">
        <f>ANALISIS!E12</f>
        <v>2900.8870000000002</v>
      </c>
      <c r="G16" s="238"/>
      <c r="H16" s="238"/>
      <c r="I16" s="238">
        <f t="shared" si="0"/>
        <v>2900.8870000000002</v>
      </c>
      <c r="J16" s="423"/>
      <c r="K16" s="424">
        <f>SUM(I43)</f>
        <v>1021085.76</v>
      </c>
      <c r="L16" s="425">
        <v>22</v>
      </c>
      <c r="M16" s="423"/>
      <c r="N16" s="429">
        <v>4688.6000000000004</v>
      </c>
      <c r="O16" s="423"/>
      <c r="P16" s="423"/>
      <c r="Q16" s="423"/>
    </row>
    <row r="17" spans="1:17" ht="15.75" customHeight="1" x14ac:dyDescent="0.2">
      <c r="A17" s="239">
        <v>12105</v>
      </c>
      <c r="B17" s="240" t="str">
        <f>ANALISIS!B13</f>
        <v>Por Serv. de Certif. o Visado de doc.</v>
      </c>
      <c r="C17" s="236"/>
      <c r="D17" s="236"/>
      <c r="E17" s="236"/>
      <c r="F17" s="236">
        <f>ANALISIS!E13</f>
        <v>14307.48</v>
      </c>
      <c r="G17" s="238"/>
      <c r="H17" s="238"/>
      <c r="I17" s="238">
        <f t="shared" si="0"/>
        <v>14307.48</v>
      </c>
      <c r="J17" s="423"/>
      <c r="K17" s="424">
        <f>SUM(I44:I45)</f>
        <v>0</v>
      </c>
      <c r="L17" s="425">
        <v>31</v>
      </c>
      <c r="M17" s="423"/>
      <c r="N17" s="429">
        <v>67200.44</v>
      </c>
      <c r="O17" s="423"/>
      <c r="P17" s="423"/>
      <c r="Q17" s="423"/>
    </row>
    <row r="18" spans="1:17" ht="15.75" customHeight="1" x14ac:dyDescent="0.2">
      <c r="A18" s="243">
        <v>12106</v>
      </c>
      <c r="B18" s="244" t="str">
        <f>ANALISIS!B14</f>
        <v>Por Expedic. Documentos de Identif.</v>
      </c>
      <c r="C18" s="236"/>
      <c r="D18" s="236"/>
      <c r="E18" s="236"/>
      <c r="F18" s="236">
        <f>ANALISIS!E14</f>
        <v>459.48099999999999</v>
      </c>
      <c r="G18" s="238"/>
      <c r="H18" s="238"/>
      <c r="I18" s="238">
        <f t="shared" si="0"/>
        <v>459.48099999999999</v>
      </c>
      <c r="J18" s="423"/>
      <c r="K18" s="430">
        <f>SUM(K10:K17)</f>
        <v>2240507.8810000001</v>
      </c>
      <c r="L18" s="423" t="s">
        <v>342</v>
      </c>
      <c r="M18" s="423"/>
      <c r="N18" s="429">
        <v>1167.98</v>
      </c>
      <c r="O18" s="423"/>
      <c r="P18" s="423"/>
      <c r="Q18" s="423"/>
    </row>
    <row r="19" spans="1:17" ht="15.75" customHeight="1" x14ac:dyDescent="0.2">
      <c r="A19" s="243">
        <v>12108</v>
      </c>
      <c r="B19" s="244" t="s">
        <v>25</v>
      </c>
      <c r="C19" s="236"/>
      <c r="D19" s="236"/>
      <c r="E19" s="236"/>
      <c r="F19" s="236">
        <f>ANALISIS!E15</f>
        <v>178117.302</v>
      </c>
      <c r="G19" s="238"/>
      <c r="H19" s="238"/>
      <c r="I19" s="238">
        <f t="shared" si="0"/>
        <v>178117.302</v>
      </c>
      <c r="J19" s="423"/>
      <c r="K19" s="423"/>
      <c r="L19" s="423"/>
      <c r="M19" s="423"/>
      <c r="N19" s="429"/>
      <c r="O19" s="423"/>
      <c r="P19" s="423"/>
      <c r="Q19" s="423"/>
    </row>
    <row r="20" spans="1:17" ht="15.75" customHeight="1" x14ac:dyDescent="0.2">
      <c r="A20" s="239" t="s">
        <v>23</v>
      </c>
      <c r="B20" s="240" t="s">
        <v>24</v>
      </c>
      <c r="C20" s="236"/>
      <c r="D20" s="236"/>
      <c r="E20" s="236"/>
      <c r="F20" s="236">
        <f>ANALISIS!E16</f>
        <v>143153.60399999999</v>
      </c>
      <c r="G20" s="238"/>
      <c r="H20" s="238"/>
      <c r="I20" s="238">
        <f t="shared" si="0"/>
        <v>143153.60399999999</v>
      </c>
      <c r="J20" s="423"/>
      <c r="K20" s="423"/>
      <c r="L20" s="423"/>
      <c r="M20" s="423"/>
      <c r="N20" s="429">
        <v>24801.02</v>
      </c>
      <c r="O20" s="423"/>
      <c r="P20" s="423"/>
      <c r="Q20" s="423"/>
    </row>
    <row r="21" spans="1:17" ht="15.75" customHeight="1" x14ac:dyDescent="0.2">
      <c r="A21" s="241" t="s">
        <v>59</v>
      </c>
      <c r="B21" s="242" t="s">
        <v>60</v>
      </c>
      <c r="C21" s="236"/>
      <c r="D21" s="236"/>
      <c r="E21" s="236"/>
      <c r="F21" s="236">
        <f>ANALISIS!E17</f>
        <v>1608.6290000000001</v>
      </c>
      <c r="G21" s="238"/>
      <c r="H21" s="238"/>
      <c r="I21" s="238">
        <f t="shared" si="0"/>
        <v>1608.6290000000001</v>
      </c>
      <c r="J21" s="423"/>
      <c r="K21" s="423"/>
      <c r="L21" s="423"/>
      <c r="M21" s="423"/>
      <c r="N21" s="429">
        <v>7387.93</v>
      </c>
      <c r="O21" s="423"/>
      <c r="P21" s="423"/>
      <c r="Q21" s="423"/>
    </row>
    <row r="22" spans="1:17" ht="15.75" customHeight="1" x14ac:dyDescent="0.2">
      <c r="A22" s="245" t="s">
        <v>136</v>
      </c>
      <c r="B22" s="242" t="s">
        <v>137</v>
      </c>
      <c r="C22" s="236"/>
      <c r="D22" s="236"/>
      <c r="E22" s="236"/>
      <c r="F22" s="236">
        <f>SUM(ANALISIS!E18)</f>
        <v>0</v>
      </c>
      <c r="G22" s="238"/>
      <c r="H22" s="238"/>
      <c r="I22" s="238">
        <f t="shared" si="0"/>
        <v>0</v>
      </c>
      <c r="J22" s="423"/>
      <c r="K22" s="423"/>
      <c r="L22" s="423"/>
      <c r="M22" s="423"/>
      <c r="N22" s="429">
        <v>23622.63</v>
      </c>
      <c r="O22" s="423"/>
      <c r="P22" s="423"/>
      <c r="Q22" s="423"/>
    </row>
    <row r="23" spans="1:17" ht="15.75" customHeight="1" x14ac:dyDescent="0.2">
      <c r="A23" s="241" t="s">
        <v>61</v>
      </c>
      <c r="B23" s="242" t="s">
        <v>62</v>
      </c>
      <c r="C23" s="236"/>
      <c r="D23" s="236"/>
      <c r="E23" s="236"/>
      <c r="F23" s="236">
        <f>ANALISIS!E19</f>
        <v>37759.425000000003</v>
      </c>
      <c r="G23" s="238"/>
      <c r="H23" s="238"/>
      <c r="I23" s="238">
        <f t="shared" si="0"/>
        <v>37759.425000000003</v>
      </c>
      <c r="J23" s="423"/>
      <c r="K23" s="423"/>
      <c r="L23" s="423"/>
      <c r="M23" s="423"/>
      <c r="N23" s="429">
        <v>59325.65</v>
      </c>
      <c r="O23" s="423"/>
      <c r="P23" s="423"/>
      <c r="Q23" s="423"/>
    </row>
    <row r="24" spans="1:17" ht="15.75" customHeight="1" x14ac:dyDescent="0.2">
      <c r="A24" s="241" t="s">
        <v>138</v>
      </c>
      <c r="B24" s="242" t="s">
        <v>139</v>
      </c>
      <c r="C24" s="236"/>
      <c r="D24" s="236"/>
      <c r="E24" s="236"/>
      <c r="F24" s="236">
        <f>ANALISIS!E20</f>
        <v>7409.5339999999997</v>
      </c>
      <c r="G24" s="238"/>
      <c r="H24" s="238"/>
      <c r="I24" s="238">
        <f t="shared" si="0"/>
        <v>7409.5339999999997</v>
      </c>
      <c r="J24" s="423"/>
      <c r="K24" s="423"/>
      <c r="L24" s="423"/>
      <c r="M24" s="423"/>
      <c r="N24" s="429">
        <v>142.97999999999999</v>
      </c>
      <c r="O24" s="423"/>
      <c r="P24" s="423"/>
      <c r="Q24" s="423"/>
    </row>
    <row r="25" spans="1:17" ht="15.75" customHeight="1" x14ac:dyDescent="0.2">
      <c r="A25" s="245" t="s">
        <v>63</v>
      </c>
      <c r="B25" s="242" t="s">
        <v>64</v>
      </c>
      <c r="C25" s="236"/>
      <c r="D25" s="236"/>
      <c r="E25" s="236"/>
      <c r="F25" s="236">
        <f>SUM(ANALISIS!E21)</f>
        <v>39594.126000000004</v>
      </c>
      <c r="G25" s="238"/>
      <c r="H25" s="238"/>
      <c r="I25" s="238">
        <f t="shared" si="0"/>
        <v>39594.126000000004</v>
      </c>
      <c r="J25" s="423"/>
      <c r="K25" s="423"/>
      <c r="L25" s="423"/>
      <c r="M25" s="423"/>
      <c r="N25" s="429">
        <v>3666.68</v>
      </c>
      <c r="O25" s="423"/>
      <c r="P25" s="423"/>
      <c r="Q25" s="423"/>
    </row>
    <row r="26" spans="1:17" ht="15.75" customHeight="1" x14ac:dyDescent="0.2">
      <c r="A26" s="245" t="s">
        <v>65</v>
      </c>
      <c r="B26" s="242" t="s">
        <v>66</v>
      </c>
      <c r="C26" s="236"/>
      <c r="D26" s="236"/>
      <c r="E26" s="236"/>
      <c r="F26" s="236">
        <f>ANALISIS!E22</f>
        <v>61773.788999999997</v>
      </c>
      <c r="G26" s="238"/>
      <c r="H26" s="238"/>
      <c r="I26" s="238">
        <f t="shared" si="0"/>
        <v>61773.788999999997</v>
      </c>
      <c r="J26" s="423"/>
      <c r="K26" s="423"/>
      <c r="L26" s="423"/>
      <c r="M26" s="423"/>
      <c r="N26" s="429"/>
      <c r="O26" s="423"/>
      <c r="P26" s="423"/>
      <c r="Q26" s="423"/>
    </row>
    <row r="27" spans="1:17" ht="15.75" customHeight="1" x14ac:dyDescent="0.2">
      <c r="A27" s="241" t="s">
        <v>67</v>
      </c>
      <c r="B27" s="242" t="s">
        <v>68</v>
      </c>
      <c r="C27" s="236"/>
      <c r="D27" s="236"/>
      <c r="E27" s="236"/>
      <c r="F27" s="236">
        <f>ANALISIS!E23</f>
        <v>156.035</v>
      </c>
      <c r="G27" s="238"/>
      <c r="H27" s="238"/>
      <c r="I27" s="238">
        <f t="shared" si="0"/>
        <v>156.035</v>
      </c>
      <c r="J27" s="423"/>
      <c r="K27" s="423"/>
      <c r="L27" s="423"/>
      <c r="M27" s="423"/>
      <c r="N27" s="429">
        <v>86401.02</v>
      </c>
      <c r="O27" s="423"/>
      <c r="P27" s="423"/>
      <c r="Q27" s="423"/>
    </row>
    <row r="28" spans="1:17" ht="15.75" customHeight="1" x14ac:dyDescent="0.2">
      <c r="A28" s="241" t="s">
        <v>141</v>
      </c>
      <c r="B28" s="242" t="str">
        <f>ANALISIS!B24</f>
        <v>Tasas Diversas</v>
      </c>
      <c r="C28" s="236"/>
      <c r="D28" s="236"/>
      <c r="E28" s="236"/>
      <c r="F28" s="236">
        <f>ANALISIS!E24</f>
        <v>0</v>
      </c>
      <c r="G28" s="238"/>
      <c r="H28" s="238"/>
      <c r="I28" s="238">
        <f t="shared" si="0"/>
        <v>0</v>
      </c>
      <c r="J28" s="423"/>
      <c r="K28" s="423"/>
      <c r="L28" s="423"/>
      <c r="M28" s="423"/>
      <c r="N28" s="429">
        <v>7.21</v>
      </c>
      <c r="O28" s="423"/>
      <c r="P28" s="423"/>
      <c r="Q28" s="423"/>
    </row>
    <row r="29" spans="1:17" ht="15.75" customHeight="1" x14ac:dyDescent="0.2">
      <c r="A29" s="241">
        <v>12123</v>
      </c>
      <c r="B29" s="242" t="s">
        <v>337</v>
      </c>
      <c r="C29" s="236"/>
      <c r="D29" s="236"/>
      <c r="E29" s="236"/>
      <c r="F29" s="236">
        <f>SUM(ANALISIS!E25)</f>
        <v>0</v>
      </c>
      <c r="G29" s="238"/>
      <c r="H29" s="238"/>
      <c r="I29" s="238">
        <f t="shared" si="0"/>
        <v>0</v>
      </c>
      <c r="J29" s="423"/>
      <c r="K29" s="423"/>
      <c r="L29" s="423"/>
      <c r="M29" s="423"/>
      <c r="N29" s="429"/>
      <c r="O29" s="423"/>
      <c r="P29" s="423"/>
      <c r="Q29" s="423"/>
    </row>
    <row r="30" spans="1:17" ht="15.75" customHeight="1" x14ac:dyDescent="0.2">
      <c r="A30" s="241" t="s">
        <v>118</v>
      </c>
      <c r="B30" s="242" t="s">
        <v>140</v>
      </c>
      <c r="C30" s="236"/>
      <c r="D30" s="236"/>
      <c r="E30" s="236"/>
      <c r="F30" s="236">
        <f>SUM(ANALISIS!E26)</f>
        <v>91353.437999999995</v>
      </c>
      <c r="G30" s="238"/>
      <c r="H30" s="238"/>
      <c r="I30" s="238">
        <f t="shared" si="0"/>
        <v>91353.437999999995</v>
      </c>
      <c r="J30" s="423"/>
      <c r="K30" s="423"/>
      <c r="L30" s="423"/>
      <c r="M30" s="423"/>
      <c r="N30" s="429"/>
      <c r="O30" s="423"/>
      <c r="P30" s="423"/>
      <c r="Q30" s="423"/>
    </row>
    <row r="31" spans="1:17" ht="15.75" customHeight="1" x14ac:dyDescent="0.2">
      <c r="A31" s="241" t="s">
        <v>26</v>
      </c>
      <c r="B31" s="242" t="s">
        <v>27</v>
      </c>
      <c r="C31" s="236"/>
      <c r="D31" s="236"/>
      <c r="E31" s="236"/>
      <c r="F31" s="236">
        <f>SUM(ANALISIS!E27)</f>
        <v>23.187999999999999</v>
      </c>
      <c r="G31" s="238"/>
      <c r="H31" s="238"/>
      <c r="I31" s="238">
        <f t="shared" si="0"/>
        <v>23.187999999999999</v>
      </c>
      <c r="J31" s="423"/>
      <c r="K31" s="423"/>
      <c r="L31" s="423"/>
      <c r="M31" s="423"/>
      <c r="N31" s="429">
        <v>473.37</v>
      </c>
      <c r="O31" s="423"/>
      <c r="P31" s="423"/>
      <c r="Q31" s="423"/>
    </row>
    <row r="32" spans="1:17" ht="15.75" customHeight="1" x14ac:dyDescent="0.2">
      <c r="A32" s="241" t="s">
        <v>142</v>
      </c>
      <c r="B32" s="242" t="s">
        <v>143</v>
      </c>
      <c r="C32" s="236"/>
      <c r="D32" s="236"/>
      <c r="E32" s="236"/>
      <c r="F32" s="236">
        <f>SUM(ANALISIS!E28)</f>
        <v>0</v>
      </c>
      <c r="G32" s="238"/>
      <c r="H32" s="238"/>
      <c r="I32" s="238">
        <f t="shared" si="0"/>
        <v>0</v>
      </c>
      <c r="J32" s="423"/>
      <c r="K32" s="423"/>
      <c r="L32" s="423"/>
      <c r="M32" s="423"/>
      <c r="N32" s="429">
        <v>6109.76</v>
      </c>
      <c r="O32" s="423"/>
      <c r="P32" s="423"/>
      <c r="Q32" s="423"/>
    </row>
    <row r="33" spans="1:17" ht="15.75" customHeight="1" x14ac:dyDescent="0.2">
      <c r="A33" s="241" t="s">
        <v>28</v>
      </c>
      <c r="B33" s="242" t="s">
        <v>29</v>
      </c>
      <c r="C33" s="236"/>
      <c r="D33" s="236"/>
      <c r="E33" s="236"/>
      <c r="F33" s="236">
        <f>SUM(ANALISIS!E29)</f>
        <v>1076.24</v>
      </c>
      <c r="G33" s="238"/>
      <c r="H33" s="238"/>
      <c r="I33" s="238">
        <f t="shared" si="0"/>
        <v>1076.24</v>
      </c>
      <c r="J33" s="423"/>
      <c r="K33" s="423"/>
      <c r="L33" s="423"/>
      <c r="M33" s="423"/>
      <c r="N33" s="429">
        <v>1769.87</v>
      </c>
      <c r="O33" s="423"/>
      <c r="P33" s="423"/>
      <c r="Q33" s="423"/>
    </row>
    <row r="34" spans="1:17" ht="15.75" customHeight="1" x14ac:dyDescent="0.2">
      <c r="A34" s="241" t="s">
        <v>30</v>
      </c>
      <c r="B34" s="242" t="s">
        <v>31</v>
      </c>
      <c r="C34" s="236"/>
      <c r="D34" s="236"/>
      <c r="E34" s="236"/>
      <c r="F34" s="236">
        <f>SUM(ANALISIS!E30)</f>
        <v>11609.785</v>
      </c>
      <c r="G34" s="238"/>
      <c r="H34" s="238"/>
      <c r="I34" s="238">
        <f t="shared" si="0"/>
        <v>11609.785</v>
      </c>
      <c r="J34" s="423"/>
      <c r="K34" s="423"/>
      <c r="L34" s="423"/>
      <c r="M34" s="423"/>
      <c r="N34" s="429">
        <v>44.13</v>
      </c>
      <c r="O34" s="423"/>
      <c r="P34" s="423"/>
      <c r="Q34" s="423"/>
    </row>
    <row r="35" spans="1:17" ht="15.75" customHeight="1" x14ac:dyDescent="0.2">
      <c r="A35" s="241" t="s">
        <v>33</v>
      </c>
      <c r="B35" s="242" t="s">
        <v>32</v>
      </c>
      <c r="C35" s="236"/>
      <c r="D35" s="236"/>
      <c r="E35" s="236"/>
      <c r="F35" s="236">
        <f>SUM(ANALISIS!E31)</f>
        <v>9114.9850000000006</v>
      </c>
      <c r="G35" s="238"/>
      <c r="H35" s="238"/>
      <c r="I35" s="238">
        <f t="shared" si="0"/>
        <v>9114.9850000000006</v>
      </c>
      <c r="J35" s="423"/>
      <c r="K35" s="423"/>
      <c r="L35" s="423"/>
      <c r="M35" s="423"/>
      <c r="N35" s="429">
        <v>9277.0300000000007</v>
      </c>
      <c r="O35" s="423"/>
      <c r="P35" s="423"/>
      <c r="Q35" s="423"/>
    </row>
    <row r="36" spans="1:17" ht="15.75" customHeight="1" x14ac:dyDescent="0.2">
      <c r="A36" s="241">
        <v>15310</v>
      </c>
      <c r="B36" s="242" t="str">
        <f>ANALISIS!B32</f>
        <v>Multas por Declaración Extemporanea</v>
      </c>
      <c r="C36" s="236"/>
      <c r="D36" s="236"/>
      <c r="E36" s="236"/>
      <c r="F36" s="236">
        <f>ANALISIS!E32</f>
        <v>628.59500000000003</v>
      </c>
      <c r="G36" s="238"/>
      <c r="H36" s="238"/>
      <c r="I36" s="238">
        <f t="shared" si="0"/>
        <v>628.59500000000003</v>
      </c>
      <c r="J36" s="423"/>
      <c r="K36" s="423"/>
      <c r="L36" s="423"/>
      <c r="M36" s="423"/>
      <c r="N36" s="429"/>
      <c r="O36" s="423"/>
      <c r="P36" s="423"/>
      <c r="Q36" s="423"/>
    </row>
    <row r="37" spans="1:17" ht="14.25" x14ac:dyDescent="0.2">
      <c r="A37" s="241">
        <v>15312</v>
      </c>
      <c r="B37" s="242" t="s">
        <v>339</v>
      </c>
      <c r="C37" s="236"/>
      <c r="D37" s="236"/>
      <c r="E37" s="236"/>
      <c r="F37" s="236">
        <f>SUM(ANALISIS!E33)</f>
        <v>248.10500000000002</v>
      </c>
      <c r="G37" s="238"/>
      <c r="H37" s="238"/>
      <c r="I37" s="238">
        <f t="shared" si="0"/>
        <v>248.10500000000002</v>
      </c>
      <c r="J37" s="423"/>
      <c r="K37" s="423"/>
      <c r="L37" s="423"/>
      <c r="M37" s="423"/>
      <c r="N37" s="429"/>
      <c r="O37" s="423"/>
      <c r="P37" s="423"/>
      <c r="Q37" s="423"/>
    </row>
    <row r="38" spans="1:17" ht="14.25" x14ac:dyDescent="0.2">
      <c r="A38" s="241" t="s">
        <v>105</v>
      </c>
      <c r="B38" s="242" t="s">
        <v>106</v>
      </c>
      <c r="C38" s="246"/>
      <c r="D38" s="236"/>
      <c r="E38" s="236"/>
      <c r="F38" s="236">
        <f>SUM(ANALISIS!E34)</f>
        <v>0</v>
      </c>
      <c r="G38" s="238"/>
      <c r="H38" s="238"/>
      <c r="I38" s="238">
        <f t="shared" si="0"/>
        <v>0</v>
      </c>
      <c r="J38" s="423"/>
      <c r="K38" s="423"/>
      <c r="L38" s="423"/>
      <c r="M38" s="423"/>
      <c r="N38" s="429"/>
      <c r="O38" s="423"/>
      <c r="P38" s="423"/>
      <c r="Q38" s="423"/>
    </row>
    <row r="39" spans="1:17" ht="14.25" x14ac:dyDescent="0.2">
      <c r="A39" s="247">
        <v>15399</v>
      </c>
      <c r="B39" s="248" t="s">
        <v>322</v>
      </c>
      <c r="C39" s="236"/>
      <c r="D39" s="236"/>
      <c r="E39" s="236"/>
      <c r="F39" s="236">
        <f>SUM(ANALISIS!E35)</f>
        <v>0</v>
      </c>
      <c r="G39" s="238"/>
      <c r="H39" s="238"/>
      <c r="I39" s="238">
        <f t="shared" si="0"/>
        <v>0</v>
      </c>
      <c r="J39" s="423"/>
      <c r="K39" s="423"/>
      <c r="L39" s="423"/>
      <c r="M39" s="423"/>
      <c r="N39" s="429">
        <v>104.85</v>
      </c>
      <c r="O39" s="423"/>
      <c r="P39" s="423"/>
      <c r="Q39" s="423"/>
    </row>
    <row r="40" spans="1:17" ht="14.25" x14ac:dyDescent="0.2">
      <c r="A40" s="247" t="s">
        <v>69</v>
      </c>
      <c r="B40" s="248" t="s">
        <v>70</v>
      </c>
      <c r="C40" s="236"/>
      <c r="D40" s="236"/>
      <c r="E40" s="236"/>
      <c r="F40" s="236">
        <f>SUM(ANALISIS!E36)</f>
        <v>0</v>
      </c>
      <c r="G40" s="238"/>
      <c r="H40" s="238"/>
      <c r="I40" s="238">
        <f t="shared" si="0"/>
        <v>0</v>
      </c>
      <c r="J40" s="423"/>
      <c r="K40" s="423"/>
      <c r="L40" s="423"/>
      <c r="M40" s="423"/>
      <c r="N40" s="429"/>
      <c r="O40" s="423"/>
      <c r="P40" s="423"/>
      <c r="Q40" s="423"/>
    </row>
    <row r="41" spans="1:17" ht="14.25" x14ac:dyDescent="0.2">
      <c r="A41" s="247" t="s">
        <v>71</v>
      </c>
      <c r="B41" s="248" t="s">
        <v>72</v>
      </c>
      <c r="C41" s="236"/>
      <c r="D41" s="236"/>
      <c r="E41" s="236"/>
      <c r="F41" s="236">
        <f>ANALISIS!E37</f>
        <v>13430.168000000001</v>
      </c>
      <c r="G41" s="238"/>
      <c r="H41" s="238"/>
      <c r="I41" s="238">
        <f t="shared" si="0"/>
        <v>13430.168000000001</v>
      </c>
      <c r="J41" s="423"/>
      <c r="K41" s="424">
        <f>344447.4/12</f>
        <v>28703.95</v>
      </c>
      <c r="L41" s="423"/>
      <c r="M41" s="423"/>
      <c r="N41" s="429"/>
      <c r="O41" s="423"/>
      <c r="P41" s="423"/>
      <c r="Q41" s="423"/>
    </row>
    <row r="42" spans="1:17" ht="14.25" x14ac:dyDescent="0.2">
      <c r="A42" s="241" t="s">
        <v>34</v>
      </c>
      <c r="B42" s="242" t="s">
        <v>266</v>
      </c>
      <c r="C42" s="236">
        <f>28363.49*12</f>
        <v>340361.88</v>
      </c>
      <c r="D42" s="246"/>
      <c r="E42" s="246"/>
      <c r="F42" s="246"/>
      <c r="G42" s="249"/>
      <c r="H42" s="249"/>
      <c r="I42" s="249">
        <f t="shared" si="0"/>
        <v>340361.88</v>
      </c>
      <c r="J42" s="423"/>
      <c r="K42" s="423"/>
      <c r="L42" s="423"/>
      <c r="M42" s="423"/>
      <c r="N42" s="429"/>
      <c r="O42" s="423"/>
      <c r="P42" s="423"/>
      <c r="Q42" s="423"/>
    </row>
    <row r="43" spans="1:17" ht="14.25" x14ac:dyDescent="0.2">
      <c r="A43" s="247" t="s">
        <v>35</v>
      </c>
      <c r="B43" s="248" t="s">
        <v>267</v>
      </c>
      <c r="C43" s="236"/>
      <c r="D43" s="236">
        <f>85090.48*12</f>
        <v>1021085.76</v>
      </c>
      <c r="E43" s="236"/>
      <c r="F43" s="236"/>
      <c r="G43" s="238"/>
      <c r="H43" s="238"/>
      <c r="I43" s="238">
        <f t="shared" si="0"/>
        <v>1021085.76</v>
      </c>
      <c r="J43" s="423"/>
      <c r="K43" s="423"/>
      <c r="L43" s="423"/>
      <c r="M43" s="423"/>
      <c r="N43" s="429"/>
      <c r="O43" s="423"/>
      <c r="P43" s="423"/>
      <c r="Q43" s="423"/>
    </row>
    <row r="44" spans="1:17" ht="14.25" x14ac:dyDescent="0.2">
      <c r="A44" s="247" t="s">
        <v>176</v>
      </c>
      <c r="B44" s="248" t="s">
        <v>144</v>
      </c>
      <c r="C44" s="236"/>
      <c r="D44" s="236"/>
      <c r="E44" s="236"/>
      <c r="F44" s="236"/>
      <c r="G44" s="238"/>
      <c r="H44" s="238"/>
      <c r="I44" s="238">
        <f t="shared" si="0"/>
        <v>0</v>
      </c>
      <c r="J44" s="423"/>
      <c r="K44" s="423"/>
      <c r="L44" s="423"/>
      <c r="M44" s="423"/>
      <c r="N44" s="429"/>
      <c r="O44" s="423"/>
      <c r="P44" s="423"/>
      <c r="Q44" s="423"/>
    </row>
    <row r="45" spans="1:17" ht="14.25" x14ac:dyDescent="0.2">
      <c r="A45" s="247" t="s">
        <v>263</v>
      </c>
      <c r="B45" s="248" t="s">
        <v>264</v>
      </c>
      <c r="C45" s="236"/>
      <c r="D45" s="236"/>
      <c r="E45" s="236"/>
      <c r="F45" s="236"/>
      <c r="G45" s="238"/>
      <c r="H45" s="238"/>
      <c r="I45" s="238">
        <f t="shared" si="0"/>
        <v>0</v>
      </c>
      <c r="J45" s="423"/>
      <c r="K45" s="423"/>
      <c r="L45" s="423"/>
      <c r="M45" s="423"/>
      <c r="N45" s="429"/>
      <c r="O45" s="423"/>
      <c r="P45" s="423"/>
      <c r="Q45" s="423"/>
    </row>
    <row r="46" spans="1:17" x14ac:dyDescent="0.2">
      <c r="A46" s="247" t="s">
        <v>259</v>
      </c>
      <c r="B46" s="248" t="s">
        <v>260</v>
      </c>
      <c r="C46" s="236"/>
      <c r="D46" s="236"/>
      <c r="E46" s="236"/>
      <c r="F46" s="236"/>
      <c r="G46" s="238"/>
      <c r="H46" s="238"/>
      <c r="I46" s="238">
        <f t="shared" si="0"/>
        <v>0</v>
      </c>
      <c r="J46" s="423"/>
      <c r="K46" s="423"/>
      <c r="L46" s="423"/>
      <c r="M46" s="423"/>
      <c r="N46" s="431">
        <f>SUM(N9:N45)</f>
        <v>498494.41000000003</v>
      </c>
      <c r="O46" s="423"/>
      <c r="P46" s="423"/>
      <c r="Q46" s="423"/>
    </row>
    <row r="47" spans="1:17" x14ac:dyDescent="0.2">
      <c r="A47" s="247" t="s">
        <v>90</v>
      </c>
      <c r="B47" s="248" t="s">
        <v>265</v>
      </c>
      <c r="C47" s="236">
        <v>1931.14</v>
      </c>
      <c r="D47" s="236">
        <f>5060.5+16279.5</f>
        <v>21340</v>
      </c>
      <c r="E47" s="236"/>
      <c r="F47" s="236"/>
      <c r="G47" s="238"/>
      <c r="H47" s="238">
        <v>0</v>
      </c>
      <c r="I47" s="238">
        <f t="shared" si="0"/>
        <v>23271.14</v>
      </c>
      <c r="J47" s="423"/>
      <c r="K47" s="424"/>
      <c r="L47" s="423"/>
      <c r="M47" s="423"/>
      <c r="N47" s="423"/>
      <c r="O47" s="423"/>
      <c r="P47" s="423"/>
      <c r="Q47" s="423"/>
    </row>
    <row r="48" spans="1:17" ht="13.5" thickBot="1" x14ac:dyDescent="0.25">
      <c r="A48" s="247" t="s">
        <v>261</v>
      </c>
      <c r="B48" s="248" t="s">
        <v>91</v>
      </c>
      <c r="C48" s="236">
        <v>28363.49</v>
      </c>
      <c r="D48" s="236">
        <v>85090.48</v>
      </c>
      <c r="E48" s="236"/>
      <c r="F48" s="236"/>
      <c r="G48" s="238"/>
      <c r="H48" s="238"/>
      <c r="I48" s="250">
        <f>SUM(C48:H48)</f>
        <v>113453.97</v>
      </c>
      <c r="J48" s="424"/>
      <c r="K48" s="423"/>
      <c r="L48" s="423"/>
      <c r="M48" s="423"/>
      <c r="N48" s="432">
        <f>K41-N46</f>
        <v>-469790.46</v>
      </c>
      <c r="O48" s="423"/>
      <c r="P48" s="423"/>
      <c r="Q48" s="423"/>
    </row>
    <row r="49" spans="1:17" s="98" customFormat="1" ht="24.95" customHeight="1" thickBot="1" x14ac:dyDescent="0.25">
      <c r="A49" s="255"/>
      <c r="B49" s="256" t="s">
        <v>169</v>
      </c>
      <c r="C49" s="257">
        <f>SUM(C42:C48)</f>
        <v>370656.51</v>
      </c>
      <c r="D49" s="257">
        <f>SUM(D9:D48)</f>
        <v>1127516.24</v>
      </c>
      <c r="E49" s="257">
        <f>SUM(E9:E48)</f>
        <v>0</v>
      </c>
      <c r="F49" s="257">
        <f>SUM(F9:F48)-0.01</f>
        <v>879060.23099999991</v>
      </c>
      <c r="G49" s="257">
        <f>SUM(G9:G48)</f>
        <v>0</v>
      </c>
      <c r="H49" s="257">
        <f>SUM(H9:H48)</f>
        <v>0</v>
      </c>
      <c r="I49" s="388">
        <f>SUM(C49:H49)+0.01</f>
        <v>2377232.9909999995</v>
      </c>
      <c r="J49" s="433"/>
      <c r="K49" s="433"/>
      <c r="L49" s="433"/>
      <c r="M49" s="433"/>
      <c r="N49" s="433"/>
      <c r="O49" s="433"/>
      <c r="P49" s="433"/>
      <c r="Q49" s="433"/>
    </row>
    <row r="50" spans="1:17" ht="15" customHeight="1" x14ac:dyDescent="0.2">
      <c r="A50" s="435"/>
      <c r="B50" s="436"/>
      <c r="C50" s="437">
        <v>0.25</v>
      </c>
      <c r="D50" s="437">
        <v>0.75</v>
      </c>
      <c r="E50" s="438" t="s">
        <v>441</v>
      </c>
      <c r="F50" s="438" t="s">
        <v>442</v>
      </c>
      <c r="G50" s="439"/>
      <c r="H50" s="438" t="s">
        <v>443</v>
      </c>
      <c r="I50" s="440"/>
      <c r="J50" s="423"/>
      <c r="K50" s="423"/>
      <c r="L50" s="423"/>
      <c r="M50" s="423"/>
      <c r="N50" s="423"/>
      <c r="O50" s="423"/>
      <c r="P50" s="423"/>
      <c r="Q50" s="423"/>
    </row>
    <row r="51" spans="1:17" s="20" customFormat="1" ht="20.25" customHeight="1" x14ac:dyDescent="0.2">
      <c r="A51" s="441" t="s">
        <v>14</v>
      </c>
      <c r="B51" s="440"/>
      <c r="C51" s="440"/>
      <c r="D51" s="440"/>
      <c r="E51" s="440"/>
      <c r="F51" s="440"/>
      <c r="G51" s="440"/>
      <c r="H51" s="440"/>
      <c r="I51" s="442">
        <f>SUM(I9:I48)</f>
        <v>2377232.9910000004</v>
      </c>
      <c r="J51" s="434"/>
      <c r="K51" s="434"/>
      <c r="L51" s="434"/>
      <c r="M51" s="434"/>
      <c r="N51" s="434"/>
      <c r="O51" s="434"/>
      <c r="P51" s="434"/>
      <c r="Q51" s="434"/>
    </row>
    <row r="52" spans="1:17" x14ac:dyDescent="0.2">
      <c r="A52" s="571" t="s">
        <v>3</v>
      </c>
      <c r="B52" s="571"/>
      <c r="C52" s="571"/>
      <c r="D52" s="571"/>
      <c r="E52" s="571"/>
      <c r="F52" s="571"/>
      <c r="G52" s="439"/>
      <c r="H52" s="439"/>
      <c r="I52" s="440"/>
      <c r="J52" s="423"/>
      <c r="K52" s="423"/>
      <c r="L52" s="423"/>
      <c r="M52" s="423"/>
      <c r="N52" s="423"/>
      <c r="O52" s="423"/>
      <c r="P52" s="423">
        <f>60000*12</f>
        <v>720000</v>
      </c>
      <c r="Q52" s="423"/>
    </row>
    <row r="53" spans="1:17" x14ac:dyDescent="0.2">
      <c r="A53" s="571" t="s">
        <v>4</v>
      </c>
      <c r="B53" s="571"/>
      <c r="C53" s="571"/>
      <c r="D53" s="571"/>
      <c r="E53" s="571"/>
      <c r="F53" s="571"/>
      <c r="G53" s="439"/>
      <c r="H53" s="439"/>
      <c r="I53" s="440"/>
      <c r="J53" s="423"/>
      <c r="K53" s="423"/>
      <c r="L53" s="423"/>
      <c r="M53" s="423"/>
      <c r="N53" s="423"/>
      <c r="O53" s="423"/>
      <c r="P53" s="423"/>
      <c r="Q53" s="423"/>
    </row>
    <row r="54" spans="1:17" x14ac:dyDescent="0.2">
      <c r="A54" s="571" t="s">
        <v>1</v>
      </c>
      <c r="B54" s="571"/>
      <c r="C54" s="571"/>
      <c r="D54" s="571"/>
      <c r="E54" s="571"/>
      <c r="F54" s="571"/>
      <c r="G54" s="439"/>
      <c r="H54" s="439"/>
      <c r="I54" s="440"/>
      <c r="J54" s="423"/>
      <c r="K54" s="423"/>
      <c r="L54" s="423"/>
      <c r="M54" s="423"/>
      <c r="N54" s="423"/>
      <c r="O54" s="423"/>
      <c r="P54" s="423"/>
      <c r="Q54" s="423"/>
    </row>
    <row r="55" spans="1:17" x14ac:dyDescent="0.2">
      <c r="A55" s="571" t="s">
        <v>5</v>
      </c>
      <c r="B55" s="571"/>
      <c r="C55" s="571"/>
      <c r="D55" s="571"/>
      <c r="E55" s="571"/>
      <c r="F55" s="571"/>
      <c r="G55" s="439"/>
      <c r="H55" s="439"/>
      <c r="I55" s="440"/>
      <c r="J55" s="423"/>
    </row>
    <row r="56" spans="1:17" x14ac:dyDescent="0.2">
      <c r="A56" s="571" t="s">
        <v>6</v>
      </c>
      <c r="B56" s="571"/>
      <c r="C56" s="571"/>
      <c r="D56" s="571"/>
      <c r="E56" s="571"/>
      <c r="F56" s="571"/>
      <c r="G56" s="439"/>
      <c r="H56" s="439"/>
      <c r="I56" s="440"/>
      <c r="J56" s="423"/>
    </row>
    <row r="57" spans="1:17" x14ac:dyDescent="0.2">
      <c r="A57" s="571" t="s">
        <v>7</v>
      </c>
      <c r="B57" s="571"/>
      <c r="C57" s="571"/>
      <c r="D57" s="571"/>
      <c r="E57" s="571"/>
      <c r="F57" s="571"/>
      <c r="G57" s="439"/>
      <c r="H57" s="439"/>
      <c r="I57" s="440"/>
      <c r="J57" s="423"/>
    </row>
    <row r="58" spans="1:17" x14ac:dyDescent="0.2">
      <c r="A58" s="438"/>
      <c r="B58" s="439"/>
      <c r="C58" s="439"/>
      <c r="D58" s="439"/>
      <c r="E58" s="439"/>
      <c r="F58" s="439"/>
      <c r="G58" s="439"/>
      <c r="H58" s="439"/>
      <c r="I58" s="440"/>
      <c r="J58" s="423"/>
    </row>
    <row r="59" spans="1:17" x14ac:dyDescent="0.2">
      <c r="A59" s="438"/>
      <c r="B59" s="439"/>
      <c r="C59" s="439"/>
      <c r="D59" s="439"/>
      <c r="E59" s="439"/>
      <c r="F59" s="439"/>
      <c r="G59" s="439"/>
      <c r="H59" s="439"/>
      <c r="I59" s="440"/>
      <c r="J59" s="423"/>
    </row>
    <row r="60" spans="1:17" x14ac:dyDescent="0.2">
      <c r="A60" s="438"/>
      <c r="B60" s="439"/>
      <c r="C60" s="439"/>
      <c r="D60" s="439"/>
      <c r="E60" s="439"/>
      <c r="F60" s="443">
        <f>ANALISIS!C45</f>
        <v>879059.7309999998</v>
      </c>
      <c r="G60" s="439"/>
      <c r="H60" s="439"/>
      <c r="I60" s="440"/>
      <c r="J60" s="423"/>
    </row>
    <row r="61" spans="1:17" x14ac:dyDescent="0.2">
      <c r="A61" s="438"/>
      <c r="B61" s="439"/>
      <c r="C61" s="439"/>
      <c r="D61" s="439"/>
      <c r="E61" s="439"/>
      <c r="F61" s="444">
        <f>F47</f>
        <v>0</v>
      </c>
      <c r="G61" s="439"/>
      <c r="H61" s="439"/>
      <c r="I61" s="440"/>
      <c r="J61" s="423"/>
    </row>
    <row r="62" spans="1:17" x14ac:dyDescent="0.2">
      <c r="A62" s="438"/>
      <c r="B62" s="439"/>
      <c r="C62" s="439"/>
      <c r="D62" s="439"/>
      <c r="E62" s="439"/>
      <c r="F62" s="443">
        <f>SUM(F60:F61)</f>
        <v>879059.7309999998</v>
      </c>
      <c r="G62" s="439"/>
      <c r="H62" s="439"/>
      <c r="I62" s="440"/>
      <c r="J62" s="423"/>
    </row>
    <row r="63" spans="1:17" x14ac:dyDescent="0.2">
      <c r="A63" s="438"/>
      <c r="B63" s="439"/>
      <c r="C63" s="439"/>
      <c r="D63" s="439"/>
      <c r="E63" s="439"/>
      <c r="F63" s="439"/>
      <c r="G63" s="439"/>
      <c r="H63" s="439"/>
      <c r="I63" s="440"/>
      <c r="J63" s="423"/>
    </row>
  </sheetData>
  <sheetProtection algorithmName="SHA-512" hashValue="vHS8yyzm3QdcavKuuDooD8g+dFrRFEVuh/E8Z3suA12HixlN4OiQTMy07+wOHT3s6MV7gTIGZs5FNuj2nnIIzg==" saltValue="f/BoBwjZt60iAWqoYonWBw==" spinCount="100000" sheet="1" objects="1" scenarios="1"/>
  <autoFilter ref="A1:I49" xr:uid="{00000000-0009-0000-0000-000002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sortState ref="A10:B47">
    <sortCondition ref="A9"/>
  </sortState>
  <mergeCells count="19">
    <mergeCell ref="A52:F52"/>
    <mergeCell ref="A57:F57"/>
    <mergeCell ref="A53:F53"/>
    <mergeCell ref="A54:F54"/>
    <mergeCell ref="A55:F55"/>
    <mergeCell ref="A56:F56"/>
    <mergeCell ref="A4:I4"/>
    <mergeCell ref="F6:F8"/>
    <mergeCell ref="G6:G8"/>
    <mergeCell ref="H6:H8"/>
    <mergeCell ref="A1:I1"/>
    <mergeCell ref="A2:I2"/>
    <mergeCell ref="A3:I3"/>
    <mergeCell ref="A5:I5"/>
    <mergeCell ref="B6:B8"/>
    <mergeCell ref="C6:E6"/>
    <mergeCell ref="I6:I8"/>
    <mergeCell ref="A6:A8"/>
    <mergeCell ref="C7:D7"/>
  </mergeCells>
  <phoneticPr fontId="2" type="noConversion"/>
  <printOptions horizontalCentered="1"/>
  <pageMargins left="0.14000000000000001" right="0.79" top="1.17" bottom="0.59055118110236227" header="0" footer="0"/>
  <pageSetup scale="80" orientation="landscape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">
    <tabColor rgb="FFC00000"/>
  </sheetPr>
  <dimension ref="A1:U100"/>
  <sheetViews>
    <sheetView zoomScaleNormal="100" zoomScaleSheetLayoutView="96" zoomScalePageLayoutView="90" workbookViewId="0">
      <selection activeCell="F10" sqref="F10"/>
    </sheetView>
  </sheetViews>
  <sheetFormatPr baseColWidth="10" defaultColWidth="11.42578125" defaultRowHeight="12.75" x14ac:dyDescent="0.2"/>
  <cols>
    <col min="1" max="2" width="4.5703125" style="31" customWidth="1"/>
    <col min="3" max="3" width="6.140625" style="31" customWidth="1"/>
    <col min="4" max="4" width="8.7109375" style="31" customWidth="1"/>
    <col min="5" max="5" width="38.28515625" style="25" customWidth="1"/>
    <col min="6" max="7" width="15" style="25" customWidth="1"/>
    <col min="8" max="8" width="15.140625" style="25" customWidth="1"/>
    <col min="9" max="10" width="14.28515625" style="25" customWidth="1"/>
    <col min="11" max="11" width="15.140625" style="25" customWidth="1"/>
    <col min="12" max="12" width="16.28515625" style="28" customWidth="1"/>
    <col min="13" max="13" width="2.85546875" style="25" customWidth="1"/>
    <col min="14" max="14" width="13.85546875" style="26" bestFit="1" customWidth="1"/>
    <col min="15" max="15" width="14.42578125" style="26" customWidth="1"/>
    <col min="16" max="16" width="11.7109375" style="26" bestFit="1" customWidth="1"/>
    <col min="17" max="17" width="13.140625" style="26" customWidth="1"/>
    <col min="18" max="16384" width="11.42578125" style="26"/>
  </cols>
  <sheetData>
    <row r="1" spans="1:17" ht="18" x14ac:dyDescent="0.2">
      <c r="A1" s="553" t="s">
        <v>446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74"/>
      <c r="N1" s="575"/>
      <c r="O1" s="575"/>
    </row>
    <row r="2" spans="1:17" ht="18" x14ac:dyDescent="0.2">
      <c r="A2" s="553" t="s">
        <v>408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72"/>
      <c r="N2" s="573"/>
      <c r="O2" s="573"/>
    </row>
    <row r="3" spans="1:17" ht="15.75" x14ac:dyDescent="0.2">
      <c r="A3" s="581" t="s">
        <v>233</v>
      </c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582"/>
      <c r="M3" s="445"/>
      <c r="N3" s="446">
        <v>51</v>
      </c>
      <c r="O3" s="447">
        <f>SUM(L10:L23)</f>
        <v>644035.62600000005</v>
      </c>
      <c r="P3" s="81"/>
      <c r="Q3" s="81"/>
    </row>
    <row r="4" spans="1:17" ht="15.75" x14ac:dyDescent="0.2">
      <c r="A4" s="581" t="s">
        <v>496</v>
      </c>
      <c r="B4" s="582"/>
      <c r="C4" s="582"/>
      <c r="D4" s="582"/>
      <c r="E4" s="582"/>
      <c r="F4" s="582"/>
      <c r="G4" s="582"/>
      <c r="H4" s="582"/>
      <c r="I4" s="582"/>
      <c r="J4" s="582"/>
      <c r="K4" s="582"/>
      <c r="L4" s="582"/>
      <c r="M4" s="445"/>
      <c r="N4" s="446">
        <v>54</v>
      </c>
      <c r="O4" s="447">
        <f>SUM(L24:L66)</f>
        <v>206277.5</v>
      </c>
      <c r="P4" s="81"/>
      <c r="Q4" s="81"/>
    </row>
    <row r="5" spans="1:17" ht="15.75" x14ac:dyDescent="0.2">
      <c r="A5" s="583" t="s">
        <v>13</v>
      </c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445"/>
      <c r="N5" s="446">
        <v>55</v>
      </c>
      <c r="O5" s="447">
        <f>SUM(L67:L71)</f>
        <v>8257.5</v>
      </c>
      <c r="Q5" s="81"/>
    </row>
    <row r="6" spans="1:17" ht="15.75" x14ac:dyDescent="0.2">
      <c r="A6" s="578" t="s">
        <v>15</v>
      </c>
      <c r="B6" s="578"/>
      <c r="C6" s="578"/>
      <c r="D6" s="578"/>
      <c r="E6" s="578"/>
      <c r="F6" s="578"/>
      <c r="G6" s="578"/>
      <c r="H6" s="578"/>
      <c r="I6" s="578"/>
      <c r="J6" s="578"/>
      <c r="K6" s="578"/>
      <c r="L6" s="578"/>
      <c r="M6" s="445"/>
      <c r="N6" s="446">
        <v>56</v>
      </c>
      <c r="O6" s="455">
        <f>SUM(L72:L74)</f>
        <v>17000</v>
      </c>
      <c r="Q6" s="81"/>
    </row>
    <row r="7" spans="1:17" ht="16.5" thickBot="1" x14ac:dyDescent="0.25">
      <c r="A7" s="585" t="s">
        <v>55</v>
      </c>
      <c r="B7" s="585"/>
      <c r="C7" s="585"/>
      <c r="D7" s="585"/>
      <c r="E7" s="585"/>
      <c r="F7" s="585"/>
      <c r="G7" s="585"/>
      <c r="H7" s="585"/>
      <c r="I7" s="585"/>
      <c r="J7" s="585"/>
      <c r="K7" s="585"/>
      <c r="L7" s="585"/>
      <c r="M7" s="445"/>
      <c r="N7" s="446">
        <v>61</v>
      </c>
      <c r="O7" s="455">
        <f>SUM(L75:L78)</f>
        <v>3489.6</v>
      </c>
      <c r="P7" s="81"/>
      <c r="Q7" s="81"/>
    </row>
    <row r="8" spans="1:17" ht="15" thickBot="1" x14ac:dyDescent="0.25">
      <c r="A8" s="586" t="s">
        <v>459</v>
      </c>
      <c r="B8" s="587"/>
      <c r="C8" s="587"/>
      <c r="D8" s="587"/>
      <c r="E8" s="588" t="s">
        <v>186</v>
      </c>
      <c r="F8" s="576" t="s">
        <v>344</v>
      </c>
      <c r="G8" s="576" t="s">
        <v>345</v>
      </c>
      <c r="H8" s="277"/>
      <c r="I8" s="576" t="s">
        <v>431</v>
      </c>
      <c r="J8" s="576" t="s">
        <v>432</v>
      </c>
      <c r="K8" s="277"/>
      <c r="L8" s="576" t="s">
        <v>82</v>
      </c>
      <c r="M8" s="445"/>
      <c r="N8" s="446">
        <v>71</v>
      </c>
      <c r="O8" s="455">
        <f>SUM(O3:O7)</f>
        <v>879060.22600000002</v>
      </c>
      <c r="Q8" s="81"/>
    </row>
    <row r="9" spans="1:17" s="27" customFormat="1" ht="186" customHeight="1" thickBot="1" x14ac:dyDescent="0.25">
      <c r="A9" s="278" t="s">
        <v>177</v>
      </c>
      <c r="B9" s="279" t="s">
        <v>180</v>
      </c>
      <c r="C9" s="280" t="s">
        <v>188</v>
      </c>
      <c r="D9" s="281" t="s">
        <v>119</v>
      </c>
      <c r="E9" s="589"/>
      <c r="F9" s="577"/>
      <c r="G9" s="577"/>
      <c r="H9" s="282" t="s">
        <v>429</v>
      </c>
      <c r="I9" s="577"/>
      <c r="J9" s="577"/>
      <c r="K9" s="282" t="s">
        <v>430</v>
      </c>
      <c r="L9" s="577"/>
      <c r="M9" s="445"/>
      <c r="N9" s="448"/>
      <c r="O9" s="456"/>
      <c r="Q9" s="96"/>
    </row>
    <row r="10" spans="1:17" s="124" customFormat="1" ht="15.75" customHeight="1" x14ac:dyDescent="0.2">
      <c r="A10" s="258">
        <v>1</v>
      </c>
      <c r="B10" s="259" t="s">
        <v>50</v>
      </c>
      <c r="C10" s="259" t="s">
        <v>56</v>
      </c>
      <c r="D10" s="260">
        <v>51101</v>
      </c>
      <c r="E10" s="261" t="s">
        <v>37</v>
      </c>
      <c r="F10" s="387">
        <f>64200-36000</f>
        <v>28200</v>
      </c>
      <c r="G10" s="387">
        <v>82469.039999999994</v>
      </c>
      <c r="H10" s="387">
        <v>122937.72</v>
      </c>
      <c r="I10" s="387">
        <v>26648.76</v>
      </c>
      <c r="J10" s="387">
        <v>14337.6</v>
      </c>
      <c r="K10" s="387">
        <v>196121.28</v>
      </c>
      <c r="L10" s="366">
        <f>SUM(F10:K10)</f>
        <v>470714.4</v>
      </c>
      <c r="M10" s="449"/>
      <c r="N10" s="450"/>
      <c r="O10" s="451">
        <f>SUM(L10:L23)</f>
        <v>644035.62600000005</v>
      </c>
    </row>
    <row r="11" spans="1:17" s="124" customFormat="1" ht="15.75" customHeight="1" x14ac:dyDescent="0.2">
      <c r="A11" s="258">
        <f>A10+1</f>
        <v>2</v>
      </c>
      <c r="B11" s="259" t="s">
        <v>50</v>
      </c>
      <c r="C11" s="259" t="s">
        <v>56</v>
      </c>
      <c r="D11" s="260">
        <v>51103</v>
      </c>
      <c r="E11" s="263" t="s">
        <v>38</v>
      </c>
      <c r="F11" s="387">
        <f>5350-3000</f>
        <v>2350</v>
      </c>
      <c r="G11" s="387">
        <v>6403.24</v>
      </c>
      <c r="H11" s="387">
        <v>10244.81</v>
      </c>
      <c r="I11" s="387">
        <v>2220.73</v>
      </c>
      <c r="J11" s="387">
        <v>1194.8</v>
      </c>
      <c r="K11" s="387">
        <v>16343.44</v>
      </c>
      <c r="L11" s="366">
        <f t="shared" ref="L11:L75" si="0">SUM(F11:K11)</f>
        <v>38757.019999999997</v>
      </c>
      <c r="M11" s="449"/>
      <c r="N11" s="450"/>
      <c r="O11" s="450"/>
    </row>
    <row r="12" spans="1:17" s="124" customFormat="1" ht="15.75" customHeight="1" x14ac:dyDescent="0.2">
      <c r="A12" s="258">
        <f t="shared" ref="A12:A75" si="1">A11+1</f>
        <v>3</v>
      </c>
      <c r="B12" s="259" t="s">
        <v>50</v>
      </c>
      <c r="C12" s="259" t="s">
        <v>56</v>
      </c>
      <c r="D12" s="260">
        <v>51105</v>
      </c>
      <c r="E12" s="264" t="s">
        <v>75</v>
      </c>
      <c r="F12" s="387">
        <v>0</v>
      </c>
      <c r="G12" s="387"/>
      <c r="H12" s="387"/>
      <c r="I12" s="387"/>
      <c r="J12" s="387"/>
      <c r="K12" s="387"/>
      <c r="L12" s="366">
        <f t="shared" si="0"/>
        <v>0</v>
      </c>
      <c r="M12" s="449"/>
      <c r="N12" s="450"/>
      <c r="O12" s="451"/>
    </row>
    <row r="13" spans="1:17" s="124" customFormat="1" ht="15.75" customHeight="1" x14ac:dyDescent="0.2">
      <c r="A13" s="258">
        <f t="shared" si="1"/>
        <v>4</v>
      </c>
      <c r="B13" s="259" t="s">
        <v>50</v>
      </c>
      <c r="C13" s="259" t="s">
        <v>56</v>
      </c>
      <c r="D13" s="260">
        <v>51107</v>
      </c>
      <c r="E13" s="264" t="s">
        <v>349</v>
      </c>
      <c r="F13" s="387">
        <v>0</v>
      </c>
      <c r="G13" s="387"/>
      <c r="H13" s="387"/>
      <c r="I13" s="387"/>
      <c r="J13" s="387"/>
      <c r="K13" s="387"/>
      <c r="L13" s="366">
        <f t="shared" si="0"/>
        <v>0</v>
      </c>
      <c r="M13" s="449"/>
      <c r="N13" s="450"/>
      <c r="O13" s="450"/>
    </row>
    <row r="14" spans="1:17" s="124" customFormat="1" ht="15.75" customHeight="1" x14ac:dyDescent="0.2">
      <c r="A14" s="258">
        <f t="shared" si="1"/>
        <v>5</v>
      </c>
      <c r="B14" s="259" t="s">
        <v>50</v>
      </c>
      <c r="C14" s="259" t="s">
        <v>56</v>
      </c>
      <c r="D14" s="260">
        <v>51201</v>
      </c>
      <c r="E14" s="264" t="s">
        <v>37</v>
      </c>
      <c r="F14" s="387"/>
      <c r="G14" s="387"/>
      <c r="H14" s="387"/>
      <c r="I14" s="387"/>
      <c r="J14" s="387"/>
      <c r="K14" s="387"/>
      <c r="L14" s="366">
        <f t="shared" si="0"/>
        <v>0</v>
      </c>
      <c r="M14" s="449"/>
      <c r="N14" s="450"/>
      <c r="O14" s="450"/>
    </row>
    <row r="15" spans="1:17" s="124" customFormat="1" ht="15.75" customHeight="1" x14ac:dyDescent="0.2">
      <c r="A15" s="258">
        <f t="shared" si="1"/>
        <v>6</v>
      </c>
      <c r="B15" s="259" t="s">
        <v>50</v>
      </c>
      <c r="C15" s="265" t="s">
        <v>56</v>
      </c>
      <c r="D15" s="260">
        <v>51202</v>
      </c>
      <c r="E15" s="264" t="s">
        <v>214</v>
      </c>
      <c r="F15" s="387">
        <v>10000</v>
      </c>
      <c r="G15" s="387">
        <v>0</v>
      </c>
      <c r="H15" s="387">
        <v>0</v>
      </c>
      <c r="I15" s="387"/>
      <c r="J15" s="387"/>
      <c r="K15" s="387">
        <v>0</v>
      </c>
      <c r="L15" s="366">
        <f t="shared" si="0"/>
        <v>10000</v>
      </c>
      <c r="M15" s="449"/>
      <c r="N15" s="450"/>
      <c r="O15" s="450"/>
    </row>
    <row r="16" spans="1:17" s="124" customFormat="1" ht="15.75" customHeight="1" x14ac:dyDescent="0.2">
      <c r="A16" s="258">
        <f t="shared" si="1"/>
        <v>7</v>
      </c>
      <c r="B16" s="259" t="s">
        <v>50</v>
      </c>
      <c r="C16" s="265" t="s">
        <v>56</v>
      </c>
      <c r="D16" s="260">
        <v>51301</v>
      </c>
      <c r="E16" s="264" t="s">
        <v>433</v>
      </c>
      <c r="F16" s="387">
        <v>0</v>
      </c>
      <c r="G16" s="387">
        <v>0</v>
      </c>
      <c r="H16" s="387">
        <v>0</v>
      </c>
      <c r="I16" s="387"/>
      <c r="J16" s="387">
        <v>0</v>
      </c>
      <c r="K16" s="387">
        <v>3000</v>
      </c>
      <c r="L16" s="366">
        <f t="shared" si="0"/>
        <v>3000</v>
      </c>
      <c r="M16" s="449"/>
      <c r="N16" s="450"/>
      <c r="O16" s="450"/>
    </row>
    <row r="17" spans="1:15" s="124" customFormat="1" ht="15.75" customHeight="1" x14ac:dyDescent="0.2">
      <c r="A17" s="258">
        <f t="shared" si="1"/>
        <v>8</v>
      </c>
      <c r="B17" s="259" t="s">
        <v>50</v>
      </c>
      <c r="C17" s="265" t="s">
        <v>56</v>
      </c>
      <c r="D17" s="260">
        <v>51401</v>
      </c>
      <c r="E17" s="264" t="s">
        <v>39</v>
      </c>
      <c r="F17" s="387">
        <f>3015-900</f>
        <v>2115</v>
      </c>
      <c r="G17" s="387">
        <v>5831.21</v>
      </c>
      <c r="H17" s="387">
        <v>9220.33</v>
      </c>
      <c r="I17" s="387">
        <v>1998.66</v>
      </c>
      <c r="J17" s="387">
        <f>J10*7.5%</f>
        <v>1075.32</v>
      </c>
      <c r="K17" s="387">
        <f>K10*7.5%</f>
        <v>14709.096</v>
      </c>
      <c r="L17" s="366">
        <f t="shared" si="0"/>
        <v>34949.616000000002</v>
      </c>
      <c r="M17" s="449"/>
      <c r="N17" s="450"/>
      <c r="O17" s="450"/>
    </row>
    <row r="18" spans="1:15" s="124" customFormat="1" ht="15.75" customHeight="1" x14ac:dyDescent="0.2">
      <c r="A18" s="258">
        <f t="shared" si="1"/>
        <v>9</v>
      </c>
      <c r="B18" s="259" t="s">
        <v>50</v>
      </c>
      <c r="C18" s="265" t="s">
        <v>56</v>
      </c>
      <c r="D18" s="260">
        <v>51501</v>
      </c>
      <c r="E18" s="264" t="s">
        <v>39</v>
      </c>
      <c r="F18" s="387">
        <f>4975.5-2790</f>
        <v>2185.5</v>
      </c>
      <c r="G18" s="387">
        <v>6025.58</v>
      </c>
      <c r="H18" s="387">
        <v>9527.67</v>
      </c>
      <c r="I18" s="387">
        <v>2065.2800000000002</v>
      </c>
      <c r="J18" s="387">
        <v>1111.1600000000001</v>
      </c>
      <c r="K18" s="387">
        <v>15199.4</v>
      </c>
      <c r="L18" s="366">
        <f t="shared" si="0"/>
        <v>36114.589999999997</v>
      </c>
      <c r="M18" s="449"/>
      <c r="N18" s="451">
        <f>SUM(L10:L23)</f>
        <v>644035.62600000005</v>
      </c>
      <c r="O18" s="450"/>
    </row>
    <row r="19" spans="1:15" s="124" customFormat="1" ht="15.75" customHeight="1" x14ac:dyDescent="0.2">
      <c r="A19" s="258">
        <f t="shared" si="1"/>
        <v>10</v>
      </c>
      <c r="B19" s="265" t="s">
        <v>50</v>
      </c>
      <c r="C19" s="265" t="s">
        <v>56</v>
      </c>
      <c r="D19" s="266">
        <v>51601</v>
      </c>
      <c r="E19" s="267" t="s">
        <v>269</v>
      </c>
      <c r="F19" s="269">
        <v>12000</v>
      </c>
      <c r="G19" s="269"/>
      <c r="H19" s="269"/>
      <c r="I19" s="269"/>
      <c r="J19" s="269"/>
      <c r="K19" s="387"/>
      <c r="L19" s="366">
        <f t="shared" si="0"/>
        <v>12000</v>
      </c>
      <c r="M19" s="449"/>
      <c r="N19" s="450"/>
      <c r="O19" s="450"/>
    </row>
    <row r="20" spans="1:15" s="124" customFormat="1" ht="15.75" customHeight="1" x14ac:dyDescent="0.2">
      <c r="A20" s="258">
        <f t="shared" si="1"/>
        <v>11</v>
      </c>
      <c r="B20" s="265" t="s">
        <v>50</v>
      </c>
      <c r="C20" s="265" t="s">
        <v>56</v>
      </c>
      <c r="D20" s="266">
        <v>51602</v>
      </c>
      <c r="E20" s="267" t="s">
        <v>434</v>
      </c>
      <c r="F20" s="269">
        <v>3000</v>
      </c>
      <c r="G20" s="269"/>
      <c r="H20" s="269"/>
      <c r="I20" s="269"/>
      <c r="J20" s="269"/>
      <c r="K20" s="387"/>
      <c r="L20" s="366">
        <f t="shared" si="0"/>
        <v>3000</v>
      </c>
      <c r="M20" s="449"/>
      <c r="N20" s="451"/>
      <c r="O20" s="450"/>
    </row>
    <row r="21" spans="1:15" s="124" customFormat="1" ht="15.75" customHeight="1" x14ac:dyDescent="0.2">
      <c r="A21" s="258">
        <f t="shared" si="1"/>
        <v>12</v>
      </c>
      <c r="B21" s="265" t="s">
        <v>50</v>
      </c>
      <c r="C21" s="265" t="s">
        <v>56</v>
      </c>
      <c r="D21" s="266">
        <v>51701</v>
      </c>
      <c r="E21" s="267" t="s">
        <v>348</v>
      </c>
      <c r="F21" s="269"/>
      <c r="G21" s="269">
        <v>3000</v>
      </c>
      <c r="H21" s="269">
        <v>4000</v>
      </c>
      <c r="I21" s="269">
        <v>4000</v>
      </c>
      <c r="J21" s="269"/>
      <c r="K21" s="387">
        <v>10000</v>
      </c>
      <c r="L21" s="366">
        <f t="shared" si="0"/>
        <v>21000</v>
      </c>
      <c r="M21" s="449"/>
      <c r="N21" s="450"/>
      <c r="O21" s="450"/>
    </row>
    <row r="22" spans="1:15" s="124" customFormat="1" ht="15.75" customHeight="1" x14ac:dyDescent="0.2">
      <c r="A22" s="258">
        <f t="shared" si="1"/>
        <v>13</v>
      </c>
      <c r="B22" s="265" t="s">
        <v>50</v>
      </c>
      <c r="C22" s="265" t="s">
        <v>56</v>
      </c>
      <c r="D22" s="266">
        <v>51901</v>
      </c>
      <c r="E22" s="267" t="s">
        <v>283</v>
      </c>
      <c r="F22" s="269">
        <v>10000</v>
      </c>
      <c r="G22" s="269">
        <v>4000</v>
      </c>
      <c r="H22" s="269"/>
      <c r="I22" s="269"/>
      <c r="J22" s="269">
        <v>0</v>
      </c>
      <c r="K22" s="387"/>
      <c r="L22" s="366">
        <f t="shared" si="0"/>
        <v>14000</v>
      </c>
      <c r="M22" s="449"/>
      <c r="N22" s="451"/>
      <c r="O22" s="450"/>
    </row>
    <row r="23" spans="1:15" s="124" customFormat="1" ht="15.75" customHeight="1" x14ac:dyDescent="0.2">
      <c r="A23" s="258">
        <f t="shared" si="1"/>
        <v>14</v>
      </c>
      <c r="B23" s="265" t="s">
        <v>50</v>
      </c>
      <c r="C23" s="265" t="s">
        <v>56</v>
      </c>
      <c r="D23" s="266">
        <v>51999</v>
      </c>
      <c r="E23" s="267" t="s">
        <v>231</v>
      </c>
      <c r="F23" s="269">
        <v>500</v>
      </c>
      <c r="G23" s="269"/>
      <c r="H23" s="269"/>
      <c r="I23" s="269"/>
      <c r="J23" s="269"/>
      <c r="K23" s="387"/>
      <c r="L23" s="366">
        <f t="shared" si="0"/>
        <v>500</v>
      </c>
      <c r="M23" s="449"/>
      <c r="N23" s="452"/>
      <c r="O23" s="450"/>
    </row>
    <row r="24" spans="1:15" s="124" customFormat="1" ht="15.75" customHeight="1" x14ac:dyDescent="0.2">
      <c r="A24" s="258">
        <f t="shared" si="1"/>
        <v>15</v>
      </c>
      <c r="B24" s="265" t="s">
        <v>50</v>
      </c>
      <c r="C24" s="265" t="s">
        <v>56</v>
      </c>
      <c r="D24" s="266">
        <v>54101</v>
      </c>
      <c r="E24" s="267" t="s">
        <v>40</v>
      </c>
      <c r="F24" s="269">
        <v>2500</v>
      </c>
      <c r="G24" s="269"/>
      <c r="H24" s="269"/>
      <c r="I24" s="269"/>
      <c r="J24" s="269"/>
      <c r="K24" s="387"/>
      <c r="L24" s="366">
        <f t="shared" si="0"/>
        <v>2500</v>
      </c>
      <c r="M24" s="449"/>
      <c r="N24" s="450"/>
      <c r="O24" s="451"/>
    </row>
    <row r="25" spans="1:15" s="124" customFormat="1" ht="15.75" customHeight="1" x14ac:dyDescent="0.2">
      <c r="A25" s="258">
        <f t="shared" si="1"/>
        <v>16</v>
      </c>
      <c r="B25" s="265" t="s">
        <v>50</v>
      </c>
      <c r="C25" s="265" t="s">
        <v>56</v>
      </c>
      <c r="D25" s="266">
        <v>54103</v>
      </c>
      <c r="E25" s="267" t="s">
        <v>235</v>
      </c>
      <c r="F25" s="268">
        <v>1500</v>
      </c>
      <c r="G25" s="268"/>
      <c r="H25" s="268"/>
      <c r="I25" s="268"/>
      <c r="J25" s="268"/>
      <c r="K25" s="262"/>
      <c r="L25" s="366">
        <f t="shared" si="0"/>
        <v>1500</v>
      </c>
      <c r="M25" s="449"/>
      <c r="N25" s="451"/>
      <c r="O25" s="450"/>
    </row>
    <row r="26" spans="1:15" s="124" customFormat="1" ht="15.75" customHeight="1" x14ac:dyDescent="0.2">
      <c r="A26" s="258">
        <f t="shared" si="1"/>
        <v>17</v>
      </c>
      <c r="B26" s="265" t="s">
        <v>50</v>
      </c>
      <c r="C26" s="265" t="s">
        <v>56</v>
      </c>
      <c r="D26" s="266">
        <v>54104</v>
      </c>
      <c r="E26" s="267" t="s">
        <v>215</v>
      </c>
      <c r="F26" s="268">
        <v>2000</v>
      </c>
      <c r="G26" s="268"/>
      <c r="H26" s="268"/>
      <c r="I26" s="268"/>
      <c r="J26" s="268"/>
      <c r="K26" s="262"/>
      <c r="L26" s="366">
        <f t="shared" si="0"/>
        <v>2000</v>
      </c>
      <c r="M26" s="449"/>
      <c r="N26" s="450"/>
      <c r="O26" s="450"/>
    </row>
    <row r="27" spans="1:15" s="124" customFormat="1" ht="15.75" customHeight="1" x14ac:dyDescent="0.2">
      <c r="A27" s="258">
        <f t="shared" si="1"/>
        <v>18</v>
      </c>
      <c r="B27" s="265" t="s">
        <v>50</v>
      </c>
      <c r="C27" s="265" t="s">
        <v>56</v>
      </c>
      <c r="D27" s="266">
        <v>54105</v>
      </c>
      <c r="E27" s="267" t="s">
        <v>41</v>
      </c>
      <c r="F27" s="268">
        <v>800</v>
      </c>
      <c r="G27" s="268"/>
      <c r="H27" s="268"/>
      <c r="I27" s="268"/>
      <c r="J27" s="268"/>
      <c r="K27" s="262"/>
      <c r="L27" s="366">
        <f t="shared" si="0"/>
        <v>800</v>
      </c>
      <c r="M27" s="449"/>
      <c r="N27" s="451">
        <f>SUM(L24:L66)</f>
        <v>206277.5</v>
      </c>
      <c r="O27" s="450"/>
    </row>
    <row r="28" spans="1:15" s="124" customFormat="1" ht="15.75" customHeight="1" x14ac:dyDescent="0.2">
      <c r="A28" s="258">
        <f t="shared" si="1"/>
        <v>19</v>
      </c>
      <c r="B28" s="265" t="s">
        <v>50</v>
      </c>
      <c r="C28" s="265" t="s">
        <v>56</v>
      </c>
      <c r="D28" s="266">
        <v>54106</v>
      </c>
      <c r="E28" s="267" t="s">
        <v>216</v>
      </c>
      <c r="F28" s="268">
        <v>800</v>
      </c>
      <c r="G28" s="268"/>
      <c r="H28" s="268"/>
      <c r="I28" s="268"/>
      <c r="J28" s="268"/>
      <c r="K28" s="262"/>
      <c r="L28" s="366">
        <f t="shared" si="0"/>
        <v>800</v>
      </c>
      <c r="M28" s="449"/>
      <c r="N28" s="450"/>
      <c r="O28" s="450"/>
    </row>
    <row r="29" spans="1:15" s="124" customFormat="1" ht="15.75" customHeight="1" x14ac:dyDescent="0.2">
      <c r="A29" s="258">
        <f t="shared" si="1"/>
        <v>20</v>
      </c>
      <c r="B29" s="265" t="s">
        <v>50</v>
      </c>
      <c r="C29" s="265" t="s">
        <v>56</v>
      </c>
      <c r="D29" s="266">
        <v>54107</v>
      </c>
      <c r="E29" s="267" t="s">
        <v>217</v>
      </c>
      <c r="F29" s="268">
        <v>1000</v>
      </c>
      <c r="G29" s="268"/>
      <c r="H29" s="268"/>
      <c r="I29" s="268"/>
      <c r="J29" s="268"/>
      <c r="K29" s="262"/>
      <c r="L29" s="366">
        <f t="shared" si="0"/>
        <v>1000</v>
      </c>
      <c r="M29" s="449"/>
      <c r="N29" s="451"/>
      <c r="O29" s="450"/>
    </row>
    <row r="30" spans="1:15" s="124" customFormat="1" ht="15.75" customHeight="1" x14ac:dyDescent="0.2">
      <c r="A30" s="258">
        <f t="shared" si="1"/>
        <v>21</v>
      </c>
      <c r="B30" s="265" t="s">
        <v>50</v>
      </c>
      <c r="C30" s="265" t="s">
        <v>56</v>
      </c>
      <c r="D30" s="266">
        <v>54109</v>
      </c>
      <c r="E30" s="267" t="s">
        <v>218</v>
      </c>
      <c r="F30" s="268">
        <v>0</v>
      </c>
      <c r="G30" s="268"/>
      <c r="H30" s="268"/>
      <c r="I30" s="268">
        <v>0</v>
      </c>
      <c r="J30" s="268"/>
      <c r="K30" s="262">
        <v>0</v>
      </c>
      <c r="L30" s="366">
        <f t="shared" si="0"/>
        <v>0</v>
      </c>
      <c r="M30" s="449"/>
      <c r="N30" s="450"/>
      <c r="O30" s="450"/>
    </row>
    <row r="31" spans="1:15" s="124" customFormat="1" ht="15.75" customHeight="1" x14ac:dyDescent="0.2">
      <c r="A31" s="258">
        <f t="shared" si="1"/>
        <v>22</v>
      </c>
      <c r="B31" s="265" t="s">
        <v>50</v>
      </c>
      <c r="C31" s="265" t="s">
        <v>56</v>
      </c>
      <c r="D31" s="266">
        <v>54110</v>
      </c>
      <c r="E31" s="267" t="s">
        <v>42</v>
      </c>
      <c r="F31" s="268">
        <v>500</v>
      </c>
      <c r="G31" s="268"/>
      <c r="H31" s="268"/>
      <c r="I31" s="268"/>
      <c r="J31" s="268"/>
      <c r="K31" s="262"/>
      <c r="L31" s="366">
        <f t="shared" si="0"/>
        <v>500</v>
      </c>
      <c r="M31" s="449"/>
      <c r="N31" s="450"/>
      <c r="O31" s="450"/>
    </row>
    <row r="32" spans="1:15" s="124" customFormat="1" ht="15.75" customHeight="1" x14ac:dyDescent="0.2">
      <c r="A32" s="258">
        <f t="shared" si="1"/>
        <v>23</v>
      </c>
      <c r="B32" s="265" t="s">
        <v>50</v>
      </c>
      <c r="C32" s="265" t="s">
        <v>56</v>
      </c>
      <c r="D32" s="266">
        <v>54111</v>
      </c>
      <c r="E32" s="267" t="s">
        <v>219</v>
      </c>
      <c r="F32" s="268">
        <v>1500</v>
      </c>
      <c r="G32" s="268"/>
      <c r="H32" s="268"/>
      <c r="I32" s="268"/>
      <c r="J32" s="268"/>
      <c r="K32" s="262"/>
      <c r="L32" s="366">
        <f t="shared" si="0"/>
        <v>1500</v>
      </c>
      <c r="M32" s="449"/>
      <c r="N32" s="450"/>
      <c r="O32" s="450"/>
    </row>
    <row r="33" spans="1:15" s="124" customFormat="1" ht="15.75" customHeight="1" x14ac:dyDescent="0.2">
      <c r="A33" s="258">
        <f t="shared" si="1"/>
        <v>24</v>
      </c>
      <c r="B33" s="265" t="s">
        <v>50</v>
      </c>
      <c r="C33" s="265" t="s">
        <v>56</v>
      </c>
      <c r="D33" s="266">
        <v>54112</v>
      </c>
      <c r="E33" s="267" t="s">
        <v>220</v>
      </c>
      <c r="F33" s="268">
        <v>1500</v>
      </c>
      <c r="G33" s="268"/>
      <c r="H33" s="268"/>
      <c r="I33" s="268"/>
      <c r="J33" s="268"/>
      <c r="K33" s="262"/>
      <c r="L33" s="366">
        <f t="shared" si="0"/>
        <v>1500</v>
      </c>
      <c r="M33" s="449"/>
      <c r="N33" s="450"/>
      <c r="O33" s="450"/>
    </row>
    <row r="34" spans="1:15" s="124" customFormat="1" ht="15.75" customHeight="1" x14ac:dyDescent="0.2">
      <c r="A34" s="258">
        <f t="shared" si="1"/>
        <v>25</v>
      </c>
      <c r="B34" s="265" t="s">
        <v>50</v>
      </c>
      <c r="C34" s="265" t="s">
        <v>56</v>
      </c>
      <c r="D34" s="266">
        <v>54114</v>
      </c>
      <c r="E34" s="267" t="s">
        <v>43</v>
      </c>
      <c r="F34" s="268">
        <v>8000</v>
      </c>
      <c r="G34" s="268"/>
      <c r="H34" s="268"/>
      <c r="I34" s="268"/>
      <c r="J34" s="268"/>
      <c r="K34" s="262"/>
      <c r="L34" s="366">
        <f t="shared" si="0"/>
        <v>8000</v>
      </c>
      <c r="M34" s="449"/>
      <c r="N34" s="450"/>
      <c r="O34" s="450"/>
    </row>
    <row r="35" spans="1:15" s="124" customFormat="1" ht="15.75" customHeight="1" x14ac:dyDescent="0.2">
      <c r="A35" s="258">
        <f t="shared" si="1"/>
        <v>26</v>
      </c>
      <c r="B35" s="265" t="s">
        <v>50</v>
      </c>
      <c r="C35" s="265" t="s">
        <v>56</v>
      </c>
      <c r="D35" s="266">
        <v>54115</v>
      </c>
      <c r="E35" s="267" t="s">
        <v>80</v>
      </c>
      <c r="F35" s="268">
        <v>6000</v>
      </c>
      <c r="G35" s="268"/>
      <c r="H35" s="268"/>
      <c r="I35" s="268"/>
      <c r="J35" s="268"/>
      <c r="K35" s="262"/>
      <c r="L35" s="366">
        <f t="shared" si="0"/>
        <v>6000</v>
      </c>
      <c r="M35" s="449"/>
      <c r="N35" s="450"/>
      <c r="O35" s="450"/>
    </row>
    <row r="36" spans="1:15" s="124" customFormat="1" ht="15.75" customHeight="1" x14ac:dyDescent="0.2">
      <c r="A36" s="258">
        <f t="shared" si="1"/>
        <v>27</v>
      </c>
      <c r="B36" s="265" t="s">
        <v>50</v>
      </c>
      <c r="C36" s="265" t="s">
        <v>56</v>
      </c>
      <c r="D36" s="266">
        <v>54116</v>
      </c>
      <c r="E36" s="267" t="s">
        <v>460</v>
      </c>
      <c r="F36" s="268">
        <v>1400</v>
      </c>
      <c r="G36" s="268"/>
      <c r="H36" s="268"/>
      <c r="I36" s="268"/>
      <c r="J36" s="268"/>
      <c r="K36" s="262"/>
      <c r="L36" s="366">
        <f t="shared" si="0"/>
        <v>1400</v>
      </c>
      <c r="M36" s="449"/>
      <c r="N36" s="450"/>
      <c r="O36" s="450"/>
    </row>
    <row r="37" spans="1:15" s="124" customFormat="1" ht="15.75" customHeight="1" x14ac:dyDescent="0.2">
      <c r="A37" s="258">
        <f t="shared" si="1"/>
        <v>28</v>
      </c>
      <c r="B37" s="265" t="s">
        <v>50</v>
      </c>
      <c r="C37" s="265" t="s">
        <v>56</v>
      </c>
      <c r="D37" s="266">
        <v>54117</v>
      </c>
      <c r="E37" s="267" t="s">
        <v>435</v>
      </c>
      <c r="F37" s="268">
        <v>0</v>
      </c>
      <c r="G37" s="268"/>
      <c r="H37" s="268"/>
      <c r="I37" s="268"/>
      <c r="J37" s="268"/>
      <c r="K37" s="262"/>
      <c r="L37" s="366">
        <f t="shared" si="0"/>
        <v>0</v>
      </c>
      <c r="M37" s="449"/>
      <c r="N37" s="450"/>
      <c r="O37" s="450"/>
    </row>
    <row r="38" spans="1:15" s="124" customFormat="1" ht="15.75" customHeight="1" x14ac:dyDescent="0.2">
      <c r="A38" s="258">
        <f t="shared" si="1"/>
        <v>29</v>
      </c>
      <c r="B38" s="265" t="s">
        <v>50</v>
      </c>
      <c r="C38" s="265" t="s">
        <v>56</v>
      </c>
      <c r="D38" s="266">
        <v>54118</v>
      </c>
      <c r="E38" s="267" t="s">
        <v>221</v>
      </c>
      <c r="F38" s="268">
        <v>2300</v>
      </c>
      <c r="G38" s="268"/>
      <c r="H38" s="268"/>
      <c r="I38" s="268"/>
      <c r="J38" s="268"/>
      <c r="K38" s="262"/>
      <c r="L38" s="366">
        <f t="shared" si="0"/>
        <v>2300</v>
      </c>
      <c r="M38" s="449"/>
      <c r="N38" s="450"/>
      <c r="O38" s="450"/>
    </row>
    <row r="39" spans="1:15" s="124" customFormat="1" ht="15.75" customHeight="1" x14ac:dyDescent="0.2">
      <c r="A39" s="258">
        <f t="shared" si="1"/>
        <v>30</v>
      </c>
      <c r="B39" s="265" t="s">
        <v>50</v>
      </c>
      <c r="C39" s="265" t="s">
        <v>56</v>
      </c>
      <c r="D39" s="266">
        <v>54119</v>
      </c>
      <c r="E39" s="267" t="s">
        <v>104</v>
      </c>
      <c r="F39" s="268">
        <v>1200</v>
      </c>
      <c r="G39" s="268"/>
      <c r="H39" s="268"/>
      <c r="I39" s="268"/>
      <c r="J39" s="268"/>
      <c r="K39" s="262"/>
      <c r="L39" s="366">
        <f t="shared" si="0"/>
        <v>1200</v>
      </c>
      <c r="M39" s="449"/>
      <c r="N39" s="450"/>
      <c r="O39" s="450"/>
    </row>
    <row r="40" spans="1:15" s="124" customFormat="1" ht="15.75" customHeight="1" x14ac:dyDescent="0.2">
      <c r="A40" s="258">
        <f t="shared" si="1"/>
        <v>31</v>
      </c>
      <c r="B40" s="265" t="s">
        <v>50</v>
      </c>
      <c r="C40" s="265" t="s">
        <v>56</v>
      </c>
      <c r="D40" s="266">
        <v>54199</v>
      </c>
      <c r="E40" s="267" t="s">
        <v>222</v>
      </c>
      <c r="F40" s="268">
        <v>12000</v>
      </c>
      <c r="G40" s="268"/>
      <c r="H40" s="268"/>
      <c r="I40" s="268"/>
      <c r="J40" s="268"/>
      <c r="K40" s="262"/>
      <c r="L40" s="366">
        <f t="shared" si="0"/>
        <v>12000</v>
      </c>
      <c r="M40" s="449"/>
      <c r="N40" s="450"/>
      <c r="O40" s="450"/>
    </row>
    <row r="41" spans="1:15" s="124" customFormat="1" ht="15.75" customHeight="1" x14ac:dyDescent="0.2">
      <c r="A41" s="258">
        <f t="shared" si="1"/>
        <v>32</v>
      </c>
      <c r="B41" s="265" t="s">
        <v>50</v>
      </c>
      <c r="C41" s="265" t="s">
        <v>56</v>
      </c>
      <c r="D41" s="266">
        <v>54201</v>
      </c>
      <c r="E41" s="267" t="s">
        <v>347</v>
      </c>
      <c r="F41" s="268">
        <v>1500</v>
      </c>
      <c r="G41" s="268"/>
      <c r="H41" s="268"/>
      <c r="I41" s="268"/>
      <c r="J41" s="268"/>
      <c r="K41" s="262"/>
      <c r="L41" s="366">
        <f t="shared" si="0"/>
        <v>1500</v>
      </c>
      <c r="M41" s="453"/>
      <c r="N41" s="453"/>
      <c r="O41" s="450"/>
    </row>
    <row r="42" spans="1:15" s="124" customFormat="1" ht="15.75" customHeight="1" x14ac:dyDescent="0.2">
      <c r="A42" s="258">
        <f t="shared" si="1"/>
        <v>33</v>
      </c>
      <c r="B42" s="265" t="s">
        <v>50</v>
      </c>
      <c r="C42" s="265" t="s">
        <v>56</v>
      </c>
      <c r="D42" s="266">
        <v>54202</v>
      </c>
      <c r="E42" s="267" t="s">
        <v>45</v>
      </c>
      <c r="F42" s="268">
        <v>1800</v>
      </c>
      <c r="G42" s="268"/>
      <c r="H42" s="268"/>
      <c r="I42" s="268"/>
      <c r="J42" s="268"/>
      <c r="K42" s="262"/>
      <c r="L42" s="366">
        <f t="shared" si="0"/>
        <v>1800</v>
      </c>
      <c r="M42" s="453"/>
      <c r="N42" s="453"/>
      <c r="O42" s="450"/>
    </row>
    <row r="43" spans="1:15" s="124" customFormat="1" ht="15.75" customHeight="1" x14ac:dyDescent="0.2">
      <c r="A43" s="258">
        <f t="shared" si="1"/>
        <v>34</v>
      </c>
      <c r="B43" s="265" t="s">
        <v>50</v>
      </c>
      <c r="C43" s="265" t="s">
        <v>56</v>
      </c>
      <c r="D43" s="266">
        <v>54203</v>
      </c>
      <c r="E43" s="267" t="s">
        <v>46</v>
      </c>
      <c r="F43" s="268">
        <v>1500</v>
      </c>
      <c r="G43" s="268"/>
      <c r="H43" s="268"/>
      <c r="I43" s="268"/>
      <c r="J43" s="268"/>
      <c r="K43" s="262"/>
      <c r="L43" s="366">
        <f t="shared" si="0"/>
        <v>1500</v>
      </c>
      <c r="M43" s="453"/>
      <c r="N43" s="453"/>
      <c r="O43" s="450"/>
    </row>
    <row r="44" spans="1:15" s="124" customFormat="1" ht="15.75" customHeight="1" x14ac:dyDescent="0.2">
      <c r="A44" s="258">
        <f t="shared" si="1"/>
        <v>35</v>
      </c>
      <c r="B44" s="265" t="s">
        <v>50</v>
      </c>
      <c r="C44" s="265" t="s">
        <v>56</v>
      </c>
      <c r="D44" s="266">
        <v>54205</v>
      </c>
      <c r="E44" s="267" t="s">
        <v>25</v>
      </c>
      <c r="F44" s="268">
        <v>48000</v>
      </c>
      <c r="G44" s="268"/>
      <c r="H44" s="268"/>
      <c r="I44" s="268"/>
      <c r="J44" s="268"/>
      <c r="K44" s="262"/>
      <c r="L44" s="366">
        <f t="shared" si="0"/>
        <v>48000</v>
      </c>
      <c r="M44" s="449"/>
      <c r="N44" s="450"/>
      <c r="O44" s="450"/>
    </row>
    <row r="45" spans="1:15" s="124" customFormat="1" ht="15.75" customHeight="1" x14ac:dyDescent="0.2">
      <c r="A45" s="258">
        <f t="shared" si="1"/>
        <v>36</v>
      </c>
      <c r="B45" s="265" t="s">
        <v>50</v>
      </c>
      <c r="C45" s="265" t="s">
        <v>56</v>
      </c>
      <c r="D45" s="266">
        <v>54301</v>
      </c>
      <c r="E45" s="267" t="s">
        <v>223</v>
      </c>
      <c r="F45" s="268">
        <v>2700</v>
      </c>
      <c r="G45" s="268"/>
      <c r="H45" s="268"/>
      <c r="I45" s="268"/>
      <c r="J45" s="268"/>
      <c r="K45" s="262"/>
      <c r="L45" s="366">
        <f t="shared" si="0"/>
        <v>2700</v>
      </c>
      <c r="M45" s="449"/>
      <c r="N45" s="450"/>
      <c r="O45" s="450"/>
    </row>
    <row r="46" spans="1:15" s="124" customFormat="1" ht="15.75" customHeight="1" x14ac:dyDescent="0.2">
      <c r="A46" s="258">
        <f t="shared" si="1"/>
        <v>37</v>
      </c>
      <c r="B46" s="265" t="s">
        <v>50</v>
      </c>
      <c r="C46" s="265" t="s">
        <v>56</v>
      </c>
      <c r="D46" s="266">
        <v>54302</v>
      </c>
      <c r="E46" s="267" t="s">
        <v>224</v>
      </c>
      <c r="F46" s="268">
        <v>500</v>
      </c>
      <c r="G46" s="268"/>
      <c r="H46" s="268"/>
      <c r="I46" s="268"/>
      <c r="J46" s="268"/>
      <c r="K46" s="262"/>
      <c r="L46" s="366">
        <f t="shared" si="0"/>
        <v>500</v>
      </c>
      <c r="M46" s="449"/>
      <c r="N46" s="450"/>
      <c r="O46" s="450"/>
    </row>
    <row r="47" spans="1:15" s="124" customFormat="1" ht="15.75" customHeight="1" x14ac:dyDescent="0.2">
      <c r="A47" s="258">
        <f t="shared" si="1"/>
        <v>38</v>
      </c>
      <c r="B47" s="265" t="s">
        <v>50</v>
      </c>
      <c r="C47" s="265" t="s">
        <v>56</v>
      </c>
      <c r="D47" s="266">
        <v>54303</v>
      </c>
      <c r="E47" s="267" t="s">
        <v>225</v>
      </c>
      <c r="F47" s="268"/>
      <c r="G47" s="268"/>
      <c r="H47" s="268"/>
      <c r="I47" s="268"/>
      <c r="J47" s="268"/>
      <c r="K47" s="262"/>
      <c r="L47" s="366">
        <f t="shared" si="0"/>
        <v>0</v>
      </c>
      <c r="M47" s="449"/>
      <c r="N47" s="450"/>
      <c r="O47" s="450"/>
    </row>
    <row r="48" spans="1:15" s="124" customFormat="1" ht="15.75" customHeight="1" x14ac:dyDescent="0.2">
      <c r="A48" s="258">
        <f t="shared" si="1"/>
        <v>39</v>
      </c>
      <c r="B48" s="265" t="s">
        <v>50</v>
      </c>
      <c r="C48" s="265" t="s">
        <v>56</v>
      </c>
      <c r="D48" s="266">
        <v>54304</v>
      </c>
      <c r="E48" s="267" t="s">
        <v>76</v>
      </c>
      <c r="F48" s="268">
        <v>6000</v>
      </c>
      <c r="G48" s="268"/>
      <c r="H48" s="268"/>
      <c r="I48" s="268"/>
      <c r="J48" s="268"/>
      <c r="K48" s="262"/>
      <c r="L48" s="366">
        <f t="shared" si="0"/>
        <v>6000</v>
      </c>
      <c r="M48" s="449"/>
      <c r="N48" s="450"/>
      <c r="O48" s="450"/>
    </row>
    <row r="49" spans="1:15" s="124" customFormat="1" ht="15.75" customHeight="1" x14ac:dyDescent="0.2">
      <c r="A49" s="258">
        <f t="shared" si="1"/>
        <v>40</v>
      </c>
      <c r="B49" s="265" t="s">
        <v>50</v>
      </c>
      <c r="C49" s="265" t="s">
        <v>56</v>
      </c>
      <c r="D49" s="266">
        <v>54305</v>
      </c>
      <c r="E49" s="267" t="s">
        <v>77</v>
      </c>
      <c r="F49" s="268">
        <v>1600</v>
      </c>
      <c r="G49" s="268"/>
      <c r="H49" s="268"/>
      <c r="I49" s="268"/>
      <c r="J49" s="268"/>
      <c r="K49" s="262"/>
      <c r="L49" s="366">
        <f t="shared" si="0"/>
        <v>1600</v>
      </c>
      <c r="M49" s="449"/>
      <c r="N49" s="450"/>
      <c r="O49" s="450"/>
    </row>
    <row r="50" spans="1:15" s="124" customFormat="1" ht="15.75" customHeight="1" x14ac:dyDescent="0.2">
      <c r="A50" s="258">
        <f t="shared" si="1"/>
        <v>41</v>
      </c>
      <c r="B50" s="265" t="s">
        <v>50</v>
      </c>
      <c r="C50" s="265" t="s">
        <v>56</v>
      </c>
      <c r="D50" s="266">
        <v>54307</v>
      </c>
      <c r="E50" s="267" t="s">
        <v>436</v>
      </c>
      <c r="F50" s="268">
        <v>800</v>
      </c>
      <c r="G50" s="268"/>
      <c r="H50" s="268"/>
      <c r="I50" s="268"/>
      <c r="J50" s="268"/>
      <c r="K50" s="262"/>
      <c r="L50" s="366">
        <f t="shared" si="0"/>
        <v>800</v>
      </c>
      <c r="M50" s="449"/>
      <c r="N50" s="450"/>
      <c r="O50" s="450"/>
    </row>
    <row r="51" spans="1:15" s="124" customFormat="1" ht="15.75" customHeight="1" x14ac:dyDescent="0.2">
      <c r="A51" s="258">
        <f t="shared" si="1"/>
        <v>42</v>
      </c>
      <c r="B51" s="265" t="s">
        <v>50</v>
      </c>
      <c r="C51" s="265" t="s">
        <v>56</v>
      </c>
      <c r="D51" s="266">
        <v>54308</v>
      </c>
      <c r="E51" s="267" t="s">
        <v>437</v>
      </c>
      <c r="F51" s="268">
        <v>50</v>
      </c>
      <c r="G51" s="268"/>
      <c r="H51" s="268"/>
      <c r="I51" s="268"/>
      <c r="J51" s="268"/>
      <c r="K51" s="262"/>
      <c r="L51" s="366">
        <f t="shared" si="0"/>
        <v>50</v>
      </c>
      <c r="M51" s="449"/>
      <c r="N51" s="450"/>
      <c r="O51" s="450"/>
    </row>
    <row r="52" spans="1:15" s="124" customFormat="1" ht="15.75" customHeight="1" x14ac:dyDescent="0.2">
      <c r="A52" s="258">
        <f t="shared" si="1"/>
        <v>43</v>
      </c>
      <c r="B52" s="265" t="s">
        <v>50</v>
      </c>
      <c r="C52" s="265" t="s">
        <v>56</v>
      </c>
      <c r="D52" s="266">
        <v>54310</v>
      </c>
      <c r="E52" s="267" t="s">
        <v>226</v>
      </c>
      <c r="F52" s="268">
        <v>2700</v>
      </c>
      <c r="G52" s="268"/>
      <c r="H52" s="268"/>
      <c r="I52" s="268"/>
      <c r="J52" s="268"/>
      <c r="K52" s="262"/>
      <c r="L52" s="366">
        <f t="shared" si="0"/>
        <v>2700</v>
      </c>
      <c r="M52" s="449"/>
      <c r="N52" s="450"/>
      <c r="O52" s="450"/>
    </row>
    <row r="53" spans="1:15" s="124" customFormat="1" ht="15.75" customHeight="1" x14ac:dyDescent="0.2">
      <c r="A53" s="258">
        <f t="shared" si="1"/>
        <v>44</v>
      </c>
      <c r="B53" s="265" t="s">
        <v>50</v>
      </c>
      <c r="C53" s="265" t="s">
        <v>56</v>
      </c>
      <c r="D53" s="266">
        <v>54313</v>
      </c>
      <c r="E53" s="267" t="s">
        <v>461</v>
      </c>
      <c r="F53" s="268">
        <v>1500</v>
      </c>
      <c r="G53" s="268"/>
      <c r="H53" s="268"/>
      <c r="I53" s="268"/>
      <c r="J53" s="268"/>
      <c r="K53" s="262"/>
      <c r="L53" s="366">
        <f t="shared" si="0"/>
        <v>1500</v>
      </c>
      <c r="M53" s="449"/>
      <c r="N53" s="450"/>
      <c r="O53" s="450"/>
    </row>
    <row r="54" spans="1:15" s="124" customFormat="1" ht="15.75" customHeight="1" x14ac:dyDescent="0.2">
      <c r="A54" s="258">
        <f t="shared" si="1"/>
        <v>45</v>
      </c>
      <c r="B54" s="265" t="s">
        <v>50</v>
      </c>
      <c r="C54" s="265" t="s">
        <v>56</v>
      </c>
      <c r="D54" s="266">
        <v>54314</v>
      </c>
      <c r="E54" s="267" t="s">
        <v>81</v>
      </c>
      <c r="F54" s="268">
        <v>19000</v>
      </c>
      <c r="G54" s="268"/>
      <c r="H54" s="268"/>
      <c r="I54" s="268"/>
      <c r="J54" s="268"/>
      <c r="K54" s="262"/>
      <c r="L54" s="366">
        <f t="shared" si="0"/>
        <v>19000</v>
      </c>
      <c r="M54" s="449"/>
      <c r="N54" s="451"/>
      <c r="O54" s="450"/>
    </row>
    <row r="55" spans="1:15" s="124" customFormat="1" ht="15.75" customHeight="1" x14ac:dyDescent="0.2">
      <c r="A55" s="258">
        <f t="shared" si="1"/>
        <v>46</v>
      </c>
      <c r="B55" s="265" t="s">
        <v>50</v>
      </c>
      <c r="C55" s="265" t="s">
        <v>56</v>
      </c>
      <c r="D55" s="266">
        <v>54316</v>
      </c>
      <c r="E55" s="267" t="s">
        <v>438</v>
      </c>
      <c r="F55" s="268">
        <v>800</v>
      </c>
      <c r="G55" s="268"/>
      <c r="H55" s="268"/>
      <c r="I55" s="268"/>
      <c r="J55" s="268"/>
      <c r="K55" s="262"/>
      <c r="L55" s="366">
        <f t="shared" si="0"/>
        <v>800</v>
      </c>
      <c r="M55" s="449"/>
      <c r="N55" s="451"/>
      <c r="O55" s="450"/>
    </row>
    <row r="56" spans="1:15" s="124" customFormat="1" ht="15.75" customHeight="1" x14ac:dyDescent="0.2">
      <c r="A56" s="258">
        <f t="shared" si="1"/>
        <v>47</v>
      </c>
      <c r="B56" s="265" t="s">
        <v>50</v>
      </c>
      <c r="C56" s="265" t="s">
        <v>56</v>
      </c>
      <c r="D56" s="266">
        <v>54399</v>
      </c>
      <c r="E56" s="267" t="s">
        <v>78</v>
      </c>
      <c r="F56" s="268">
        <v>6000</v>
      </c>
      <c r="G56" s="268"/>
      <c r="H56" s="268"/>
      <c r="I56" s="268"/>
      <c r="J56" s="268"/>
      <c r="K56" s="262"/>
      <c r="L56" s="366">
        <f t="shared" si="0"/>
        <v>6000</v>
      </c>
      <c r="M56" s="449"/>
      <c r="N56" s="450"/>
      <c r="O56" s="450"/>
    </row>
    <row r="57" spans="1:15" s="124" customFormat="1" ht="15.75" customHeight="1" x14ac:dyDescent="0.2">
      <c r="A57" s="258">
        <f t="shared" si="1"/>
        <v>48</v>
      </c>
      <c r="B57" s="265" t="s">
        <v>50</v>
      </c>
      <c r="C57" s="265" t="s">
        <v>56</v>
      </c>
      <c r="D57" s="266">
        <v>54401</v>
      </c>
      <c r="E57" s="267" t="s">
        <v>323</v>
      </c>
      <c r="F57" s="268">
        <v>300</v>
      </c>
      <c r="G57" s="268">
        <v>50</v>
      </c>
      <c r="H57" s="268">
        <v>50</v>
      </c>
      <c r="I57" s="268">
        <v>50</v>
      </c>
      <c r="J57" s="268">
        <v>50</v>
      </c>
      <c r="K57" s="262">
        <v>100</v>
      </c>
      <c r="L57" s="366">
        <f t="shared" si="0"/>
        <v>600</v>
      </c>
      <c r="M57" s="449"/>
      <c r="N57" s="450"/>
      <c r="O57" s="450"/>
    </row>
    <row r="58" spans="1:15" s="124" customFormat="1" ht="15.75" customHeight="1" x14ac:dyDescent="0.2">
      <c r="A58" s="258">
        <f t="shared" si="1"/>
        <v>49</v>
      </c>
      <c r="B58" s="265" t="s">
        <v>50</v>
      </c>
      <c r="C58" s="265" t="s">
        <v>56</v>
      </c>
      <c r="D58" s="266">
        <v>54403</v>
      </c>
      <c r="E58" s="267" t="s">
        <v>270</v>
      </c>
      <c r="F58" s="268">
        <v>500</v>
      </c>
      <c r="G58" s="268">
        <v>100</v>
      </c>
      <c r="H58" s="268">
        <v>100</v>
      </c>
      <c r="I58" s="268">
        <v>100</v>
      </c>
      <c r="J58" s="268">
        <v>50</v>
      </c>
      <c r="K58" s="262">
        <v>100</v>
      </c>
      <c r="L58" s="366">
        <f t="shared" si="0"/>
        <v>950</v>
      </c>
      <c r="M58" s="449"/>
      <c r="N58" s="450"/>
      <c r="O58" s="450"/>
    </row>
    <row r="59" spans="1:15" s="124" customFormat="1" ht="15.75" customHeight="1" x14ac:dyDescent="0.2">
      <c r="A59" s="258">
        <f t="shared" si="1"/>
        <v>50</v>
      </c>
      <c r="B59" s="265" t="s">
        <v>50</v>
      </c>
      <c r="C59" s="265" t="s">
        <v>56</v>
      </c>
      <c r="D59" s="266">
        <v>54404</v>
      </c>
      <c r="E59" s="267" t="s">
        <v>492</v>
      </c>
      <c r="F59" s="268">
        <v>3000</v>
      </c>
      <c r="G59" s="268"/>
      <c r="H59" s="268"/>
      <c r="I59" s="268"/>
      <c r="J59" s="268"/>
      <c r="K59" s="262"/>
      <c r="L59" s="366">
        <f t="shared" si="0"/>
        <v>3000</v>
      </c>
      <c r="M59" s="449"/>
      <c r="N59" s="450"/>
      <c r="O59" s="450"/>
    </row>
    <row r="60" spans="1:15" s="124" customFormat="1" ht="15.75" customHeight="1" x14ac:dyDescent="0.2">
      <c r="A60" s="258">
        <f t="shared" si="1"/>
        <v>51</v>
      </c>
      <c r="B60" s="265" t="s">
        <v>50</v>
      </c>
      <c r="C60" s="265" t="s">
        <v>56</v>
      </c>
      <c r="D60" s="266">
        <v>54503</v>
      </c>
      <c r="E60" s="267" t="s">
        <v>79</v>
      </c>
      <c r="F60" s="269">
        <v>1000</v>
      </c>
      <c r="G60" s="268"/>
      <c r="H60" s="268"/>
      <c r="I60" s="268"/>
      <c r="J60" s="268"/>
      <c r="K60" s="262"/>
      <c r="L60" s="366">
        <f t="shared" si="0"/>
        <v>1000</v>
      </c>
      <c r="M60" s="449"/>
      <c r="N60" s="450"/>
      <c r="O60" s="450"/>
    </row>
    <row r="61" spans="1:15" s="124" customFormat="1" ht="15.75" customHeight="1" x14ac:dyDescent="0.2">
      <c r="A61" s="258">
        <f t="shared" si="1"/>
        <v>52</v>
      </c>
      <c r="B61" s="265" t="s">
        <v>50</v>
      </c>
      <c r="C61" s="265" t="s">
        <v>56</v>
      </c>
      <c r="D61" s="266">
        <v>54504</v>
      </c>
      <c r="E61" s="267" t="s">
        <v>85</v>
      </c>
      <c r="F61" s="268"/>
      <c r="G61" s="268">
        <v>1500</v>
      </c>
      <c r="H61" s="268"/>
      <c r="I61" s="268"/>
      <c r="J61" s="268"/>
      <c r="K61" s="262"/>
      <c r="L61" s="366">
        <f t="shared" si="0"/>
        <v>1500</v>
      </c>
      <c r="M61" s="449"/>
      <c r="N61" s="450"/>
      <c r="O61" s="450"/>
    </row>
    <row r="62" spans="1:15" s="124" customFormat="1" ht="15.75" customHeight="1" x14ac:dyDescent="0.2">
      <c r="A62" s="258">
        <f t="shared" si="1"/>
        <v>53</v>
      </c>
      <c r="B62" s="265" t="s">
        <v>50</v>
      </c>
      <c r="C62" s="265" t="s">
        <v>56</v>
      </c>
      <c r="D62" s="266">
        <v>54505</v>
      </c>
      <c r="E62" s="267" t="s">
        <v>241</v>
      </c>
      <c r="F62" s="268">
        <v>800</v>
      </c>
      <c r="G62" s="268"/>
      <c r="H62" s="268"/>
      <c r="I62" s="268"/>
      <c r="J62" s="268"/>
      <c r="K62" s="262"/>
      <c r="L62" s="366">
        <f t="shared" si="0"/>
        <v>800</v>
      </c>
      <c r="M62" s="449"/>
      <c r="N62" s="450"/>
      <c r="O62" s="450"/>
    </row>
    <row r="63" spans="1:15" s="124" customFormat="1" ht="15.75" customHeight="1" x14ac:dyDescent="0.2">
      <c r="A63" s="258">
        <f t="shared" si="1"/>
        <v>54</v>
      </c>
      <c r="B63" s="265" t="s">
        <v>50</v>
      </c>
      <c r="C63" s="265" t="s">
        <v>56</v>
      </c>
      <c r="D63" s="266">
        <v>54508</v>
      </c>
      <c r="E63" s="267" t="s">
        <v>242</v>
      </c>
      <c r="F63" s="268">
        <v>500</v>
      </c>
      <c r="G63" s="268"/>
      <c r="H63" s="268"/>
      <c r="I63" s="268"/>
      <c r="J63" s="268"/>
      <c r="K63" s="262"/>
      <c r="L63" s="366">
        <f t="shared" si="0"/>
        <v>500</v>
      </c>
      <c r="M63" s="449"/>
      <c r="N63" s="450"/>
      <c r="O63" s="450"/>
    </row>
    <row r="64" spans="1:15" s="124" customFormat="1" ht="15.75" customHeight="1" x14ac:dyDescent="0.2">
      <c r="A64" s="258">
        <f t="shared" si="1"/>
        <v>55</v>
      </c>
      <c r="B64" s="265" t="s">
        <v>50</v>
      </c>
      <c r="C64" s="265" t="s">
        <v>56</v>
      </c>
      <c r="D64" s="266">
        <v>54601</v>
      </c>
      <c r="E64" s="267" t="s">
        <v>439</v>
      </c>
      <c r="F64" s="268">
        <v>0</v>
      </c>
      <c r="G64" s="268"/>
      <c r="H64" s="268"/>
      <c r="I64" s="268">
        <v>2000</v>
      </c>
      <c r="J64" s="268"/>
      <c r="K64" s="262"/>
      <c r="L64" s="366">
        <f t="shared" si="0"/>
        <v>2000</v>
      </c>
      <c r="M64" s="449"/>
      <c r="N64" s="450"/>
      <c r="O64" s="450"/>
    </row>
    <row r="65" spans="1:15" s="124" customFormat="1" ht="15.75" customHeight="1" x14ac:dyDescent="0.2">
      <c r="A65" s="258">
        <f t="shared" si="1"/>
        <v>56</v>
      </c>
      <c r="B65" s="265" t="s">
        <v>50</v>
      </c>
      <c r="C65" s="265" t="s">
        <v>56</v>
      </c>
      <c r="D65" s="266">
        <v>54602</v>
      </c>
      <c r="E65" s="267" t="s">
        <v>244</v>
      </c>
      <c r="F65" s="268">
        <v>0</v>
      </c>
      <c r="G65" s="268"/>
      <c r="H65" s="268"/>
      <c r="I65" s="268"/>
      <c r="J65" s="268"/>
      <c r="K65" s="262"/>
      <c r="L65" s="366">
        <f t="shared" si="0"/>
        <v>0</v>
      </c>
      <c r="M65" s="449"/>
      <c r="N65" s="450"/>
      <c r="O65" s="450"/>
    </row>
    <row r="66" spans="1:15" s="124" customFormat="1" ht="15.75" customHeight="1" x14ac:dyDescent="0.2">
      <c r="A66" s="258">
        <f t="shared" si="1"/>
        <v>57</v>
      </c>
      <c r="B66" s="265" t="s">
        <v>50</v>
      </c>
      <c r="C66" s="265" t="s">
        <v>56</v>
      </c>
      <c r="D66" s="266">
        <v>54603</v>
      </c>
      <c r="E66" s="267" t="s">
        <v>440</v>
      </c>
      <c r="F66" s="268">
        <v>58477.5</v>
      </c>
      <c r="G66" s="268"/>
      <c r="H66" s="268"/>
      <c r="I66" s="268"/>
      <c r="J66" s="268"/>
      <c r="K66" s="262"/>
      <c r="L66" s="366">
        <f t="shared" si="0"/>
        <v>58477.5</v>
      </c>
      <c r="M66" s="449"/>
      <c r="N66" s="450"/>
      <c r="O66" s="450"/>
    </row>
    <row r="67" spans="1:15" s="124" customFormat="1" ht="15.75" customHeight="1" x14ac:dyDescent="0.2">
      <c r="A67" s="258">
        <f t="shared" si="1"/>
        <v>58</v>
      </c>
      <c r="B67" s="265" t="s">
        <v>50</v>
      </c>
      <c r="C67" s="265" t="s">
        <v>56</v>
      </c>
      <c r="D67" s="266">
        <v>55401</v>
      </c>
      <c r="E67" s="267" t="s">
        <v>479</v>
      </c>
      <c r="F67" s="268">
        <v>0</v>
      </c>
      <c r="G67" s="268"/>
      <c r="H67" s="268"/>
      <c r="I67" s="268"/>
      <c r="J67" s="268"/>
      <c r="K67" s="262"/>
      <c r="L67" s="366">
        <f t="shared" si="0"/>
        <v>0</v>
      </c>
      <c r="M67" s="449"/>
      <c r="N67" s="451">
        <f>SUM(L67:L71)</f>
        <v>8257.5</v>
      </c>
      <c r="O67" s="451">
        <f>SUM(L67:L71)</f>
        <v>8257.5</v>
      </c>
    </row>
    <row r="68" spans="1:15" s="124" customFormat="1" ht="15.75" customHeight="1" x14ac:dyDescent="0.2">
      <c r="A68" s="258">
        <f t="shared" si="1"/>
        <v>59</v>
      </c>
      <c r="B68" s="265" t="s">
        <v>50</v>
      </c>
      <c r="C68" s="265" t="s">
        <v>56</v>
      </c>
      <c r="D68" s="266">
        <v>55508</v>
      </c>
      <c r="E68" s="267" t="s">
        <v>86</v>
      </c>
      <c r="F68" s="268">
        <v>500</v>
      </c>
      <c r="G68" s="268"/>
      <c r="H68" s="268"/>
      <c r="I68" s="268"/>
      <c r="J68" s="268"/>
      <c r="K68" s="262"/>
      <c r="L68" s="366">
        <f t="shared" si="0"/>
        <v>500</v>
      </c>
      <c r="M68" s="449"/>
      <c r="N68" s="450"/>
      <c r="O68" s="450"/>
    </row>
    <row r="69" spans="1:15" s="124" customFormat="1" ht="15.75" customHeight="1" x14ac:dyDescent="0.2">
      <c r="A69" s="258">
        <f t="shared" si="1"/>
        <v>60</v>
      </c>
      <c r="B69" s="265" t="s">
        <v>50</v>
      </c>
      <c r="C69" s="265" t="s">
        <v>56</v>
      </c>
      <c r="D69" s="266">
        <v>55602</v>
      </c>
      <c r="E69" s="267" t="s">
        <v>478</v>
      </c>
      <c r="F69" s="268">
        <v>2000</v>
      </c>
      <c r="G69" s="268"/>
      <c r="H69" s="268"/>
      <c r="I69" s="268"/>
      <c r="J69" s="268"/>
      <c r="K69" s="262"/>
      <c r="L69" s="366">
        <f t="shared" si="0"/>
        <v>2000</v>
      </c>
      <c r="M69" s="449"/>
      <c r="N69" s="450"/>
      <c r="O69" s="450"/>
    </row>
    <row r="70" spans="1:15" s="124" customFormat="1" ht="15.75" customHeight="1" x14ac:dyDescent="0.2">
      <c r="A70" s="258">
        <f t="shared" si="1"/>
        <v>61</v>
      </c>
      <c r="B70" s="265" t="s">
        <v>50</v>
      </c>
      <c r="C70" s="265" t="s">
        <v>56</v>
      </c>
      <c r="D70" s="266">
        <v>55603</v>
      </c>
      <c r="E70" s="267" t="s">
        <v>227</v>
      </c>
      <c r="F70" s="268">
        <v>400</v>
      </c>
      <c r="G70" s="268"/>
      <c r="H70" s="268"/>
      <c r="I70" s="268"/>
      <c r="J70" s="268"/>
      <c r="K70" s="262"/>
      <c r="L70" s="366">
        <f t="shared" si="0"/>
        <v>400</v>
      </c>
      <c r="M70" s="449"/>
      <c r="N70" s="450"/>
      <c r="O70" s="450"/>
    </row>
    <row r="71" spans="1:15" s="124" customFormat="1" ht="15.75" customHeight="1" x14ac:dyDescent="0.2">
      <c r="A71" s="258">
        <f t="shared" si="1"/>
        <v>62</v>
      </c>
      <c r="B71" s="265" t="s">
        <v>50</v>
      </c>
      <c r="C71" s="265" t="s">
        <v>56</v>
      </c>
      <c r="D71" s="266">
        <v>55703</v>
      </c>
      <c r="E71" s="267" t="s">
        <v>228</v>
      </c>
      <c r="F71" s="269">
        <f>5171.28+186.22</f>
        <v>5357.5</v>
      </c>
      <c r="G71" s="268"/>
      <c r="H71" s="268"/>
      <c r="I71" s="268"/>
      <c r="J71" s="268"/>
      <c r="K71" s="262"/>
      <c r="L71" s="366">
        <f t="shared" si="0"/>
        <v>5357.5</v>
      </c>
      <c r="M71" s="449"/>
      <c r="N71" s="450"/>
      <c r="O71" s="450"/>
    </row>
    <row r="72" spans="1:15" s="124" customFormat="1" ht="15.75" customHeight="1" x14ac:dyDescent="0.2">
      <c r="A72" s="258">
        <f t="shared" si="1"/>
        <v>63</v>
      </c>
      <c r="B72" s="265" t="s">
        <v>50</v>
      </c>
      <c r="C72" s="265" t="s">
        <v>56</v>
      </c>
      <c r="D72" s="266">
        <v>56201</v>
      </c>
      <c r="E72" s="267" t="s">
        <v>458</v>
      </c>
      <c r="F72" s="268">
        <v>1000</v>
      </c>
      <c r="G72" s="268"/>
      <c r="H72" s="268"/>
      <c r="I72" s="268"/>
      <c r="J72" s="268"/>
      <c r="K72" s="262"/>
      <c r="L72" s="366">
        <f t="shared" si="0"/>
        <v>1000</v>
      </c>
      <c r="M72" s="449"/>
      <c r="N72" s="451">
        <f>SUM(L72:L74)</f>
        <v>17000</v>
      </c>
      <c r="O72" s="450"/>
    </row>
    <row r="73" spans="1:15" s="124" customFormat="1" ht="15.75" customHeight="1" x14ac:dyDescent="0.2">
      <c r="A73" s="258">
        <f t="shared" si="1"/>
        <v>64</v>
      </c>
      <c r="B73" s="265" t="s">
        <v>50</v>
      </c>
      <c r="C73" s="265" t="s">
        <v>56</v>
      </c>
      <c r="D73" s="266">
        <v>56303</v>
      </c>
      <c r="E73" s="267" t="s">
        <v>324</v>
      </c>
      <c r="F73" s="268"/>
      <c r="G73" s="268"/>
      <c r="H73" s="268"/>
      <c r="I73" s="268"/>
      <c r="J73" s="268"/>
      <c r="K73" s="262"/>
      <c r="L73" s="366">
        <f t="shared" si="0"/>
        <v>0</v>
      </c>
      <c r="M73" s="449"/>
      <c r="N73" s="451"/>
      <c r="O73" s="450"/>
    </row>
    <row r="74" spans="1:15" s="124" customFormat="1" ht="15.75" customHeight="1" x14ac:dyDescent="0.2">
      <c r="A74" s="258">
        <f t="shared" si="1"/>
        <v>65</v>
      </c>
      <c r="B74" s="265" t="s">
        <v>50</v>
      </c>
      <c r="C74" s="265" t="s">
        <v>56</v>
      </c>
      <c r="D74" s="266">
        <v>56304</v>
      </c>
      <c r="E74" s="267" t="s">
        <v>271</v>
      </c>
      <c r="F74" s="269">
        <v>16000</v>
      </c>
      <c r="G74" s="268"/>
      <c r="H74" s="268"/>
      <c r="I74" s="268"/>
      <c r="J74" s="268"/>
      <c r="K74" s="262"/>
      <c r="L74" s="366">
        <f t="shared" si="0"/>
        <v>16000</v>
      </c>
      <c r="M74" s="449"/>
      <c r="N74" s="450"/>
      <c r="O74" s="451">
        <f>SUM(L72:L74)</f>
        <v>17000</v>
      </c>
    </row>
    <row r="75" spans="1:15" s="124" customFormat="1" ht="15.75" customHeight="1" x14ac:dyDescent="0.2">
      <c r="A75" s="258">
        <f t="shared" si="1"/>
        <v>66</v>
      </c>
      <c r="B75" s="265" t="s">
        <v>50</v>
      </c>
      <c r="C75" s="265" t="s">
        <v>56</v>
      </c>
      <c r="D75" s="266">
        <v>61101</v>
      </c>
      <c r="E75" s="267" t="s">
        <v>230</v>
      </c>
      <c r="F75" s="268">
        <v>1000</v>
      </c>
      <c r="G75" s="268"/>
      <c r="H75" s="268"/>
      <c r="I75" s="268"/>
      <c r="J75" s="268"/>
      <c r="K75" s="262"/>
      <c r="L75" s="366">
        <f t="shared" si="0"/>
        <v>1000</v>
      </c>
      <c r="M75" s="449"/>
      <c r="N75" s="450"/>
      <c r="O75" s="450"/>
    </row>
    <row r="76" spans="1:15" s="124" customFormat="1" ht="15.75" customHeight="1" x14ac:dyDescent="0.2">
      <c r="A76" s="258">
        <f t="shared" ref="A76:A78" si="2">A75+1</f>
        <v>67</v>
      </c>
      <c r="B76" s="265" t="s">
        <v>50</v>
      </c>
      <c r="C76" s="265" t="s">
        <v>56</v>
      </c>
      <c r="D76" s="266">
        <v>61105</v>
      </c>
      <c r="E76" s="267" t="s">
        <v>477</v>
      </c>
      <c r="F76" s="268">
        <v>0</v>
      </c>
      <c r="G76" s="268"/>
      <c r="H76" s="268"/>
      <c r="I76" s="268"/>
      <c r="J76" s="268"/>
      <c r="K76" s="262"/>
      <c r="L76" s="366">
        <f t="shared" ref="L76:L79" si="3">SUM(F76:K76)</f>
        <v>0</v>
      </c>
      <c r="M76" s="449"/>
      <c r="N76" s="451">
        <f>SUM(L75:L78)</f>
        <v>3489.6</v>
      </c>
      <c r="O76" s="451">
        <f>SUM(L76:L77)</f>
        <v>2000</v>
      </c>
    </row>
    <row r="77" spans="1:15" s="124" customFormat="1" ht="15.75" customHeight="1" x14ac:dyDescent="0.2">
      <c r="A77" s="258">
        <f t="shared" si="2"/>
        <v>68</v>
      </c>
      <c r="B77" s="265" t="s">
        <v>50</v>
      </c>
      <c r="C77" s="265" t="s">
        <v>56</v>
      </c>
      <c r="D77" s="266">
        <v>61108</v>
      </c>
      <c r="E77" s="267" t="s">
        <v>221</v>
      </c>
      <c r="F77" s="268">
        <v>2000</v>
      </c>
      <c r="G77" s="268"/>
      <c r="H77" s="268"/>
      <c r="I77" s="268"/>
      <c r="J77" s="268"/>
      <c r="K77" s="262"/>
      <c r="L77" s="366">
        <f t="shared" si="3"/>
        <v>2000</v>
      </c>
      <c r="M77" s="449"/>
      <c r="N77" s="450"/>
      <c r="O77" s="450"/>
    </row>
    <row r="78" spans="1:15" s="124" customFormat="1" ht="15.75" customHeight="1" x14ac:dyDescent="0.2">
      <c r="A78" s="258">
        <f t="shared" si="2"/>
        <v>69</v>
      </c>
      <c r="B78" s="265" t="s">
        <v>50</v>
      </c>
      <c r="C78" s="265" t="s">
        <v>56</v>
      </c>
      <c r="D78" s="266">
        <v>61199</v>
      </c>
      <c r="E78" s="267" t="s">
        <v>229</v>
      </c>
      <c r="F78" s="268">
        <f>918.94-429.34</f>
        <v>489.60000000000008</v>
      </c>
      <c r="G78" s="268"/>
      <c r="H78" s="268"/>
      <c r="I78" s="268"/>
      <c r="J78" s="268"/>
      <c r="K78" s="262"/>
      <c r="L78" s="366">
        <f t="shared" si="3"/>
        <v>489.60000000000008</v>
      </c>
      <c r="M78" s="449"/>
      <c r="N78" s="450"/>
      <c r="O78" s="450"/>
    </row>
    <row r="79" spans="1:15" s="124" customFormat="1" ht="15.75" customHeight="1" thickBot="1" x14ac:dyDescent="0.25">
      <c r="A79" s="270"/>
      <c r="B79" s="271"/>
      <c r="C79" s="272"/>
      <c r="D79" s="273"/>
      <c r="E79" s="274"/>
      <c r="F79" s="275"/>
      <c r="G79" s="275"/>
      <c r="H79" s="275"/>
      <c r="I79" s="275"/>
      <c r="J79" s="275"/>
      <c r="K79" s="275"/>
      <c r="L79" s="366">
        <f t="shared" si="3"/>
        <v>0</v>
      </c>
      <c r="M79" s="449"/>
      <c r="N79" s="451"/>
      <c r="O79" s="450"/>
    </row>
    <row r="80" spans="1:15" ht="30" customHeight="1" thickBot="1" x14ac:dyDescent="0.25">
      <c r="A80" s="590" t="s">
        <v>350</v>
      </c>
      <c r="B80" s="591"/>
      <c r="C80" s="591"/>
      <c r="D80" s="591"/>
      <c r="E80" s="592"/>
      <c r="F80" s="276">
        <f t="shared" ref="F80:L80" si="4">SUM(F10:F79)</f>
        <v>301125.09999999998</v>
      </c>
      <c r="G80" s="276">
        <f t="shared" si="4"/>
        <v>109379.07</v>
      </c>
      <c r="H80" s="276">
        <f t="shared" si="4"/>
        <v>156080.53</v>
      </c>
      <c r="I80" s="276">
        <f t="shared" si="4"/>
        <v>39083.43</v>
      </c>
      <c r="J80" s="276">
        <f t="shared" si="4"/>
        <v>17818.88</v>
      </c>
      <c r="K80" s="276">
        <f t="shared" si="4"/>
        <v>255573.21599999999</v>
      </c>
      <c r="L80" s="276">
        <f t="shared" si="4"/>
        <v>879060.22600000002</v>
      </c>
      <c r="M80" s="445"/>
      <c r="N80" s="446"/>
      <c r="O80" s="446"/>
    </row>
    <row r="81" spans="1:21" x14ac:dyDescent="0.2">
      <c r="A81" s="29"/>
      <c r="B81" s="29"/>
      <c r="C81" s="29"/>
      <c r="D81" s="29"/>
      <c r="L81" s="95"/>
      <c r="O81" s="81"/>
    </row>
    <row r="82" spans="1:21" ht="13.5" thickBot="1" x14ac:dyDescent="0.25">
      <c r="A82" s="29"/>
      <c r="B82" s="29"/>
      <c r="C82" s="29"/>
      <c r="D82" s="29"/>
      <c r="L82" s="95"/>
    </row>
    <row r="83" spans="1:21" ht="18.75" thickBot="1" x14ac:dyDescent="0.25">
      <c r="A83" s="422" t="s">
        <v>82</v>
      </c>
      <c r="B83" s="422"/>
      <c r="C83" s="422"/>
      <c r="D83" s="422"/>
      <c r="E83" s="94"/>
      <c r="F83" s="94"/>
      <c r="G83" s="94"/>
      <c r="H83" s="94"/>
      <c r="I83" s="94"/>
      <c r="J83" s="94"/>
      <c r="K83" s="94"/>
      <c r="L83" s="125">
        <f>SUM(L80)</f>
        <v>879060.22600000002</v>
      </c>
      <c r="N83" s="447"/>
      <c r="O83" s="454">
        <f>SUM(O10:O77)</f>
        <v>671293.12600000005</v>
      </c>
      <c r="P83" s="446"/>
      <c r="Q83" s="446"/>
      <c r="R83" s="446"/>
      <c r="S83" s="446"/>
      <c r="T83" s="446"/>
      <c r="U83" s="446"/>
    </row>
    <row r="84" spans="1:21" ht="19.5" customHeight="1" x14ac:dyDescent="0.2">
      <c r="A84" s="580" t="s">
        <v>14</v>
      </c>
      <c r="B84" s="580"/>
      <c r="C84" s="580"/>
      <c r="D84" s="580"/>
      <c r="L84" s="120"/>
      <c r="N84" s="446"/>
      <c r="O84" s="446"/>
      <c r="P84" s="446"/>
      <c r="Q84" s="446"/>
      <c r="R84" s="446"/>
      <c r="S84" s="446"/>
      <c r="T84" s="446"/>
      <c r="U84" s="446"/>
    </row>
    <row r="85" spans="1:21" x14ac:dyDescent="0.2">
      <c r="A85" s="579" t="s">
        <v>2</v>
      </c>
      <c r="B85" s="579"/>
      <c r="C85" s="579"/>
      <c r="D85" s="579"/>
      <c r="E85" s="579"/>
      <c r="F85" s="123"/>
      <c r="G85" s="123"/>
      <c r="H85" s="185"/>
      <c r="I85" s="123"/>
      <c r="J85" s="123"/>
      <c r="K85" s="185"/>
      <c r="L85" s="120">
        <f>SUM(Ingresos!F49)</f>
        <v>879060.23099999991</v>
      </c>
      <c r="N85" s="446"/>
      <c r="O85" s="446"/>
      <c r="P85" s="446"/>
      <c r="Q85" s="446"/>
      <c r="R85" s="446"/>
      <c r="S85" s="446"/>
      <c r="T85" s="446"/>
      <c r="U85" s="446"/>
    </row>
    <row r="86" spans="1:21" x14ac:dyDescent="0.2">
      <c r="A86" s="579" t="s">
        <v>8</v>
      </c>
      <c r="B86" s="579"/>
      <c r="C86" s="579"/>
      <c r="D86" s="579"/>
      <c r="E86" s="579"/>
      <c r="F86" s="123"/>
      <c r="G86" s="123"/>
      <c r="H86" s="185"/>
      <c r="I86" s="123"/>
      <c r="J86" s="123"/>
      <c r="K86" s="185"/>
      <c r="L86" s="120"/>
      <c r="N86" s="447">
        <f>L83-N83</f>
        <v>879060.22600000002</v>
      </c>
      <c r="O86" s="446"/>
      <c r="P86" s="446"/>
      <c r="Q86" s="446"/>
      <c r="R86" s="446"/>
      <c r="S86" s="446"/>
      <c r="T86" s="446"/>
      <c r="U86" s="446"/>
    </row>
    <row r="87" spans="1:21" x14ac:dyDescent="0.2">
      <c r="A87" s="579" t="s">
        <v>9</v>
      </c>
      <c r="B87" s="579"/>
      <c r="C87" s="579"/>
      <c r="D87" s="579"/>
      <c r="E87" s="579"/>
      <c r="F87" s="123"/>
      <c r="G87" s="123"/>
      <c r="H87" s="185"/>
      <c r="I87" s="123"/>
      <c r="J87" s="123"/>
      <c r="K87" s="185"/>
      <c r="L87" s="120">
        <f>L85-L80</f>
        <v>4.999999888241291E-3</v>
      </c>
      <c r="N87" s="446"/>
      <c r="O87" s="446"/>
      <c r="P87" s="446"/>
      <c r="Q87" s="446"/>
      <c r="R87" s="446"/>
      <c r="S87" s="446"/>
      <c r="T87" s="446"/>
      <c r="U87" s="446"/>
    </row>
    <row r="88" spans="1:21" x14ac:dyDescent="0.2">
      <c r="A88" s="579"/>
      <c r="B88" s="579"/>
      <c r="C88" s="579"/>
      <c r="D88" s="579"/>
      <c r="E88" s="579"/>
      <c r="F88" s="123"/>
      <c r="G88" s="123"/>
      <c r="H88" s="185"/>
      <c r="I88" s="123"/>
      <c r="J88" s="123"/>
      <c r="K88" s="185"/>
      <c r="L88" s="120"/>
      <c r="N88" s="446"/>
      <c r="O88" s="446"/>
      <c r="P88" s="446"/>
      <c r="Q88" s="446"/>
      <c r="R88" s="446"/>
      <c r="S88" s="446" t="s">
        <v>453</v>
      </c>
      <c r="T88" s="446" t="s">
        <v>454</v>
      </c>
      <c r="U88" s="446"/>
    </row>
    <row r="89" spans="1:21" x14ac:dyDescent="0.2">
      <c r="A89" s="29"/>
      <c r="B89" s="29"/>
      <c r="C89" s="29"/>
      <c r="D89" s="29"/>
      <c r="N89" s="446"/>
      <c r="O89" s="446"/>
      <c r="P89" s="446"/>
      <c r="Q89" s="446"/>
      <c r="R89" s="446"/>
      <c r="S89" s="446"/>
      <c r="T89" s="446"/>
      <c r="U89" s="446"/>
    </row>
    <row r="90" spans="1:21" x14ac:dyDescent="0.2">
      <c r="G90" s="25">
        <f>60000*12</f>
        <v>720000</v>
      </c>
      <c r="N90" s="446"/>
      <c r="O90" s="446"/>
      <c r="P90" s="446">
        <v>1</v>
      </c>
      <c r="Q90" s="446">
        <v>285</v>
      </c>
      <c r="R90" s="446">
        <f>P90*Q90*12</f>
        <v>3420</v>
      </c>
      <c r="S90" s="446"/>
      <c r="T90" s="446"/>
      <c r="U90" s="446"/>
    </row>
    <row r="91" spans="1:21" x14ac:dyDescent="0.2">
      <c r="N91" s="446"/>
      <c r="O91" s="446"/>
      <c r="P91" s="446">
        <v>3</v>
      </c>
      <c r="Q91" s="446">
        <v>260</v>
      </c>
      <c r="R91" s="446">
        <f>P91*Q91*12</f>
        <v>9360</v>
      </c>
      <c r="S91" s="446"/>
      <c r="T91" s="446"/>
      <c r="U91" s="446"/>
    </row>
    <row r="92" spans="1:21" x14ac:dyDescent="0.2">
      <c r="N92" s="446"/>
      <c r="O92" s="446"/>
      <c r="P92" s="446"/>
      <c r="Q92" s="446"/>
      <c r="R92" s="446">
        <f>SUM(R90:R91)</f>
        <v>12780</v>
      </c>
      <c r="S92" s="446">
        <f>R92*7.5%</f>
        <v>958.5</v>
      </c>
      <c r="T92" s="446">
        <f>R92*6.75%</f>
        <v>862.65000000000009</v>
      </c>
      <c r="U92" s="446">
        <f>SUM(R92:T92)</f>
        <v>14601.15</v>
      </c>
    </row>
    <row r="93" spans="1:21" x14ac:dyDescent="0.2">
      <c r="N93" s="446"/>
      <c r="O93" s="446"/>
      <c r="P93" s="446"/>
      <c r="Q93" s="446"/>
      <c r="R93" s="446"/>
      <c r="S93" s="446"/>
      <c r="T93" s="446"/>
      <c r="U93" s="446"/>
    </row>
    <row r="94" spans="1:21" x14ac:dyDescent="0.2">
      <c r="N94" s="446"/>
      <c r="O94" s="446"/>
      <c r="P94" s="446"/>
      <c r="Q94" s="446"/>
      <c r="R94" s="446"/>
      <c r="S94" s="446"/>
      <c r="T94" s="446"/>
      <c r="U94" s="446"/>
    </row>
    <row r="95" spans="1:21" x14ac:dyDescent="0.2">
      <c r="N95" s="446"/>
      <c r="O95" s="446"/>
      <c r="P95" s="446"/>
      <c r="Q95" s="446"/>
      <c r="R95" s="446"/>
      <c r="S95" s="446"/>
      <c r="T95" s="446"/>
      <c r="U95" s="446"/>
    </row>
    <row r="96" spans="1:21" x14ac:dyDescent="0.2">
      <c r="N96" s="446"/>
      <c r="O96" s="446"/>
      <c r="P96" s="446"/>
      <c r="Q96" s="446"/>
      <c r="R96" s="446"/>
      <c r="S96" s="446"/>
      <c r="T96" s="446"/>
      <c r="U96" s="446"/>
    </row>
    <row r="97" spans="14:21" x14ac:dyDescent="0.2">
      <c r="N97" s="446"/>
      <c r="O97" s="446"/>
      <c r="P97" s="446"/>
      <c r="Q97" s="446"/>
      <c r="R97" s="446"/>
      <c r="S97" s="446"/>
      <c r="T97" s="446"/>
      <c r="U97" s="446"/>
    </row>
    <row r="98" spans="14:21" x14ac:dyDescent="0.2">
      <c r="N98" s="446"/>
      <c r="O98" s="446"/>
      <c r="P98" s="446"/>
      <c r="Q98" s="446"/>
      <c r="R98" s="446">
        <f>102960/12</f>
        <v>8580</v>
      </c>
      <c r="S98" s="446"/>
      <c r="T98" s="446"/>
      <c r="U98" s="446"/>
    </row>
    <row r="99" spans="14:21" x14ac:dyDescent="0.2">
      <c r="N99" s="446"/>
      <c r="O99" s="446"/>
      <c r="P99" s="446"/>
      <c r="Q99" s="446"/>
      <c r="R99" s="446">
        <f>14601.15-8580-1000</f>
        <v>5021.1499999999996</v>
      </c>
      <c r="S99" s="446"/>
      <c r="T99" s="446"/>
      <c r="U99" s="446"/>
    </row>
    <row r="100" spans="14:21" x14ac:dyDescent="0.2">
      <c r="N100" s="446"/>
      <c r="O100" s="446"/>
      <c r="P100" s="446"/>
      <c r="Q100" s="446"/>
      <c r="R100" s="446"/>
      <c r="S100" s="446"/>
      <c r="T100" s="446"/>
      <c r="U100" s="446"/>
    </row>
  </sheetData>
  <sheetProtection algorithmName="SHA-512" hashValue="m8hss27fMN4tBsvAfFu1swt/95l9+ERvnYQZ+nm9i8Gf8nef7Hf3ZA7WreAunIDcP1IzCPiaRGfN0dWdu6iS8g==" saltValue="m5VEAjzHYFIYeZxeVRFDiA==" spinCount="100000" sheet="1" objects="1" scenarios="1"/>
  <sortState ref="D10:E45">
    <sortCondition ref="D10"/>
  </sortState>
  <mergeCells count="22">
    <mergeCell ref="A88:E88"/>
    <mergeCell ref="A85:E85"/>
    <mergeCell ref="A84:D84"/>
    <mergeCell ref="A3:L3"/>
    <mergeCell ref="A4:L4"/>
    <mergeCell ref="A86:E86"/>
    <mergeCell ref="A87:E87"/>
    <mergeCell ref="A5:L5"/>
    <mergeCell ref="A7:L7"/>
    <mergeCell ref="A8:D8"/>
    <mergeCell ref="E8:E9"/>
    <mergeCell ref="A80:E80"/>
    <mergeCell ref="M2:O2"/>
    <mergeCell ref="M1:O1"/>
    <mergeCell ref="L8:L9"/>
    <mergeCell ref="A6:L6"/>
    <mergeCell ref="A1:L1"/>
    <mergeCell ref="A2:L2"/>
    <mergeCell ref="F8:F9"/>
    <mergeCell ref="G8:G9"/>
    <mergeCell ref="I8:I9"/>
    <mergeCell ref="J8:J9"/>
  </mergeCells>
  <phoneticPr fontId="2" type="noConversion"/>
  <printOptions horizontalCentered="1"/>
  <pageMargins left="0.23622047244094491" right="0.24" top="0.65" bottom="0.27559055118110237" header="0" footer="0"/>
  <pageSetup scale="80" orientation="landscape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S74"/>
  <sheetViews>
    <sheetView view="pageBreakPreview" zoomScale="80" zoomScaleNormal="100" zoomScaleSheetLayoutView="80" workbookViewId="0">
      <selection activeCell="F13" sqref="F13"/>
    </sheetView>
  </sheetViews>
  <sheetFormatPr baseColWidth="10" defaultColWidth="11.42578125" defaultRowHeight="12.75" x14ac:dyDescent="0.2"/>
  <cols>
    <col min="1" max="1" width="3.7109375" style="24" customWidth="1"/>
    <col min="2" max="2" width="4.42578125" style="24" customWidth="1"/>
    <col min="3" max="3" width="6.28515625" style="24" customWidth="1"/>
    <col min="4" max="4" width="9.42578125" style="24" customWidth="1"/>
    <col min="5" max="5" width="40.28515625" style="19" customWidth="1"/>
    <col min="6" max="7" width="14.7109375" style="19" customWidth="1"/>
    <col min="8" max="8" width="13.5703125" style="19" customWidth="1"/>
    <col min="9" max="10" width="13.85546875" style="19" customWidth="1"/>
    <col min="11" max="11" width="13.5703125" style="19" customWidth="1"/>
    <col min="12" max="12" width="15.140625" style="4" customWidth="1"/>
    <col min="13" max="13" width="16.7109375" style="21" customWidth="1"/>
    <col min="14" max="14" width="13.42578125" style="21" bestFit="1" customWidth="1"/>
    <col min="15" max="15" width="15.140625" style="21" customWidth="1"/>
    <col min="16" max="16" width="15" style="21" bestFit="1" customWidth="1"/>
    <col min="17" max="17" width="11.42578125" style="21"/>
    <col min="18" max="18" width="15" style="21" bestFit="1" customWidth="1"/>
    <col min="19" max="16384" width="11.42578125" style="21"/>
  </cols>
  <sheetData>
    <row r="1" spans="1:19" ht="18" x14ac:dyDescent="0.25">
      <c r="A1" s="601" t="s">
        <v>409</v>
      </c>
      <c r="B1" s="602"/>
      <c r="C1" s="602"/>
      <c r="D1" s="602"/>
      <c r="E1" s="602"/>
      <c r="F1" s="602"/>
      <c r="G1" s="602"/>
      <c r="H1" s="602"/>
      <c r="I1" s="602"/>
      <c r="J1" s="602"/>
      <c r="K1" s="602"/>
      <c r="L1" s="602"/>
      <c r="M1" s="457"/>
      <c r="N1" s="458"/>
      <c r="O1" s="458"/>
      <c r="P1" s="458"/>
      <c r="Q1" s="458"/>
      <c r="R1" s="458"/>
      <c r="S1" s="458"/>
    </row>
    <row r="2" spans="1:19" ht="18" x14ac:dyDescent="0.25">
      <c r="A2" s="601" t="s">
        <v>408</v>
      </c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457"/>
      <c r="N2" s="458"/>
      <c r="O2" s="458"/>
      <c r="P2" s="458"/>
      <c r="Q2" s="458"/>
      <c r="R2" s="458"/>
      <c r="S2" s="458"/>
    </row>
    <row r="3" spans="1:19" ht="15.75" x14ac:dyDescent="0.2">
      <c r="A3" s="605" t="s">
        <v>233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458"/>
      <c r="N3" s="458"/>
      <c r="O3" s="458"/>
      <c r="P3" s="458"/>
      <c r="Q3" s="458"/>
      <c r="R3" s="458"/>
      <c r="S3" s="458"/>
    </row>
    <row r="4" spans="1:19" ht="15.75" x14ac:dyDescent="0.2">
      <c r="A4" s="605" t="s">
        <v>496</v>
      </c>
      <c r="B4" s="606"/>
      <c r="C4" s="606"/>
      <c r="D4" s="606"/>
      <c r="E4" s="606"/>
      <c r="F4" s="606"/>
      <c r="G4" s="606"/>
      <c r="H4" s="606"/>
      <c r="I4" s="606"/>
      <c r="J4" s="606"/>
      <c r="K4" s="606"/>
      <c r="L4" s="606"/>
      <c r="M4" s="458"/>
      <c r="N4" s="458"/>
      <c r="O4" s="458"/>
      <c r="P4" s="458">
        <f>850*13</f>
        <v>11050</v>
      </c>
      <c r="Q4" s="458"/>
      <c r="R4" s="458"/>
      <c r="S4" s="458"/>
    </row>
    <row r="5" spans="1:19" ht="15" x14ac:dyDescent="0.2">
      <c r="A5" s="603" t="s">
        <v>13</v>
      </c>
      <c r="B5" s="604"/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458"/>
      <c r="N5" s="458"/>
      <c r="O5" s="458"/>
      <c r="P5" s="458">
        <f>P4*12</f>
        <v>132600</v>
      </c>
      <c r="Q5" s="458"/>
      <c r="R5" s="458"/>
      <c r="S5" s="458"/>
    </row>
    <row r="6" spans="1:19" ht="8.25" customHeight="1" x14ac:dyDescent="0.25">
      <c r="A6" s="609"/>
      <c r="B6" s="610"/>
      <c r="C6" s="610"/>
      <c r="D6" s="610"/>
      <c r="E6" s="610"/>
      <c r="F6" s="610"/>
      <c r="G6" s="610"/>
      <c r="H6" s="610"/>
      <c r="I6" s="610"/>
      <c r="J6" s="610"/>
      <c r="K6" s="610"/>
      <c r="L6" s="610"/>
      <c r="M6" s="458"/>
      <c r="N6" s="458"/>
      <c r="O6" s="458"/>
      <c r="P6" s="458"/>
      <c r="Q6" s="458"/>
      <c r="R6" s="458"/>
      <c r="S6" s="458"/>
    </row>
    <row r="7" spans="1:19" ht="15" x14ac:dyDescent="0.25">
      <c r="A7" s="611" t="s">
        <v>15</v>
      </c>
      <c r="B7" s="611"/>
      <c r="C7" s="611"/>
      <c r="D7" s="611"/>
      <c r="E7" s="611"/>
      <c r="F7" s="611"/>
      <c r="G7" s="611"/>
      <c r="H7" s="611"/>
      <c r="I7" s="611"/>
      <c r="J7" s="611"/>
      <c r="K7" s="611"/>
      <c r="L7" s="611"/>
      <c r="M7" s="458"/>
      <c r="N7" s="458"/>
      <c r="O7" s="458"/>
      <c r="P7" s="458"/>
      <c r="Q7" s="458"/>
      <c r="R7" s="458"/>
      <c r="S7" s="458"/>
    </row>
    <row r="8" spans="1:19" ht="15.75" thickBot="1" x14ac:dyDescent="0.3">
      <c r="A8" s="596" t="s">
        <v>288</v>
      </c>
      <c r="B8" s="596"/>
      <c r="C8" s="596"/>
      <c r="D8" s="596"/>
      <c r="E8" s="596"/>
      <c r="F8" s="596"/>
      <c r="G8" s="596"/>
      <c r="H8" s="596"/>
      <c r="I8" s="596"/>
      <c r="J8" s="596"/>
      <c r="K8" s="596"/>
      <c r="L8" s="596"/>
      <c r="M8" s="458"/>
      <c r="N8" s="458"/>
      <c r="O8" s="458"/>
      <c r="P8" s="458"/>
      <c r="Q8" s="458"/>
      <c r="R8" s="458"/>
      <c r="S8" s="458"/>
    </row>
    <row r="9" spans="1:19" ht="13.5" customHeight="1" thickBot="1" x14ac:dyDescent="0.25">
      <c r="A9" s="597" t="s">
        <v>0</v>
      </c>
      <c r="B9" s="598"/>
      <c r="C9" s="598"/>
      <c r="D9" s="598"/>
      <c r="E9" s="599" t="s">
        <v>186</v>
      </c>
      <c r="F9" s="612" t="s">
        <v>344</v>
      </c>
      <c r="G9" s="612" t="s">
        <v>345</v>
      </c>
      <c r="H9" s="283"/>
      <c r="I9" s="612" t="s">
        <v>346</v>
      </c>
      <c r="J9" s="612" t="s">
        <v>353</v>
      </c>
      <c r="K9" s="283"/>
      <c r="L9" s="607" t="s">
        <v>351</v>
      </c>
      <c r="M9" s="458"/>
      <c r="N9" s="458"/>
      <c r="O9" s="458"/>
      <c r="P9" s="458"/>
      <c r="Q9" s="458"/>
      <c r="R9" s="458"/>
      <c r="S9" s="458"/>
    </row>
    <row r="10" spans="1:19" s="22" customFormat="1" ht="173.25" customHeight="1" thickBot="1" x14ac:dyDescent="0.25">
      <c r="A10" s="284" t="s">
        <v>177</v>
      </c>
      <c r="B10" s="285" t="s">
        <v>185</v>
      </c>
      <c r="C10" s="286" t="s">
        <v>181</v>
      </c>
      <c r="D10" s="287" t="s">
        <v>182</v>
      </c>
      <c r="E10" s="600"/>
      <c r="F10" s="613"/>
      <c r="G10" s="613"/>
      <c r="H10" s="288" t="s">
        <v>444</v>
      </c>
      <c r="I10" s="613"/>
      <c r="J10" s="613"/>
      <c r="K10" s="288" t="s">
        <v>430</v>
      </c>
      <c r="L10" s="608"/>
      <c r="M10" s="459"/>
      <c r="N10" s="459"/>
      <c r="O10" s="459"/>
      <c r="P10" s="459"/>
      <c r="Q10" s="459"/>
      <c r="R10" s="459"/>
      <c r="S10" s="459"/>
    </row>
    <row r="11" spans="1:19" s="122" customFormat="1" ht="15.75" customHeight="1" x14ac:dyDescent="0.2">
      <c r="A11" s="171">
        <v>1</v>
      </c>
      <c r="B11" s="172" t="s">
        <v>51</v>
      </c>
      <c r="C11" s="173" t="s">
        <v>52</v>
      </c>
      <c r="D11" s="174" t="s">
        <v>36</v>
      </c>
      <c r="E11" s="175" t="s">
        <v>37</v>
      </c>
      <c r="F11" s="212">
        <v>36000</v>
      </c>
      <c r="G11" s="176"/>
      <c r="H11" s="176"/>
      <c r="I11" s="367"/>
      <c r="J11" s="176"/>
      <c r="K11" s="176"/>
      <c r="L11" s="373">
        <f>SUM(F11:K11)</f>
        <v>36000</v>
      </c>
      <c r="M11" s="429">
        <v>131024.28</v>
      </c>
      <c r="N11" s="429">
        <v>51</v>
      </c>
      <c r="O11" s="428">
        <f>SUM(L11:L20)</f>
        <v>173200</v>
      </c>
      <c r="P11" s="429"/>
      <c r="Q11" s="429"/>
      <c r="R11" s="428">
        <f>SUM(L11:L20)</f>
        <v>173200</v>
      </c>
      <c r="S11" s="429"/>
    </row>
    <row r="12" spans="1:19" s="122" customFormat="1" ht="15.75" customHeight="1" x14ac:dyDescent="0.2">
      <c r="A12" s="178">
        <v>1</v>
      </c>
      <c r="B12" s="179" t="s">
        <v>51</v>
      </c>
      <c r="C12" s="180" t="s">
        <v>52</v>
      </c>
      <c r="D12" s="130">
        <v>51103</v>
      </c>
      <c r="E12" s="181" t="s">
        <v>38</v>
      </c>
      <c r="F12" s="182"/>
      <c r="G12" s="182"/>
      <c r="H12" s="182"/>
      <c r="I12" s="368"/>
      <c r="J12" s="182"/>
      <c r="K12" s="182"/>
      <c r="L12" s="373">
        <f t="shared" ref="L12:L58" si="0">SUM(F12:K12)</f>
        <v>0</v>
      </c>
      <c r="M12" s="429">
        <v>21837.38</v>
      </c>
      <c r="N12" s="429">
        <v>54</v>
      </c>
      <c r="O12" s="428">
        <f>SUM(L21:L48)</f>
        <v>179831.14</v>
      </c>
      <c r="P12" s="429"/>
      <c r="Q12" s="429"/>
      <c r="R12" s="429"/>
      <c r="S12" s="429"/>
    </row>
    <row r="13" spans="1:19" s="122" customFormat="1" ht="15.75" customHeight="1" x14ac:dyDescent="0.2">
      <c r="A13" s="178">
        <v>1</v>
      </c>
      <c r="B13" s="179" t="s">
        <v>51</v>
      </c>
      <c r="C13" s="173" t="s">
        <v>52</v>
      </c>
      <c r="D13" s="130">
        <v>51105</v>
      </c>
      <c r="E13" s="181" t="s">
        <v>75</v>
      </c>
      <c r="F13" s="213">
        <v>132600</v>
      </c>
      <c r="G13" s="182"/>
      <c r="H13" s="182"/>
      <c r="I13" s="368"/>
      <c r="J13" s="182"/>
      <c r="K13" s="182"/>
      <c r="L13" s="373">
        <f t="shared" si="0"/>
        <v>132600</v>
      </c>
      <c r="M13" s="429">
        <v>8580</v>
      </c>
      <c r="N13" s="429">
        <v>55</v>
      </c>
      <c r="O13" s="428">
        <f>SUM(L49:L53)</f>
        <v>4010.11</v>
      </c>
      <c r="P13" s="429"/>
      <c r="Q13" s="429"/>
      <c r="R13" s="429"/>
      <c r="S13" s="429"/>
    </row>
    <row r="14" spans="1:19" s="122" customFormat="1" ht="15.75" customHeight="1" x14ac:dyDescent="0.2">
      <c r="A14" s="178">
        <v>1</v>
      </c>
      <c r="B14" s="179" t="s">
        <v>51</v>
      </c>
      <c r="C14" s="173" t="s">
        <v>52</v>
      </c>
      <c r="D14" s="130">
        <v>51201</v>
      </c>
      <c r="E14" s="181" t="s">
        <v>37</v>
      </c>
      <c r="F14" s="182"/>
      <c r="G14" s="182"/>
      <c r="H14" s="182"/>
      <c r="I14" s="368"/>
      <c r="J14" s="182"/>
      <c r="K14" s="182"/>
      <c r="L14" s="373">
        <f t="shared" si="0"/>
        <v>0</v>
      </c>
      <c r="M14" s="429"/>
      <c r="N14" s="429">
        <v>56</v>
      </c>
      <c r="O14" s="428">
        <f>SUM(L54:L56)</f>
        <v>10315.26</v>
      </c>
      <c r="P14" s="429"/>
      <c r="Q14" s="429"/>
      <c r="R14" s="428">
        <f>SUM(L11:L20)</f>
        <v>173200</v>
      </c>
      <c r="S14" s="429"/>
    </row>
    <row r="15" spans="1:19" s="122" customFormat="1" ht="15.75" customHeight="1" x14ac:dyDescent="0.2">
      <c r="A15" s="127">
        <v>1</v>
      </c>
      <c r="B15" s="128" t="s">
        <v>51</v>
      </c>
      <c r="C15" s="126" t="s">
        <v>52</v>
      </c>
      <c r="D15" s="130">
        <v>51202</v>
      </c>
      <c r="E15" s="131" t="s">
        <v>214</v>
      </c>
      <c r="F15" s="159"/>
      <c r="G15" s="137"/>
      <c r="H15" s="137"/>
      <c r="I15" s="369"/>
      <c r="J15" s="137"/>
      <c r="K15" s="137"/>
      <c r="L15" s="373">
        <f t="shared" si="0"/>
        <v>0</v>
      </c>
      <c r="M15" s="429">
        <v>1782.04</v>
      </c>
      <c r="N15" s="429">
        <v>61</v>
      </c>
      <c r="O15" s="428">
        <f>SUM(L57:L58)</f>
        <v>3300</v>
      </c>
      <c r="P15" s="429"/>
      <c r="Q15" s="429"/>
      <c r="R15" s="429"/>
      <c r="S15" s="429"/>
    </row>
    <row r="16" spans="1:19" s="122" customFormat="1" ht="15.75" customHeight="1" thickBot="1" x14ac:dyDescent="0.25">
      <c r="A16" s="127">
        <v>1</v>
      </c>
      <c r="B16" s="128" t="s">
        <v>51</v>
      </c>
      <c r="C16" s="129" t="s">
        <v>52</v>
      </c>
      <c r="D16" s="130">
        <v>51401</v>
      </c>
      <c r="E16" s="131" t="s">
        <v>39</v>
      </c>
      <c r="F16" s="137"/>
      <c r="G16" s="137"/>
      <c r="H16" s="137"/>
      <c r="I16" s="369"/>
      <c r="J16" s="137"/>
      <c r="K16" s="137"/>
      <c r="L16" s="373">
        <f t="shared" si="0"/>
        <v>0</v>
      </c>
      <c r="M16" s="429"/>
      <c r="N16" s="429"/>
      <c r="O16" s="460">
        <f>SUM(O11:O15)</f>
        <v>370656.51</v>
      </c>
      <c r="P16" s="429"/>
      <c r="Q16" s="429"/>
      <c r="R16" s="429"/>
      <c r="S16" s="429"/>
    </row>
    <row r="17" spans="1:19" s="122" customFormat="1" ht="15.75" customHeight="1" thickTop="1" x14ac:dyDescent="0.2">
      <c r="A17" s="127">
        <v>1</v>
      </c>
      <c r="B17" s="128" t="s">
        <v>51</v>
      </c>
      <c r="C17" s="129" t="s">
        <v>52</v>
      </c>
      <c r="D17" s="130">
        <v>51501</v>
      </c>
      <c r="E17" s="131" t="s">
        <v>39</v>
      </c>
      <c r="F17" s="137"/>
      <c r="G17" s="137"/>
      <c r="H17" s="137"/>
      <c r="I17" s="369"/>
      <c r="J17" s="137"/>
      <c r="K17" s="137"/>
      <c r="L17" s="373">
        <f t="shared" si="0"/>
        <v>0</v>
      </c>
      <c r="M17" s="429"/>
      <c r="N17" s="429"/>
      <c r="O17" s="429"/>
      <c r="P17" s="429"/>
      <c r="Q17" s="429"/>
      <c r="R17" s="429"/>
      <c r="S17" s="429"/>
    </row>
    <row r="18" spans="1:19" s="122" customFormat="1" ht="15.75" customHeight="1" x14ac:dyDescent="0.2">
      <c r="A18" s="127">
        <v>1</v>
      </c>
      <c r="B18" s="128" t="s">
        <v>51</v>
      </c>
      <c r="C18" s="129" t="s">
        <v>52</v>
      </c>
      <c r="D18" s="130">
        <v>51601</v>
      </c>
      <c r="E18" s="131" t="s">
        <v>269</v>
      </c>
      <c r="F18" s="137"/>
      <c r="G18" s="137"/>
      <c r="H18" s="137"/>
      <c r="I18" s="369"/>
      <c r="J18" s="137"/>
      <c r="K18" s="137"/>
      <c r="L18" s="373">
        <f t="shared" si="0"/>
        <v>0</v>
      </c>
      <c r="M18" s="429"/>
      <c r="N18" s="429"/>
      <c r="O18" s="429"/>
      <c r="P18" s="429"/>
      <c r="Q18" s="429"/>
      <c r="R18" s="429"/>
      <c r="S18" s="429"/>
    </row>
    <row r="19" spans="1:19" s="122" customFormat="1" ht="15.75" customHeight="1" x14ac:dyDescent="0.2">
      <c r="A19" s="127">
        <v>1</v>
      </c>
      <c r="B19" s="128" t="s">
        <v>51</v>
      </c>
      <c r="C19" s="129" t="s">
        <v>52</v>
      </c>
      <c r="D19" s="130">
        <v>51901</v>
      </c>
      <c r="E19" s="131" t="s">
        <v>283</v>
      </c>
      <c r="F19" s="137">
        <v>2800</v>
      </c>
      <c r="G19" s="137"/>
      <c r="H19" s="137"/>
      <c r="I19" s="369"/>
      <c r="J19" s="137"/>
      <c r="K19" s="137"/>
      <c r="L19" s="373">
        <f t="shared" si="0"/>
        <v>2800</v>
      </c>
      <c r="M19" s="429">
        <v>4000</v>
      </c>
      <c r="N19" s="429"/>
      <c r="O19" s="429"/>
      <c r="P19" s="429"/>
      <c r="Q19" s="429"/>
      <c r="R19" s="429"/>
      <c r="S19" s="429"/>
    </row>
    <row r="20" spans="1:19" s="122" customFormat="1" ht="15.75" customHeight="1" x14ac:dyDescent="0.2">
      <c r="A20" s="127">
        <v>1</v>
      </c>
      <c r="B20" s="128" t="s">
        <v>51</v>
      </c>
      <c r="C20" s="129" t="s">
        <v>52</v>
      </c>
      <c r="D20" s="130">
        <v>51999</v>
      </c>
      <c r="E20" s="131" t="s">
        <v>231</v>
      </c>
      <c r="F20" s="137">
        <v>1800</v>
      </c>
      <c r="G20" s="137"/>
      <c r="H20" s="137"/>
      <c r="I20" s="369"/>
      <c r="J20" s="137"/>
      <c r="K20" s="137"/>
      <c r="L20" s="373">
        <f t="shared" si="0"/>
        <v>1800</v>
      </c>
      <c r="M20" s="429">
        <v>5000</v>
      </c>
      <c r="N20" s="429"/>
      <c r="O20" s="429"/>
      <c r="P20" s="429"/>
      <c r="Q20" s="429"/>
      <c r="R20" s="429"/>
      <c r="S20" s="429"/>
    </row>
    <row r="21" spans="1:19" s="122" customFormat="1" ht="15.75" customHeight="1" x14ac:dyDescent="0.2">
      <c r="A21" s="127">
        <v>1</v>
      </c>
      <c r="B21" s="128" t="s">
        <v>51</v>
      </c>
      <c r="C21" s="129" t="s">
        <v>52</v>
      </c>
      <c r="D21" s="130">
        <v>54101</v>
      </c>
      <c r="E21" s="131" t="s">
        <v>40</v>
      </c>
      <c r="F21" s="137">
        <v>1000</v>
      </c>
      <c r="G21" s="137"/>
      <c r="H21" s="137"/>
      <c r="I21" s="369"/>
      <c r="J21" s="137"/>
      <c r="K21" s="137"/>
      <c r="L21" s="177">
        <f t="shared" si="0"/>
        <v>1000</v>
      </c>
      <c r="M21" s="429">
        <v>1000</v>
      </c>
      <c r="N21" s="429"/>
      <c r="O21" s="429"/>
      <c r="P21" s="429"/>
      <c r="Q21" s="429">
        <f>11050+3000</f>
        <v>14050</v>
      </c>
      <c r="R21" s="429"/>
      <c r="S21" s="429"/>
    </row>
    <row r="22" spans="1:19" s="122" customFormat="1" ht="15.75" customHeight="1" x14ac:dyDescent="0.2">
      <c r="A22" s="127">
        <v>1</v>
      </c>
      <c r="B22" s="128" t="s">
        <v>51</v>
      </c>
      <c r="C22" s="129" t="s">
        <v>52</v>
      </c>
      <c r="D22" s="130">
        <v>54104</v>
      </c>
      <c r="E22" s="131" t="s">
        <v>215</v>
      </c>
      <c r="F22" s="137"/>
      <c r="G22" s="137"/>
      <c r="H22" s="137"/>
      <c r="I22" s="369"/>
      <c r="J22" s="137"/>
      <c r="K22" s="137">
        <v>2000</v>
      </c>
      <c r="L22" s="177">
        <f t="shared" si="0"/>
        <v>2000</v>
      </c>
      <c r="M22" s="429"/>
      <c r="N22" s="429"/>
      <c r="O22" s="429"/>
      <c r="P22" s="429"/>
      <c r="Q22" s="429"/>
      <c r="R22" s="429"/>
      <c r="S22" s="429"/>
    </row>
    <row r="23" spans="1:19" s="122" customFormat="1" ht="15.75" customHeight="1" x14ac:dyDescent="0.2">
      <c r="A23" s="127">
        <v>1</v>
      </c>
      <c r="B23" s="128" t="s">
        <v>51</v>
      </c>
      <c r="C23" s="129" t="s">
        <v>52</v>
      </c>
      <c r="D23" s="130">
        <v>54105</v>
      </c>
      <c r="E23" s="131" t="s">
        <v>41</v>
      </c>
      <c r="F23" s="137"/>
      <c r="G23" s="137"/>
      <c r="H23" s="137"/>
      <c r="I23" s="369"/>
      <c r="J23" s="137"/>
      <c r="K23" s="137"/>
      <c r="L23" s="177">
        <f t="shared" si="0"/>
        <v>0</v>
      </c>
      <c r="M23" s="429"/>
      <c r="N23" s="429"/>
      <c r="O23" s="429">
        <f>14000*12</f>
        <v>168000</v>
      </c>
      <c r="P23" s="429"/>
      <c r="Q23" s="429"/>
      <c r="R23" s="429"/>
      <c r="S23" s="429"/>
    </row>
    <row r="24" spans="1:19" s="122" customFormat="1" ht="15.75" customHeight="1" x14ac:dyDescent="0.2">
      <c r="A24" s="127">
        <v>1</v>
      </c>
      <c r="B24" s="128" t="s">
        <v>51</v>
      </c>
      <c r="C24" s="129" t="s">
        <v>52</v>
      </c>
      <c r="D24" s="130">
        <v>54109</v>
      </c>
      <c r="E24" s="131" t="s">
        <v>218</v>
      </c>
      <c r="F24" s="137">
        <v>8931.14</v>
      </c>
      <c r="G24" s="137"/>
      <c r="H24" s="137"/>
      <c r="I24" s="369"/>
      <c r="J24" s="137"/>
      <c r="K24" s="137"/>
      <c r="L24" s="177">
        <f t="shared" si="0"/>
        <v>8931.14</v>
      </c>
      <c r="M24" s="429">
        <v>4000</v>
      </c>
      <c r="N24" s="429"/>
      <c r="O24" s="429"/>
      <c r="P24" s="429"/>
      <c r="Q24" s="429"/>
      <c r="R24" s="429"/>
      <c r="S24" s="429"/>
    </row>
    <row r="25" spans="1:19" s="122" customFormat="1" ht="15.75" customHeight="1" x14ac:dyDescent="0.2">
      <c r="A25" s="127">
        <v>1</v>
      </c>
      <c r="B25" s="128" t="s">
        <v>51</v>
      </c>
      <c r="C25" s="129" t="s">
        <v>52</v>
      </c>
      <c r="D25" s="130">
        <v>54110</v>
      </c>
      <c r="E25" s="131" t="s">
        <v>42</v>
      </c>
      <c r="F25" s="137">
        <v>48000</v>
      </c>
      <c r="G25" s="137"/>
      <c r="H25" s="137"/>
      <c r="I25" s="369"/>
      <c r="J25" s="137"/>
      <c r="K25" s="137"/>
      <c r="L25" s="177">
        <f t="shared" si="0"/>
        <v>48000</v>
      </c>
      <c r="M25" s="429">
        <v>44000</v>
      </c>
      <c r="N25" s="429"/>
      <c r="O25" s="429"/>
      <c r="P25" s="429"/>
      <c r="Q25" s="429"/>
      <c r="R25" s="429"/>
      <c r="S25" s="429"/>
    </row>
    <row r="26" spans="1:19" s="122" customFormat="1" ht="15.75" customHeight="1" x14ac:dyDescent="0.2">
      <c r="A26" s="127">
        <v>1</v>
      </c>
      <c r="B26" s="128" t="s">
        <v>51</v>
      </c>
      <c r="C26" s="129" t="s">
        <v>52</v>
      </c>
      <c r="D26" s="130">
        <v>54111</v>
      </c>
      <c r="E26" s="131" t="s">
        <v>48</v>
      </c>
      <c r="F26" s="137">
        <v>3000</v>
      </c>
      <c r="G26" s="137"/>
      <c r="H26" s="137"/>
      <c r="I26" s="369"/>
      <c r="J26" s="137"/>
      <c r="K26" s="137">
        <v>1000</v>
      </c>
      <c r="L26" s="177">
        <f t="shared" si="0"/>
        <v>4000</v>
      </c>
      <c r="M26" s="429">
        <v>1500</v>
      </c>
      <c r="N26" s="429"/>
      <c r="O26" s="429"/>
      <c r="P26" s="429"/>
      <c r="Q26" s="429"/>
      <c r="R26" s="429"/>
      <c r="S26" s="429"/>
    </row>
    <row r="27" spans="1:19" s="122" customFormat="1" ht="15.75" customHeight="1" x14ac:dyDescent="0.2">
      <c r="A27" s="127">
        <v>1</v>
      </c>
      <c r="B27" s="128" t="s">
        <v>51</v>
      </c>
      <c r="C27" s="129" t="s">
        <v>52</v>
      </c>
      <c r="D27" s="130">
        <v>54112</v>
      </c>
      <c r="E27" s="131" t="s">
        <v>47</v>
      </c>
      <c r="F27" s="137">
        <v>2500</v>
      </c>
      <c r="G27" s="137"/>
      <c r="H27" s="137"/>
      <c r="I27" s="369"/>
      <c r="J27" s="137"/>
      <c r="K27" s="137"/>
      <c r="L27" s="177">
        <f t="shared" si="0"/>
        <v>2500</v>
      </c>
      <c r="M27" s="429">
        <v>1300</v>
      </c>
      <c r="N27" s="429"/>
      <c r="O27" s="429">
        <v>36000</v>
      </c>
      <c r="P27" s="429"/>
      <c r="Q27" s="429"/>
      <c r="R27" s="429"/>
      <c r="S27" s="429"/>
    </row>
    <row r="28" spans="1:19" s="122" customFormat="1" ht="15.75" customHeight="1" x14ac:dyDescent="0.2">
      <c r="A28" s="127">
        <v>1</v>
      </c>
      <c r="B28" s="128" t="s">
        <v>51</v>
      </c>
      <c r="C28" s="129" t="s">
        <v>52</v>
      </c>
      <c r="D28" s="130">
        <v>54114</v>
      </c>
      <c r="E28" s="131" t="s">
        <v>43</v>
      </c>
      <c r="F28" s="137">
        <v>500</v>
      </c>
      <c r="G28" s="137">
        <v>500</v>
      </c>
      <c r="H28" s="137">
        <v>500</v>
      </c>
      <c r="I28" s="369">
        <v>500</v>
      </c>
      <c r="J28" s="137">
        <v>500</v>
      </c>
      <c r="K28" s="137">
        <v>500</v>
      </c>
      <c r="L28" s="177">
        <f t="shared" si="0"/>
        <v>3000</v>
      </c>
      <c r="M28" s="429">
        <v>1200</v>
      </c>
      <c r="N28" s="429"/>
      <c r="O28" s="429">
        <v>132000</v>
      </c>
      <c r="P28" s="429"/>
      <c r="Q28" s="429"/>
      <c r="R28" s="429"/>
      <c r="S28" s="429"/>
    </row>
    <row r="29" spans="1:19" s="122" customFormat="1" ht="15.75" customHeight="1" x14ac:dyDescent="0.2">
      <c r="A29" s="127">
        <v>1</v>
      </c>
      <c r="B29" s="128" t="s">
        <v>51</v>
      </c>
      <c r="C29" s="129" t="s">
        <v>52</v>
      </c>
      <c r="D29" s="130">
        <v>54115</v>
      </c>
      <c r="E29" s="131" t="s">
        <v>80</v>
      </c>
      <c r="F29" s="137">
        <v>500</v>
      </c>
      <c r="G29" s="137">
        <v>400</v>
      </c>
      <c r="H29" s="137">
        <v>400</v>
      </c>
      <c r="I29" s="369">
        <v>400</v>
      </c>
      <c r="J29" s="137">
        <v>400</v>
      </c>
      <c r="K29" s="137"/>
      <c r="L29" s="177">
        <f t="shared" si="0"/>
        <v>2100</v>
      </c>
      <c r="M29" s="429">
        <v>1000</v>
      </c>
      <c r="N29" s="429"/>
      <c r="O29" s="429">
        <f>SUM(O27:O28)</f>
        <v>168000</v>
      </c>
      <c r="P29" s="429"/>
      <c r="Q29" s="429"/>
      <c r="R29" s="429"/>
      <c r="S29" s="429"/>
    </row>
    <row r="30" spans="1:19" s="122" customFormat="1" ht="15.75" customHeight="1" x14ac:dyDescent="0.2">
      <c r="A30" s="127">
        <v>1</v>
      </c>
      <c r="B30" s="128" t="s">
        <v>51</v>
      </c>
      <c r="C30" s="129" t="s">
        <v>52</v>
      </c>
      <c r="D30" s="130">
        <v>54118</v>
      </c>
      <c r="E30" s="131" t="s">
        <v>272</v>
      </c>
      <c r="F30" s="137">
        <v>19000</v>
      </c>
      <c r="G30" s="137"/>
      <c r="H30" s="137"/>
      <c r="I30" s="369"/>
      <c r="J30" s="137"/>
      <c r="K30" s="137"/>
      <c r="L30" s="177">
        <f t="shared" si="0"/>
        <v>19000</v>
      </c>
      <c r="M30" s="429">
        <v>19000</v>
      </c>
      <c r="N30" s="429"/>
      <c r="O30" s="429"/>
      <c r="P30" s="429"/>
      <c r="Q30" s="429"/>
      <c r="R30" s="429"/>
      <c r="S30" s="429"/>
    </row>
    <row r="31" spans="1:19" s="122" customFormat="1" ht="15.75" customHeight="1" x14ac:dyDescent="0.2">
      <c r="A31" s="127">
        <v>1</v>
      </c>
      <c r="B31" s="128" t="s">
        <v>51</v>
      </c>
      <c r="C31" s="129" t="s">
        <v>52</v>
      </c>
      <c r="D31" s="130">
        <v>54119</v>
      </c>
      <c r="E31" s="131" t="s">
        <v>104</v>
      </c>
      <c r="F31" s="137">
        <v>1500</v>
      </c>
      <c r="G31" s="137"/>
      <c r="H31" s="137"/>
      <c r="I31" s="369"/>
      <c r="J31" s="137"/>
      <c r="K31" s="137">
        <v>1500</v>
      </c>
      <c r="L31" s="177">
        <f t="shared" si="0"/>
        <v>3000</v>
      </c>
      <c r="M31" s="429">
        <v>2000</v>
      </c>
      <c r="N31" s="429"/>
      <c r="O31" s="429"/>
      <c r="P31" s="429"/>
      <c r="Q31" s="429"/>
      <c r="R31" s="429"/>
      <c r="S31" s="429"/>
    </row>
    <row r="32" spans="1:19" s="122" customFormat="1" ht="15.75" customHeight="1" x14ac:dyDescent="0.2">
      <c r="A32" s="127">
        <v>1</v>
      </c>
      <c r="B32" s="128" t="s">
        <v>51</v>
      </c>
      <c r="C32" s="129" t="s">
        <v>52</v>
      </c>
      <c r="D32" s="130">
        <v>54121</v>
      </c>
      <c r="E32" s="131" t="s">
        <v>83</v>
      </c>
      <c r="F32" s="137">
        <v>1500</v>
      </c>
      <c r="G32" s="137"/>
      <c r="H32" s="137"/>
      <c r="I32" s="369"/>
      <c r="J32" s="137"/>
      <c r="K32" s="137"/>
      <c r="L32" s="177">
        <f t="shared" si="0"/>
        <v>1500</v>
      </c>
      <c r="M32" s="429">
        <v>1500</v>
      </c>
      <c r="N32" s="429"/>
      <c r="O32" s="429"/>
      <c r="P32" s="429"/>
      <c r="Q32" s="429"/>
      <c r="R32" s="429"/>
      <c r="S32" s="429"/>
    </row>
    <row r="33" spans="1:19" s="122" customFormat="1" ht="15.75" customHeight="1" x14ac:dyDescent="0.2">
      <c r="A33" s="127">
        <v>1</v>
      </c>
      <c r="B33" s="128" t="s">
        <v>51</v>
      </c>
      <c r="C33" s="129" t="s">
        <v>52</v>
      </c>
      <c r="D33" s="130">
        <v>54199</v>
      </c>
      <c r="E33" s="131" t="s">
        <v>277</v>
      </c>
      <c r="F33" s="137">
        <v>3500</v>
      </c>
      <c r="G33" s="137">
        <v>500</v>
      </c>
      <c r="H33" s="137">
        <v>500</v>
      </c>
      <c r="I33" s="369">
        <v>500</v>
      </c>
      <c r="J33" s="137">
        <v>500</v>
      </c>
      <c r="K33" s="137">
        <v>500</v>
      </c>
      <c r="L33" s="177">
        <f t="shared" si="0"/>
        <v>6000</v>
      </c>
      <c r="M33" s="429">
        <v>2000</v>
      </c>
      <c r="N33" s="429"/>
      <c r="O33" s="429"/>
      <c r="P33" s="429"/>
      <c r="Q33" s="429"/>
      <c r="R33" s="429"/>
      <c r="S33" s="429"/>
    </row>
    <row r="34" spans="1:19" s="122" customFormat="1" ht="15.75" customHeight="1" x14ac:dyDescent="0.2">
      <c r="A34" s="127">
        <v>1</v>
      </c>
      <c r="B34" s="128" t="s">
        <v>51</v>
      </c>
      <c r="C34" s="129" t="s">
        <v>52</v>
      </c>
      <c r="D34" s="130">
        <v>54201</v>
      </c>
      <c r="E34" s="131" t="s">
        <v>44</v>
      </c>
      <c r="F34" s="137">
        <v>16000</v>
      </c>
      <c r="G34" s="137"/>
      <c r="H34" s="137"/>
      <c r="I34" s="369"/>
      <c r="J34" s="137"/>
      <c r="K34" s="137"/>
      <c r="L34" s="177">
        <f t="shared" si="0"/>
        <v>16000</v>
      </c>
      <c r="M34" s="429">
        <v>21452</v>
      </c>
      <c r="N34" s="429"/>
      <c r="O34" s="429"/>
      <c r="P34" s="429"/>
      <c r="Q34" s="429"/>
      <c r="R34" s="429"/>
      <c r="S34" s="429"/>
    </row>
    <row r="35" spans="1:19" s="122" customFormat="1" ht="15.75" customHeight="1" x14ac:dyDescent="0.2">
      <c r="A35" s="127">
        <v>1</v>
      </c>
      <c r="B35" s="128" t="s">
        <v>51</v>
      </c>
      <c r="C35" s="129" t="s">
        <v>52</v>
      </c>
      <c r="D35" s="130">
        <v>54202</v>
      </c>
      <c r="E35" s="131" t="s">
        <v>45</v>
      </c>
      <c r="F35" s="137">
        <v>4500</v>
      </c>
      <c r="G35" s="137"/>
      <c r="H35" s="137"/>
      <c r="I35" s="369"/>
      <c r="J35" s="137"/>
      <c r="K35" s="137"/>
      <c r="L35" s="177">
        <f t="shared" si="0"/>
        <v>4500</v>
      </c>
      <c r="M35" s="429">
        <v>3000</v>
      </c>
      <c r="N35" s="429"/>
      <c r="O35" s="429"/>
      <c r="P35" s="428">
        <f>SUM(L21:L48)</f>
        <v>179831.14</v>
      </c>
      <c r="Q35" s="429"/>
      <c r="R35" s="429"/>
      <c r="S35" s="429"/>
    </row>
    <row r="36" spans="1:19" s="122" customFormat="1" ht="15.75" customHeight="1" x14ac:dyDescent="0.2">
      <c r="A36" s="127">
        <v>1</v>
      </c>
      <c r="B36" s="128" t="s">
        <v>51</v>
      </c>
      <c r="C36" s="129" t="s">
        <v>52</v>
      </c>
      <c r="D36" s="130">
        <v>54203</v>
      </c>
      <c r="E36" s="131" t="s">
        <v>46</v>
      </c>
      <c r="F36" s="137">
        <v>22000</v>
      </c>
      <c r="G36" s="137"/>
      <c r="H36" s="137"/>
      <c r="I36" s="369"/>
      <c r="J36" s="137"/>
      <c r="K36" s="137"/>
      <c r="L36" s="177">
        <f t="shared" si="0"/>
        <v>22000</v>
      </c>
      <c r="M36" s="429">
        <v>23000</v>
      </c>
      <c r="N36" s="429"/>
      <c r="O36" s="429"/>
      <c r="P36" s="429"/>
      <c r="Q36" s="429"/>
      <c r="R36" s="429"/>
      <c r="S36" s="429"/>
    </row>
    <row r="37" spans="1:19" s="122" customFormat="1" ht="15.75" customHeight="1" x14ac:dyDescent="0.2">
      <c r="A37" s="127">
        <v>1</v>
      </c>
      <c r="B37" s="128" t="s">
        <v>51</v>
      </c>
      <c r="C37" s="129" t="s">
        <v>52</v>
      </c>
      <c r="D37" s="130">
        <v>54205</v>
      </c>
      <c r="E37" s="131" t="s">
        <v>25</v>
      </c>
      <c r="F37" s="137"/>
      <c r="G37" s="137"/>
      <c r="H37" s="137"/>
      <c r="I37" s="369"/>
      <c r="J37" s="137"/>
      <c r="K37" s="137"/>
      <c r="L37" s="177">
        <f t="shared" si="0"/>
        <v>0</v>
      </c>
      <c r="M37" s="429"/>
      <c r="N37" s="429"/>
      <c r="O37" s="429"/>
      <c r="P37" s="429"/>
      <c r="Q37" s="429"/>
      <c r="R37" s="429"/>
      <c r="S37" s="429"/>
    </row>
    <row r="38" spans="1:19" s="122" customFormat="1" ht="15.75" customHeight="1" x14ac:dyDescent="0.2">
      <c r="A38" s="127">
        <v>1</v>
      </c>
      <c r="B38" s="128" t="s">
        <v>51</v>
      </c>
      <c r="C38" s="129" t="s">
        <v>52</v>
      </c>
      <c r="D38" s="130">
        <v>54301</v>
      </c>
      <c r="E38" s="131" t="s">
        <v>275</v>
      </c>
      <c r="F38" s="137">
        <v>3000</v>
      </c>
      <c r="G38" s="137"/>
      <c r="H38" s="137"/>
      <c r="I38" s="369"/>
      <c r="J38" s="137"/>
      <c r="K38" s="137"/>
      <c r="L38" s="177">
        <f t="shared" si="0"/>
        <v>3000</v>
      </c>
      <c r="M38" s="429">
        <v>2000</v>
      </c>
      <c r="N38" s="429"/>
      <c r="O38" s="429"/>
      <c r="P38" s="429"/>
      <c r="Q38" s="429"/>
      <c r="R38" s="429"/>
      <c r="S38" s="429"/>
    </row>
    <row r="39" spans="1:19" s="122" customFormat="1" ht="15.75" customHeight="1" x14ac:dyDescent="0.2">
      <c r="A39" s="127">
        <v>1</v>
      </c>
      <c r="B39" s="128" t="s">
        <v>51</v>
      </c>
      <c r="C39" s="129" t="s">
        <v>52</v>
      </c>
      <c r="D39" s="130">
        <v>54302</v>
      </c>
      <c r="E39" s="131" t="s">
        <v>274</v>
      </c>
      <c r="F39" s="137">
        <v>18000</v>
      </c>
      <c r="G39" s="137"/>
      <c r="H39" s="137"/>
      <c r="I39" s="369"/>
      <c r="J39" s="137"/>
      <c r="K39" s="137"/>
      <c r="L39" s="177">
        <f t="shared" si="0"/>
        <v>18000</v>
      </c>
      <c r="M39" s="429">
        <v>28000</v>
      </c>
      <c r="N39" s="429"/>
      <c r="O39" s="429"/>
      <c r="P39" s="429"/>
      <c r="Q39" s="429"/>
      <c r="R39" s="429"/>
      <c r="S39" s="429"/>
    </row>
    <row r="40" spans="1:19" s="122" customFormat="1" ht="15.75" customHeight="1" x14ac:dyDescent="0.2">
      <c r="A40" s="127">
        <v>1</v>
      </c>
      <c r="B40" s="128" t="s">
        <v>51</v>
      </c>
      <c r="C40" s="129" t="s">
        <v>52</v>
      </c>
      <c r="D40" s="130">
        <v>54303</v>
      </c>
      <c r="E40" s="131" t="s">
        <v>273</v>
      </c>
      <c r="F40" s="137">
        <v>2500</v>
      </c>
      <c r="G40" s="137"/>
      <c r="H40" s="137"/>
      <c r="I40" s="370"/>
      <c r="J40" s="137"/>
      <c r="K40" s="137"/>
      <c r="L40" s="177">
        <f t="shared" si="0"/>
        <v>2500</v>
      </c>
      <c r="M40" s="429">
        <v>1000</v>
      </c>
      <c r="N40" s="429"/>
      <c r="O40" s="429"/>
      <c r="P40" s="429"/>
      <c r="Q40" s="429"/>
      <c r="R40" s="429"/>
      <c r="S40" s="429"/>
    </row>
    <row r="41" spans="1:19" s="122" customFormat="1" ht="15.75" customHeight="1" x14ac:dyDescent="0.2">
      <c r="A41" s="127">
        <v>1</v>
      </c>
      <c r="B41" s="128" t="s">
        <v>51</v>
      </c>
      <c r="C41" s="129" t="s">
        <v>52</v>
      </c>
      <c r="D41" s="130">
        <v>54304</v>
      </c>
      <c r="E41" s="131" t="s">
        <v>89</v>
      </c>
      <c r="F41" s="137">
        <v>2000</v>
      </c>
      <c r="G41" s="137"/>
      <c r="H41" s="137"/>
      <c r="I41" s="369"/>
      <c r="J41" s="137"/>
      <c r="K41" s="137"/>
      <c r="L41" s="177">
        <f t="shared" si="0"/>
        <v>2000</v>
      </c>
      <c r="M41" s="429">
        <v>1000</v>
      </c>
      <c r="N41" s="429"/>
      <c r="O41" s="429"/>
      <c r="P41" s="429"/>
      <c r="Q41" s="429"/>
      <c r="R41" s="429"/>
      <c r="S41" s="429"/>
    </row>
    <row r="42" spans="1:19" s="122" customFormat="1" ht="15.75" customHeight="1" x14ac:dyDescent="0.2">
      <c r="A42" s="127">
        <v>1</v>
      </c>
      <c r="B42" s="128" t="s">
        <v>51</v>
      </c>
      <c r="C42" s="129" t="s">
        <v>52</v>
      </c>
      <c r="D42" s="130">
        <v>54310</v>
      </c>
      <c r="E42" s="131" t="s">
        <v>226</v>
      </c>
      <c r="F42" s="137"/>
      <c r="G42" s="137"/>
      <c r="H42" s="137"/>
      <c r="I42" s="369"/>
      <c r="J42" s="137"/>
      <c r="K42" s="137"/>
      <c r="L42" s="177">
        <f t="shared" si="0"/>
        <v>0</v>
      </c>
      <c r="M42" s="429">
        <v>1000</v>
      </c>
      <c r="N42" s="429"/>
      <c r="O42" s="429"/>
      <c r="P42" s="429"/>
      <c r="Q42" s="429"/>
      <c r="R42" s="429"/>
      <c r="S42" s="429"/>
    </row>
    <row r="43" spans="1:19" s="122" customFormat="1" ht="15.75" customHeight="1" x14ac:dyDescent="0.2">
      <c r="A43" s="127">
        <v>1</v>
      </c>
      <c r="B43" s="128" t="s">
        <v>51</v>
      </c>
      <c r="C43" s="129" t="s">
        <v>52</v>
      </c>
      <c r="D43" s="130">
        <v>54314</v>
      </c>
      <c r="E43" s="131" t="s">
        <v>84</v>
      </c>
      <c r="F43" s="137">
        <v>2500</v>
      </c>
      <c r="G43" s="137"/>
      <c r="H43" s="137"/>
      <c r="I43" s="369"/>
      <c r="J43" s="137"/>
      <c r="K43" s="137"/>
      <c r="L43" s="177">
        <f t="shared" si="0"/>
        <v>2500</v>
      </c>
      <c r="M43" s="429">
        <v>1000</v>
      </c>
      <c r="N43" s="429"/>
      <c r="O43" s="429"/>
      <c r="P43" s="429"/>
      <c r="Q43" s="429"/>
      <c r="R43" s="429"/>
      <c r="S43" s="429"/>
    </row>
    <row r="44" spans="1:19" s="122" customFormat="1" ht="15.75" customHeight="1" x14ac:dyDescent="0.2">
      <c r="A44" s="127">
        <v>1</v>
      </c>
      <c r="B44" s="128" t="s">
        <v>51</v>
      </c>
      <c r="C44" s="129" t="s">
        <v>52</v>
      </c>
      <c r="D44" s="130">
        <v>54399</v>
      </c>
      <c r="E44" s="131" t="s">
        <v>392</v>
      </c>
      <c r="F44" s="137">
        <v>3000</v>
      </c>
      <c r="G44" s="137"/>
      <c r="H44" s="137"/>
      <c r="I44" s="369"/>
      <c r="J44" s="137"/>
      <c r="K44" s="137"/>
      <c r="L44" s="177">
        <f t="shared" si="0"/>
        <v>3000</v>
      </c>
      <c r="M44" s="429"/>
      <c r="N44" s="429"/>
      <c r="O44" s="429"/>
      <c r="P44" s="429"/>
      <c r="Q44" s="429"/>
      <c r="R44" s="429"/>
      <c r="S44" s="429"/>
    </row>
    <row r="45" spans="1:19" s="122" customFormat="1" ht="15.75" customHeight="1" x14ac:dyDescent="0.2">
      <c r="A45" s="127">
        <v>1</v>
      </c>
      <c r="B45" s="128" t="s">
        <v>51</v>
      </c>
      <c r="C45" s="129" t="s">
        <v>52</v>
      </c>
      <c r="D45" s="130">
        <v>54401</v>
      </c>
      <c r="E45" s="131" t="s">
        <v>276</v>
      </c>
      <c r="F45" s="137">
        <v>800</v>
      </c>
      <c r="G45" s="137"/>
      <c r="H45" s="137"/>
      <c r="I45" s="369"/>
      <c r="J45" s="137"/>
      <c r="K45" s="137"/>
      <c r="L45" s="177">
        <f t="shared" si="0"/>
        <v>800</v>
      </c>
      <c r="M45" s="429"/>
      <c r="N45" s="429"/>
      <c r="O45" s="429"/>
      <c r="P45" s="429"/>
      <c r="Q45" s="429"/>
      <c r="R45" s="429"/>
      <c r="S45" s="429"/>
    </row>
    <row r="46" spans="1:19" s="122" customFormat="1" ht="15.75" customHeight="1" x14ac:dyDescent="0.2">
      <c r="A46" s="127">
        <v>1</v>
      </c>
      <c r="B46" s="128" t="s">
        <v>51</v>
      </c>
      <c r="C46" s="129" t="s">
        <v>52</v>
      </c>
      <c r="D46" s="130">
        <v>54403</v>
      </c>
      <c r="E46" s="131" t="s">
        <v>270</v>
      </c>
      <c r="F46" s="137">
        <v>1000</v>
      </c>
      <c r="G46" s="137"/>
      <c r="H46" s="137"/>
      <c r="I46" s="369"/>
      <c r="J46" s="137"/>
      <c r="K46" s="137"/>
      <c r="L46" s="177">
        <f t="shared" si="0"/>
        <v>1000</v>
      </c>
      <c r="M46" s="429"/>
      <c r="N46" s="429"/>
      <c r="O46" s="429"/>
      <c r="P46" s="429"/>
      <c r="Q46" s="429"/>
      <c r="R46" s="429"/>
      <c r="S46" s="429"/>
    </row>
    <row r="47" spans="1:19" s="122" customFormat="1" ht="15.75" customHeight="1" x14ac:dyDescent="0.2">
      <c r="A47" s="127">
        <v>1</v>
      </c>
      <c r="B47" s="128" t="s">
        <v>51</v>
      </c>
      <c r="C47" s="129" t="s">
        <v>52</v>
      </c>
      <c r="D47" s="130">
        <v>54503</v>
      </c>
      <c r="E47" s="131" t="s">
        <v>79</v>
      </c>
      <c r="F47" s="137">
        <v>1500</v>
      </c>
      <c r="G47" s="137"/>
      <c r="H47" s="137"/>
      <c r="I47" s="369"/>
      <c r="J47" s="137"/>
      <c r="K47" s="137"/>
      <c r="L47" s="177">
        <f t="shared" si="0"/>
        <v>1500</v>
      </c>
      <c r="M47" s="429">
        <v>800</v>
      </c>
      <c r="N47" s="429"/>
      <c r="O47" s="429"/>
      <c r="P47" s="429"/>
      <c r="Q47" s="429"/>
      <c r="R47" s="429"/>
      <c r="S47" s="429"/>
    </row>
    <row r="48" spans="1:19" s="122" customFormat="1" ht="15.75" customHeight="1" x14ac:dyDescent="0.2">
      <c r="A48" s="127">
        <v>1</v>
      </c>
      <c r="B48" s="128" t="s">
        <v>51</v>
      </c>
      <c r="C48" s="129" t="s">
        <v>52</v>
      </c>
      <c r="D48" s="130">
        <v>54504</v>
      </c>
      <c r="E48" s="131" t="s">
        <v>85</v>
      </c>
      <c r="F48" s="137"/>
      <c r="G48" s="137">
        <v>2000</v>
      </c>
      <c r="H48" s="137"/>
      <c r="I48" s="369"/>
      <c r="J48" s="137"/>
      <c r="K48" s="137"/>
      <c r="L48" s="177">
        <f t="shared" si="0"/>
        <v>2000</v>
      </c>
      <c r="M48" s="429">
        <v>2500</v>
      </c>
      <c r="N48" s="429"/>
      <c r="O48" s="429"/>
      <c r="P48" s="429"/>
      <c r="Q48" s="429"/>
      <c r="R48" s="429"/>
      <c r="S48" s="429"/>
    </row>
    <row r="49" spans="1:19" s="122" customFormat="1" ht="15.75" customHeight="1" x14ac:dyDescent="0.2">
      <c r="A49" s="127">
        <v>1</v>
      </c>
      <c r="B49" s="128" t="s">
        <v>51</v>
      </c>
      <c r="C49" s="129" t="s">
        <v>52</v>
      </c>
      <c r="D49" s="130">
        <v>55508</v>
      </c>
      <c r="E49" s="131" t="s">
        <v>86</v>
      </c>
      <c r="F49" s="137">
        <v>510.11</v>
      </c>
      <c r="G49" s="137"/>
      <c r="H49" s="137"/>
      <c r="I49" s="369"/>
      <c r="J49" s="137"/>
      <c r="K49" s="137"/>
      <c r="L49" s="177">
        <f t="shared" si="0"/>
        <v>510.11</v>
      </c>
      <c r="M49" s="429">
        <v>300</v>
      </c>
      <c r="N49" s="429"/>
      <c r="O49" s="429"/>
      <c r="P49" s="429"/>
      <c r="Q49" s="429"/>
      <c r="R49" s="429"/>
      <c r="S49" s="429"/>
    </row>
    <row r="50" spans="1:19" s="122" customFormat="1" ht="15.75" customHeight="1" x14ac:dyDescent="0.2">
      <c r="A50" s="127">
        <v>1</v>
      </c>
      <c r="B50" s="128" t="s">
        <v>51</v>
      </c>
      <c r="C50" s="129" t="s">
        <v>52</v>
      </c>
      <c r="D50" s="130">
        <v>55601</v>
      </c>
      <c r="E50" s="131" t="s">
        <v>107</v>
      </c>
      <c r="F50" s="137">
        <v>1000</v>
      </c>
      <c r="G50" s="137"/>
      <c r="H50" s="137"/>
      <c r="I50" s="369"/>
      <c r="J50" s="137"/>
      <c r="K50" s="137"/>
      <c r="L50" s="177">
        <f t="shared" si="0"/>
        <v>1000</v>
      </c>
      <c r="M50" s="429"/>
      <c r="N50" s="429"/>
      <c r="O50" s="429"/>
      <c r="P50" s="429"/>
      <c r="Q50" s="429"/>
      <c r="R50" s="429"/>
      <c r="S50" s="429"/>
    </row>
    <row r="51" spans="1:19" s="122" customFormat="1" ht="15.75" customHeight="1" x14ac:dyDescent="0.2">
      <c r="A51" s="127">
        <v>1</v>
      </c>
      <c r="B51" s="128" t="s">
        <v>51</v>
      </c>
      <c r="C51" s="129" t="s">
        <v>52</v>
      </c>
      <c r="D51" s="130">
        <v>55603</v>
      </c>
      <c r="E51" s="131" t="s">
        <v>87</v>
      </c>
      <c r="F51" s="137">
        <v>500</v>
      </c>
      <c r="G51" s="137"/>
      <c r="H51" s="137"/>
      <c r="I51" s="369"/>
      <c r="J51" s="137"/>
      <c r="K51" s="137"/>
      <c r="L51" s="177">
        <f t="shared" si="0"/>
        <v>500</v>
      </c>
      <c r="M51" s="429">
        <v>250</v>
      </c>
      <c r="N51" s="429"/>
      <c r="O51" s="429"/>
      <c r="P51" s="429"/>
      <c r="Q51" s="429"/>
      <c r="R51" s="429"/>
      <c r="S51" s="429"/>
    </row>
    <row r="52" spans="1:19" s="122" customFormat="1" ht="15.75" customHeight="1" x14ac:dyDescent="0.2">
      <c r="A52" s="127">
        <v>1</v>
      </c>
      <c r="B52" s="128" t="s">
        <v>51</v>
      </c>
      <c r="C52" s="129" t="s">
        <v>52</v>
      </c>
      <c r="D52" s="130">
        <v>55703</v>
      </c>
      <c r="E52" s="131" t="s">
        <v>88</v>
      </c>
      <c r="F52" s="137">
        <v>1000</v>
      </c>
      <c r="G52" s="137"/>
      <c r="H52" s="137"/>
      <c r="I52" s="369"/>
      <c r="J52" s="137"/>
      <c r="K52" s="137"/>
      <c r="L52" s="177">
        <f t="shared" si="0"/>
        <v>1000</v>
      </c>
      <c r="M52" s="429">
        <v>300</v>
      </c>
      <c r="N52" s="429"/>
      <c r="O52" s="429"/>
      <c r="P52" s="429"/>
      <c r="Q52" s="429"/>
      <c r="R52" s="429"/>
      <c r="S52" s="429"/>
    </row>
    <row r="53" spans="1:19" s="122" customFormat="1" ht="15.75" customHeight="1" x14ac:dyDescent="0.2">
      <c r="A53" s="127">
        <v>1</v>
      </c>
      <c r="B53" s="128" t="s">
        <v>51</v>
      </c>
      <c r="C53" s="129" t="s">
        <v>52</v>
      </c>
      <c r="D53" s="130">
        <v>55799</v>
      </c>
      <c r="E53" s="131" t="s">
        <v>278</v>
      </c>
      <c r="F53" s="137">
        <v>1000</v>
      </c>
      <c r="G53" s="137"/>
      <c r="H53" s="137"/>
      <c r="I53" s="369"/>
      <c r="J53" s="137"/>
      <c r="K53" s="137"/>
      <c r="L53" s="177">
        <f t="shared" si="0"/>
        <v>1000</v>
      </c>
      <c r="M53" s="429">
        <v>7000.11</v>
      </c>
      <c r="N53" s="429"/>
      <c r="O53" s="429"/>
      <c r="P53" s="429"/>
      <c r="Q53" s="429"/>
      <c r="R53" s="429"/>
      <c r="S53" s="429"/>
    </row>
    <row r="54" spans="1:19" s="122" customFormat="1" ht="15.75" customHeight="1" x14ac:dyDescent="0.2">
      <c r="A54" s="127">
        <v>1</v>
      </c>
      <c r="B54" s="128" t="s">
        <v>51</v>
      </c>
      <c r="C54" s="129" t="s">
        <v>52</v>
      </c>
      <c r="D54" s="130">
        <v>56201</v>
      </c>
      <c r="E54" s="131" t="s">
        <v>445</v>
      </c>
      <c r="F54" s="137">
        <f>2000-284.74</f>
        <v>1715.26</v>
      </c>
      <c r="G54" s="137"/>
      <c r="H54" s="137"/>
      <c r="I54" s="369"/>
      <c r="J54" s="137"/>
      <c r="K54" s="137"/>
      <c r="L54" s="177">
        <f t="shared" si="0"/>
        <v>1715.26</v>
      </c>
      <c r="M54" s="429">
        <v>3000</v>
      </c>
      <c r="N54" s="429"/>
      <c r="O54" s="429"/>
      <c r="P54" s="429"/>
      <c r="Q54" s="429"/>
      <c r="R54" s="429"/>
      <c r="S54" s="429"/>
    </row>
    <row r="55" spans="1:19" s="122" customFormat="1" ht="15.75" customHeight="1" x14ac:dyDescent="0.2">
      <c r="A55" s="127">
        <v>1</v>
      </c>
      <c r="B55" s="128" t="s">
        <v>51</v>
      </c>
      <c r="C55" s="129" t="s">
        <v>52</v>
      </c>
      <c r="D55" s="130">
        <v>56303</v>
      </c>
      <c r="E55" s="131" t="s">
        <v>354</v>
      </c>
      <c r="F55" s="137">
        <v>6600</v>
      </c>
      <c r="G55" s="137"/>
      <c r="H55" s="137"/>
      <c r="I55" s="369"/>
      <c r="J55" s="137"/>
      <c r="K55" s="137"/>
      <c r="L55" s="177">
        <f t="shared" si="0"/>
        <v>6600</v>
      </c>
      <c r="M55" s="429">
        <v>21000</v>
      </c>
      <c r="N55" s="429"/>
      <c r="O55" s="429"/>
      <c r="P55" s="429"/>
      <c r="Q55" s="429"/>
      <c r="R55" s="429"/>
      <c r="S55" s="429"/>
    </row>
    <row r="56" spans="1:19" s="122" customFormat="1" ht="15.75" customHeight="1" x14ac:dyDescent="0.2">
      <c r="A56" s="127">
        <v>1</v>
      </c>
      <c r="B56" s="128" t="s">
        <v>51</v>
      </c>
      <c r="C56" s="129" t="s">
        <v>52</v>
      </c>
      <c r="D56" s="130">
        <v>56304</v>
      </c>
      <c r="E56" s="131" t="s">
        <v>271</v>
      </c>
      <c r="F56" s="137">
        <v>2000</v>
      </c>
      <c r="G56" s="137"/>
      <c r="H56" s="137"/>
      <c r="I56" s="369"/>
      <c r="J56" s="137"/>
      <c r="K56" s="137"/>
      <c r="L56" s="177">
        <f t="shared" si="0"/>
        <v>2000</v>
      </c>
      <c r="M56" s="429">
        <v>3000</v>
      </c>
      <c r="N56" s="429"/>
      <c r="O56" s="429"/>
      <c r="P56" s="429"/>
      <c r="Q56" s="429"/>
      <c r="R56" s="429"/>
      <c r="S56" s="429"/>
    </row>
    <row r="57" spans="1:19" s="122" customFormat="1" ht="15.75" customHeight="1" x14ac:dyDescent="0.2">
      <c r="A57" s="132">
        <v>1</v>
      </c>
      <c r="B57" s="133" t="s">
        <v>51</v>
      </c>
      <c r="C57" s="134" t="s">
        <v>52</v>
      </c>
      <c r="D57" s="140">
        <v>61101</v>
      </c>
      <c r="E57" s="136" t="s">
        <v>230</v>
      </c>
      <c r="F57" s="138">
        <v>1500</v>
      </c>
      <c r="G57" s="138"/>
      <c r="H57" s="138"/>
      <c r="I57" s="371"/>
      <c r="J57" s="138"/>
      <c r="K57" s="138"/>
      <c r="L57" s="177">
        <f t="shared" si="0"/>
        <v>1500</v>
      </c>
      <c r="M57" s="429">
        <v>3000</v>
      </c>
      <c r="N57" s="429"/>
      <c r="O57" s="429"/>
      <c r="P57" s="429"/>
      <c r="Q57" s="428">
        <f>SUM(F49:F53)</f>
        <v>4010.11</v>
      </c>
      <c r="R57" s="429"/>
      <c r="S57" s="429"/>
    </row>
    <row r="58" spans="1:19" s="122" customFormat="1" ht="15.75" customHeight="1" x14ac:dyDescent="0.2">
      <c r="A58" s="132">
        <v>1</v>
      </c>
      <c r="B58" s="133" t="s">
        <v>51</v>
      </c>
      <c r="C58" s="134" t="s">
        <v>52</v>
      </c>
      <c r="D58" s="140">
        <v>61104</v>
      </c>
      <c r="E58" s="136" t="s">
        <v>355</v>
      </c>
      <c r="F58" s="138">
        <v>1800</v>
      </c>
      <c r="G58" s="138"/>
      <c r="H58" s="138"/>
      <c r="I58" s="371"/>
      <c r="J58" s="138"/>
      <c r="K58" s="138"/>
      <c r="L58" s="177">
        <f t="shared" si="0"/>
        <v>1800</v>
      </c>
      <c r="M58" s="429">
        <v>1500</v>
      </c>
      <c r="N58" s="429"/>
      <c r="O58" s="429"/>
      <c r="P58" s="429"/>
      <c r="Q58" s="429"/>
      <c r="R58" s="429"/>
      <c r="S58" s="429"/>
    </row>
    <row r="59" spans="1:19" s="122" customFormat="1" ht="15.75" customHeight="1" thickBot="1" x14ac:dyDescent="0.25">
      <c r="A59" s="132"/>
      <c r="B59" s="133"/>
      <c r="C59" s="134"/>
      <c r="D59" s="135"/>
      <c r="E59" s="136"/>
      <c r="F59" s="138"/>
      <c r="G59" s="138"/>
      <c r="H59" s="138"/>
      <c r="I59" s="372"/>
      <c r="J59" s="138"/>
      <c r="K59" s="138"/>
      <c r="L59" s="139"/>
      <c r="M59" s="429"/>
      <c r="N59" s="429"/>
      <c r="O59" s="429"/>
      <c r="P59" s="429"/>
      <c r="Q59" s="429"/>
      <c r="R59" s="429"/>
      <c r="S59" s="429"/>
    </row>
    <row r="60" spans="1:19" ht="30" customHeight="1" thickBot="1" x14ac:dyDescent="0.25">
      <c r="A60" s="593" t="s">
        <v>350</v>
      </c>
      <c r="B60" s="594"/>
      <c r="C60" s="594"/>
      <c r="D60" s="594"/>
      <c r="E60" s="595"/>
      <c r="F60" s="289">
        <f t="shared" ref="F60:L60" si="1">SUM(F11:F59)</f>
        <v>357556.51</v>
      </c>
      <c r="G60" s="289">
        <f t="shared" si="1"/>
        <v>3400</v>
      </c>
      <c r="H60" s="289">
        <f t="shared" si="1"/>
        <v>1400</v>
      </c>
      <c r="I60" s="289">
        <f t="shared" si="1"/>
        <v>1400</v>
      </c>
      <c r="J60" s="289">
        <f t="shared" si="1"/>
        <v>1400</v>
      </c>
      <c r="K60" s="289">
        <f t="shared" si="1"/>
        <v>5500</v>
      </c>
      <c r="L60" s="290">
        <f t="shared" si="1"/>
        <v>370656.51</v>
      </c>
      <c r="M60" s="458"/>
      <c r="N60" s="458"/>
      <c r="O60" s="458"/>
      <c r="P60" s="458"/>
      <c r="Q60" s="458"/>
      <c r="R60" s="458"/>
      <c r="S60" s="458"/>
    </row>
    <row r="61" spans="1:19" x14ac:dyDescent="0.2">
      <c r="M61" s="458"/>
      <c r="N61" s="458"/>
      <c r="O61" s="458"/>
      <c r="P61" s="458"/>
      <c r="Q61" s="458"/>
      <c r="R61" s="458"/>
      <c r="S61" s="458"/>
    </row>
    <row r="62" spans="1:19" x14ac:dyDescent="0.2">
      <c r="F62" s="461"/>
      <c r="G62" s="461"/>
      <c r="H62" s="461"/>
      <c r="I62" s="461"/>
      <c r="J62" s="461"/>
      <c r="K62" s="461"/>
      <c r="L62" s="462"/>
      <c r="M62" s="458"/>
      <c r="N62" s="458"/>
      <c r="O62" s="458"/>
      <c r="P62" s="458"/>
      <c r="Q62" s="458"/>
      <c r="R62" s="458"/>
      <c r="S62" s="458"/>
    </row>
    <row r="63" spans="1:19" x14ac:dyDescent="0.2">
      <c r="F63" s="461"/>
      <c r="G63" s="461"/>
      <c r="H63" s="461"/>
      <c r="I63" s="461"/>
      <c r="J63" s="461"/>
      <c r="K63" s="461"/>
      <c r="L63" s="462"/>
      <c r="M63" s="458"/>
      <c r="N63" s="458"/>
      <c r="O63" s="458"/>
      <c r="P63" s="458"/>
      <c r="Q63" s="458"/>
      <c r="R63" s="458"/>
      <c r="S63" s="458"/>
    </row>
    <row r="64" spans="1:19" x14ac:dyDescent="0.2">
      <c r="F64" s="461"/>
      <c r="G64" s="461"/>
      <c r="H64" s="461"/>
      <c r="I64" s="461"/>
      <c r="J64" s="461"/>
      <c r="K64" s="461"/>
      <c r="L64" s="463">
        <f>SUM(Ingresos!C49)</f>
        <v>370656.51</v>
      </c>
      <c r="M64" s="458"/>
      <c r="N64" s="458"/>
      <c r="O64" s="458"/>
      <c r="P64" s="458"/>
      <c r="Q64" s="458"/>
      <c r="R64" s="458"/>
      <c r="S64" s="458"/>
    </row>
    <row r="65" spans="6:14" x14ac:dyDescent="0.2">
      <c r="F65" s="461"/>
      <c r="G65" s="461"/>
      <c r="H65" s="461"/>
      <c r="I65" s="461"/>
      <c r="J65" s="461"/>
      <c r="K65" s="461"/>
      <c r="L65" s="462"/>
      <c r="M65" s="458"/>
      <c r="N65" s="148"/>
    </row>
    <row r="66" spans="6:14" x14ac:dyDescent="0.2">
      <c r="F66" s="461"/>
      <c r="G66" s="461"/>
      <c r="H66" s="461"/>
      <c r="I66" s="461"/>
      <c r="J66" s="461"/>
      <c r="K66" s="461"/>
      <c r="L66" s="462"/>
      <c r="M66" s="458"/>
    </row>
    <row r="67" spans="6:14" x14ac:dyDescent="0.2">
      <c r="F67" s="461"/>
      <c r="G67" s="461"/>
      <c r="H67" s="461"/>
      <c r="I67" s="461"/>
      <c r="J67" s="461"/>
      <c r="K67" s="461"/>
      <c r="L67" s="462">
        <f>SUM(L60-L64)</f>
        <v>0</v>
      </c>
      <c r="M67" s="458"/>
    </row>
    <row r="68" spans="6:14" x14ac:dyDescent="0.2">
      <c r="F68" s="461"/>
      <c r="G68" s="461"/>
      <c r="H68" s="461"/>
      <c r="I68" s="461"/>
      <c r="J68" s="461"/>
      <c r="K68" s="461"/>
      <c r="L68" s="462"/>
      <c r="M68" s="458"/>
    </row>
    <row r="69" spans="6:14" x14ac:dyDescent="0.2">
      <c r="L69" s="121"/>
    </row>
    <row r="70" spans="6:14" x14ac:dyDescent="0.2">
      <c r="L70" s="121"/>
    </row>
    <row r="71" spans="6:14" x14ac:dyDescent="0.2">
      <c r="L71" s="121"/>
    </row>
    <row r="74" spans="6:14" x14ac:dyDescent="0.2">
      <c r="L74" s="165"/>
    </row>
  </sheetData>
  <sheetProtection algorithmName="SHA-512" hashValue="fyNo+2I/iHg7uLovEmIM8OtWjoyttcUYY7qbLtY91DZsW5PzwmljAtW+UGAWBVQzJy5TzGIdx9uxDDyfagPWGg==" saltValue="KAP24rY+NHtEh4uFpo9xmw==" spinCount="100000" sheet="1" objects="1" scenarios="1"/>
  <autoFilter ref="A7:L10" xr:uid="{00000000-0009-0000-0000-000004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hiddenButton="1" showButton="0"/>
    <filterColumn colId="8" showButton="0"/>
    <filterColumn colId="9" showButton="0"/>
    <filterColumn colId="10" hiddenButton="1" showButton="0"/>
  </autoFilter>
  <sortState ref="D12:E51">
    <sortCondition ref="D11"/>
  </sortState>
  <mergeCells count="16">
    <mergeCell ref="A60:E60"/>
    <mergeCell ref="A8:L8"/>
    <mergeCell ref="A9:D9"/>
    <mergeCell ref="E9:E10"/>
    <mergeCell ref="A1:L1"/>
    <mergeCell ref="A5:L5"/>
    <mergeCell ref="A3:L3"/>
    <mergeCell ref="A4:L4"/>
    <mergeCell ref="L9:L10"/>
    <mergeCell ref="A2:L2"/>
    <mergeCell ref="A6:L6"/>
    <mergeCell ref="A7:L7"/>
    <mergeCell ref="F9:F10"/>
    <mergeCell ref="G9:G10"/>
    <mergeCell ref="I9:I10"/>
    <mergeCell ref="J9:J10"/>
  </mergeCells>
  <phoneticPr fontId="2" type="noConversion"/>
  <printOptions horizontalCentered="1"/>
  <pageMargins left="0.27559055118110237" right="0.39370078740157483" top="1.3779527559055118" bottom="0.47244094488188981" header="0" footer="0"/>
  <pageSetup scale="8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M83"/>
  <sheetViews>
    <sheetView view="pageBreakPreview" zoomScale="98" zoomScaleSheetLayoutView="98" workbookViewId="0">
      <selection activeCell="F15" sqref="F15"/>
    </sheetView>
  </sheetViews>
  <sheetFormatPr baseColWidth="10" defaultColWidth="11.42578125" defaultRowHeight="12.75" x14ac:dyDescent="0.2"/>
  <cols>
    <col min="1" max="2" width="4.5703125" style="24" customWidth="1"/>
    <col min="3" max="3" width="6.140625" style="24" customWidth="1"/>
    <col min="4" max="4" width="10.28515625" style="24" customWidth="1"/>
    <col min="5" max="5" width="48" style="19" customWidth="1"/>
    <col min="6" max="6" width="16.28515625" style="19" customWidth="1"/>
    <col min="7" max="7" width="15.7109375" style="19" customWidth="1"/>
    <col min="8" max="8" width="16" style="19" customWidth="1"/>
    <col min="9" max="9" width="17.85546875" style="4" customWidth="1"/>
    <col min="10" max="10" width="15" style="21" customWidth="1"/>
    <col min="11" max="11" width="11" style="21" customWidth="1"/>
    <col min="12" max="12" width="15.85546875" style="21" customWidth="1"/>
    <col min="13" max="16384" width="11.42578125" style="21"/>
  </cols>
  <sheetData>
    <row r="1" spans="1:13" ht="18" x14ac:dyDescent="0.25">
      <c r="A1" s="553" t="s">
        <v>409</v>
      </c>
      <c r="B1" s="554"/>
      <c r="C1" s="554"/>
      <c r="D1" s="554"/>
      <c r="E1" s="554"/>
      <c r="F1" s="554"/>
      <c r="G1" s="554"/>
      <c r="H1" s="554"/>
      <c r="I1" s="554"/>
      <c r="J1" s="5"/>
    </row>
    <row r="2" spans="1:13" ht="18" x14ac:dyDescent="0.25">
      <c r="A2" s="553" t="s">
        <v>408</v>
      </c>
      <c r="B2" s="554"/>
      <c r="C2" s="554"/>
      <c r="D2" s="554"/>
      <c r="E2" s="554"/>
      <c r="F2" s="554"/>
      <c r="G2" s="554"/>
      <c r="H2" s="554"/>
      <c r="I2" s="554"/>
      <c r="J2" s="5"/>
    </row>
    <row r="3" spans="1:13" ht="15.75" x14ac:dyDescent="0.2">
      <c r="A3" s="581" t="s">
        <v>233</v>
      </c>
      <c r="B3" s="582"/>
      <c r="C3" s="582"/>
      <c r="D3" s="582"/>
      <c r="E3" s="582"/>
      <c r="F3" s="582"/>
      <c r="G3" s="582"/>
      <c r="H3" s="582"/>
      <c r="I3" s="582"/>
    </row>
    <row r="4" spans="1:13" ht="15.75" x14ac:dyDescent="0.2">
      <c r="A4" s="581" t="s">
        <v>496</v>
      </c>
      <c r="B4" s="582"/>
      <c r="C4" s="582"/>
      <c r="D4" s="582"/>
      <c r="E4" s="582"/>
      <c r="F4" s="582"/>
      <c r="G4" s="582"/>
      <c r="H4" s="582"/>
      <c r="I4" s="582"/>
    </row>
    <row r="5" spans="1:13" ht="15.75" x14ac:dyDescent="0.25">
      <c r="A5" s="625" t="s">
        <v>13</v>
      </c>
      <c r="B5" s="626"/>
      <c r="C5" s="626"/>
      <c r="D5" s="626"/>
      <c r="E5" s="626"/>
      <c r="F5" s="626"/>
      <c r="G5" s="626"/>
      <c r="H5" s="626"/>
      <c r="I5" s="626"/>
      <c r="J5" s="458"/>
      <c r="K5" s="458"/>
      <c r="L5" s="458"/>
      <c r="M5" s="458"/>
    </row>
    <row r="6" spans="1:13" ht="3" customHeight="1" x14ac:dyDescent="0.25">
      <c r="A6" s="623"/>
      <c r="B6" s="624"/>
      <c r="C6" s="624"/>
      <c r="D6" s="624"/>
      <c r="E6" s="624"/>
      <c r="F6" s="624"/>
      <c r="G6" s="624"/>
      <c r="H6" s="624"/>
      <c r="I6" s="624"/>
      <c r="J6" s="458"/>
      <c r="K6" s="458"/>
      <c r="L6" s="458"/>
      <c r="M6" s="458"/>
    </row>
    <row r="7" spans="1:13" ht="15.75" x14ac:dyDescent="0.25">
      <c r="A7" s="615" t="s">
        <v>234</v>
      </c>
      <c r="B7" s="615"/>
      <c r="C7" s="615"/>
      <c r="D7" s="615"/>
      <c r="E7" s="615"/>
      <c r="F7" s="615"/>
      <c r="G7" s="615"/>
      <c r="H7" s="615"/>
      <c r="I7" s="615"/>
      <c r="J7" s="458"/>
      <c r="K7" s="458"/>
      <c r="L7" s="458"/>
      <c r="M7" s="458"/>
    </row>
    <row r="8" spans="1:13" ht="16.5" thickBot="1" x14ac:dyDescent="0.3">
      <c r="A8" s="616" t="s">
        <v>289</v>
      </c>
      <c r="B8" s="616"/>
      <c r="C8" s="616"/>
      <c r="D8" s="616"/>
      <c r="E8" s="616"/>
      <c r="F8" s="616"/>
      <c r="G8" s="616"/>
      <c r="H8" s="616"/>
      <c r="I8" s="616"/>
      <c r="J8" s="458"/>
      <c r="K8" s="458"/>
      <c r="L8" s="458"/>
      <c r="M8" s="458"/>
    </row>
    <row r="9" spans="1:13" ht="15" thickBot="1" x14ac:dyDescent="0.25">
      <c r="A9" s="617" t="s">
        <v>459</v>
      </c>
      <c r="B9" s="618"/>
      <c r="C9" s="618"/>
      <c r="D9" s="618"/>
      <c r="E9" s="588" t="s">
        <v>186</v>
      </c>
      <c r="F9" s="576" t="s">
        <v>358</v>
      </c>
      <c r="G9" s="576" t="s">
        <v>360</v>
      </c>
      <c r="H9" s="576" t="s">
        <v>359</v>
      </c>
      <c r="I9" s="576" t="s">
        <v>357</v>
      </c>
      <c r="J9" s="458"/>
      <c r="K9" s="458"/>
      <c r="L9" s="458"/>
      <c r="M9" s="458"/>
    </row>
    <row r="10" spans="1:13" s="22" customFormat="1" ht="180.75" customHeight="1" thickBot="1" x14ac:dyDescent="0.25">
      <c r="A10" s="279" t="s">
        <v>406</v>
      </c>
      <c r="B10" s="279" t="s">
        <v>180</v>
      </c>
      <c r="C10" s="279" t="s">
        <v>407</v>
      </c>
      <c r="D10" s="281" t="s">
        <v>119</v>
      </c>
      <c r="E10" s="589"/>
      <c r="F10" s="577"/>
      <c r="G10" s="577"/>
      <c r="H10" s="577"/>
      <c r="I10" s="577"/>
      <c r="J10" s="459"/>
      <c r="K10" s="459"/>
      <c r="L10" s="459"/>
      <c r="M10" s="459"/>
    </row>
    <row r="11" spans="1:13" s="122" customFormat="1" ht="15.75" customHeight="1" x14ac:dyDescent="0.2">
      <c r="A11" s="291"/>
      <c r="B11" s="292" t="s">
        <v>51</v>
      </c>
      <c r="C11" s="292" t="s">
        <v>54</v>
      </c>
      <c r="D11" s="293">
        <v>51101</v>
      </c>
      <c r="E11" s="294" t="s">
        <v>37</v>
      </c>
      <c r="F11" s="295"/>
      <c r="G11" s="295"/>
      <c r="H11" s="295"/>
      <c r="I11" s="296">
        <f>SUM(F11:H11)</f>
        <v>0</v>
      </c>
      <c r="J11" s="464">
        <f>SUM(F11:H11)</f>
        <v>0</v>
      </c>
      <c r="K11" s="429">
        <v>51</v>
      </c>
      <c r="L11" s="465">
        <f>SUM(I11:I16)</f>
        <v>93015.6</v>
      </c>
      <c r="M11" s="429"/>
    </row>
    <row r="12" spans="1:13" s="122" customFormat="1" ht="15.75" customHeight="1" x14ac:dyDescent="0.2">
      <c r="A12" s="291"/>
      <c r="B12" s="292" t="s">
        <v>51</v>
      </c>
      <c r="C12" s="292" t="s">
        <v>54</v>
      </c>
      <c r="D12" s="293">
        <v>51103</v>
      </c>
      <c r="E12" s="294" t="s">
        <v>38</v>
      </c>
      <c r="F12" s="295"/>
      <c r="G12" s="295"/>
      <c r="H12" s="295"/>
      <c r="I12" s="296">
        <f t="shared" ref="I12:I65" si="0">SUM(F12:H12)</f>
        <v>0</v>
      </c>
      <c r="J12" s="464">
        <f>F12+G12+H12</f>
        <v>0</v>
      </c>
      <c r="K12" s="429"/>
      <c r="L12" s="474"/>
      <c r="M12" s="429"/>
    </row>
    <row r="13" spans="1:13" s="122" customFormat="1" ht="15.75" customHeight="1" x14ac:dyDescent="0.2">
      <c r="A13" s="291"/>
      <c r="B13" s="292" t="s">
        <v>51</v>
      </c>
      <c r="C13" s="292" t="s">
        <v>54</v>
      </c>
      <c r="D13" s="293">
        <v>51401</v>
      </c>
      <c r="E13" s="294" t="s">
        <v>375</v>
      </c>
      <c r="F13" s="295"/>
      <c r="G13" s="295"/>
      <c r="H13" s="295"/>
      <c r="I13" s="296">
        <f t="shared" si="0"/>
        <v>0</v>
      </c>
      <c r="J13" s="464">
        <f t="shared" ref="J13:J69" si="1">SUM(F13:H13)</f>
        <v>0</v>
      </c>
      <c r="K13" s="429">
        <v>54</v>
      </c>
      <c r="L13" s="474">
        <f>SUM(I17:I48)</f>
        <v>358656.48</v>
      </c>
      <c r="M13" s="429"/>
    </row>
    <row r="14" spans="1:13" s="122" customFormat="1" ht="15.75" customHeight="1" x14ac:dyDescent="0.2">
      <c r="A14" s="291"/>
      <c r="B14" s="292" t="s">
        <v>51</v>
      </c>
      <c r="C14" s="292" t="s">
        <v>54</v>
      </c>
      <c r="D14" s="293">
        <v>51501</v>
      </c>
      <c r="E14" s="294" t="s">
        <v>376</v>
      </c>
      <c r="F14" s="295"/>
      <c r="G14" s="295"/>
      <c r="H14" s="295"/>
      <c r="I14" s="296">
        <f t="shared" si="0"/>
        <v>0</v>
      </c>
      <c r="J14" s="464">
        <f t="shared" si="1"/>
        <v>0</v>
      </c>
      <c r="K14" s="429">
        <v>55</v>
      </c>
      <c r="L14" s="474">
        <f>SUM(I49:I50)</f>
        <v>6980</v>
      </c>
      <c r="M14" s="429"/>
    </row>
    <row r="15" spans="1:13" s="122" customFormat="1" ht="15.75" customHeight="1" x14ac:dyDescent="0.2">
      <c r="A15" s="291"/>
      <c r="B15" s="292" t="s">
        <v>51</v>
      </c>
      <c r="C15" s="292" t="s">
        <v>54</v>
      </c>
      <c r="D15" s="293" t="s">
        <v>232</v>
      </c>
      <c r="E15" s="294" t="s">
        <v>214</v>
      </c>
      <c r="F15" s="295">
        <f>proyectos!K52</f>
        <v>88015.6</v>
      </c>
      <c r="G15" s="295"/>
      <c r="H15" s="295"/>
      <c r="I15" s="296">
        <f t="shared" si="0"/>
        <v>88015.6</v>
      </c>
      <c r="J15" s="464">
        <f t="shared" si="1"/>
        <v>88015.6</v>
      </c>
      <c r="K15" s="429">
        <v>56</v>
      </c>
      <c r="L15" s="474">
        <f>SUM(I52:I53)</f>
        <v>53771</v>
      </c>
      <c r="M15" s="429"/>
    </row>
    <row r="16" spans="1:13" s="122" customFormat="1" ht="15.75" customHeight="1" x14ac:dyDescent="0.2">
      <c r="A16" s="291"/>
      <c r="B16" s="292" t="s">
        <v>51</v>
      </c>
      <c r="C16" s="292" t="s">
        <v>54</v>
      </c>
      <c r="D16" s="293" t="s">
        <v>282</v>
      </c>
      <c r="E16" s="294" t="s">
        <v>283</v>
      </c>
      <c r="F16" s="295"/>
      <c r="G16" s="295">
        <f>proyectos!L20</f>
        <v>5000</v>
      </c>
      <c r="H16" s="295"/>
      <c r="I16" s="296">
        <f t="shared" si="0"/>
        <v>5000</v>
      </c>
      <c r="J16" s="464">
        <f t="shared" si="1"/>
        <v>5000</v>
      </c>
      <c r="K16" s="429">
        <v>61</v>
      </c>
      <c r="L16" s="474">
        <f>SUM(I54:I65)</f>
        <v>32717.84</v>
      </c>
      <c r="M16" s="429"/>
    </row>
    <row r="17" spans="1:13" s="122" customFormat="1" ht="15.75" customHeight="1" x14ac:dyDescent="0.2">
      <c r="A17" s="291"/>
      <c r="B17" s="292" t="s">
        <v>51</v>
      </c>
      <c r="C17" s="292" t="s">
        <v>54</v>
      </c>
      <c r="D17" s="293">
        <v>54101</v>
      </c>
      <c r="E17" s="294" t="s">
        <v>40</v>
      </c>
      <c r="F17" s="295"/>
      <c r="G17" s="295"/>
      <c r="H17" s="295"/>
      <c r="I17" s="296">
        <f t="shared" si="0"/>
        <v>0</v>
      </c>
      <c r="J17" s="464">
        <f t="shared" si="1"/>
        <v>0</v>
      </c>
      <c r="K17" s="429">
        <v>71</v>
      </c>
      <c r="L17" s="474">
        <f>I66</f>
        <v>237321.2</v>
      </c>
      <c r="M17" s="429"/>
    </row>
    <row r="18" spans="1:13" s="122" customFormat="1" ht="15.75" customHeight="1" x14ac:dyDescent="0.2">
      <c r="A18" s="291"/>
      <c r="B18" s="292" t="s">
        <v>51</v>
      </c>
      <c r="C18" s="292" t="s">
        <v>54</v>
      </c>
      <c r="D18" s="293">
        <v>54103</v>
      </c>
      <c r="E18" s="294" t="s">
        <v>235</v>
      </c>
      <c r="F18" s="295"/>
      <c r="G18" s="295">
        <f>proyectos!N20</f>
        <v>3999.8</v>
      </c>
      <c r="H18" s="295"/>
      <c r="I18" s="296">
        <f t="shared" si="0"/>
        <v>3999.8</v>
      </c>
      <c r="J18" s="464">
        <f t="shared" si="1"/>
        <v>3999.8</v>
      </c>
      <c r="K18" s="429">
        <v>72</v>
      </c>
      <c r="L18" s="474">
        <f>I66</f>
        <v>237321.2</v>
      </c>
      <c r="M18" s="429"/>
    </row>
    <row r="19" spans="1:13" s="122" customFormat="1" ht="15.75" customHeight="1" x14ac:dyDescent="0.2">
      <c r="A19" s="291"/>
      <c r="B19" s="297" t="s">
        <v>51</v>
      </c>
      <c r="C19" s="292" t="s">
        <v>54</v>
      </c>
      <c r="D19" s="298">
        <v>54104</v>
      </c>
      <c r="E19" s="299" t="s">
        <v>215</v>
      </c>
      <c r="F19" s="300"/>
      <c r="G19" s="300"/>
      <c r="H19" s="300"/>
      <c r="I19" s="296">
        <f t="shared" si="0"/>
        <v>0</v>
      </c>
      <c r="J19" s="464">
        <f t="shared" si="1"/>
        <v>0</v>
      </c>
      <c r="K19" s="429"/>
      <c r="L19" s="474">
        <f>SUM(L11:L17)</f>
        <v>782462.11999999988</v>
      </c>
      <c r="M19" s="429"/>
    </row>
    <row r="20" spans="1:13" s="122" customFormat="1" ht="15.75" customHeight="1" x14ac:dyDescent="0.2">
      <c r="A20" s="291"/>
      <c r="B20" s="297" t="s">
        <v>51</v>
      </c>
      <c r="C20" s="292" t="s">
        <v>54</v>
      </c>
      <c r="D20" s="298">
        <v>54106</v>
      </c>
      <c r="E20" s="299" t="s">
        <v>236</v>
      </c>
      <c r="F20" s="300"/>
      <c r="G20" s="300"/>
      <c r="H20" s="300"/>
      <c r="I20" s="296">
        <f t="shared" si="0"/>
        <v>0</v>
      </c>
      <c r="J20" s="464">
        <f t="shared" si="1"/>
        <v>0</v>
      </c>
      <c r="K20" s="429"/>
      <c r="L20" s="475"/>
      <c r="M20" s="429"/>
    </row>
    <row r="21" spans="1:13" s="122" customFormat="1" ht="15.75" customHeight="1" x14ac:dyDescent="0.2">
      <c r="A21" s="291"/>
      <c r="B21" s="297" t="s">
        <v>51</v>
      </c>
      <c r="C21" s="292" t="s">
        <v>54</v>
      </c>
      <c r="D21" s="298">
        <v>54107</v>
      </c>
      <c r="E21" s="299" t="s">
        <v>217</v>
      </c>
      <c r="F21" s="300"/>
      <c r="G21" s="300"/>
      <c r="H21" s="300"/>
      <c r="I21" s="296">
        <f t="shared" si="0"/>
        <v>0</v>
      </c>
      <c r="J21" s="464">
        <f t="shared" si="1"/>
        <v>0</v>
      </c>
      <c r="K21" s="429"/>
      <c r="L21" s="475"/>
      <c r="M21" s="429"/>
    </row>
    <row r="22" spans="1:13" s="122" customFormat="1" ht="15.75" customHeight="1" x14ac:dyDescent="0.2">
      <c r="A22" s="291"/>
      <c r="B22" s="297" t="s">
        <v>51</v>
      </c>
      <c r="C22" s="292" t="s">
        <v>54</v>
      </c>
      <c r="D22" s="298">
        <v>54109</v>
      </c>
      <c r="E22" s="299" t="s">
        <v>218</v>
      </c>
      <c r="F22" s="300"/>
      <c r="G22" s="300"/>
      <c r="H22" s="300"/>
      <c r="I22" s="296">
        <f t="shared" si="0"/>
        <v>0</v>
      </c>
      <c r="J22" s="464">
        <f t="shared" si="1"/>
        <v>0</v>
      </c>
      <c r="K22" s="429"/>
      <c r="L22" s="429"/>
      <c r="M22" s="429"/>
    </row>
    <row r="23" spans="1:13" s="122" customFormat="1" ht="15.75" customHeight="1" x14ac:dyDescent="0.2">
      <c r="A23" s="291"/>
      <c r="B23" s="297" t="s">
        <v>51</v>
      </c>
      <c r="C23" s="292" t="s">
        <v>54</v>
      </c>
      <c r="D23" s="298">
        <v>54110</v>
      </c>
      <c r="E23" s="299" t="s">
        <v>42</v>
      </c>
      <c r="F23" s="300">
        <f>proyectos!Q52</f>
        <v>20095.36</v>
      </c>
      <c r="G23" s="300"/>
      <c r="H23" s="300"/>
      <c r="I23" s="296">
        <f t="shared" si="0"/>
        <v>20095.36</v>
      </c>
      <c r="J23" s="464">
        <f t="shared" si="1"/>
        <v>20095.36</v>
      </c>
      <c r="K23" s="429"/>
      <c r="L23" s="429"/>
      <c r="M23" s="429"/>
    </row>
    <row r="24" spans="1:13" s="122" customFormat="1" ht="15.75" customHeight="1" x14ac:dyDescent="0.2">
      <c r="A24" s="291"/>
      <c r="B24" s="297" t="s">
        <v>51</v>
      </c>
      <c r="C24" s="292" t="s">
        <v>54</v>
      </c>
      <c r="D24" s="298">
        <v>54111</v>
      </c>
      <c r="E24" s="299" t="s">
        <v>48</v>
      </c>
      <c r="F24" s="300">
        <f>proyectos!R52</f>
        <v>69712.38</v>
      </c>
      <c r="G24" s="300"/>
      <c r="H24" s="300"/>
      <c r="I24" s="296">
        <f t="shared" si="0"/>
        <v>69712.38</v>
      </c>
      <c r="J24" s="464">
        <f t="shared" si="1"/>
        <v>69712.38</v>
      </c>
      <c r="K24" s="429"/>
      <c r="L24" s="429"/>
      <c r="M24" s="429"/>
    </row>
    <row r="25" spans="1:13" s="122" customFormat="1" ht="15.75" customHeight="1" x14ac:dyDescent="0.2">
      <c r="A25" s="291"/>
      <c r="B25" s="297" t="s">
        <v>51</v>
      </c>
      <c r="C25" s="292" t="s">
        <v>54</v>
      </c>
      <c r="D25" s="298">
        <v>54112</v>
      </c>
      <c r="E25" s="299" t="s">
        <v>47</v>
      </c>
      <c r="F25" s="300">
        <f>proyectos!AS52</f>
        <v>16878.469999999998</v>
      </c>
      <c r="G25" s="300"/>
      <c r="H25" s="300"/>
      <c r="I25" s="296">
        <f t="shared" si="0"/>
        <v>16878.469999999998</v>
      </c>
      <c r="J25" s="464">
        <f t="shared" si="1"/>
        <v>16878.469999999998</v>
      </c>
      <c r="K25" s="429"/>
      <c r="L25" s="429"/>
      <c r="M25" s="429"/>
    </row>
    <row r="26" spans="1:13" s="122" customFormat="1" ht="15.75" customHeight="1" x14ac:dyDescent="0.2">
      <c r="A26" s="291"/>
      <c r="B26" s="297" t="s">
        <v>51</v>
      </c>
      <c r="C26" s="292" t="s">
        <v>54</v>
      </c>
      <c r="D26" s="298">
        <v>54114</v>
      </c>
      <c r="E26" s="299" t="s">
        <v>43</v>
      </c>
      <c r="F26" s="300"/>
      <c r="G26" s="300"/>
      <c r="H26" s="300"/>
      <c r="I26" s="296">
        <f t="shared" si="0"/>
        <v>0</v>
      </c>
      <c r="J26" s="464">
        <f t="shared" si="1"/>
        <v>0</v>
      </c>
      <c r="K26" s="429"/>
      <c r="L26" s="429"/>
      <c r="M26" s="429"/>
    </row>
    <row r="27" spans="1:13" s="122" customFormat="1" ht="15.75" customHeight="1" x14ac:dyDescent="0.2">
      <c r="A27" s="291"/>
      <c r="B27" s="297" t="s">
        <v>51</v>
      </c>
      <c r="C27" s="292" t="s">
        <v>54</v>
      </c>
      <c r="D27" s="298">
        <v>54115</v>
      </c>
      <c r="E27" s="299" t="s">
        <v>80</v>
      </c>
      <c r="F27" s="300"/>
      <c r="G27" s="300"/>
      <c r="H27" s="300"/>
      <c r="I27" s="296">
        <f t="shared" si="0"/>
        <v>0</v>
      </c>
      <c r="J27" s="464">
        <f t="shared" si="1"/>
        <v>0</v>
      </c>
      <c r="K27" s="429"/>
      <c r="L27" s="429"/>
      <c r="M27" s="429"/>
    </row>
    <row r="28" spans="1:13" s="122" customFormat="1" ht="15.75" customHeight="1" x14ac:dyDescent="0.2">
      <c r="A28" s="291"/>
      <c r="B28" s="297" t="s">
        <v>51</v>
      </c>
      <c r="C28" s="292" t="s">
        <v>54</v>
      </c>
      <c r="D28" s="298">
        <v>54116</v>
      </c>
      <c r="E28" s="299" t="s">
        <v>448</v>
      </c>
      <c r="F28" s="300"/>
      <c r="G28" s="300">
        <f>proyectos!T20</f>
        <v>13000</v>
      </c>
      <c r="H28" s="300"/>
      <c r="I28" s="296">
        <f t="shared" si="0"/>
        <v>13000</v>
      </c>
      <c r="J28" s="464"/>
      <c r="K28" s="429"/>
      <c r="L28" s="429"/>
      <c r="M28" s="429"/>
    </row>
    <row r="29" spans="1:13" s="122" customFormat="1" ht="15.75" customHeight="1" x14ac:dyDescent="0.2">
      <c r="A29" s="291"/>
      <c r="B29" s="297" t="s">
        <v>51</v>
      </c>
      <c r="C29" s="292" t="s">
        <v>54</v>
      </c>
      <c r="D29" s="298">
        <v>54118</v>
      </c>
      <c r="E29" s="299" t="s">
        <v>326</v>
      </c>
      <c r="F29" s="300">
        <f>proyectos!V52</f>
        <v>12000</v>
      </c>
      <c r="G29" s="300"/>
      <c r="H29" s="300"/>
      <c r="I29" s="296">
        <f t="shared" si="0"/>
        <v>12000</v>
      </c>
      <c r="J29" s="464">
        <f t="shared" si="1"/>
        <v>12000</v>
      </c>
      <c r="K29" s="429"/>
      <c r="L29" s="429"/>
      <c r="M29" s="429"/>
    </row>
    <row r="30" spans="1:13" s="122" customFormat="1" ht="15.75" customHeight="1" x14ac:dyDescent="0.2">
      <c r="A30" s="291"/>
      <c r="B30" s="297" t="s">
        <v>51</v>
      </c>
      <c r="C30" s="292" t="s">
        <v>54</v>
      </c>
      <c r="D30" s="298">
        <v>54119</v>
      </c>
      <c r="E30" s="299" t="s">
        <v>104</v>
      </c>
      <c r="F30" s="300"/>
      <c r="G30" s="300"/>
      <c r="H30" s="300"/>
      <c r="I30" s="296">
        <f t="shared" si="0"/>
        <v>0</v>
      </c>
      <c r="J30" s="464">
        <f t="shared" si="1"/>
        <v>0</v>
      </c>
      <c r="K30" s="429"/>
      <c r="L30" s="429"/>
      <c r="M30" s="429"/>
    </row>
    <row r="31" spans="1:13" s="122" customFormat="1" ht="15.75" customHeight="1" x14ac:dyDescent="0.2">
      <c r="A31" s="291"/>
      <c r="B31" s="297" t="s">
        <v>51</v>
      </c>
      <c r="C31" s="292" t="s">
        <v>54</v>
      </c>
      <c r="D31" s="298">
        <v>54199</v>
      </c>
      <c r="E31" s="299" t="s">
        <v>277</v>
      </c>
      <c r="F31" s="300"/>
      <c r="G31" s="300">
        <f>proyectos!AA20</f>
        <v>2000</v>
      </c>
      <c r="H31" s="300"/>
      <c r="I31" s="296">
        <f t="shared" si="0"/>
        <v>2000</v>
      </c>
      <c r="J31" s="464">
        <f t="shared" si="1"/>
        <v>2000</v>
      </c>
      <c r="K31" s="429"/>
      <c r="L31" s="429"/>
      <c r="M31" s="429"/>
    </row>
    <row r="32" spans="1:13" s="122" customFormat="1" ht="15.75" customHeight="1" x14ac:dyDescent="0.2">
      <c r="A32" s="291"/>
      <c r="B32" s="297" t="s">
        <v>51</v>
      </c>
      <c r="C32" s="292" t="s">
        <v>54</v>
      </c>
      <c r="D32" s="298">
        <v>54201</v>
      </c>
      <c r="E32" s="299" t="s">
        <v>377</v>
      </c>
      <c r="F32" s="300"/>
      <c r="G32" s="300"/>
      <c r="H32" s="300"/>
      <c r="I32" s="296">
        <f t="shared" si="0"/>
        <v>0</v>
      </c>
      <c r="J32" s="464">
        <f t="shared" si="1"/>
        <v>0</v>
      </c>
      <c r="K32" s="429"/>
      <c r="L32" s="465">
        <f>SUM(I17:I48)</f>
        <v>358656.48</v>
      </c>
      <c r="M32" s="429"/>
    </row>
    <row r="33" spans="1:13" s="122" customFormat="1" ht="15.75" customHeight="1" x14ac:dyDescent="0.2">
      <c r="A33" s="291"/>
      <c r="B33" s="297" t="s">
        <v>51</v>
      </c>
      <c r="C33" s="292" t="s">
        <v>54</v>
      </c>
      <c r="D33" s="298">
        <v>54205</v>
      </c>
      <c r="E33" s="299" t="s">
        <v>25</v>
      </c>
      <c r="F33" s="300"/>
      <c r="G33" s="300"/>
      <c r="H33" s="300"/>
      <c r="I33" s="296">
        <f t="shared" si="0"/>
        <v>0</v>
      </c>
      <c r="J33" s="464">
        <f t="shared" si="1"/>
        <v>0</v>
      </c>
      <c r="K33" s="429"/>
      <c r="L33" s="429"/>
      <c r="M33" s="429"/>
    </row>
    <row r="34" spans="1:13" s="122" customFormat="1" ht="15.75" customHeight="1" x14ac:dyDescent="0.2">
      <c r="A34" s="291"/>
      <c r="B34" s="297" t="s">
        <v>51</v>
      </c>
      <c r="C34" s="292" t="s">
        <v>54</v>
      </c>
      <c r="D34" s="298">
        <v>54301</v>
      </c>
      <c r="E34" s="299" t="s">
        <v>327</v>
      </c>
      <c r="F34" s="300"/>
      <c r="G34" s="300"/>
      <c r="H34" s="300"/>
      <c r="I34" s="296">
        <f t="shared" si="0"/>
        <v>0</v>
      </c>
      <c r="J34" s="464">
        <f t="shared" si="1"/>
        <v>0</v>
      </c>
      <c r="K34" s="429"/>
      <c r="L34" s="429"/>
      <c r="M34" s="429"/>
    </row>
    <row r="35" spans="1:13" s="122" customFormat="1" ht="15.75" customHeight="1" x14ac:dyDescent="0.2">
      <c r="A35" s="291"/>
      <c r="B35" s="297" t="s">
        <v>51</v>
      </c>
      <c r="C35" s="292" t="s">
        <v>54</v>
      </c>
      <c r="D35" s="298">
        <v>54302</v>
      </c>
      <c r="E35" s="299" t="s">
        <v>328</v>
      </c>
      <c r="F35" s="300">
        <f>proyectos!AC52</f>
        <v>2000</v>
      </c>
      <c r="G35" s="300"/>
      <c r="H35" s="300"/>
      <c r="I35" s="296">
        <f t="shared" si="0"/>
        <v>2000</v>
      </c>
      <c r="J35" s="464">
        <f t="shared" si="1"/>
        <v>2000</v>
      </c>
      <c r="K35" s="429"/>
      <c r="L35" s="429"/>
      <c r="M35" s="429"/>
    </row>
    <row r="36" spans="1:13" s="122" customFormat="1" ht="15.75" customHeight="1" x14ac:dyDescent="0.2">
      <c r="A36" s="291"/>
      <c r="B36" s="297" t="s">
        <v>51</v>
      </c>
      <c r="C36" s="292" t="s">
        <v>54</v>
      </c>
      <c r="D36" s="298">
        <v>54303</v>
      </c>
      <c r="E36" s="299" t="s">
        <v>388</v>
      </c>
      <c r="F36" s="300"/>
      <c r="G36" s="300"/>
      <c r="H36" s="300"/>
      <c r="I36" s="296">
        <f t="shared" si="0"/>
        <v>0</v>
      </c>
      <c r="J36" s="464">
        <f t="shared" si="1"/>
        <v>0</v>
      </c>
      <c r="K36" s="429"/>
      <c r="L36" s="429"/>
      <c r="M36" s="429"/>
    </row>
    <row r="37" spans="1:13" s="122" customFormat="1" ht="15.75" customHeight="1" x14ac:dyDescent="0.2">
      <c r="A37" s="291"/>
      <c r="B37" s="297" t="s">
        <v>51</v>
      </c>
      <c r="C37" s="292" t="s">
        <v>54</v>
      </c>
      <c r="D37" s="298">
        <v>54304</v>
      </c>
      <c r="E37" s="299" t="s">
        <v>89</v>
      </c>
      <c r="F37" s="300"/>
      <c r="G37" s="300">
        <f>proyectos!AD20</f>
        <v>2500</v>
      </c>
      <c r="H37" s="300"/>
      <c r="I37" s="296">
        <f t="shared" si="0"/>
        <v>2500</v>
      </c>
      <c r="J37" s="464">
        <f t="shared" si="1"/>
        <v>2500</v>
      </c>
      <c r="K37" s="429"/>
      <c r="L37" s="429"/>
      <c r="M37" s="429"/>
    </row>
    <row r="38" spans="1:13" s="122" customFormat="1" ht="15.75" customHeight="1" x14ac:dyDescent="0.2">
      <c r="A38" s="291"/>
      <c r="B38" s="297" t="s">
        <v>51</v>
      </c>
      <c r="C38" s="292" t="s">
        <v>54</v>
      </c>
      <c r="D38" s="298">
        <v>54305</v>
      </c>
      <c r="E38" s="299" t="s">
        <v>237</v>
      </c>
      <c r="F38" s="300"/>
      <c r="G38" s="300"/>
      <c r="H38" s="300"/>
      <c r="I38" s="296">
        <f t="shared" si="0"/>
        <v>0</v>
      </c>
      <c r="J38" s="464">
        <f t="shared" si="1"/>
        <v>0</v>
      </c>
      <c r="K38" s="429"/>
      <c r="L38" s="429"/>
      <c r="M38" s="429"/>
    </row>
    <row r="39" spans="1:13" s="122" customFormat="1" ht="15.75" customHeight="1" x14ac:dyDescent="0.2">
      <c r="A39" s="291"/>
      <c r="B39" s="297" t="s">
        <v>51</v>
      </c>
      <c r="C39" s="292" t="s">
        <v>54</v>
      </c>
      <c r="D39" s="298">
        <v>54307</v>
      </c>
      <c r="E39" s="299" t="s">
        <v>329</v>
      </c>
      <c r="F39" s="300"/>
      <c r="G39" s="300"/>
      <c r="H39" s="300"/>
      <c r="I39" s="296">
        <f t="shared" si="0"/>
        <v>0</v>
      </c>
      <c r="J39" s="464">
        <f t="shared" si="1"/>
        <v>0</v>
      </c>
      <c r="K39" s="429"/>
      <c r="L39" s="429"/>
      <c r="M39" s="429"/>
    </row>
    <row r="40" spans="1:13" s="122" customFormat="1" ht="15.75" customHeight="1" x14ac:dyDescent="0.2">
      <c r="A40" s="291"/>
      <c r="B40" s="297" t="s">
        <v>51</v>
      </c>
      <c r="C40" s="292" t="s">
        <v>54</v>
      </c>
      <c r="D40" s="298">
        <v>54310</v>
      </c>
      <c r="E40" s="299" t="s">
        <v>226</v>
      </c>
      <c r="F40" s="300"/>
      <c r="G40" s="300"/>
      <c r="H40" s="300"/>
      <c r="I40" s="296">
        <f t="shared" si="0"/>
        <v>0</v>
      </c>
      <c r="J40" s="464">
        <f t="shared" si="1"/>
        <v>0</v>
      </c>
      <c r="K40" s="429"/>
      <c r="L40" s="429"/>
      <c r="M40" s="429"/>
    </row>
    <row r="41" spans="1:13" s="122" customFormat="1" ht="15.75" customHeight="1" x14ac:dyDescent="0.2">
      <c r="A41" s="291"/>
      <c r="B41" s="297" t="s">
        <v>51</v>
      </c>
      <c r="C41" s="292" t="s">
        <v>54</v>
      </c>
      <c r="D41" s="298">
        <v>54313</v>
      </c>
      <c r="E41" s="299" t="s">
        <v>238</v>
      </c>
      <c r="F41" s="300"/>
      <c r="G41" s="300"/>
      <c r="H41" s="300"/>
      <c r="I41" s="296">
        <f t="shared" si="0"/>
        <v>0</v>
      </c>
      <c r="J41" s="464">
        <f t="shared" si="1"/>
        <v>0</v>
      </c>
      <c r="K41" s="429"/>
      <c r="L41" s="429"/>
      <c r="M41" s="429"/>
    </row>
    <row r="42" spans="1:13" s="122" customFormat="1" ht="15.75" customHeight="1" x14ac:dyDescent="0.2">
      <c r="A42" s="291"/>
      <c r="B42" s="297" t="s">
        <v>51</v>
      </c>
      <c r="C42" s="292" t="s">
        <v>54</v>
      </c>
      <c r="D42" s="298">
        <v>54314</v>
      </c>
      <c r="E42" s="299" t="s">
        <v>84</v>
      </c>
      <c r="F42" s="300"/>
      <c r="G42" s="300">
        <f>proyectos!AE20</f>
        <v>47717.59</v>
      </c>
      <c r="H42" s="300"/>
      <c r="I42" s="296">
        <f t="shared" si="0"/>
        <v>47717.59</v>
      </c>
      <c r="J42" s="464">
        <f t="shared" si="1"/>
        <v>47717.59</v>
      </c>
      <c r="K42" s="429"/>
      <c r="L42" s="429"/>
      <c r="M42" s="429"/>
    </row>
    <row r="43" spans="1:13" s="122" customFormat="1" ht="15.75" customHeight="1" x14ac:dyDescent="0.2">
      <c r="A43" s="291"/>
      <c r="B43" s="297" t="s">
        <v>51</v>
      </c>
      <c r="C43" s="292" t="s">
        <v>54</v>
      </c>
      <c r="D43" s="298">
        <v>54316</v>
      </c>
      <c r="E43" s="299" t="s">
        <v>239</v>
      </c>
      <c r="F43" s="300"/>
      <c r="G43" s="300"/>
      <c r="H43" s="300"/>
      <c r="I43" s="296">
        <f t="shared" si="0"/>
        <v>0</v>
      </c>
      <c r="J43" s="464">
        <f t="shared" si="1"/>
        <v>0</v>
      </c>
      <c r="K43" s="429"/>
      <c r="L43" s="429"/>
      <c r="M43" s="429"/>
    </row>
    <row r="44" spans="1:13" s="122" customFormat="1" ht="15.75" customHeight="1" x14ac:dyDescent="0.2">
      <c r="A44" s="291"/>
      <c r="B44" s="297" t="s">
        <v>51</v>
      </c>
      <c r="C44" s="292" t="s">
        <v>54</v>
      </c>
      <c r="D44" s="298">
        <v>54399</v>
      </c>
      <c r="E44" s="299" t="s">
        <v>240</v>
      </c>
      <c r="F44" s="300">
        <f>proyectos!AF52</f>
        <v>10915.35</v>
      </c>
      <c r="G44" s="300">
        <f>proyectos!AF20</f>
        <v>1000</v>
      </c>
      <c r="H44" s="300"/>
      <c r="I44" s="296">
        <f t="shared" si="0"/>
        <v>11915.35</v>
      </c>
      <c r="J44" s="464">
        <f t="shared" si="1"/>
        <v>11915.35</v>
      </c>
      <c r="K44" s="429"/>
      <c r="L44" s="429"/>
      <c r="M44" s="429"/>
    </row>
    <row r="45" spans="1:13" s="122" customFormat="1" ht="14.25" customHeight="1" x14ac:dyDescent="0.2">
      <c r="A45" s="291"/>
      <c r="B45" s="297" t="s">
        <v>51</v>
      </c>
      <c r="C45" s="292" t="s">
        <v>54</v>
      </c>
      <c r="D45" s="298">
        <v>54508</v>
      </c>
      <c r="E45" s="299" t="s">
        <v>242</v>
      </c>
      <c r="F45" s="300"/>
      <c r="G45" s="300"/>
      <c r="H45" s="300"/>
      <c r="I45" s="296">
        <f t="shared" si="0"/>
        <v>0</v>
      </c>
      <c r="J45" s="464">
        <f t="shared" si="1"/>
        <v>0</v>
      </c>
      <c r="K45" s="429"/>
      <c r="L45" s="429"/>
      <c r="M45" s="429"/>
    </row>
    <row r="46" spans="1:13" s="122" customFormat="1" ht="15.75" customHeight="1" x14ac:dyDescent="0.2">
      <c r="A46" s="291"/>
      <c r="B46" s="297" t="s">
        <v>51</v>
      </c>
      <c r="C46" s="292" t="s">
        <v>54</v>
      </c>
      <c r="D46" s="298">
        <v>54599</v>
      </c>
      <c r="E46" s="299" t="s">
        <v>243</v>
      </c>
      <c r="F46" s="300"/>
      <c r="G46" s="300"/>
      <c r="H46" s="300"/>
      <c r="I46" s="296">
        <f t="shared" si="0"/>
        <v>0</v>
      </c>
      <c r="J46" s="464">
        <f t="shared" si="1"/>
        <v>0</v>
      </c>
      <c r="K46" s="429"/>
      <c r="L46" s="429"/>
      <c r="M46" s="429"/>
    </row>
    <row r="47" spans="1:13" s="122" customFormat="1" ht="15.75" customHeight="1" x14ac:dyDescent="0.2">
      <c r="A47" s="291"/>
      <c r="B47" s="297" t="s">
        <v>51</v>
      </c>
      <c r="C47" s="292" t="s">
        <v>54</v>
      </c>
      <c r="D47" s="298">
        <v>54602</v>
      </c>
      <c r="E47" s="299" t="s">
        <v>244</v>
      </c>
      <c r="F47" s="300"/>
      <c r="G47" s="300">
        <f>proyectos!AJ20</f>
        <v>98360.03</v>
      </c>
      <c r="H47" s="300"/>
      <c r="I47" s="296">
        <f t="shared" si="0"/>
        <v>98360.03</v>
      </c>
      <c r="J47" s="464">
        <f t="shared" si="1"/>
        <v>98360.03</v>
      </c>
      <c r="K47" s="429"/>
      <c r="L47" s="429"/>
      <c r="M47" s="429"/>
    </row>
    <row r="48" spans="1:13" s="122" customFormat="1" ht="15.75" customHeight="1" x14ac:dyDescent="0.2">
      <c r="A48" s="291"/>
      <c r="B48" s="297" t="s">
        <v>51</v>
      </c>
      <c r="C48" s="292" t="s">
        <v>54</v>
      </c>
      <c r="D48" s="298">
        <v>54603</v>
      </c>
      <c r="E48" s="299" t="s">
        <v>451</v>
      </c>
      <c r="F48" s="300"/>
      <c r="G48" s="300">
        <f>proyectos!AK20</f>
        <v>58477.5</v>
      </c>
      <c r="H48" s="300"/>
      <c r="I48" s="296">
        <f t="shared" si="0"/>
        <v>58477.5</v>
      </c>
      <c r="J48" s="464">
        <f>proyectos!AK52</f>
        <v>0</v>
      </c>
      <c r="K48" s="429"/>
      <c r="L48" s="429"/>
      <c r="M48" s="429"/>
    </row>
    <row r="49" spans="1:13" s="122" customFormat="1" ht="15.75" customHeight="1" x14ac:dyDescent="0.2">
      <c r="A49" s="291"/>
      <c r="B49" s="297" t="s">
        <v>51</v>
      </c>
      <c r="C49" s="292" t="s">
        <v>54</v>
      </c>
      <c r="D49" s="298">
        <v>55307</v>
      </c>
      <c r="E49" s="299" t="s">
        <v>547</v>
      </c>
      <c r="F49" s="300">
        <f>proyectos!Y52</f>
        <v>5000</v>
      </c>
      <c r="G49" s="300"/>
      <c r="H49" s="300"/>
      <c r="I49" s="296">
        <f t="shared" si="0"/>
        <v>5000</v>
      </c>
      <c r="J49" s="464"/>
      <c r="K49" s="429"/>
      <c r="L49" s="429"/>
      <c r="M49" s="429"/>
    </row>
    <row r="50" spans="1:13" s="122" customFormat="1" ht="13.5" customHeight="1" x14ac:dyDescent="0.2">
      <c r="A50" s="291"/>
      <c r="B50" s="297" t="s">
        <v>51</v>
      </c>
      <c r="C50" s="292" t="s">
        <v>54</v>
      </c>
      <c r="D50" s="298">
        <v>55602</v>
      </c>
      <c r="E50" s="299" t="s">
        <v>546</v>
      </c>
      <c r="F50" s="300">
        <f>proyectos!X52</f>
        <v>1980</v>
      </c>
      <c r="G50" s="300"/>
      <c r="H50" s="300"/>
      <c r="I50" s="296">
        <f t="shared" si="0"/>
        <v>1980</v>
      </c>
      <c r="J50" s="464"/>
      <c r="K50" s="429"/>
      <c r="L50" s="429"/>
      <c r="M50" s="429"/>
    </row>
    <row r="51" spans="1:13" s="122" customFormat="1" ht="15.75" customHeight="1" x14ac:dyDescent="0.2">
      <c r="A51" s="291"/>
      <c r="B51" s="297" t="s">
        <v>51</v>
      </c>
      <c r="C51" s="292" t="s">
        <v>54</v>
      </c>
      <c r="D51" s="298">
        <v>55603</v>
      </c>
      <c r="E51" s="299" t="s">
        <v>227</v>
      </c>
      <c r="F51" s="300"/>
      <c r="G51" s="300"/>
      <c r="H51" s="300"/>
      <c r="I51" s="296">
        <f t="shared" si="0"/>
        <v>0</v>
      </c>
      <c r="J51" s="464">
        <f t="shared" si="1"/>
        <v>0</v>
      </c>
      <c r="K51" s="429"/>
      <c r="L51" s="429"/>
      <c r="M51" s="429"/>
    </row>
    <row r="52" spans="1:13" s="122" customFormat="1" ht="15.75" customHeight="1" x14ac:dyDescent="0.2">
      <c r="A52" s="291"/>
      <c r="B52" s="297" t="s">
        <v>51</v>
      </c>
      <c r="C52" s="292" t="s">
        <v>54</v>
      </c>
      <c r="D52" s="298">
        <v>56304</v>
      </c>
      <c r="E52" s="299" t="s">
        <v>271</v>
      </c>
      <c r="F52" s="300"/>
      <c r="G52" s="300">
        <f>proyectos!AG20+proyectos!AV20</f>
        <v>40771</v>
      </c>
      <c r="H52" s="300"/>
      <c r="I52" s="296">
        <f t="shared" si="0"/>
        <v>40771</v>
      </c>
      <c r="J52" s="464">
        <f t="shared" si="1"/>
        <v>40771</v>
      </c>
      <c r="K52" s="429"/>
      <c r="L52" s="429"/>
      <c r="M52" s="429"/>
    </row>
    <row r="53" spans="1:13" s="122" customFormat="1" ht="15.75" customHeight="1" x14ac:dyDescent="0.2">
      <c r="A53" s="291"/>
      <c r="B53" s="297" t="s">
        <v>51</v>
      </c>
      <c r="C53" s="292" t="s">
        <v>54</v>
      </c>
      <c r="D53" s="298">
        <v>56305</v>
      </c>
      <c r="E53" s="299" t="s">
        <v>330</v>
      </c>
      <c r="F53" s="300"/>
      <c r="G53" s="300">
        <f>proyectos!AH20</f>
        <v>13000</v>
      </c>
      <c r="H53" s="300"/>
      <c r="I53" s="296">
        <f t="shared" si="0"/>
        <v>13000</v>
      </c>
      <c r="J53" s="464">
        <f t="shared" si="1"/>
        <v>13000</v>
      </c>
      <c r="K53" s="429"/>
      <c r="L53" s="465">
        <f>SUM(I54:I64)</f>
        <v>32717.84</v>
      </c>
      <c r="M53" s="429"/>
    </row>
    <row r="54" spans="1:13" s="122" customFormat="1" ht="15.75" customHeight="1" x14ac:dyDescent="0.2">
      <c r="A54" s="291"/>
      <c r="B54" s="297" t="s">
        <v>51</v>
      </c>
      <c r="C54" s="292" t="s">
        <v>54</v>
      </c>
      <c r="D54" s="298">
        <v>61101</v>
      </c>
      <c r="E54" s="299" t="s">
        <v>230</v>
      </c>
      <c r="F54" s="300"/>
      <c r="G54" s="300"/>
      <c r="H54" s="300"/>
      <c r="I54" s="296">
        <f t="shared" si="0"/>
        <v>0</v>
      </c>
      <c r="J54" s="464">
        <f t="shared" si="1"/>
        <v>0</v>
      </c>
      <c r="K54" s="429"/>
      <c r="L54" s="429"/>
      <c r="M54" s="429"/>
    </row>
    <row r="55" spans="1:13" s="122" customFormat="1" ht="15.75" customHeight="1" x14ac:dyDescent="0.2">
      <c r="A55" s="291"/>
      <c r="B55" s="297" t="s">
        <v>51</v>
      </c>
      <c r="C55" s="292" t="s">
        <v>54</v>
      </c>
      <c r="D55" s="298">
        <v>61102</v>
      </c>
      <c r="E55" s="299" t="str">
        <f>proyectos!B41</f>
        <v>Maquinaria y Equipos (61102)</v>
      </c>
      <c r="F55" s="300"/>
      <c r="G55" s="300"/>
      <c r="H55" s="300"/>
      <c r="I55" s="296">
        <f t="shared" si="0"/>
        <v>0</v>
      </c>
      <c r="J55" s="464">
        <f t="shared" si="1"/>
        <v>0</v>
      </c>
      <c r="K55" s="429"/>
      <c r="L55" s="429"/>
      <c r="M55" s="429"/>
    </row>
    <row r="56" spans="1:13" s="122" customFormat="1" ht="15.75" customHeight="1" x14ac:dyDescent="0.2">
      <c r="A56" s="291"/>
      <c r="B56" s="297" t="s">
        <v>51</v>
      </c>
      <c r="C56" s="292" t="s">
        <v>54</v>
      </c>
      <c r="D56" s="298">
        <v>61105</v>
      </c>
      <c r="E56" s="299" t="s">
        <v>477</v>
      </c>
      <c r="F56" s="300">
        <f>proyectos!W52</f>
        <v>26217.84</v>
      </c>
      <c r="G56" s="300"/>
      <c r="H56" s="300"/>
      <c r="I56" s="296">
        <f t="shared" si="0"/>
        <v>26217.84</v>
      </c>
      <c r="J56" s="464"/>
      <c r="K56" s="429"/>
      <c r="L56" s="429"/>
      <c r="M56" s="429"/>
    </row>
    <row r="57" spans="1:13" s="122" customFormat="1" ht="15.75" customHeight="1" x14ac:dyDescent="0.2">
      <c r="A57" s="291"/>
      <c r="B57" s="297" t="s">
        <v>51</v>
      </c>
      <c r="C57" s="292" t="s">
        <v>54</v>
      </c>
      <c r="D57" s="298">
        <v>61201</v>
      </c>
      <c r="E57" s="299" t="str">
        <f>proyectos!B42</f>
        <v>Terrenos  (61201)</v>
      </c>
      <c r="F57" s="300"/>
      <c r="G57" s="300"/>
      <c r="H57" s="300"/>
      <c r="I57" s="296">
        <f t="shared" si="0"/>
        <v>0</v>
      </c>
      <c r="J57" s="464">
        <f t="shared" si="1"/>
        <v>0</v>
      </c>
      <c r="K57" s="429"/>
      <c r="L57" s="429"/>
      <c r="M57" s="429"/>
    </row>
    <row r="58" spans="1:13" s="122" customFormat="1" ht="15.75" customHeight="1" x14ac:dyDescent="0.2">
      <c r="A58" s="291"/>
      <c r="B58" s="297" t="s">
        <v>51</v>
      </c>
      <c r="C58" s="292" t="s">
        <v>54</v>
      </c>
      <c r="D58" s="298">
        <v>61501</v>
      </c>
      <c r="E58" s="299" t="str">
        <f>proyectos!B43</f>
        <v>Estudios de Preinversión (de Construcciones). (61501)</v>
      </c>
      <c r="F58" s="300">
        <v>3000</v>
      </c>
      <c r="G58" s="300"/>
      <c r="H58" s="300"/>
      <c r="I58" s="296">
        <f t="shared" si="0"/>
        <v>3000</v>
      </c>
      <c r="J58" s="464">
        <f t="shared" si="1"/>
        <v>3000</v>
      </c>
      <c r="K58" s="429"/>
      <c r="L58" s="429"/>
      <c r="M58" s="429"/>
    </row>
    <row r="59" spans="1:13" s="122" customFormat="1" ht="15.75" customHeight="1" x14ac:dyDescent="0.2">
      <c r="A59" s="291"/>
      <c r="B59" s="297" t="s">
        <v>51</v>
      </c>
      <c r="C59" s="292" t="s">
        <v>54</v>
      </c>
      <c r="D59" s="298">
        <v>61599</v>
      </c>
      <c r="E59" s="299" t="str">
        <f>proyectos!B44</f>
        <v>Estudios de Preinversión  (proy.progr.divers). (61599)</v>
      </c>
      <c r="F59" s="300"/>
      <c r="G59" s="300">
        <v>1500</v>
      </c>
      <c r="H59" s="300"/>
      <c r="I59" s="296">
        <f t="shared" si="0"/>
        <v>1500</v>
      </c>
      <c r="J59" s="464">
        <f t="shared" si="1"/>
        <v>1500</v>
      </c>
      <c r="K59" s="429"/>
      <c r="L59" s="429">
        <v>8900</v>
      </c>
      <c r="M59" s="429"/>
    </row>
    <row r="60" spans="1:13" s="122" customFormat="1" ht="15.75" customHeight="1" x14ac:dyDescent="0.2">
      <c r="A60" s="291"/>
      <c r="B60" s="297" t="s">
        <v>51</v>
      </c>
      <c r="C60" s="292" t="s">
        <v>54</v>
      </c>
      <c r="D60" s="298">
        <v>61601</v>
      </c>
      <c r="E60" s="299" t="str">
        <f>proyectos!B45</f>
        <v>Viales  (61601)</v>
      </c>
      <c r="F60" s="300"/>
      <c r="G60" s="300"/>
      <c r="H60" s="300"/>
      <c r="I60" s="296">
        <f t="shared" si="0"/>
        <v>0</v>
      </c>
      <c r="J60" s="464">
        <f t="shared" si="1"/>
        <v>0</v>
      </c>
      <c r="K60" s="429"/>
      <c r="L60" s="429">
        <v>3500</v>
      </c>
      <c r="M60" s="429"/>
    </row>
    <row r="61" spans="1:13" s="122" customFormat="1" ht="15.75" customHeight="1" x14ac:dyDescent="0.2">
      <c r="A61" s="291"/>
      <c r="B61" s="297" t="s">
        <v>51</v>
      </c>
      <c r="C61" s="292" t="s">
        <v>54</v>
      </c>
      <c r="D61" s="298">
        <v>61602</v>
      </c>
      <c r="E61" s="299" t="str">
        <f>proyectos!B46</f>
        <v>De Salud y Saneamiento Ambiental  (61602)</v>
      </c>
      <c r="F61" s="301"/>
      <c r="G61" s="301"/>
      <c r="H61" s="301"/>
      <c r="I61" s="296">
        <f t="shared" si="0"/>
        <v>0</v>
      </c>
      <c r="J61" s="464">
        <f t="shared" si="1"/>
        <v>0</v>
      </c>
      <c r="K61" s="429"/>
      <c r="L61" s="465">
        <v>140764.45000000001</v>
      </c>
      <c r="M61" s="429"/>
    </row>
    <row r="62" spans="1:13" s="122" customFormat="1" ht="15.75" customHeight="1" x14ac:dyDescent="0.2">
      <c r="A62" s="291"/>
      <c r="B62" s="297" t="s">
        <v>51</v>
      </c>
      <c r="C62" s="292" t="s">
        <v>54</v>
      </c>
      <c r="D62" s="298">
        <v>61603</v>
      </c>
      <c r="E62" s="299" t="str">
        <f>proyectos!B47</f>
        <v>De Educación y Recreación  (61603)</v>
      </c>
      <c r="F62" s="301"/>
      <c r="G62" s="301"/>
      <c r="H62" s="301"/>
      <c r="I62" s="296">
        <f t="shared" si="0"/>
        <v>0</v>
      </c>
      <c r="J62" s="464">
        <f t="shared" si="1"/>
        <v>0</v>
      </c>
      <c r="K62" s="429"/>
      <c r="L62" s="465">
        <v>5000</v>
      </c>
      <c r="M62" s="429"/>
    </row>
    <row r="63" spans="1:13" s="122" customFormat="1" ht="15.75" customHeight="1" x14ac:dyDescent="0.2">
      <c r="A63" s="291"/>
      <c r="B63" s="297" t="s">
        <v>51</v>
      </c>
      <c r="C63" s="292" t="s">
        <v>54</v>
      </c>
      <c r="D63" s="298">
        <v>61606</v>
      </c>
      <c r="E63" s="299" t="str">
        <f>proyectos!B48</f>
        <v>Eléctricas y Comunicaciones  (61606)</v>
      </c>
      <c r="F63" s="301"/>
      <c r="G63" s="301"/>
      <c r="H63" s="301"/>
      <c r="I63" s="296">
        <f t="shared" si="0"/>
        <v>0</v>
      </c>
      <c r="J63" s="464">
        <f t="shared" si="1"/>
        <v>0</v>
      </c>
      <c r="K63" s="429"/>
      <c r="L63" s="465">
        <f>SUM(L59:L62)</f>
        <v>158164.45000000001</v>
      </c>
      <c r="M63" s="429"/>
    </row>
    <row r="64" spans="1:13" s="122" customFormat="1" ht="15.75" customHeight="1" x14ac:dyDescent="0.2">
      <c r="A64" s="291"/>
      <c r="B64" s="297" t="s">
        <v>51</v>
      </c>
      <c r="C64" s="292" t="s">
        <v>54</v>
      </c>
      <c r="D64" s="298">
        <v>61608</v>
      </c>
      <c r="E64" s="299" t="str">
        <f>proyectos!B49</f>
        <v>Supervición de Infraestructura (61608)</v>
      </c>
      <c r="F64" s="301">
        <v>2000</v>
      </c>
      <c r="G64" s="301"/>
      <c r="H64" s="301"/>
      <c r="I64" s="296">
        <f t="shared" si="0"/>
        <v>2000</v>
      </c>
      <c r="J64" s="464">
        <f t="shared" si="1"/>
        <v>2000</v>
      </c>
      <c r="K64" s="429"/>
      <c r="L64" s="464"/>
      <c r="M64" s="429"/>
    </row>
    <row r="65" spans="1:13" s="122" customFormat="1" ht="15.75" customHeight="1" x14ac:dyDescent="0.2">
      <c r="A65" s="291"/>
      <c r="B65" s="297" t="s">
        <v>51</v>
      </c>
      <c r="C65" s="292" t="s">
        <v>54</v>
      </c>
      <c r="D65" s="298">
        <v>61699</v>
      </c>
      <c r="E65" s="299" t="str">
        <f>proyectos!B50</f>
        <v>Obras de Infraestructura Diversa  (11699)</v>
      </c>
      <c r="F65" s="301"/>
      <c r="G65" s="301"/>
      <c r="H65" s="301"/>
      <c r="I65" s="296">
        <f t="shared" si="0"/>
        <v>0</v>
      </c>
      <c r="J65" s="464">
        <f t="shared" si="1"/>
        <v>0</v>
      </c>
      <c r="K65" s="429"/>
      <c r="L65" s="464"/>
      <c r="M65" s="429"/>
    </row>
    <row r="66" spans="1:13" s="122" customFormat="1" ht="15.75" customHeight="1" x14ac:dyDescent="0.2">
      <c r="A66" s="302"/>
      <c r="B66" s="297"/>
      <c r="C66" s="292"/>
      <c r="D66" s="298"/>
      <c r="E66" s="299" t="s">
        <v>548</v>
      </c>
      <c r="F66" s="301"/>
      <c r="G66" s="301"/>
      <c r="H66" s="301"/>
      <c r="I66" s="296">
        <f>proyectos!E52</f>
        <v>237321.2</v>
      </c>
      <c r="J66" s="464">
        <f t="shared" si="1"/>
        <v>0</v>
      </c>
      <c r="K66" s="429"/>
      <c r="L66" s="464"/>
      <c r="M66" s="429"/>
    </row>
    <row r="67" spans="1:13" s="122" customFormat="1" ht="15.75" customHeight="1" x14ac:dyDescent="0.2">
      <c r="A67" s="302"/>
      <c r="B67" s="297"/>
      <c r="C67" s="292"/>
      <c r="D67" s="298"/>
      <c r="E67" s="299"/>
      <c r="F67" s="301"/>
      <c r="G67" s="301"/>
      <c r="H67" s="301"/>
      <c r="I67" s="296">
        <f t="shared" ref="I67:I68" si="2">SUM(F67:H67)</f>
        <v>0</v>
      </c>
      <c r="J67" s="464">
        <f t="shared" si="1"/>
        <v>0</v>
      </c>
      <c r="K67" s="429"/>
      <c r="L67" s="465"/>
      <c r="M67" s="429"/>
    </row>
    <row r="68" spans="1:13" s="122" customFormat="1" ht="15.75" customHeight="1" thickBot="1" x14ac:dyDescent="0.25">
      <c r="A68" s="303"/>
      <c r="B68" s="304"/>
      <c r="C68" s="304"/>
      <c r="D68" s="305"/>
      <c r="E68" s="306"/>
      <c r="F68" s="307"/>
      <c r="G68" s="307"/>
      <c r="H68" s="307"/>
      <c r="I68" s="296">
        <f t="shared" si="2"/>
        <v>0</v>
      </c>
      <c r="J68" s="464">
        <f t="shared" si="1"/>
        <v>0</v>
      </c>
      <c r="K68" s="429"/>
      <c r="L68" s="464"/>
      <c r="M68" s="429"/>
    </row>
    <row r="69" spans="1:13" ht="30" customHeight="1" thickBot="1" x14ac:dyDescent="0.25">
      <c r="A69" s="620" t="s">
        <v>335</v>
      </c>
      <c r="B69" s="621"/>
      <c r="C69" s="621"/>
      <c r="D69" s="621"/>
      <c r="E69" s="622"/>
      <c r="F69" s="308">
        <f t="shared" ref="F69:H69" si="3">SUM(F11:F68)</f>
        <v>257815.00000000003</v>
      </c>
      <c r="G69" s="308">
        <f t="shared" si="3"/>
        <v>287325.92</v>
      </c>
      <c r="H69" s="308">
        <f t="shared" si="3"/>
        <v>0</v>
      </c>
      <c r="I69" s="308">
        <f>SUM(I11:I68)</f>
        <v>782462.11999999988</v>
      </c>
      <c r="J69" s="464">
        <f t="shared" si="1"/>
        <v>545140.92000000004</v>
      </c>
      <c r="K69" s="466"/>
      <c r="L69" s="467"/>
      <c r="M69" s="458"/>
    </row>
    <row r="70" spans="1:13" x14ac:dyDescent="0.2">
      <c r="A70" s="23"/>
      <c r="B70" s="23"/>
      <c r="C70" s="23"/>
      <c r="D70" s="23"/>
      <c r="I70" s="41"/>
      <c r="J70" s="458"/>
      <c r="K70" s="458"/>
      <c r="L70" s="467"/>
      <c r="M70" s="458"/>
    </row>
    <row r="71" spans="1:13" ht="15.75" x14ac:dyDescent="0.25">
      <c r="A71" s="468"/>
      <c r="B71" s="468"/>
      <c r="C71" s="468"/>
      <c r="D71" s="468"/>
      <c r="E71" s="469"/>
      <c r="F71" s="469"/>
      <c r="G71" s="469"/>
      <c r="H71" s="469"/>
      <c r="I71" s="476">
        <f>SUM(Ingresos!D49)</f>
        <v>1127516.24</v>
      </c>
      <c r="J71" s="458" t="s">
        <v>372</v>
      </c>
      <c r="K71" s="458"/>
      <c r="L71" s="458"/>
      <c r="M71" s="458"/>
    </row>
    <row r="72" spans="1:13" ht="19.5" customHeight="1" x14ac:dyDescent="0.2">
      <c r="A72" s="619" t="s">
        <v>14</v>
      </c>
      <c r="B72" s="619"/>
      <c r="C72" s="619"/>
      <c r="D72" s="619"/>
      <c r="E72" s="461"/>
      <c r="F72" s="470">
        <f>SUM(F55:F65)</f>
        <v>31217.84</v>
      </c>
      <c r="G72" s="461"/>
      <c r="H72" s="461"/>
      <c r="I72" s="477">
        <f>'Deuda Pub 75%'!H18</f>
        <v>345054.12</v>
      </c>
      <c r="J72" s="458" t="s">
        <v>373</v>
      </c>
      <c r="K72" s="458"/>
      <c r="L72" s="467"/>
      <c r="M72" s="458"/>
    </row>
    <row r="73" spans="1:13" ht="27" customHeight="1" x14ac:dyDescent="0.25">
      <c r="A73" s="614" t="s">
        <v>2</v>
      </c>
      <c r="B73" s="614"/>
      <c r="C73" s="614"/>
      <c r="D73" s="614"/>
      <c r="E73" s="614"/>
      <c r="F73" s="471" t="s">
        <v>484</v>
      </c>
      <c r="G73" s="472"/>
      <c r="H73" s="472"/>
      <c r="I73" s="478">
        <f>SUM(I71-I72)</f>
        <v>782462.12</v>
      </c>
      <c r="J73" s="458" t="s">
        <v>374</v>
      </c>
      <c r="K73" s="458"/>
      <c r="L73" s="458"/>
      <c r="M73" s="458"/>
    </row>
    <row r="74" spans="1:13" ht="20.25" customHeight="1" x14ac:dyDescent="0.2">
      <c r="A74" s="614" t="s">
        <v>8</v>
      </c>
      <c r="B74" s="614"/>
      <c r="C74" s="614"/>
      <c r="D74" s="614"/>
      <c r="E74" s="614"/>
      <c r="F74" s="472" t="s">
        <v>485</v>
      </c>
      <c r="G74" s="472"/>
      <c r="H74" s="472"/>
      <c r="I74" s="477"/>
      <c r="J74" s="458"/>
      <c r="K74" s="458"/>
      <c r="L74" s="467"/>
      <c r="M74" s="458"/>
    </row>
    <row r="75" spans="1:13" ht="21.75" customHeight="1" x14ac:dyDescent="0.2">
      <c r="A75" s="614" t="s">
        <v>9</v>
      </c>
      <c r="B75" s="614"/>
      <c r="C75" s="614"/>
      <c r="D75" s="614"/>
      <c r="E75" s="614"/>
      <c r="F75" s="472" t="s">
        <v>486</v>
      </c>
      <c r="G75" s="472"/>
      <c r="H75" s="472"/>
      <c r="I75" s="462"/>
      <c r="J75" s="458"/>
      <c r="K75" s="458"/>
      <c r="L75" s="458"/>
      <c r="M75" s="458"/>
    </row>
    <row r="76" spans="1:13" x14ac:dyDescent="0.2">
      <c r="A76" s="614"/>
      <c r="B76" s="614"/>
      <c r="C76" s="614"/>
      <c r="D76" s="614"/>
      <c r="E76" s="614"/>
      <c r="F76" s="472" t="s">
        <v>487</v>
      </c>
      <c r="G76" s="472"/>
      <c r="H76" s="472"/>
      <c r="I76" s="462">
        <f>SUM(I73-I69)</f>
        <v>1.1641532182693481E-10</v>
      </c>
      <c r="J76" s="458"/>
      <c r="K76" s="458"/>
      <c r="L76" s="458">
        <f>1119752.54-252955.08</f>
        <v>866797.46000000008</v>
      </c>
      <c r="M76" s="458"/>
    </row>
    <row r="77" spans="1:13" x14ac:dyDescent="0.2">
      <c r="A77" s="473"/>
      <c r="B77" s="473"/>
      <c r="C77" s="473"/>
      <c r="D77" s="473"/>
      <c r="E77" s="461"/>
      <c r="F77" s="470">
        <f>SUM(F73:F76)</f>
        <v>0</v>
      </c>
      <c r="G77" s="461"/>
      <c r="H77" s="461"/>
      <c r="I77" s="462"/>
      <c r="J77" s="458"/>
      <c r="K77" s="458"/>
      <c r="L77" s="458"/>
      <c r="M77" s="458"/>
    </row>
    <row r="78" spans="1:13" x14ac:dyDescent="0.2">
      <c r="A78" s="473"/>
      <c r="B78" s="473"/>
      <c r="C78" s="473"/>
      <c r="D78" s="473"/>
      <c r="E78" s="461"/>
      <c r="F78" s="461"/>
      <c r="G78" s="461"/>
      <c r="H78" s="461"/>
      <c r="I78" s="462"/>
      <c r="J78" s="458"/>
      <c r="K78" s="458"/>
      <c r="L78" s="458"/>
      <c r="M78" s="458"/>
    </row>
    <row r="79" spans="1:13" x14ac:dyDescent="0.2">
      <c r="A79" s="473"/>
      <c r="B79" s="473"/>
      <c r="C79" s="473"/>
      <c r="D79" s="473"/>
      <c r="E79" s="461"/>
      <c r="F79" s="461"/>
      <c r="G79" s="461"/>
      <c r="H79" s="461"/>
      <c r="I79" s="462"/>
      <c r="J79" s="458"/>
      <c r="K79" s="458"/>
      <c r="L79" s="458"/>
      <c r="M79" s="458"/>
    </row>
    <row r="80" spans="1:13" x14ac:dyDescent="0.2">
      <c r="I80" s="121"/>
      <c r="J80" s="458"/>
      <c r="K80" s="458"/>
      <c r="L80" s="458"/>
      <c r="M80" s="458"/>
    </row>
    <row r="81" spans="10:13" x14ac:dyDescent="0.2">
      <c r="J81" s="458"/>
      <c r="K81" s="458"/>
      <c r="L81" s="458"/>
      <c r="M81" s="458"/>
    </row>
    <row r="82" spans="10:13" x14ac:dyDescent="0.2">
      <c r="J82" s="458"/>
      <c r="K82" s="458"/>
      <c r="L82" s="458"/>
      <c r="M82" s="458"/>
    </row>
    <row r="83" spans="10:13" x14ac:dyDescent="0.2">
      <c r="J83" s="458"/>
      <c r="K83" s="458"/>
      <c r="L83" s="458"/>
      <c r="M83" s="458"/>
    </row>
  </sheetData>
  <sheetProtection algorithmName="SHA-512" hashValue="OdNY4LeTtcDqg4wh72/F08bbh2Svss98bgZQxvlpJbVEYT/uo3JKsM7PIi+i+g76zhGtunLJ7iiqq87UisT7WA==" saltValue="jGy6vR+vqUcBTYAF8sNpsQ==" spinCount="100000" sheet="1" objects="1" scenarios="1"/>
  <sortState ref="D11:E45">
    <sortCondition ref="D11"/>
  </sortState>
  <mergeCells count="20">
    <mergeCell ref="A6:I6"/>
    <mergeCell ref="A1:I1"/>
    <mergeCell ref="A2:I2"/>
    <mergeCell ref="A3:I3"/>
    <mergeCell ref="A4:I4"/>
    <mergeCell ref="A5:I5"/>
    <mergeCell ref="A73:E73"/>
    <mergeCell ref="A74:E74"/>
    <mergeCell ref="A75:E75"/>
    <mergeCell ref="A76:E76"/>
    <mergeCell ref="A7:I7"/>
    <mergeCell ref="A8:I8"/>
    <mergeCell ref="A9:D9"/>
    <mergeCell ref="E9:E10"/>
    <mergeCell ref="I9:I10"/>
    <mergeCell ref="A72:D72"/>
    <mergeCell ref="A69:E69"/>
    <mergeCell ref="F9:F10"/>
    <mergeCell ref="G9:G10"/>
    <mergeCell ref="H9:H10"/>
  </mergeCells>
  <printOptions horizontalCentered="1"/>
  <pageMargins left="0.78" right="0.87" top="1.31" bottom="0.55000000000000004" header="0.44" footer="0.31496062992125984"/>
  <pageSetup scale="76" orientation="landscape" r:id="rId1"/>
  <rowBreaks count="2" manualBreakCount="2">
    <brk id="27" min="8" max="8" man="1"/>
    <brk id="55" min="8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3">
    <tabColor indexed="57"/>
  </sheetPr>
  <dimension ref="A1:L25"/>
  <sheetViews>
    <sheetView view="pageBreakPreview" zoomScale="96" zoomScaleSheetLayoutView="96" workbookViewId="0">
      <selection activeCell="H12" sqref="H12"/>
    </sheetView>
  </sheetViews>
  <sheetFormatPr baseColWidth="10" defaultColWidth="11.42578125" defaultRowHeight="12.75" x14ac:dyDescent="0.2"/>
  <cols>
    <col min="1" max="1" width="6.28515625" style="33" customWidth="1"/>
    <col min="2" max="2" width="7.42578125" style="33" customWidth="1"/>
    <col min="3" max="3" width="7.85546875" style="34" customWidth="1"/>
    <col min="4" max="4" width="7.42578125" style="31" customWidth="1"/>
    <col min="5" max="5" width="7.28515625" style="31" customWidth="1"/>
    <col min="6" max="6" width="10.140625" style="31" customWidth="1"/>
    <col min="7" max="7" width="38" style="25" customWidth="1"/>
    <col min="8" max="8" width="18.85546875" style="25" customWidth="1"/>
    <col min="9" max="10" width="11.42578125" style="26"/>
    <col min="11" max="11" width="13.42578125" style="26" bestFit="1" customWidth="1"/>
    <col min="12" max="16384" width="11.42578125" style="26"/>
  </cols>
  <sheetData>
    <row r="1" spans="1:12" ht="18" x14ac:dyDescent="0.2">
      <c r="A1" s="553" t="s">
        <v>446</v>
      </c>
      <c r="B1" s="554"/>
      <c r="C1" s="554"/>
      <c r="D1" s="554"/>
      <c r="E1" s="554"/>
      <c r="F1" s="554"/>
      <c r="G1" s="554"/>
      <c r="H1" s="554"/>
    </row>
    <row r="2" spans="1:12" ht="18" x14ac:dyDescent="0.2">
      <c r="A2" s="553" t="s">
        <v>408</v>
      </c>
      <c r="B2" s="554"/>
      <c r="C2" s="554"/>
      <c r="D2" s="554"/>
      <c r="E2" s="554"/>
      <c r="F2" s="554"/>
      <c r="G2" s="554"/>
      <c r="H2" s="554"/>
    </row>
    <row r="3" spans="1:12" ht="15.75" x14ac:dyDescent="0.2">
      <c r="A3" s="581" t="s">
        <v>12</v>
      </c>
      <c r="B3" s="582"/>
      <c r="C3" s="582"/>
      <c r="D3" s="582"/>
      <c r="E3" s="582"/>
      <c r="F3" s="582"/>
      <c r="G3" s="582"/>
      <c r="H3" s="582"/>
    </row>
    <row r="4" spans="1:12" ht="15.75" x14ac:dyDescent="0.2">
      <c r="A4" s="581" t="s">
        <v>496</v>
      </c>
      <c r="B4" s="582"/>
      <c r="C4" s="582"/>
      <c r="D4" s="582"/>
      <c r="E4" s="582"/>
      <c r="F4" s="582"/>
      <c r="G4" s="582"/>
      <c r="H4" s="582"/>
    </row>
    <row r="5" spans="1:12" ht="15.75" x14ac:dyDescent="0.2">
      <c r="A5" s="583" t="s">
        <v>13</v>
      </c>
      <c r="B5" s="584"/>
      <c r="C5" s="584"/>
      <c r="D5" s="584"/>
      <c r="E5" s="584"/>
      <c r="F5" s="584"/>
      <c r="G5" s="584"/>
      <c r="H5" s="584"/>
    </row>
    <row r="6" spans="1:12" x14ac:dyDescent="0.2">
      <c r="A6" s="309"/>
      <c r="B6" s="310"/>
      <c r="C6" s="311"/>
      <c r="D6" s="312"/>
      <c r="E6" s="312"/>
      <c r="F6" s="312"/>
      <c r="G6" s="309"/>
      <c r="H6" s="309"/>
    </row>
    <row r="7" spans="1:12" ht="20.25" customHeight="1" thickBot="1" x14ac:dyDescent="0.25">
      <c r="A7" s="585" t="s">
        <v>356</v>
      </c>
      <c r="B7" s="585"/>
      <c r="C7" s="585"/>
      <c r="D7" s="585"/>
      <c r="E7" s="585"/>
      <c r="F7" s="585"/>
      <c r="G7" s="585"/>
      <c r="H7" s="585"/>
    </row>
    <row r="8" spans="1:12" ht="99.95" customHeight="1" thickBot="1" x14ac:dyDescent="0.25">
      <c r="A8" s="627" t="s">
        <v>0</v>
      </c>
      <c r="B8" s="628"/>
      <c r="C8" s="628"/>
      <c r="D8" s="628"/>
      <c r="E8" s="628"/>
      <c r="F8" s="629"/>
      <c r="G8" s="630" t="s">
        <v>183</v>
      </c>
      <c r="H8" s="632" t="s">
        <v>184</v>
      </c>
    </row>
    <row r="9" spans="1:12" s="27" customFormat="1" ht="99.95" customHeight="1" thickBot="1" x14ac:dyDescent="0.25">
      <c r="A9" s="313" t="s">
        <v>177</v>
      </c>
      <c r="B9" s="314" t="s">
        <v>178</v>
      </c>
      <c r="C9" s="314" t="s">
        <v>179</v>
      </c>
      <c r="D9" s="314" t="s">
        <v>180</v>
      </c>
      <c r="E9" s="315" t="s">
        <v>181</v>
      </c>
      <c r="F9" s="316" t="s">
        <v>182</v>
      </c>
      <c r="G9" s="631"/>
      <c r="H9" s="633"/>
      <c r="I9" s="484"/>
      <c r="J9" s="484"/>
      <c r="K9" s="484"/>
      <c r="L9" s="484"/>
    </row>
    <row r="10" spans="1:12" ht="36.75" customHeight="1" x14ac:dyDescent="0.2">
      <c r="A10" s="317">
        <v>5</v>
      </c>
      <c r="B10" s="318" t="s">
        <v>57</v>
      </c>
      <c r="C10" s="318" t="s">
        <v>49</v>
      </c>
      <c r="D10" s="318" t="s">
        <v>51</v>
      </c>
      <c r="E10" s="318" t="s">
        <v>54</v>
      </c>
      <c r="F10" s="319" t="s">
        <v>74</v>
      </c>
      <c r="G10" s="320" t="s">
        <v>520</v>
      </c>
      <c r="H10" s="479">
        <f>163.3*12</f>
        <v>1959.6000000000001</v>
      </c>
      <c r="I10" s="485"/>
      <c r="J10" s="485">
        <v>55</v>
      </c>
      <c r="K10" s="486">
        <f>SUM(H10:H12)</f>
        <v>163809.46000000002</v>
      </c>
      <c r="L10" s="485"/>
    </row>
    <row r="11" spans="1:12" ht="36.75" customHeight="1" x14ac:dyDescent="0.2">
      <c r="A11" s="321">
        <v>5</v>
      </c>
      <c r="B11" s="322" t="s">
        <v>57</v>
      </c>
      <c r="C11" s="322" t="s">
        <v>49</v>
      </c>
      <c r="D11" s="322" t="s">
        <v>51</v>
      </c>
      <c r="E11" s="322" t="s">
        <v>54</v>
      </c>
      <c r="F11" s="323" t="s">
        <v>482</v>
      </c>
      <c r="G11" s="324" t="s">
        <v>144</v>
      </c>
      <c r="H11" s="480">
        <v>16857.599999999999</v>
      </c>
      <c r="I11" s="485"/>
      <c r="J11" s="485">
        <v>71</v>
      </c>
      <c r="K11" s="486">
        <f>+H13+H14</f>
        <v>181244.65999999997</v>
      </c>
      <c r="L11" s="485"/>
    </row>
    <row r="12" spans="1:12" ht="36.75" customHeight="1" x14ac:dyDescent="0.2">
      <c r="A12" s="325">
        <v>5</v>
      </c>
      <c r="B12" s="326" t="s">
        <v>57</v>
      </c>
      <c r="C12" s="326" t="s">
        <v>49</v>
      </c>
      <c r="D12" s="326" t="s">
        <v>51</v>
      </c>
      <c r="E12" s="326" t="s">
        <v>54</v>
      </c>
      <c r="F12" s="327" t="s">
        <v>279</v>
      </c>
      <c r="G12" s="328" t="s">
        <v>281</v>
      </c>
      <c r="H12" s="481">
        <v>144992.26</v>
      </c>
      <c r="I12" s="485"/>
      <c r="J12" s="485"/>
      <c r="K12" s="486">
        <f>SUM(K10:K11)</f>
        <v>345054.12</v>
      </c>
      <c r="L12" s="485"/>
    </row>
    <row r="13" spans="1:12" ht="36.75" customHeight="1" x14ac:dyDescent="0.2">
      <c r="A13" s="321">
        <v>5</v>
      </c>
      <c r="B13" s="322" t="s">
        <v>57</v>
      </c>
      <c r="C13" s="322" t="s">
        <v>49</v>
      </c>
      <c r="D13" s="322" t="s">
        <v>51</v>
      </c>
      <c r="E13" s="322" t="s">
        <v>54</v>
      </c>
      <c r="F13" s="323" t="s">
        <v>483</v>
      </c>
      <c r="G13" s="329" t="s">
        <v>144</v>
      </c>
      <c r="H13" s="480">
        <v>86099.76</v>
      </c>
      <c r="I13" s="485"/>
      <c r="J13" s="485"/>
      <c r="K13" s="485"/>
      <c r="L13" s="485"/>
    </row>
    <row r="14" spans="1:12" ht="36.75" customHeight="1" x14ac:dyDescent="0.2">
      <c r="A14" s="325">
        <v>5</v>
      </c>
      <c r="B14" s="326" t="s">
        <v>57</v>
      </c>
      <c r="C14" s="326" t="s">
        <v>49</v>
      </c>
      <c r="D14" s="326" t="s">
        <v>51</v>
      </c>
      <c r="E14" s="326" t="s">
        <v>54</v>
      </c>
      <c r="F14" s="327" t="s">
        <v>280</v>
      </c>
      <c r="G14" s="328" t="s">
        <v>281</v>
      </c>
      <c r="H14" s="481">
        <v>95144.9</v>
      </c>
      <c r="I14" s="485"/>
      <c r="J14" s="485"/>
      <c r="K14" s="485">
        <f>178749.22+8710</f>
        <v>187459.22</v>
      </c>
      <c r="L14" s="485"/>
    </row>
    <row r="15" spans="1:12" ht="30" customHeight="1" x14ac:dyDescent="0.2">
      <c r="A15" s="330"/>
      <c r="B15" s="331"/>
      <c r="C15" s="331"/>
      <c r="D15" s="331"/>
      <c r="E15" s="331"/>
      <c r="F15" s="332"/>
      <c r="G15" s="320"/>
      <c r="H15" s="479"/>
      <c r="I15" s="485"/>
      <c r="J15" s="485"/>
      <c r="K15" s="485"/>
      <c r="L15" s="485"/>
    </row>
    <row r="16" spans="1:12" ht="30" customHeight="1" x14ac:dyDescent="0.2">
      <c r="A16" s="330"/>
      <c r="B16" s="331"/>
      <c r="C16" s="331"/>
      <c r="D16" s="331"/>
      <c r="E16" s="331"/>
      <c r="F16" s="332"/>
      <c r="G16" s="320"/>
      <c r="H16" s="479">
        <v>0</v>
      </c>
      <c r="I16" s="485"/>
      <c r="J16" s="485"/>
      <c r="K16" s="485" t="s">
        <v>404</v>
      </c>
      <c r="L16" s="485"/>
    </row>
    <row r="17" spans="1:12" ht="30" customHeight="1" thickBot="1" x14ac:dyDescent="0.25">
      <c r="A17" s="333"/>
      <c r="B17" s="334"/>
      <c r="C17" s="334"/>
      <c r="D17" s="334"/>
      <c r="E17" s="334"/>
      <c r="F17" s="335"/>
      <c r="G17" s="336"/>
      <c r="H17" s="482"/>
      <c r="I17" s="485"/>
      <c r="J17" s="485"/>
      <c r="K17" s="485"/>
      <c r="L17" s="485"/>
    </row>
    <row r="18" spans="1:12" s="35" customFormat="1" ht="30" customHeight="1" thickBot="1" x14ac:dyDescent="0.25">
      <c r="A18" s="634" t="s">
        <v>325</v>
      </c>
      <c r="B18" s="635"/>
      <c r="C18" s="635"/>
      <c r="D18" s="635"/>
      <c r="E18" s="635"/>
      <c r="F18" s="635"/>
      <c r="G18" s="636"/>
      <c r="H18" s="483">
        <f>SUM(H10:H17)</f>
        <v>345054.12</v>
      </c>
      <c r="I18" s="487"/>
      <c r="J18" s="487"/>
      <c r="K18" s="487"/>
      <c r="L18" s="487"/>
    </row>
    <row r="19" spans="1:12" ht="19.5" customHeight="1" x14ac:dyDescent="0.2">
      <c r="A19" s="36"/>
      <c r="B19" s="36"/>
      <c r="C19" s="37"/>
      <c r="D19" s="38"/>
      <c r="E19" s="38"/>
      <c r="F19" s="38"/>
    </row>
    <row r="20" spans="1:12" ht="24" customHeight="1" x14ac:dyDescent="0.2">
      <c r="A20" s="580" t="s">
        <v>14</v>
      </c>
      <c r="B20" s="580"/>
      <c r="C20" s="580"/>
      <c r="D20" s="580"/>
      <c r="E20" s="580"/>
      <c r="F20" s="580"/>
      <c r="H20" s="145">
        <v>252955.08</v>
      </c>
    </row>
    <row r="21" spans="1:12" ht="17.25" customHeight="1" thickBot="1" x14ac:dyDescent="0.25">
      <c r="A21" s="579" t="s">
        <v>2</v>
      </c>
      <c r="B21" s="579"/>
      <c r="C21" s="579"/>
      <c r="D21" s="579"/>
      <c r="E21" s="579"/>
      <c r="F21" s="579"/>
      <c r="G21" s="579"/>
      <c r="H21" s="147">
        <f>SUM(H18-H20)</f>
        <v>92099.040000000008</v>
      </c>
    </row>
    <row r="22" spans="1:12" ht="24.75" customHeight="1" thickTop="1" x14ac:dyDescent="0.2">
      <c r="A22" s="579" t="s">
        <v>10</v>
      </c>
      <c r="B22" s="579"/>
      <c r="C22" s="579"/>
      <c r="D22" s="579"/>
      <c r="E22" s="579"/>
      <c r="F22" s="579"/>
      <c r="G22" s="579"/>
      <c r="H22" s="146"/>
    </row>
    <row r="23" spans="1:12" x14ac:dyDescent="0.2">
      <c r="A23" s="36"/>
      <c r="B23" s="36"/>
      <c r="C23" s="37"/>
      <c r="D23" s="38"/>
      <c r="E23" s="38"/>
      <c r="F23" s="38"/>
      <c r="H23" s="145"/>
    </row>
    <row r="24" spans="1:12" x14ac:dyDescent="0.2">
      <c r="A24" s="40"/>
      <c r="B24" s="40"/>
      <c r="C24" s="39"/>
      <c r="D24" s="29"/>
      <c r="E24" s="29"/>
      <c r="F24" s="29"/>
      <c r="H24" s="145"/>
    </row>
    <row r="25" spans="1:12" x14ac:dyDescent="0.2">
      <c r="H25" s="145"/>
    </row>
  </sheetData>
  <sheetProtection algorithmName="SHA-512" hashValue="HAnJdZm5uw0BpH410BRKNGwE1xjDEh1vCUgaGjE4h0D3rpkpvZ+8G80BjwgfYpx7DuaBfs4MSkIJAC/Bp3tN9w==" saltValue="pLKPAmwaPJatVaNa68rALw==" spinCount="100000" sheet="1" objects="1" scenarios="1"/>
  <mergeCells count="13">
    <mergeCell ref="A2:H2"/>
    <mergeCell ref="A1:H1"/>
    <mergeCell ref="A22:G22"/>
    <mergeCell ref="A20:F20"/>
    <mergeCell ref="A7:H7"/>
    <mergeCell ref="A8:F8"/>
    <mergeCell ref="G8:G9"/>
    <mergeCell ref="A21:G21"/>
    <mergeCell ref="H8:H9"/>
    <mergeCell ref="A5:H5"/>
    <mergeCell ref="A3:H3"/>
    <mergeCell ref="A4:H4"/>
    <mergeCell ref="A18:G18"/>
  </mergeCells>
  <phoneticPr fontId="2" type="noConversion"/>
  <printOptions horizontalCentered="1"/>
  <pageMargins left="0.84" right="0.19685039370078741" top="1.02" bottom="0.19685039370078741" header="0" footer="0"/>
  <pageSetup scale="9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I34"/>
  <sheetViews>
    <sheetView view="pageBreakPreview" zoomScale="106" zoomScaleSheetLayoutView="106" workbookViewId="0">
      <selection activeCell="G11" sqref="G11"/>
    </sheetView>
  </sheetViews>
  <sheetFormatPr baseColWidth="10" defaultColWidth="11.42578125" defaultRowHeight="12.75" x14ac:dyDescent="0.2"/>
  <cols>
    <col min="1" max="1" width="4.5703125" style="24" customWidth="1"/>
    <col min="2" max="2" width="4.42578125" style="24" customWidth="1"/>
    <col min="3" max="4" width="4.5703125" style="24" customWidth="1"/>
    <col min="5" max="5" width="6.140625" style="24" customWidth="1"/>
    <col min="6" max="6" width="12.7109375" style="24" customWidth="1"/>
    <col min="7" max="7" width="42.5703125" style="19" customWidth="1"/>
    <col min="8" max="8" width="19.28515625" style="4" customWidth="1"/>
    <col min="9" max="16384" width="11.42578125" style="21"/>
  </cols>
  <sheetData>
    <row r="1" spans="1:9" ht="18" x14ac:dyDescent="0.25">
      <c r="A1" s="601" t="s">
        <v>409</v>
      </c>
      <c r="B1" s="602"/>
      <c r="C1" s="602"/>
      <c r="D1" s="602"/>
      <c r="E1" s="602"/>
      <c r="F1" s="602"/>
      <c r="G1" s="602"/>
      <c r="H1" s="602"/>
      <c r="I1" s="5"/>
    </row>
    <row r="2" spans="1:9" ht="18" x14ac:dyDescent="0.25">
      <c r="A2" s="601" t="s">
        <v>408</v>
      </c>
      <c r="B2" s="602"/>
      <c r="C2" s="602"/>
      <c r="D2" s="602"/>
      <c r="E2" s="602"/>
      <c r="F2" s="602"/>
      <c r="G2" s="602"/>
      <c r="H2" s="602"/>
      <c r="I2" s="5"/>
    </row>
    <row r="3" spans="1:9" ht="15.75" x14ac:dyDescent="0.2">
      <c r="A3" s="605" t="s">
        <v>233</v>
      </c>
      <c r="B3" s="606"/>
      <c r="C3" s="606"/>
      <c r="D3" s="606"/>
      <c r="E3" s="606"/>
      <c r="F3" s="606"/>
      <c r="G3" s="606"/>
      <c r="H3" s="606"/>
    </row>
    <row r="4" spans="1:9" ht="15.75" x14ac:dyDescent="0.2">
      <c r="A4" s="605" t="s">
        <v>496</v>
      </c>
      <c r="B4" s="606"/>
      <c r="C4" s="606"/>
      <c r="D4" s="606"/>
      <c r="E4" s="606"/>
      <c r="F4" s="606"/>
      <c r="G4" s="606"/>
      <c r="H4" s="606"/>
    </row>
    <row r="5" spans="1:9" ht="15" x14ac:dyDescent="0.2">
      <c r="A5" s="603" t="s">
        <v>13</v>
      </c>
      <c r="B5" s="604"/>
      <c r="C5" s="604"/>
      <c r="D5" s="604"/>
      <c r="E5" s="604"/>
      <c r="F5" s="604"/>
      <c r="G5" s="604"/>
      <c r="H5" s="604"/>
    </row>
    <row r="6" spans="1:9" ht="8.25" customHeight="1" x14ac:dyDescent="0.25">
      <c r="A6" s="609"/>
      <c r="B6" s="610"/>
      <c r="C6" s="610"/>
      <c r="D6" s="610"/>
      <c r="E6" s="610"/>
      <c r="F6" s="610"/>
      <c r="G6" s="610"/>
      <c r="H6" s="610"/>
    </row>
    <row r="7" spans="1:9" ht="15.75" x14ac:dyDescent="0.25">
      <c r="A7" s="637" t="s">
        <v>234</v>
      </c>
      <c r="B7" s="637"/>
      <c r="C7" s="637"/>
      <c r="D7" s="637"/>
      <c r="E7" s="637"/>
      <c r="F7" s="637"/>
      <c r="G7" s="637"/>
      <c r="H7" s="637"/>
    </row>
    <row r="8" spans="1:9" ht="16.5" thickBot="1" x14ac:dyDescent="0.3">
      <c r="A8" s="638" t="s">
        <v>284</v>
      </c>
      <c r="B8" s="638"/>
      <c r="C8" s="638"/>
      <c r="D8" s="638"/>
      <c r="E8" s="638"/>
      <c r="F8" s="638"/>
      <c r="G8" s="638"/>
      <c r="H8" s="638"/>
    </row>
    <row r="9" spans="1:9" ht="13.5" thickBot="1" x14ac:dyDescent="0.25">
      <c r="A9" s="639" t="s">
        <v>0</v>
      </c>
      <c r="B9" s="640"/>
      <c r="C9" s="640"/>
      <c r="D9" s="640"/>
      <c r="E9" s="640"/>
      <c r="F9" s="640"/>
      <c r="G9" s="641" t="s">
        <v>186</v>
      </c>
      <c r="H9" s="643" t="s">
        <v>187</v>
      </c>
    </row>
    <row r="10" spans="1:9" s="22" customFormat="1" ht="200.25" customHeight="1" thickBot="1" x14ac:dyDescent="0.25">
      <c r="A10" s="380" t="s">
        <v>177</v>
      </c>
      <c r="B10" s="381" t="s">
        <v>178</v>
      </c>
      <c r="C10" s="381" t="s">
        <v>146</v>
      </c>
      <c r="D10" s="381" t="s">
        <v>180</v>
      </c>
      <c r="E10" s="382" t="s">
        <v>188</v>
      </c>
      <c r="F10" s="383" t="s">
        <v>119</v>
      </c>
      <c r="G10" s="642"/>
      <c r="H10" s="644"/>
    </row>
    <row r="11" spans="1:9" ht="15.75" customHeight="1" x14ac:dyDescent="0.2">
      <c r="A11" s="9">
        <v>3</v>
      </c>
      <c r="B11" s="10" t="s">
        <v>53</v>
      </c>
      <c r="C11" s="10" t="s">
        <v>332</v>
      </c>
      <c r="D11" s="10" t="s">
        <v>51</v>
      </c>
      <c r="E11" s="10" t="s">
        <v>255</v>
      </c>
      <c r="F11" s="11" t="s">
        <v>232</v>
      </c>
      <c r="G11" s="12" t="s">
        <v>214</v>
      </c>
      <c r="H11" s="13"/>
    </row>
    <row r="12" spans="1:9" ht="15.75" customHeight="1" x14ac:dyDescent="0.2">
      <c r="A12" s="8">
        <v>3</v>
      </c>
      <c r="B12" s="1" t="s">
        <v>53</v>
      </c>
      <c r="C12" s="10" t="s">
        <v>332</v>
      </c>
      <c r="D12" s="10" t="s">
        <v>51</v>
      </c>
      <c r="E12" s="10" t="s">
        <v>255</v>
      </c>
      <c r="F12" s="2">
        <v>54111</v>
      </c>
      <c r="G12" s="6" t="s">
        <v>48</v>
      </c>
      <c r="H12" s="14"/>
    </row>
    <row r="13" spans="1:9" ht="15.75" customHeight="1" x14ac:dyDescent="0.2">
      <c r="A13" s="8">
        <v>3</v>
      </c>
      <c r="B13" s="1" t="s">
        <v>53</v>
      </c>
      <c r="C13" s="10" t="s">
        <v>332</v>
      </c>
      <c r="D13" s="10" t="s">
        <v>51</v>
      </c>
      <c r="E13" s="10" t="s">
        <v>255</v>
      </c>
      <c r="F13" s="2">
        <v>54112</v>
      </c>
      <c r="G13" s="6" t="s">
        <v>47</v>
      </c>
      <c r="H13" s="14"/>
    </row>
    <row r="14" spans="1:9" ht="15.75" customHeight="1" x14ac:dyDescent="0.2">
      <c r="A14" s="8">
        <v>3</v>
      </c>
      <c r="B14" s="1" t="s">
        <v>53</v>
      </c>
      <c r="C14" s="10" t="s">
        <v>332</v>
      </c>
      <c r="D14" s="10" t="s">
        <v>51</v>
      </c>
      <c r="E14" s="10" t="s">
        <v>255</v>
      </c>
      <c r="F14" s="2">
        <v>54199</v>
      </c>
      <c r="G14" s="6" t="s">
        <v>253</v>
      </c>
      <c r="H14" s="14"/>
    </row>
    <row r="15" spans="1:9" ht="15.75" customHeight="1" x14ac:dyDescent="0.2">
      <c r="A15" s="8">
        <v>3</v>
      </c>
      <c r="B15" s="1" t="s">
        <v>53</v>
      </c>
      <c r="C15" s="10" t="s">
        <v>332</v>
      </c>
      <c r="D15" s="10" t="s">
        <v>51</v>
      </c>
      <c r="E15" s="10" t="s">
        <v>255</v>
      </c>
      <c r="F15" s="2">
        <v>54313</v>
      </c>
      <c r="G15" s="6" t="s">
        <v>238</v>
      </c>
      <c r="H15" s="14"/>
    </row>
    <row r="16" spans="1:9" ht="15.75" customHeight="1" x14ac:dyDescent="0.2">
      <c r="A16" s="8">
        <v>3</v>
      </c>
      <c r="B16" s="1" t="s">
        <v>53</v>
      </c>
      <c r="C16" s="10" t="s">
        <v>332</v>
      </c>
      <c r="D16" s="10" t="s">
        <v>51</v>
      </c>
      <c r="E16" s="10" t="s">
        <v>255</v>
      </c>
      <c r="F16" s="2">
        <v>54316</v>
      </c>
      <c r="G16" s="6" t="s">
        <v>239</v>
      </c>
      <c r="H16" s="14"/>
    </row>
    <row r="17" spans="1:8" ht="15.75" customHeight="1" x14ac:dyDescent="0.2">
      <c r="A17" s="8">
        <v>3</v>
      </c>
      <c r="B17" s="1" t="s">
        <v>53</v>
      </c>
      <c r="C17" s="10" t="s">
        <v>332</v>
      </c>
      <c r="D17" s="10" t="s">
        <v>51</v>
      </c>
      <c r="E17" s="10" t="s">
        <v>255</v>
      </c>
      <c r="F17" s="2">
        <v>54599</v>
      </c>
      <c r="G17" s="6" t="s">
        <v>243</v>
      </c>
      <c r="H17" s="14"/>
    </row>
    <row r="18" spans="1:8" ht="15.75" customHeight="1" x14ac:dyDescent="0.2">
      <c r="A18" s="8">
        <v>3</v>
      </c>
      <c r="B18" s="1" t="s">
        <v>53</v>
      </c>
      <c r="C18" s="10" t="s">
        <v>332</v>
      </c>
      <c r="D18" s="10" t="s">
        <v>51</v>
      </c>
      <c r="E18" s="10" t="s">
        <v>255</v>
      </c>
      <c r="F18" s="2">
        <v>55601</v>
      </c>
      <c r="G18" s="6" t="s">
        <v>107</v>
      </c>
      <c r="H18" s="14"/>
    </row>
    <row r="19" spans="1:8" ht="15.75" customHeight="1" x14ac:dyDescent="0.2">
      <c r="A19" s="8">
        <v>3</v>
      </c>
      <c r="B19" s="1" t="s">
        <v>53</v>
      </c>
      <c r="C19" s="10" t="s">
        <v>332</v>
      </c>
      <c r="D19" s="10" t="s">
        <v>51</v>
      </c>
      <c r="E19" s="10" t="s">
        <v>255</v>
      </c>
      <c r="F19" s="2">
        <v>55603</v>
      </c>
      <c r="G19" s="6" t="s">
        <v>227</v>
      </c>
      <c r="H19" s="14"/>
    </row>
    <row r="20" spans="1:8" ht="15.75" customHeight="1" x14ac:dyDescent="0.2">
      <c r="A20" s="8">
        <v>3</v>
      </c>
      <c r="B20" s="1" t="s">
        <v>53</v>
      </c>
      <c r="C20" s="10" t="s">
        <v>332</v>
      </c>
      <c r="D20" s="10" t="s">
        <v>51</v>
      </c>
      <c r="E20" s="10" t="s">
        <v>255</v>
      </c>
      <c r="F20" s="2">
        <v>61101</v>
      </c>
      <c r="G20" s="6" t="s">
        <v>245</v>
      </c>
      <c r="H20" s="14"/>
    </row>
    <row r="21" spans="1:8" ht="15.75" customHeight="1" x14ac:dyDescent="0.2">
      <c r="A21" s="8">
        <v>3</v>
      </c>
      <c r="B21" s="1" t="s">
        <v>53</v>
      </c>
      <c r="C21" s="10" t="s">
        <v>332</v>
      </c>
      <c r="D21" s="10" t="s">
        <v>51</v>
      </c>
      <c r="E21" s="10" t="s">
        <v>255</v>
      </c>
      <c r="F21" s="2">
        <v>61102</v>
      </c>
      <c r="G21" s="6" t="s">
        <v>246</v>
      </c>
      <c r="H21" s="14"/>
    </row>
    <row r="22" spans="1:8" ht="15.75" customHeight="1" x14ac:dyDescent="0.2">
      <c r="A22" s="8">
        <v>3</v>
      </c>
      <c r="B22" s="1" t="s">
        <v>53</v>
      </c>
      <c r="C22" s="10" t="s">
        <v>332</v>
      </c>
      <c r="D22" s="10" t="s">
        <v>51</v>
      </c>
      <c r="E22" s="10" t="s">
        <v>255</v>
      </c>
      <c r="F22" s="2">
        <v>61599</v>
      </c>
      <c r="G22" s="6" t="s">
        <v>247</v>
      </c>
      <c r="H22" s="14"/>
    </row>
    <row r="23" spans="1:8" ht="15.75" customHeight="1" x14ac:dyDescent="0.2">
      <c r="A23" s="8">
        <v>3</v>
      </c>
      <c r="B23" s="1" t="s">
        <v>53</v>
      </c>
      <c r="C23" s="10" t="s">
        <v>332</v>
      </c>
      <c r="D23" s="10" t="s">
        <v>51</v>
      </c>
      <c r="E23" s="10" t="s">
        <v>255</v>
      </c>
      <c r="F23" s="2">
        <v>61607</v>
      </c>
      <c r="G23" s="6" t="s">
        <v>249</v>
      </c>
      <c r="H23" s="14"/>
    </row>
    <row r="24" spans="1:8" ht="15.75" customHeight="1" x14ac:dyDescent="0.2">
      <c r="A24" s="8">
        <v>3</v>
      </c>
      <c r="B24" s="1" t="s">
        <v>53</v>
      </c>
      <c r="C24" s="10" t="s">
        <v>332</v>
      </c>
      <c r="D24" s="10" t="s">
        <v>51</v>
      </c>
      <c r="E24" s="10" t="s">
        <v>255</v>
      </c>
      <c r="F24" s="2">
        <v>61608</v>
      </c>
      <c r="G24" s="6" t="s">
        <v>250</v>
      </c>
      <c r="H24" s="14"/>
    </row>
    <row r="25" spans="1:8" ht="15.75" customHeight="1" x14ac:dyDescent="0.2">
      <c r="A25" s="8">
        <v>3</v>
      </c>
      <c r="B25" s="1" t="s">
        <v>53</v>
      </c>
      <c r="C25" s="10" t="s">
        <v>332</v>
      </c>
      <c r="D25" s="10" t="s">
        <v>51</v>
      </c>
      <c r="E25" s="10" t="s">
        <v>255</v>
      </c>
      <c r="F25" s="2">
        <v>61699</v>
      </c>
      <c r="G25" s="6" t="s">
        <v>251</v>
      </c>
      <c r="H25" s="14"/>
    </row>
    <row r="26" spans="1:8" ht="15.75" customHeight="1" thickBot="1" x14ac:dyDescent="0.25">
      <c r="A26" s="17"/>
      <c r="B26" s="15"/>
      <c r="C26" s="15"/>
      <c r="D26" s="15"/>
      <c r="E26" s="15"/>
      <c r="F26" s="3"/>
      <c r="G26" s="7"/>
      <c r="H26" s="16"/>
    </row>
    <row r="27" spans="1:8" ht="26.25" customHeight="1" thickBot="1" x14ac:dyDescent="0.25">
      <c r="A27" s="646" t="s">
        <v>334</v>
      </c>
      <c r="B27" s="647"/>
      <c r="C27" s="647"/>
      <c r="D27" s="647"/>
      <c r="E27" s="647"/>
      <c r="F27" s="647"/>
      <c r="G27" s="648"/>
      <c r="H27" s="384">
        <f>SUM(H11:H26)</f>
        <v>0</v>
      </c>
    </row>
    <row r="28" spans="1:8" x14ac:dyDescent="0.2">
      <c r="A28" s="23"/>
      <c r="B28" s="23"/>
      <c r="C28" s="23"/>
      <c r="D28" s="23"/>
      <c r="E28" s="23"/>
      <c r="F28" s="23"/>
      <c r="H28" s="41"/>
    </row>
    <row r="29" spans="1:8" ht="15.75" x14ac:dyDescent="0.25">
      <c r="A29" s="32"/>
      <c r="B29" s="32"/>
      <c r="C29" s="32"/>
      <c r="D29" s="32"/>
      <c r="E29" s="32"/>
      <c r="F29" s="32"/>
      <c r="G29" s="42"/>
      <c r="H29" s="42"/>
    </row>
    <row r="30" spans="1:8" ht="19.5" customHeight="1" x14ac:dyDescent="0.2">
      <c r="A30" s="649" t="s">
        <v>14</v>
      </c>
      <c r="B30" s="649"/>
      <c r="C30" s="649"/>
      <c r="D30" s="649"/>
      <c r="E30" s="649"/>
      <c r="F30" s="649"/>
    </row>
    <row r="31" spans="1:8" x14ac:dyDescent="0.2">
      <c r="A31" s="645" t="s">
        <v>2</v>
      </c>
      <c r="B31" s="645"/>
      <c r="C31" s="645"/>
      <c r="D31" s="645"/>
      <c r="E31" s="645"/>
      <c r="F31" s="645"/>
      <c r="G31" s="645"/>
    </row>
    <row r="32" spans="1:8" x14ac:dyDescent="0.2">
      <c r="A32" s="645" t="s">
        <v>8</v>
      </c>
      <c r="B32" s="645"/>
      <c r="C32" s="645"/>
      <c r="D32" s="645"/>
      <c r="E32" s="645"/>
      <c r="F32" s="645"/>
      <c r="G32" s="645"/>
    </row>
    <row r="33" spans="1:7" x14ac:dyDescent="0.2">
      <c r="A33" s="645" t="s">
        <v>9</v>
      </c>
      <c r="B33" s="645"/>
      <c r="C33" s="645"/>
      <c r="D33" s="645"/>
      <c r="E33" s="645"/>
      <c r="F33" s="645"/>
      <c r="G33" s="645"/>
    </row>
    <row r="34" spans="1:7" x14ac:dyDescent="0.2">
      <c r="A34" s="645"/>
      <c r="B34" s="645"/>
      <c r="C34" s="645"/>
      <c r="D34" s="645"/>
      <c r="E34" s="645"/>
      <c r="F34" s="645"/>
      <c r="G34" s="645"/>
    </row>
  </sheetData>
  <sheetProtection algorithmName="SHA-512" hashValue="+qJrtx6yz9M/gDEwkVUzWradltvtaxvzmfXliBQlkm/alDSi17sbk9YJrZo8nmKiVpPhTdLzFTcl9V4LI1GxZQ==" saltValue="hRjGXEQCjx244ImGpjk8Dg==" spinCount="100000" sheet="1" objects="1" scenarios="1"/>
  <mergeCells count="17">
    <mergeCell ref="A34:G34"/>
    <mergeCell ref="A27:G27"/>
    <mergeCell ref="A30:F30"/>
    <mergeCell ref="A31:G31"/>
    <mergeCell ref="A32:G32"/>
    <mergeCell ref="A33:G33"/>
    <mergeCell ref="A6:H6"/>
    <mergeCell ref="A7:H7"/>
    <mergeCell ref="A8:H8"/>
    <mergeCell ref="A9:F9"/>
    <mergeCell ref="G9:G10"/>
    <mergeCell ref="H9:H10"/>
    <mergeCell ref="A1:H1"/>
    <mergeCell ref="A2:H2"/>
    <mergeCell ref="A3:H3"/>
    <mergeCell ref="A4:H4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K34"/>
  <sheetViews>
    <sheetView view="pageBreakPreview" zoomScale="106" zoomScaleSheetLayoutView="106" workbookViewId="0">
      <selection activeCell="G12" sqref="G12"/>
    </sheetView>
  </sheetViews>
  <sheetFormatPr baseColWidth="10" defaultColWidth="11.42578125" defaultRowHeight="12.75" x14ac:dyDescent="0.2"/>
  <cols>
    <col min="1" max="4" width="4.5703125" style="24" customWidth="1"/>
    <col min="5" max="5" width="6.140625" style="24" customWidth="1"/>
    <col min="6" max="6" width="11.5703125" style="24" customWidth="1"/>
    <col min="7" max="7" width="43" style="19" customWidth="1"/>
    <col min="8" max="8" width="18.85546875" style="4" customWidth="1"/>
    <col min="9" max="10" width="11.42578125" style="21"/>
    <col min="11" max="11" width="13.42578125" style="21" customWidth="1"/>
    <col min="12" max="16384" width="11.42578125" style="21"/>
  </cols>
  <sheetData>
    <row r="1" spans="1:9" ht="18" x14ac:dyDescent="0.25">
      <c r="A1" s="553" t="s">
        <v>409</v>
      </c>
      <c r="B1" s="554"/>
      <c r="C1" s="554"/>
      <c r="D1" s="554"/>
      <c r="E1" s="554"/>
      <c r="F1" s="554"/>
      <c r="G1" s="554"/>
      <c r="H1" s="554"/>
      <c r="I1" s="5"/>
    </row>
    <row r="2" spans="1:9" ht="18" x14ac:dyDescent="0.25">
      <c r="A2" s="553" t="s">
        <v>408</v>
      </c>
      <c r="B2" s="554"/>
      <c r="C2" s="554"/>
      <c r="D2" s="554"/>
      <c r="E2" s="554"/>
      <c r="F2" s="554"/>
      <c r="G2" s="554"/>
      <c r="H2" s="554"/>
      <c r="I2" s="5"/>
    </row>
    <row r="3" spans="1:9" ht="15.75" x14ac:dyDescent="0.2">
      <c r="A3" s="581" t="s">
        <v>233</v>
      </c>
      <c r="B3" s="582"/>
      <c r="C3" s="582"/>
      <c r="D3" s="582"/>
      <c r="E3" s="582"/>
      <c r="F3" s="582"/>
      <c r="G3" s="582"/>
      <c r="H3" s="582"/>
    </row>
    <row r="4" spans="1:9" ht="15.75" x14ac:dyDescent="0.2">
      <c r="A4" s="581" t="s">
        <v>496</v>
      </c>
      <c r="B4" s="582"/>
      <c r="C4" s="582"/>
      <c r="D4" s="582"/>
      <c r="E4" s="582"/>
      <c r="F4" s="582"/>
      <c r="G4" s="582"/>
      <c r="H4" s="582"/>
    </row>
    <row r="5" spans="1:9" ht="15.75" x14ac:dyDescent="0.25">
      <c r="A5" s="625" t="s">
        <v>13</v>
      </c>
      <c r="B5" s="626"/>
      <c r="C5" s="626"/>
      <c r="D5" s="626"/>
      <c r="E5" s="626"/>
      <c r="F5" s="626"/>
      <c r="G5" s="626"/>
      <c r="H5" s="626"/>
    </row>
    <row r="6" spans="1:9" ht="8.25" customHeight="1" x14ac:dyDescent="0.25">
      <c r="A6" s="623"/>
      <c r="B6" s="624"/>
      <c r="C6" s="624"/>
      <c r="D6" s="624"/>
      <c r="E6" s="624"/>
      <c r="F6" s="624"/>
      <c r="G6" s="624"/>
      <c r="H6" s="624"/>
    </row>
    <row r="7" spans="1:9" ht="15.75" x14ac:dyDescent="0.25">
      <c r="A7" s="650" t="s">
        <v>234</v>
      </c>
      <c r="B7" s="650"/>
      <c r="C7" s="650"/>
      <c r="D7" s="650"/>
      <c r="E7" s="650"/>
      <c r="F7" s="650"/>
      <c r="G7" s="650"/>
      <c r="H7" s="650"/>
    </row>
    <row r="8" spans="1:9" ht="16.5" thickBot="1" x14ac:dyDescent="0.3">
      <c r="A8" s="651" t="s">
        <v>254</v>
      </c>
      <c r="B8" s="651"/>
      <c r="C8" s="651"/>
      <c r="D8" s="651"/>
      <c r="E8" s="651"/>
      <c r="F8" s="651"/>
      <c r="G8" s="651"/>
      <c r="H8" s="651"/>
    </row>
    <row r="9" spans="1:9" ht="13.5" thickBot="1" x14ac:dyDescent="0.25">
      <c r="A9" s="652" t="s">
        <v>0</v>
      </c>
      <c r="B9" s="653"/>
      <c r="C9" s="653"/>
      <c r="D9" s="653"/>
      <c r="E9" s="653"/>
      <c r="F9" s="653"/>
      <c r="G9" s="588" t="s">
        <v>186</v>
      </c>
      <c r="H9" s="576" t="s">
        <v>187</v>
      </c>
    </row>
    <row r="10" spans="1:9" s="22" customFormat="1" ht="200.25" customHeight="1" thickBot="1" x14ac:dyDescent="0.25">
      <c r="A10" s="278" t="s">
        <v>177</v>
      </c>
      <c r="B10" s="279" t="s">
        <v>178</v>
      </c>
      <c r="C10" s="279" t="s">
        <v>146</v>
      </c>
      <c r="D10" s="279" t="s">
        <v>180</v>
      </c>
      <c r="E10" s="280" t="s">
        <v>188</v>
      </c>
      <c r="F10" s="281" t="s">
        <v>119</v>
      </c>
      <c r="G10" s="589"/>
      <c r="H10" s="577"/>
    </row>
    <row r="11" spans="1:9" ht="15.75" customHeight="1" x14ac:dyDescent="0.25">
      <c r="A11" s="344">
        <v>3</v>
      </c>
      <c r="B11" s="345" t="s">
        <v>109</v>
      </c>
      <c r="C11" s="345" t="s">
        <v>49</v>
      </c>
      <c r="D11" s="345" t="s">
        <v>51</v>
      </c>
      <c r="E11" s="345" t="s">
        <v>255</v>
      </c>
      <c r="F11" s="346" t="s">
        <v>232</v>
      </c>
      <c r="G11" s="347" t="s">
        <v>214</v>
      </c>
      <c r="H11" s="348"/>
    </row>
    <row r="12" spans="1:9" ht="15.75" customHeight="1" x14ac:dyDescent="0.25">
      <c r="A12" s="349">
        <v>3</v>
      </c>
      <c r="B12" s="350" t="s">
        <v>109</v>
      </c>
      <c r="C12" s="350" t="s">
        <v>49</v>
      </c>
      <c r="D12" s="350" t="s">
        <v>51</v>
      </c>
      <c r="E12" s="345" t="s">
        <v>255</v>
      </c>
      <c r="F12" s="351">
        <v>54111</v>
      </c>
      <c r="G12" s="352" t="s">
        <v>48</v>
      </c>
      <c r="H12" s="353"/>
    </row>
    <row r="13" spans="1:9" ht="15.75" customHeight="1" x14ac:dyDescent="0.25">
      <c r="A13" s="349">
        <v>3</v>
      </c>
      <c r="B13" s="350" t="s">
        <v>109</v>
      </c>
      <c r="C13" s="350" t="s">
        <v>49</v>
      </c>
      <c r="D13" s="350" t="s">
        <v>51</v>
      </c>
      <c r="E13" s="345" t="s">
        <v>255</v>
      </c>
      <c r="F13" s="351">
        <v>54112</v>
      </c>
      <c r="G13" s="352" t="s">
        <v>47</v>
      </c>
      <c r="H13" s="353"/>
    </row>
    <row r="14" spans="1:9" ht="15.75" customHeight="1" x14ac:dyDescent="0.25">
      <c r="A14" s="349">
        <v>3</v>
      </c>
      <c r="B14" s="350" t="s">
        <v>109</v>
      </c>
      <c r="C14" s="350" t="s">
        <v>49</v>
      </c>
      <c r="D14" s="350" t="s">
        <v>51</v>
      </c>
      <c r="E14" s="345" t="s">
        <v>255</v>
      </c>
      <c r="F14" s="351">
        <v>54199</v>
      </c>
      <c r="G14" s="352" t="s">
        <v>222</v>
      </c>
      <c r="H14" s="353"/>
    </row>
    <row r="15" spans="1:9" ht="15.75" customHeight="1" x14ac:dyDescent="0.25">
      <c r="A15" s="349">
        <v>3</v>
      </c>
      <c r="B15" s="350" t="s">
        <v>109</v>
      </c>
      <c r="C15" s="350" t="s">
        <v>49</v>
      </c>
      <c r="D15" s="350" t="s">
        <v>51</v>
      </c>
      <c r="E15" s="345" t="s">
        <v>255</v>
      </c>
      <c r="F15" s="351">
        <v>54313</v>
      </c>
      <c r="G15" s="352" t="s">
        <v>238</v>
      </c>
      <c r="H15" s="353"/>
    </row>
    <row r="16" spans="1:9" ht="15.75" customHeight="1" x14ac:dyDescent="0.25">
      <c r="A16" s="349">
        <v>3</v>
      </c>
      <c r="B16" s="350" t="s">
        <v>109</v>
      </c>
      <c r="C16" s="350" t="s">
        <v>49</v>
      </c>
      <c r="D16" s="350" t="s">
        <v>51</v>
      </c>
      <c r="E16" s="345" t="s">
        <v>255</v>
      </c>
      <c r="F16" s="351">
        <v>54316</v>
      </c>
      <c r="G16" s="352" t="s">
        <v>239</v>
      </c>
      <c r="H16" s="353"/>
    </row>
    <row r="17" spans="1:11" ht="15.75" customHeight="1" x14ac:dyDescent="0.25">
      <c r="A17" s="349">
        <v>3</v>
      </c>
      <c r="B17" s="350" t="s">
        <v>109</v>
      </c>
      <c r="C17" s="350" t="s">
        <v>49</v>
      </c>
      <c r="D17" s="350" t="s">
        <v>51</v>
      </c>
      <c r="E17" s="345" t="s">
        <v>255</v>
      </c>
      <c r="F17" s="351">
        <v>54599</v>
      </c>
      <c r="G17" s="352" t="s">
        <v>243</v>
      </c>
      <c r="H17" s="353"/>
    </row>
    <row r="18" spans="1:11" ht="15.75" customHeight="1" x14ac:dyDescent="0.25">
      <c r="A18" s="349">
        <v>3</v>
      </c>
      <c r="B18" s="350" t="s">
        <v>109</v>
      </c>
      <c r="C18" s="350" t="s">
        <v>49</v>
      </c>
      <c r="D18" s="350" t="s">
        <v>51</v>
      </c>
      <c r="E18" s="345" t="s">
        <v>255</v>
      </c>
      <c r="F18" s="351">
        <v>55601</v>
      </c>
      <c r="G18" s="352" t="s">
        <v>107</v>
      </c>
      <c r="H18" s="353"/>
    </row>
    <row r="19" spans="1:11" ht="15.75" customHeight="1" x14ac:dyDescent="0.25">
      <c r="A19" s="349">
        <v>3</v>
      </c>
      <c r="B19" s="350" t="s">
        <v>109</v>
      </c>
      <c r="C19" s="350" t="s">
        <v>49</v>
      </c>
      <c r="D19" s="350" t="s">
        <v>51</v>
      </c>
      <c r="E19" s="345" t="s">
        <v>255</v>
      </c>
      <c r="F19" s="351">
        <v>55603</v>
      </c>
      <c r="G19" s="352" t="s">
        <v>227</v>
      </c>
      <c r="H19" s="353"/>
    </row>
    <row r="20" spans="1:11" ht="15.75" customHeight="1" x14ac:dyDescent="0.25">
      <c r="A20" s="349">
        <v>3</v>
      </c>
      <c r="B20" s="350" t="s">
        <v>109</v>
      </c>
      <c r="C20" s="350" t="s">
        <v>49</v>
      </c>
      <c r="D20" s="350" t="s">
        <v>51</v>
      </c>
      <c r="E20" s="345" t="s">
        <v>255</v>
      </c>
      <c r="F20" s="351">
        <v>61101</v>
      </c>
      <c r="G20" s="352" t="s">
        <v>245</v>
      </c>
      <c r="H20" s="353">
        <v>0</v>
      </c>
      <c r="I20" s="458"/>
      <c r="J20" s="458"/>
      <c r="K20" s="458"/>
    </row>
    <row r="21" spans="1:11" ht="15.75" customHeight="1" x14ac:dyDescent="0.25">
      <c r="A21" s="349">
        <v>3</v>
      </c>
      <c r="B21" s="350" t="s">
        <v>109</v>
      </c>
      <c r="C21" s="350" t="s">
        <v>49</v>
      </c>
      <c r="D21" s="350" t="s">
        <v>51</v>
      </c>
      <c r="E21" s="345" t="s">
        <v>255</v>
      </c>
      <c r="F21" s="351">
        <v>61102</v>
      </c>
      <c r="G21" s="352" t="s">
        <v>246</v>
      </c>
      <c r="H21" s="353"/>
      <c r="I21" s="458"/>
      <c r="J21" s="458">
        <v>61</v>
      </c>
      <c r="K21" s="488">
        <v>0</v>
      </c>
    </row>
    <row r="22" spans="1:11" ht="15.75" customHeight="1" x14ac:dyDescent="0.25">
      <c r="A22" s="349">
        <v>3</v>
      </c>
      <c r="B22" s="350" t="s">
        <v>109</v>
      </c>
      <c r="C22" s="350" t="s">
        <v>49</v>
      </c>
      <c r="D22" s="350" t="s">
        <v>51</v>
      </c>
      <c r="E22" s="345" t="s">
        <v>255</v>
      </c>
      <c r="F22" s="351">
        <v>61599</v>
      </c>
      <c r="G22" s="352" t="s">
        <v>247</v>
      </c>
      <c r="H22" s="353"/>
      <c r="I22" s="458"/>
      <c r="J22" s="458"/>
      <c r="K22" s="458"/>
    </row>
    <row r="23" spans="1:11" ht="15.75" customHeight="1" x14ac:dyDescent="0.25">
      <c r="A23" s="349">
        <v>3</v>
      </c>
      <c r="B23" s="350" t="s">
        <v>109</v>
      </c>
      <c r="C23" s="350" t="s">
        <v>49</v>
      </c>
      <c r="D23" s="350" t="s">
        <v>51</v>
      </c>
      <c r="E23" s="345" t="s">
        <v>255</v>
      </c>
      <c r="F23" s="351">
        <v>61601</v>
      </c>
      <c r="G23" s="352" t="s">
        <v>248</v>
      </c>
      <c r="H23" s="353">
        <v>0</v>
      </c>
      <c r="I23" s="458"/>
      <c r="J23" s="458"/>
      <c r="K23" s="458"/>
    </row>
    <row r="24" spans="1:11" ht="15.75" customHeight="1" x14ac:dyDescent="0.25">
      <c r="A24" s="349">
        <v>3</v>
      </c>
      <c r="B24" s="350" t="s">
        <v>109</v>
      </c>
      <c r="C24" s="350" t="s">
        <v>49</v>
      </c>
      <c r="D24" s="350" t="s">
        <v>51</v>
      </c>
      <c r="E24" s="345" t="s">
        <v>255</v>
      </c>
      <c r="F24" s="351">
        <v>61608</v>
      </c>
      <c r="G24" s="352" t="s">
        <v>250</v>
      </c>
      <c r="H24" s="353">
        <v>0</v>
      </c>
      <c r="I24" s="458"/>
      <c r="J24" s="458"/>
      <c r="K24" s="458"/>
    </row>
    <row r="25" spans="1:11" ht="15.75" customHeight="1" x14ac:dyDescent="0.25">
      <c r="A25" s="349">
        <v>3</v>
      </c>
      <c r="B25" s="350" t="s">
        <v>109</v>
      </c>
      <c r="C25" s="350" t="s">
        <v>49</v>
      </c>
      <c r="D25" s="350" t="s">
        <v>51</v>
      </c>
      <c r="E25" s="345" t="s">
        <v>255</v>
      </c>
      <c r="F25" s="351">
        <v>61699</v>
      </c>
      <c r="G25" s="352" t="s">
        <v>251</v>
      </c>
      <c r="H25" s="353"/>
      <c r="I25" s="458"/>
      <c r="J25" s="458"/>
      <c r="K25" s="458"/>
    </row>
    <row r="26" spans="1:11" ht="15.75" customHeight="1" thickBot="1" x14ac:dyDescent="0.3">
      <c r="A26" s="354"/>
      <c r="B26" s="355"/>
      <c r="C26" s="355"/>
      <c r="D26" s="355"/>
      <c r="E26" s="355"/>
      <c r="F26" s="356"/>
      <c r="G26" s="357"/>
      <c r="H26" s="358"/>
      <c r="I26" s="458"/>
      <c r="J26" s="458"/>
      <c r="K26" s="458"/>
    </row>
    <row r="27" spans="1:11" ht="29.25" customHeight="1" thickBot="1" x14ac:dyDescent="0.25">
      <c r="A27" s="654" t="s">
        <v>490</v>
      </c>
      <c r="B27" s="655"/>
      <c r="C27" s="655"/>
      <c r="D27" s="655"/>
      <c r="E27" s="655"/>
      <c r="F27" s="655"/>
      <c r="G27" s="656"/>
      <c r="H27" s="359"/>
      <c r="I27" s="458" t="s">
        <v>428</v>
      </c>
      <c r="J27" s="458"/>
      <c r="K27" s="458"/>
    </row>
    <row r="28" spans="1:11" x14ac:dyDescent="0.2">
      <c r="A28" s="23"/>
      <c r="B28" s="23"/>
      <c r="C28" s="23"/>
      <c r="D28" s="23"/>
      <c r="E28" s="23"/>
      <c r="F28" s="23"/>
      <c r="H28" s="41"/>
      <c r="I28" s="458"/>
      <c r="J28" s="458"/>
      <c r="K28" s="458"/>
    </row>
    <row r="29" spans="1:11" ht="15.75" x14ac:dyDescent="0.25">
      <c r="A29" s="32"/>
      <c r="B29" s="32"/>
      <c r="C29" s="32"/>
      <c r="D29" s="32"/>
      <c r="E29" s="32"/>
      <c r="F29" s="32"/>
      <c r="G29" s="42"/>
      <c r="H29" s="141">
        <f>SUM(Ingresos!E49)</f>
        <v>0</v>
      </c>
    </row>
    <row r="30" spans="1:11" ht="19.5" customHeight="1" thickBot="1" x14ac:dyDescent="0.25">
      <c r="A30" s="649" t="s">
        <v>14</v>
      </c>
      <c r="B30" s="649"/>
      <c r="C30" s="649"/>
      <c r="D30" s="649"/>
      <c r="E30" s="649"/>
      <c r="F30" s="649"/>
      <c r="H30" s="142">
        <f>SUM(H27-H29)</f>
        <v>0</v>
      </c>
    </row>
    <row r="31" spans="1:11" ht="13.5" thickTop="1" x14ac:dyDescent="0.2">
      <c r="A31" s="645" t="s">
        <v>2</v>
      </c>
      <c r="B31" s="645"/>
      <c r="C31" s="645"/>
      <c r="D31" s="645"/>
      <c r="E31" s="645"/>
      <c r="F31" s="645"/>
      <c r="G31" s="645"/>
      <c r="H31" s="121"/>
    </row>
    <row r="32" spans="1:11" x14ac:dyDescent="0.2">
      <c r="A32" s="645" t="s">
        <v>8</v>
      </c>
      <c r="B32" s="645"/>
      <c r="C32" s="645"/>
      <c r="D32" s="645"/>
      <c r="E32" s="645"/>
      <c r="F32" s="645"/>
      <c r="G32" s="645"/>
      <c r="H32" s="121"/>
    </row>
    <row r="33" spans="1:7" x14ac:dyDescent="0.2">
      <c r="A33" s="645" t="s">
        <v>9</v>
      </c>
      <c r="B33" s="645"/>
      <c r="C33" s="645"/>
      <c r="D33" s="645"/>
      <c r="E33" s="645"/>
      <c r="F33" s="645"/>
      <c r="G33" s="645"/>
    </row>
    <row r="34" spans="1:7" x14ac:dyDescent="0.2">
      <c r="A34" s="645"/>
      <c r="B34" s="645"/>
      <c r="C34" s="645"/>
      <c r="D34" s="645"/>
      <c r="E34" s="645"/>
      <c r="F34" s="645"/>
      <c r="G34" s="645"/>
    </row>
  </sheetData>
  <sheetProtection algorithmName="SHA-512" hashValue="it+EO3bXHl6oBaJdHCvX6XWq+Zk0yX3cuYl9aeoDSlsGdP13UAZzgjVW5buSgMeTnV8wsbadvlCYbLCZqmfUzg==" saltValue="FPyQy3/AdVl0xnT6mAXp9w==" spinCount="100000" sheet="1" objects="1" scenarios="1"/>
  <mergeCells count="17">
    <mergeCell ref="A34:G34"/>
    <mergeCell ref="A6:H6"/>
    <mergeCell ref="A30:F30"/>
    <mergeCell ref="A31:G31"/>
    <mergeCell ref="A32:G32"/>
    <mergeCell ref="A33:G33"/>
    <mergeCell ref="A7:H7"/>
    <mergeCell ref="A8:H8"/>
    <mergeCell ref="A9:F9"/>
    <mergeCell ref="G9:G10"/>
    <mergeCell ref="H9:H10"/>
    <mergeCell ref="A27:G27"/>
    <mergeCell ref="A1:H1"/>
    <mergeCell ref="A2:H2"/>
    <mergeCell ref="A3:H3"/>
    <mergeCell ref="A4:H4"/>
    <mergeCell ref="A5:H5"/>
  </mergeCells>
  <printOptions horizontalCentered="1"/>
  <pageMargins left="0.98" right="0.28999999999999998" top="0.88" bottom="0.74803149606299213" header="0.47" footer="0.31496062992125984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15</vt:i4>
      </vt:variant>
    </vt:vector>
  </HeadingPairs>
  <TitlesOfParts>
    <vt:vector size="30" baseType="lpstr">
      <vt:lpstr>Estructura</vt:lpstr>
      <vt:lpstr>Rubros</vt:lpstr>
      <vt:lpstr>Ingresos</vt:lpstr>
      <vt:lpstr>Egresos F.P. </vt:lpstr>
      <vt:lpstr>Egr. FODES 25%</vt:lpstr>
      <vt:lpstr>Egr.FODES 75%</vt:lpstr>
      <vt:lpstr>Deuda Pub 75%</vt:lpstr>
      <vt:lpstr>FISDL</vt:lpstr>
      <vt:lpstr>PFGL</vt:lpstr>
      <vt:lpstr>Ejec. Prestamo</vt:lpstr>
      <vt:lpstr>Dietas</vt:lpstr>
      <vt:lpstr>auxiliares</vt:lpstr>
      <vt:lpstr>ANALISIS</vt:lpstr>
      <vt:lpstr>proyectos</vt:lpstr>
      <vt:lpstr>Hoja5</vt:lpstr>
      <vt:lpstr>'Deuda Pub 75%'!Área_de_impresión</vt:lpstr>
      <vt:lpstr>'Egr. FODES 25%'!Área_de_impresión</vt:lpstr>
      <vt:lpstr>'Egr.FODES 75%'!Área_de_impresión</vt:lpstr>
      <vt:lpstr>'Egresos F.P. '!Área_de_impresión</vt:lpstr>
      <vt:lpstr>'Ejec. Prestamo'!Área_de_impresión</vt:lpstr>
      <vt:lpstr>FISDL!Área_de_impresión</vt:lpstr>
      <vt:lpstr>Ingresos!Área_de_impresión</vt:lpstr>
      <vt:lpstr>PFGL!Área_de_impresión</vt:lpstr>
      <vt:lpstr>proyectos!Área_de_impresión</vt:lpstr>
      <vt:lpstr>Estructura!ESTRUCTURA</vt:lpstr>
      <vt:lpstr>ANALISIS!Títulos_a_imprimir</vt:lpstr>
      <vt:lpstr>'Egr. FODES 25%'!Títulos_a_imprimir</vt:lpstr>
      <vt:lpstr>'Egr.FODES 75%'!Títulos_a_imprimir</vt:lpstr>
      <vt:lpstr>'Egresos F.P. '!Títulos_a_imprimir</vt:lpstr>
      <vt:lpstr>Ingresos!Títulos_a_imprimir</vt:lpstr>
    </vt:vector>
  </TitlesOfParts>
  <Company>SUBDERE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Estructura de Presupuesto Municipal</dc:title>
  <dc:creator>Gastón Collao</dc:creator>
  <cp:lastModifiedBy>dayana chula</cp:lastModifiedBy>
  <cp:lastPrinted>2018-01-30T17:49:57Z</cp:lastPrinted>
  <dcterms:created xsi:type="dcterms:W3CDTF">2007-07-18T15:13:44Z</dcterms:created>
  <dcterms:modified xsi:type="dcterms:W3CDTF">2018-06-21T17:24:53Z</dcterms:modified>
</cp:coreProperties>
</file>