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DD407962-0508-4766-851F-7B1A5C4E0BF4}" xr6:coauthVersionLast="40" xr6:coauthVersionMax="40" xr10:uidLastSave="{00000000-0000-0000-0000-000000000000}"/>
  <bookViews>
    <workbookView xWindow="-120" yWindow="-120" windowWidth="20730" windowHeight="11160" firstSheet="3" activeTab="6" xr2:uid="{00000000-000D-0000-FFFF-FFFF00000000}"/>
  </bookViews>
  <sheets>
    <sheet name="CONSOLIDADO EGRESOS 2015" sheetId="1" r:id="rId1"/>
    <sheet name="PROY.RECURSOS HUMANOS 2015" sheetId="2" r:id="rId2"/>
    <sheet name="FONDOS FODES 25%" sheetId="3" r:id="rId3"/>
    <sheet name="FONDOS PROPIOS" sheetId="4" r:id="rId4"/>
    <sheet name="PUERTO SAN JUAN" sheetId="5" r:id="rId5"/>
    <sheet name="CONSOLIDADO DE INGRESOS FF" sheetId="6" r:id="rId6"/>
    <sheet name="PROYECTOS 2016" sheetId="7" r:id="rId7"/>
    <sheet name="SERVICIO DE LA DEUDA " sheetId="8" r:id="rId8"/>
    <sheet name="PROYECCION INGRESOS PROPIOS    " sheetId="9" r:id="rId9"/>
    <sheet name="CONSOLIDADO EGRESOS 2016" sheetId="10" r:id="rId10"/>
    <sheet name="RESUMEN GENERAL" sheetId="11" r:id="rId11"/>
    <sheet name="CUADRO RESUMEN FF" sheetId="12" r:id="rId12"/>
    <sheet name="CUADRO CLASIFICACIONES ING Y EG" sheetId="13" r:id="rId13"/>
    <sheet name="CONSOLIDADO EGRESOS" sheetId="14" r:id="rId14"/>
    <sheet name="DONACIONES" sheetId="18" r:id="rId15"/>
    <sheet name="FODES 75%" sheetId="15" r:id="rId16"/>
    <sheet name="ESTRUCTURA PRESUPUESTARIA" sheetId="16" r:id="rId17"/>
    <sheet name="FODES PREINVERSION" sheetId="17" r:id="rId18"/>
  </sheets>
  <externalReferences>
    <externalReference r:id="rId19"/>
  </externalReferences>
  <calcPr calcId="181029"/>
</workbook>
</file>

<file path=xl/calcChain.xml><?xml version="1.0" encoding="utf-8"?>
<calcChain xmlns="http://schemas.openxmlformats.org/spreadsheetml/2006/main">
  <c r="G93" i="7" l="1"/>
  <c r="E11" i="7" l="1"/>
  <c r="H93" i="7" l="1"/>
  <c r="F53" i="6" l="1"/>
  <c r="F52" i="6"/>
  <c r="K52" i="6" s="1"/>
  <c r="H14" i="17"/>
  <c r="D143" i="14" l="1"/>
  <c r="D147" i="14" s="1"/>
  <c r="H21" i="15"/>
  <c r="H11" i="18"/>
  <c r="F54" i="6"/>
  <c r="E55" i="6"/>
  <c r="D55" i="6"/>
  <c r="C55" i="6"/>
  <c r="G17" i="16"/>
  <c r="F26" i="16"/>
  <c r="G14" i="16"/>
  <c r="G24" i="16" l="1"/>
  <c r="G12" i="16" l="1"/>
  <c r="G26" i="16" l="1"/>
  <c r="H11" i="16"/>
  <c r="D122" i="14"/>
  <c r="D88" i="14"/>
  <c r="D136" i="14" l="1"/>
  <c r="D117" i="14" l="1"/>
  <c r="I30" i="5" l="1"/>
  <c r="I46" i="4"/>
  <c r="I34" i="3"/>
  <c r="J15" i="4"/>
  <c r="F15" i="13"/>
  <c r="K15" i="13"/>
  <c r="J55" i="6"/>
  <c r="F69" i="9" l="1"/>
  <c r="F66" i="9"/>
  <c r="F61" i="9"/>
  <c r="F58" i="9"/>
  <c r="F55" i="9"/>
  <c r="C11" i="11"/>
  <c r="F10" i="13"/>
  <c r="H10" i="13" s="1"/>
  <c r="F27" i="13"/>
  <c r="I73" i="9" l="1"/>
  <c r="I64" i="9"/>
  <c r="K38" i="6"/>
  <c r="H57" i="4" l="1"/>
  <c r="F96" i="14"/>
  <c r="F33" i="14"/>
  <c r="F30" i="14"/>
  <c r="F20" i="14"/>
  <c r="F110" i="14"/>
  <c r="F109" i="14" s="1"/>
  <c r="F70" i="14"/>
  <c r="F61" i="14"/>
  <c r="F60" i="14"/>
  <c r="F59" i="14"/>
  <c r="F53" i="14"/>
  <c r="F49" i="14"/>
  <c r="F43" i="14"/>
  <c r="F41" i="14"/>
  <c r="F26" i="14"/>
  <c r="F25" i="14" s="1"/>
  <c r="F24" i="14"/>
  <c r="F23" i="14" s="1"/>
  <c r="F17" i="14"/>
  <c r="F16" i="14" s="1"/>
  <c r="F13" i="14"/>
  <c r="F12" i="14"/>
  <c r="F140" i="14"/>
  <c r="F139" i="14" s="1"/>
  <c r="F138" i="14" s="1"/>
  <c r="C140" i="14"/>
  <c r="C139" i="14" s="1"/>
  <c r="C138" i="14" s="1"/>
  <c r="H139" i="14"/>
  <c r="H138" i="14" s="1"/>
  <c r="G139" i="14"/>
  <c r="G138" i="14" s="1"/>
  <c r="E139" i="14"/>
  <c r="E138" i="14" s="1"/>
  <c r="D139" i="14"/>
  <c r="D138" i="14" s="1"/>
  <c r="H136" i="14"/>
  <c r="G136" i="14"/>
  <c r="F136" i="14"/>
  <c r="E136" i="14"/>
  <c r="C136" i="14"/>
  <c r="F135" i="14"/>
  <c r="F134" i="14" s="1"/>
  <c r="C135" i="14"/>
  <c r="C134" i="14" s="1"/>
  <c r="H134" i="14"/>
  <c r="G134" i="14"/>
  <c r="E134" i="14"/>
  <c r="D134" i="14"/>
  <c r="F133" i="14"/>
  <c r="F132" i="14" s="1"/>
  <c r="C133" i="14"/>
  <c r="C132" i="14" s="1"/>
  <c r="H132" i="14"/>
  <c r="G132" i="14"/>
  <c r="E132" i="14"/>
  <c r="D132" i="14"/>
  <c r="F130" i="14"/>
  <c r="C130" i="14"/>
  <c r="F129" i="14"/>
  <c r="E129" i="14"/>
  <c r="C129" i="14"/>
  <c r="F128" i="14"/>
  <c r="C128" i="14"/>
  <c r="F127" i="14"/>
  <c r="E127" i="14"/>
  <c r="C127" i="14"/>
  <c r="F126" i="14"/>
  <c r="E126" i="14"/>
  <c r="C126" i="14"/>
  <c r="F125" i="14"/>
  <c r="E125" i="14"/>
  <c r="C125" i="14"/>
  <c r="F124" i="14"/>
  <c r="C124" i="14"/>
  <c r="F123" i="14"/>
  <c r="E123" i="14"/>
  <c r="C123" i="14"/>
  <c r="I122" i="14"/>
  <c r="H122" i="14"/>
  <c r="G122" i="14"/>
  <c r="F121" i="14"/>
  <c r="E121" i="14"/>
  <c r="C121" i="14"/>
  <c r="F120" i="14"/>
  <c r="E120" i="14"/>
  <c r="C120" i="14"/>
  <c r="F119" i="14"/>
  <c r="E119" i="14"/>
  <c r="C119" i="14"/>
  <c r="F118" i="14"/>
  <c r="E118" i="14"/>
  <c r="C118" i="14"/>
  <c r="H117" i="14"/>
  <c r="G117" i="14"/>
  <c r="F116" i="14"/>
  <c r="F115" i="14" s="1"/>
  <c r="C116" i="14"/>
  <c r="C115" i="14" s="1"/>
  <c r="H115" i="14"/>
  <c r="G115" i="14"/>
  <c r="E115" i="14"/>
  <c r="D115" i="14"/>
  <c r="C114" i="14"/>
  <c r="C113" i="14"/>
  <c r="C112" i="14"/>
  <c r="C111" i="14"/>
  <c r="H109" i="14"/>
  <c r="G109" i="14"/>
  <c r="E109" i="14"/>
  <c r="D109" i="14"/>
  <c r="F107" i="14"/>
  <c r="C107" i="14"/>
  <c r="C106" i="14"/>
  <c r="F105" i="14"/>
  <c r="C105" i="14"/>
  <c r="F104" i="14"/>
  <c r="H103" i="14"/>
  <c r="G103" i="14"/>
  <c r="E103" i="14"/>
  <c r="E102" i="14" s="1"/>
  <c r="D103" i="14"/>
  <c r="D102" i="14" s="1"/>
  <c r="H102" i="14"/>
  <c r="G102" i="14"/>
  <c r="F101" i="14"/>
  <c r="F100" i="14" s="1"/>
  <c r="C101" i="14"/>
  <c r="C100" i="14" s="1"/>
  <c r="H100" i="14"/>
  <c r="G100" i="14"/>
  <c r="E100" i="14"/>
  <c r="D100" i="14"/>
  <c r="C99" i="14"/>
  <c r="C97" i="14"/>
  <c r="I96" i="14"/>
  <c r="H96" i="14"/>
  <c r="G96" i="14"/>
  <c r="E96" i="14"/>
  <c r="D96" i="14"/>
  <c r="F95" i="14"/>
  <c r="F94" i="14" s="1"/>
  <c r="C95" i="14"/>
  <c r="C94" i="14" s="1"/>
  <c r="H94" i="14"/>
  <c r="E94" i="14"/>
  <c r="D94" i="14"/>
  <c r="F92" i="14"/>
  <c r="C93" i="14"/>
  <c r="C92" i="14" s="1"/>
  <c r="H92" i="14"/>
  <c r="G92" i="14"/>
  <c r="E92" i="14"/>
  <c r="D92" i="14"/>
  <c r="F90" i="14"/>
  <c r="C90" i="14"/>
  <c r="F89" i="14"/>
  <c r="C89" i="14"/>
  <c r="F88" i="14"/>
  <c r="C88" i="14"/>
  <c r="F87" i="14"/>
  <c r="C87" i="14"/>
  <c r="F86" i="14"/>
  <c r="C86" i="14"/>
  <c r="C85" i="14"/>
  <c r="C84" i="14"/>
  <c r="C83" i="14"/>
  <c r="F82" i="14"/>
  <c r="C81" i="14"/>
  <c r="H80" i="14"/>
  <c r="G80" i="14"/>
  <c r="E80" i="14"/>
  <c r="D80" i="14"/>
  <c r="C79" i="14"/>
  <c r="C78" i="14"/>
  <c r="C77" i="14"/>
  <c r="C76" i="14"/>
  <c r="C75" i="14"/>
  <c r="C74" i="14"/>
  <c r="F73" i="14"/>
  <c r="C73" i="14"/>
  <c r="F72" i="14"/>
  <c r="C72" i="14"/>
  <c r="F71" i="14"/>
  <c r="C71" i="14"/>
  <c r="C70" i="14"/>
  <c r="F69" i="14"/>
  <c r="C69" i="14"/>
  <c r="C67" i="14"/>
  <c r="C66" i="14"/>
  <c r="C64" i="14"/>
  <c r="H63" i="14"/>
  <c r="G63" i="14"/>
  <c r="E63" i="14"/>
  <c r="D63" i="14"/>
  <c r="C62" i="14"/>
  <c r="C57" i="14" s="1"/>
  <c r="H57" i="14"/>
  <c r="G57" i="14"/>
  <c r="E57" i="14"/>
  <c r="D57" i="14"/>
  <c r="C56" i="14"/>
  <c r="C54" i="14"/>
  <c r="C52" i="14"/>
  <c r="C51" i="14"/>
  <c r="C48" i="14"/>
  <c r="C47" i="14"/>
  <c r="C44" i="14"/>
  <c r="C43" i="14"/>
  <c r="C42" i="14"/>
  <c r="C40" i="14"/>
  <c r="F39" i="14"/>
  <c r="C39" i="14"/>
  <c r="H37" i="14"/>
  <c r="G37" i="14"/>
  <c r="E37" i="14"/>
  <c r="D37" i="14"/>
  <c r="C35" i="14"/>
  <c r="C34" i="14"/>
  <c r="H33" i="14"/>
  <c r="G33" i="14"/>
  <c r="E33" i="14"/>
  <c r="E31" i="14" s="1"/>
  <c r="E30" i="14" s="1"/>
  <c r="D33" i="14"/>
  <c r="D31" i="14" s="1"/>
  <c r="D30" i="14" s="1"/>
  <c r="C32" i="14"/>
  <c r="C31" i="14"/>
  <c r="H30" i="14"/>
  <c r="G30" i="14"/>
  <c r="F29" i="14"/>
  <c r="C29" i="14"/>
  <c r="C27" i="14" s="1"/>
  <c r="F28" i="14"/>
  <c r="H27" i="14"/>
  <c r="G27" i="14"/>
  <c r="C25" i="14"/>
  <c r="H25" i="14"/>
  <c r="G25" i="14"/>
  <c r="E25" i="14"/>
  <c r="D25" i="14"/>
  <c r="H23" i="14"/>
  <c r="G23" i="14"/>
  <c r="E23" i="14"/>
  <c r="D23" i="14"/>
  <c r="C23" i="14"/>
  <c r="C22" i="14"/>
  <c r="C21" i="14"/>
  <c r="H20" i="14"/>
  <c r="G20" i="14"/>
  <c r="E20" i="14"/>
  <c r="D20" i="14"/>
  <c r="C19" i="14"/>
  <c r="C18" i="14"/>
  <c r="H16" i="14"/>
  <c r="G16" i="14"/>
  <c r="E16" i="14"/>
  <c r="D16" i="14"/>
  <c r="C14" i="14"/>
  <c r="C11" i="14"/>
  <c r="G11" i="14"/>
  <c r="E11" i="14"/>
  <c r="D11" i="14"/>
  <c r="C34" i="13"/>
  <c r="C20" i="13"/>
  <c r="D30" i="12"/>
  <c r="D16" i="12"/>
  <c r="C21" i="11"/>
  <c r="F57" i="14" l="1"/>
  <c r="G10" i="14"/>
  <c r="C16" i="14"/>
  <c r="C33" i="14"/>
  <c r="F11" i="14"/>
  <c r="C20" i="14"/>
  <c r="C63" i="14"/>
  <c r="C109" i="14"/>
  <c r="C103" i="14"/>
  <c r="C102" i="14" s="1"/>
  <c r="C37" i="14"/>
  <c r="D10" i="14"/>
  <c r="C30" i="14"/>
  <c r="D108" i="14"/>
  <c r="D91" i="14"/>
  <c r="E10" i="14"/>
  <c r="F37" i="14"/>
  <c r="D36" i="14"/>
  <c r="C80" i="14"/>
  <c r="C96" i="14"/>
  <c r="C117" i="14"/>
  <c r="H10" i="14"/>
  <c r="H91" i="14"/>
  <c r="C122" i="14"/>
  <c r="I136" i="14"/>
  <c r="C131" i="14"/>
  <c r="E131" i="14"/>
  <c r="D131" i="14"/>
  <c r="F131" i="14"/>
  <c r="G131" i="14"/>
  <c r="H131" i="14"/>
  <c r="G36" i="14"/>
  <c r="H36" i="14"/>
  <c r="F91" i="14"/>
  <c r="E36" i="14"/>
  <c r="F80" i="14"/>
  <c r="E91" i="14"/>
  <c r="F63" i="14"/>
  <c r="G108" i="14"/>
  <c r="H108" i="14"/>
  <c r="F122" i="14"/>
  <c r="E122" i="14"/>
  <c r="G91" i="14"/>
  <c r="F27" i="14"/>
  <c r="E117" i="14"/>
  <c r="F117" i="14"/>
  <c r="F103" i="14"/>
  <c r="F102" i="14" s="1"/>
  <c r="C36" i="14"/>
  <c r="C91" i="14"/>
  <c r="I138" i="14"/>
  <c r="F10" i="14" l="1"/>
  <c r="I102" i="14"/>
  <c r="C10" i="14"/>
  <c r="I10" i="14" s="1"/>
  <c r="D141" i="14"/>
  <c r="D149" i="14" s="1"/>
  <c r="C108" i="14"/>
  <c r="C141" i="14" s="1"/>
  <c r="I131" i="14"/>
  <c r="I91" i="14"/>
  <c r="H141" i="14"/>
  <c r="G141" i="14"/>
  <c r="F108" i="14"/>
  <c r="E108" i="14"/>
  <c r="E141" i="14" s="1"/>
  <c r="F36" i="14"/>
  <c r="F141" i="14" l="1"/>
  <c r="I141" i="14" s="1"/>
  <c r="I108" i="14"/>
  <c r="I36" i="14"/>
  <c r="I148" i="14" l="1"/>
  <c r="I149" i="14" s="1"/>
  <c r="K142" i="14"/>
  <c r="K143" i="14" s="1"/>
  <c r="K54" i="6"/>
  <c r="G40" i="5" l="1"/>
  <c r="F73" i="9"/>
  <c r="H60" i="10" s="1"/>
  <c r="V38" i="3"/>
  <c r="Q38" i="3"/>
  <c r="P38" i="3"/>
  <c r="U37" i="3"/>
  <c r="R37" i="3"/>
  <c r="W37" i="3" s="1"/>
  <c r="U36" i="3"/>
  <c r="R36" i="3"/>
  <c r="S36" i="3" s="1"/>
  <c r="U35" i="3"/>
  <c r="R35" i="3"/>
  <c r="W35" i="3" s="1"/>
  <c r="U34" i="3"/>
  <c r="R34" i="3"/>
  <c r="S34" i="3" s="1"/>
  <c r="W33" i="3"/>
  <c r="X33" i="3" s="1"/>
  <c r="R33" i="3"/>
  <c r="S33" i="3" s="1"/>
  <c r="U32" i="3"/>
  <c r="R32" i="3"/>
  <c r="W32" i="3" s="1"/>
  <c r="U31" i="3"/>
  <c r="R31" i="3"/>
  <c r="W31" i="3" s="1"/>
  <c r="U30" i="3"/>
  <c r="R30" i="3"/>
  <c r="W30" i="3" s="1"/>
  <c r="U29" i="3"/>
  <c r="R29" i="3"/>
  <c r="W29" i="3" s="1"/>
  <c r="U28" i="3"/>
  <c r="R28" i="3"/>
  <c r="W28" i="3" s="1"/>
  <c r="W27" i="3"/>
  <c r="X27" i="3" s="1"/>
  <c r="R27" i="3"/>
  <c r="S27" i="3" s="1"/>
  <c r="W26" i="3"/>
  <c r="U26" i="3"/>
  <c r="R26" i="3"/>
  <c r="S26" i="3" s="1"/>
  <c r="R25" i="3"/>
  <c r="T25" i="3" s="1"/>
  <c r="R24" i="3"/>
  <c r="S24" i="3" s="1"/>
  <c r="R23" i="3"/>
  <c r="T23" i="3" s="1"/>
  <c r="R22" i="3"/>
  <c r="S22" i="3" s="1"/>
  <c r="R21" i="3"/>
  <c r="T21" i="3" s="1"/>
  <c r="I109" i="2"/>
  <c r="X26" i="3" l="1"/>
  <c r="X30" i="3"/>
  <c r="X32" i="3"/>
  <c r="Y27" i="3"/>
  <c r="Y33" i="3"/>
  <c r="S28" i="3"/>
  <c r="S29" i="3"/>
  <c r="S30" i="3"/>
  <c r="Y30" i="3" s="1"/>
  <c r="S31" i="3"/>
  <c r="S32" i="3"/>
  <c r="X28" i="3"/>
  <c r="X29" i="3"/>
  <c r="X31" i="3"/>
  <c r="S25" i="3"/>
  <c r="Y26" i="3"/>
  <c r="W23" i="3"/>
  <c r="U23" i="3"/>
  <c r="S23" i="3"/>
  <c r="T22" i="3"/>
  <c r="U22" i="3" s="1"/>
  <c r="S21" i="3"/>
  <c r="X35" i="3"/>
  <c r="X37" i="3"/>
  <c r="W21" i="3"/>
  <c r="U21" i="3"/>
  <c r="W25" i="3"/>
  <c r="U25" i="3"/>
  <c r="T24" i="3"/>
  <c r="W34" i="3"/>
  <c r="X34" i="3" s="1"/>
  <c r="Y34" i="3" s="1"/>
  <c r="S35" i="3"/>
  <c r="W36" i="3"/>
  <c r="X36" i="3" s="1"/>
  <c r="Y36" i="3" s="1"/>
  <c r="S37" i="3"/>
  <c r="Y29" i="3" l="1"/>
  <c r="Y31" i="3"/>
  <c r="Y32" i="3"/>
  <c r="Y28" i="3"/>
  <c r="Y37" i="3"/>
  <c r="X25" i="3"/>
  <c r="Y25" i="3" s="1"/>
  <c r="X23" i="3"/>
  <c r="Y23" i="3" s="1"/>
  <c r="W22" i="3"/>
  <c r="X22" i="3" s="1"/>
  <c r="Y22" i="3" s="1"/>
  <c r="X21" i="3"/>
  <c r="Y35" i="3"/>
  <c r="U24" i="3"/>
  <c r="W24" i="3"/>
  <c r="Y21" i="3" l="1"/>
  <c r="X24" i="3"/>
  <c r="Y24" i="3" s="1"/>
  <c r="AB51" i="10" l="1"/>
  <c r="AB50" i="10"/>
  <c r="AB49" i="10"/>
  <c r="AB48" i="10"/>
  <c r="AB47" i="10"/>
  <c r="AB46" i="10"/>
  <c r="AB45" i="10"/>
  <c r="AB44" i="10"/>
  <c r="AB43" i="10"/>
  <c r="AB42" i="10"/>
  <c r="AB41" i="10"/>
  <c r="AB40" i="10"/>
  <c r="AB39" i="10"/>
  <c r="AB38" i="10"/>
  <c r="AB37" i="10"/>
  <c r="AB36" i="10"/>
  <c r="AB35" i="10"/>
  <c r="AB34" i="10"/>
  <c r="AB33" i="10"/>
  <c r="AB32" i="10"/>
  <c r="AB31" i="10"/>
  <c r="AB30" i="10"/>
  <c r="AB29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AB14" i="10"/>
  <c r="AB13" i="10"/>
  <c r="AB12" i="10"/>
  <c r="AB11" i="10"/>
  <c r="AB10" i="10"/>
  <c r="AB9" i="10"/>
  <c r="AB8" i="10"/>
  <c r="AB7" i="10"/>
  <c r="AB6" i="10"/>
  <c r="AB5" i="10"/>
  <c r="AC42" i="10" l="1"/>
  <c r="M11" i="4"/>
  <c r="M12" i="4" s="1"/>
  <c r="AB52" i="10" l="1"/>
  <c r="AB53" i="10" s="1"/>
  <c r="AA53" i="10"/>
  <c r="Z53" i="10"/>
  <c r="Y53" i="10"/>
  <c r="X53" i="10"/>
  <c r="W53" i="10"/>
  <c r="T53" i="10"/>
  <c r="S53" i="10"/>
  <c r="R53" i="10"/>
  <c r="P53" i="10"/>
  <c r="O53" i="10"/>
  <c r="N53" i="10"/>
  <c r="M53" i="10"/>
  <c r="I53" i="10"/>
  <c r="V53" i="10"/>
  <c r="U53" i="10"/>
  <c r="L53" i="10"/>
  <c r="K53" i="10"/>
  <c r="J53" i="10"/>
  <c r="H53" i="10"/>
  <c r="G53" i="10"/>
  <c r="F53" i="10"/>
  <c r="E53" i="10"/>
  <c r="D53" i="10"/>
  <c r="C53" i="10"/>
  <c r="AB139" i="1"/>
  <c r="Q139" i="1"/>
  <c r="F49" i="6"/>
  <c r="K49" i="6" s="1"/>
  <c r="AD6" i="10" l="1"/>
  <c r="Q56" i="10"/>
  <c r="AB54" i="10" l="1"/>
  <c r="AF141" i="1" l="1"/>
  <c r="AG141" i="1" s="1"/>
  <c r="T48" i="5"/>
  <c r="V48" i="5" s="1"/>
  <c r="W48" i="5" l="1"/>
  <c r="Y48" i="5"/>
  <c r="U48" i="5"/>
  <c r="Z48" i="5" l="1"/>
  <c r="AA48" i="5" s="1"/>
  <c r="H46" i="9" l="1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T39" i="5" l="1"/>
  <c r="U39" i="5" s="1"/>
  <c r="I117" i="4"/>
  <c r="K68" i="4"/>
  <c r="AF58" i="1" l="1"/>
  <c r="AF57" i="1"/>
  <c r="AF41" i="1"/>
  <c r="AF15" i="1"/>
  <c r="I87" i="9"/>
  <c r="D83" i="9"/>
  <c r="I81" i="9"/>
  <c r="G47" i="9"/>
  <c r="M13" i="9" s="1"/>
  <c r="N13" i="9" s="1"/>
  <c r="D47" i="9"/>
  <c r="M10" i="9" s="1"/>
  <c r="N10" i="9" s="1"/>
  <c r="C47" i="9"/>
  <c r="I46" i="9"/>
  <c r="F46" i="9"/>
  <c r="F47" i="9" s="1"/>
  <c r="M12" i="9" s="1"/>
  <c r="N12" i="9" s="1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M11" i="9"/>
  <c r="N11" i="9" s="1"/>
  <c r="I11" i="9"/>
  <c r="I10" i="9"/>
  <c r="M9" i="9"/>
  <c r="I9" i="9"/>
  <c r="G14" i="6" s="1"/>
  <c r="I8" i="9"/>
  <c r="G13" i="6" s="1"/>
  <c r="I7" i="9"/>
  <c r="G12" i="6" s="1"/>
  <c r="H47" i="9"/>
  <c r="I125" i="4"/>
  <c r="I124" i="4"/>
  <c r="I123" i="4"/>
  <c r="I122" i="4"/>
  <c r="I121" i="4"/>
  <c r="I120" i="4"/>
  <c r="I119" i="4"/>
  <c r="I118" i="4"/>
  <c r="G55" i="6" l="1"/>
  <c r="J43" i="9"/>
  <c r="K50" i="9"/>
  <c r="I47" i="9"/>
  <c r="F49" i="9" s="1"/>
  <c r="F52" i="9" s="1"/>
  <c r="M19" i="9"/>
  <c r="M26" i="9" s="1"/>
  <c r="N9" i="9"/>
  <c r="N19" i="9" s="1"/>
  <c r="M28" i="9" s="1"/>
  <c r="F71" i="9" l="1"/>
  <c r="I57" i="9" s="1"/>
  <c r="I59" i="9" s="1"/>
  <c r="I58" i="9"/>
  <c r="C24" i="12"/>
  <c r="C30" i="12" s="1"/>
  <c r="H57" i="10"/>
  <c r="H59" i="10" s="1"/>
  <c r="H61" i="10" s="1"/>
  <c r="M30" i="9"/>
  <c r="H52" i="9" l="1"/>
  <c r="L118" i="2"/>
  <c r="G118" i="2"/>
  <c r="F118" i="2"/>
  <c r="J117" i="2"/>
  <c r="M117" i="2" s="1"/>
  <c r="J116" i="2"/>
  <c r="J115" i="2"/>
  <c r="M115" i="2" s="1"/>
  <c r="J114" i="2"/>
  <c r="K114" i="2" s="1"/>
  <c r="J113" i="2"/>
  <c r="M113" i="2" s="1"/>
  <c r="J112" i="2"/>
  <c r="M112" i="2" s="1"/>
  <c r="J111" i="2"/>
  <c r="M111" i="2" s="1"/>
  <c r="J110" i="2"/>
  <c r="K110" i="2" s="1"/>
  <c r="J109" i="2"/>
  <c r="M109" i="2" s="1"/>
  <c r="I117" i="2"/>
  <c r="I116" i="2"/>
  <c r="I115" i="2"/>
  <c r="I114" i="2"/>
  <c r="I113" i="2"/>
  <c r="I112" i="2"/>
  <c r="I111" i="2"/>
  <c r="I110" i="2"/>
  <c r="I36" i="3"/>
  <c r="J125" i="4"/>
  <c r="J124" i="4"/>
  <c r="J123" i="4"/>
  <c r="J122" i="4"/>
  <c r="J121" i="4"/>
  <c r="J120" i="4"/>
  <c r="J119" i="4"/>
  <c r="J118" i="4"/>
  <c r="J117" i="4"/>
  <c r="AC23" i="2"/>
  <c r="AA23" i="2"/>
  <c r="Z23" i="2"/>
  <c r="AB22" i="2"/>
  <c r="AD22" i="2" s="1"/>
  <c r="AB21" i="2"/>
  <c r="AD21" i="2" s="1"/>
  <c r="AB20" i="2"/>
  <c r="AD20" i="2" s="1"/>
  <c r="AB19" i="2"/>
  <c r="AD19" i="2" s="1"/>
  <c r="AB18" i="2"/>
  <c r="AD18" i="2" s="1"/>
  <c r="AB17" i="2"/>
  <c r="AD17" i="2" s="1"/>
  <c r="AB16" i="2"/>
  <c r="AD16" i="2" s="1"/>
  <c r="AB15" i="2"/>
  <c r="AD15" i="2" s="1"/>
  <c r="AB14" i="2"/>
  <c r="AD14" i="2" s="1"/>
  <c r="AE13" i="2"/>
  <c r="AD13" i="2"/>
  <c r="AC13" i="2"/>
  <c r="AB13" i="2"/>
  <c r="AA13" i="2"/>
  <c r="Z13" i="2"/>
  <c r="K111" i="2" l="1"/>
  <c r="N111" i="2" s="1"/>
  <c r="O111" i="2" s="1"/>
  <c r="K115" i="2"/>
  <c r="N115" i="2" s="1"/>
  <c r="O115" i="2" s="1"/>
  <c r="Z24" i="2"/>
  <c r="M110" i="2"/>
  <c r="N110" i="2" s="1"/>
  <c r="O110" i="2" s="1"/>
  <c r="M114" i="2"/>
  <c r="N114" i="2" s="1"/>
  <c r="O114" i="2" s="1"/>
  <c r="K112" i="2"/>
  <c r="N112" i="2" s="1"/>
  <c r="O112" i="2" s="1"/>
  <c r="K116" i="2"/>
  <c r="K109" i="2"/>
  <c r="N109" i="2" s="1"/>
  <c r="O109" i="2" s="1"/>
  <c r="K113" i="2"/>
  <c r="N113" i="2" s="1"/>
  <c r="O113" i="2" s="1"/>
  <c r="K117" i="2"/>
  <c r="N117" i="2" s="1"/>
  <c r="O117" i="2" s="1"/>
  <c r="M116" i="2"/>
  <c r="M123" i="4"/>
  <c r="K123" i="4"/>
  <c r="K117" i="4"/>
  <c r="M117" i="4"/>
  <c r="K120" i="4"/>
  <c r="M120" i="4"/>
  <c r="M124" i="4"/>
  <c r="K124" i="4"/>
  <c r="M118" i="4"/>
  <c r="K118" i="4"/>
  <c r="K121" i="4"/>
  <c r="M121" i="4"/>
  <c r="K125" i="4"/>
  <c r="M125" i="4"/>
  <c r="K119" i="4"/>
  <c r="M119" i="4"/>
  <c r="M122" i="4"/>
  <c r="K122" i="4"/>
  <c r="AA24" i="2"/>
  <c r="AC24" i="2"/>
  <c r="AD23" i="2"/>
  <c r="AD24" i="2" s="1"/>
  <c r="AB23" i="2"/>
  <c r="AB24" i="2" s="1"/>
  <c r="H16" i="8"/>
  <c r="H107" i="4"/>
  <c r="H99" i="2"/>
  <c r="I99" i="2" s="1"/>
  <c r="K57" i="4"/>
  <c r="N122" i="4" l="1"/>
  <c r="O122" i="4" s="1"/>
  <c r="N125" i="4"/>
  <c r="O125" i="4" s="1"/>
  <c r="N118" i="4"/>
  <c r="O118" i="4" s="1"/>
  <c r="N120" i="4"/>
  <c r="O120" i="4" s="1"/>
  <c r="N123" i="4"/>
  <c r="O123" i="4" s="1"/>
  <c r="N116" i="2"/>
  <c r="O116" i="2" s="1"/>
  <c r="N121" i="4"/>
  <c r="O121" i="4" s="1"/>
  <c r="N124" i="4"/>
  <c r="O124" i="4" s="1"/>
  <c r="N117" i="4"/>
  <c r="O117" i="4" s="1"/>
  <c r="N119" i="4"/>
  <c r="O119" i="4" s="1"/>
  <c r="J107" i="4"/>
  <c r="K107" i="4" s="1"/>
  <c r="I107" i="4"/>
  <c r="J99" i="2"/>
  <c r="M99" i="2" s="1"/>
  <c r="AF135" i="1"/>
  <c r="AF112" i="1"/>
  <c r="AF111" i="1"/>
  <c r="AF110" i="1"/>
  <c r="AF109" i="1"/>
  <c r="AF108" i="1"/>
  <c r="AF104" i="1"/>
  <c r="AF97" i="1"/>
  <c r="AF96" i="1"/>
  <c r="AF95" i="1"/>
  <c r="AF82" i="1"/>
  <c r="AF81" i="1"/>
  <c r="AF77" i="1"/>
  <c r="AF75" i="1"/>
  <c r="AF74" i="1"/>
  <c r="AF72" i="1"/>
  <c r="AF65" i="1"/>
  <c r="AF64" i="1"/>
  <c r="AF63" i="1"/>
  <c r="AF62" i="1"/>
  <c r="AF59" i="1"/>
  <c r="AF53" i="1"/>
  <c r="AF52" i="1"/>
  <c r="AF51" i="1"/>
  <c r="AF50" i="1"/>
  <c r="AF49" i="1"/>
  <c r="AF44" i="1"/>
  <c r="AF43" i="1"/>
  <c r="AF40" i="1"/>
  <c r="AF24" i="1"/>
  <c r="AF22" i="1"/>
  <c r="AF19" i="1"/>
  <c r="AF16" i="1"/>
  <c r="AF11" i="1"/>
  <c r="AF10" i="1"/>
  <c r="F51" i="6"/>
  <c r="K51" i="6" s="1"/>
  <c r="F50" i="6"/>
  <c r="K50" i="6" s="1"/>
  <c r="F48" i="6"/>
  <c r="K48" i="6" s="1"/>
  <c r="L49" i="6" s="1"/>
  <c r="F47" i="6"/>
  <c r="K47" i="6" s="1"/>
  <c r="L47" i="6" s="1"/>
  <c r="F46" i="6"/>
  <c r="K46" i="6" s="1"/>
  <c r="F45" i="6"/>
  <c r="K45" i="6" s="1"/>
  <c r="F44" i="6"/>
  <c r="F43" i="6"/>
  <c r="K43" i="6" s="1"/>
  <c r="F42" i="6"/>
  <c r="K42" i="6" s="1"/>
  <c r="F41" i="6"/>
  <c r="K41" i="6" s="1"/>
  <c r="F40" i="6"/>
  <c r="K40" i="6" s="1"/>
  <c r="F39" i="6"/>
  <c r="K39" i="6" s="1"/>
  <c r="F37" i="6"/>
  <c r="K37" i="6" s="1"/>
  <c r="F36" i="6"/>
  <c r="K36" i="6" s="1"/>
  <c r="F35" i="6"/>
  <c r="K35" i="6" s="1"/>
  <c r="F34" i="6"/>
  <c r="K34" i="6" s="1"/>
  <c r="F33" i="6"/>
  <c r="K33" i="6" s="1"/>
  <c r="F32" i="6"/>
  <c r="K32" i="6" s="1"/>
  <c r="F31" i="6"/>
  <c r="K31" i="6" s="1"/>
  <c r="F30" i="6"/>
  <c r="K30" i="6" s="1"/>
  <c r="F29" i="6"/>
  <c r="K29" i="6" s="1"/>
  <c r="F28" i="6"/>
  <c r="K28" i="6" s="1"/>
  <c r="F27" i="6"/>
  <c r="K27" i="6" s="1"/>
  <c r="F26" i="6"/>
  <c r="K26" i="6" s="1"/>
  <c r="F25" i="6"/>
  <c r="K25" i="6" s="1"/>
  <c r="F24" i="6"/>
  <c r="K24" i="6" s="1"/>
  <c r="F23" i="6"/>
  <c r="K23" i="6" s="1"/>
  <c r="F22" i="6"/>
  <c r="K22" i="6" s="1"/>
  <c r="F21" i="6"/>
  <c r="K21" i="6" s="1"/>
  <c r="F20" i="6"/>
  <c r="K20" i="6" s="1"/>
  <c r="F19" i="6"/>
  <c r="K19" i="6" s="1"/>
  <c r="F18" i="6"/>
  <c r="K18" i="6" s="1"/>
  <c r="F17" i="6"/>
  <c r="K17" i="6" s="1"/>
  <c r="F16" i="6"/>
  <c r="K16" i="6" s="1"/>
  <c r="F15" i="6"/>
  <c r="K15" i="6" s="1"/>
  <c r="F14" i="6"/>
  <c r="K14" i="6" s="1"/>
  <c r="F13" i="6"/>
  <c r="F12" i="6"/>
  <c r="K12" i="6" s="1"/>
  <c r="K53" i="6"/>
  <c r="K44" i="6"/>
  <c r="M107" i="4" l="1"/>
  <c r="F55" i="6"/>
  <c r="L46" i="6"/>
  <c r="K13" i="6"/>
  <c r="K55" i="6" s="1"/>
  <c r="L37" i="6"/>
  <c r="L40" i="6"/>
  <c r="L53" i="6"/>
  <c r="K99" i="2"/>
  <c r="N99" i="2" s="1"/>
  <c r="O99" i="2" s="1"/>
  <c r="N107" i="4"/>
  <c r="O107" i="4" s="1"/>
  <c r="L21" i="6" l="1"/>
  <c r="L55" i="6" s="1"/>
  <c r="I55" i="6" l="1"/>
  <c r="H55" i="6"/>
  <c r="K56" i="6" l="1"/>
  <c r="T47" i="5"/>
  <c r="V47" i="5" l="1"/>
  <c r="U47" i="5"/>
  <c r="Y47" i="5" l="1"/>
  <c r="W47" i="5"/>
  <c r="X53" i="5"/>
  <c r="S53" i="5"/>
  <c r="R53" i="5"/>
  <c r="T52" i="5"/>
  <c r="T51" i="5"/>
  <c r="T50" i="5"/>
  <c r="T49" i="5"/>
  <c r="U49" i="5" s="1"/>
  <c r="T46" i="5"/>
  <c r="T45" i="5"/>
  <c r="T44" i="5"/>
  <c r="T43" i="5"/>
  <c r="U43" i="5" s="1"/>
  <c r="Y42" i="5"/>
  <c r="W42" i="5"/>
  <c r="T42" i="5"/>
  <c r="U42" i="5" s="1"/>
  <c r="Y41" i="5"/>
  <c r="W41" i="5"/>
  <c r="T41" i="5"/>
  <c r="U41" i="5" s="1"/>
  <c r="T40" i="5"/>
  <c r="V39" i="5"/>
  <c r="T38" i="5"/>
  <c r="V38" i="5" s="1"/>
  <c r="H116" i="4"/>
  <c r="H115" i="4"/>
  <c r="I115" i="4" s="1"/>
  <c r="H114" i="4"/>
  <c r="H113" i="4"/>
  <c r="J113" i="4" s="1"/>
  <c r="M113" i="4" s="1"/>
  <c r="H112" i="4"/>
  <c r="I112" i="4" s="1"/>
  <c r="H111" i="4"/>
  <c r="H110" i="4"/>
  <c r="I110" i="4" s="1"/>
  <c r="H109" i="4"/>
  <c r="H108" i="4"/>
  <c r="I108" i="4" s="1"/>
  <c r="H106" i="4"/>
  <c r="I106" i="4" s="1"/>
  <c r="H105" i="4"/>
  <c r="I105" i="4" s="1"/>
  <c r="H104" i="4"/>
  <c r="I104" i="4" s="1"/>
  <c r="H103" i="4"/>
  <c r="I103" i="4" s="1"/>
  <c r="H102" i="4"/>
  <c r="H101" i="4"/>
  <c r="H100" i="4"/>
  <c r="I100" i="4" s="1"/>
  <c r="H99" i="4"/>
  <c r="I99" i="4" s="1"/>
  <c r="H98" i="4"/>
  <c r="J98" i="4" s="1"/>
  <c r="H97" i="4"/>
  <c r="H96" i="4"/>
  <c r="I96" i="4" s="1"/>
  <c r="H95" i="4"/>
  <c r="I95" i="4" s="1"/>
  <c r="H94" i="4"/>
  <c r="I94" i="4" s="1"/>
  <c r="H93" i="4"/>
  <c r="H92" i="4"/>
  <c r="I92" i="4" s="1"/>
  <c r="J91" i="4"/>
  <c r="M91" i="4" s="1"/>
  <c r="I91" i="4"/>
  <c r="H90" i="4"/>
  <c r="H89" i="4"/>
  <c r="I89" i="4" s="1"/>
  <c r="M88" i="4"/>
  <c r="H88" i="4"/>
  <c r="M87" i="4"/>
  <c r="H87" i="4"/>
  <c r="J87" i="4" s="1"/>
  <c r="K87" i="4" s="1"/>
  <c r="H86" i="4"/>
  <c r="I86" i="4" s="1"/>
  <c r="H85" i="4"/>
  <c r="J85" i="4" s="1"/>
  <c r="K85" i="4" s="1"/>
  <c r="H84" i="4"/>
  <c r="H83" i="4"/>
  <c r="I83" i="4" s="1"/>
  <c r="H82" i="4"/>
  <c r="I82" i="4" s="1"/>
  <c r="H81" i="4"/>
  <c r="I81" i="4" s="1"/>
  <c r="H80" i="4"/>
  <c r="I80" i="4" s="1"/>
  <c r="H79" i="4"/>
  <c r="I79" i="4" s="1"/>
  <c r="H78" i="4"/>
  <c r="H77" i="4"/>
  <c r="I77" i="4" s="1"/>
  <c r="H76" i="4"/>
  <c r="I76" i="4" s="1"/>
  <c r="J75" i="4"/>
  <c r="K75" i="4" s="1"/>
  <c r="I75" i="4"/>
  <c r="H74" i="4"/>
  <c r="I74" i="4" s="1"/>
  <c r="H73" i="4"/>
  <c r="H72" i="4"/>
  <c r="I72" i="4" s="1"/>
  <c r="M71" i="4"/>
  <c r="H71" i="4"/>
  <c r="M70" i="4"/>
  <c r="H70" i="4"/>
  <c r="H69" i="4"/>
  <c r="I69" i="4" s="1"/>
  <c r="M68" i="4"/>
  <c r="H68" i="4"/>
  <c r="I68" i="4" s="1"/>
  <c r="H67" i="4"/>
  <c r="H66" i="4"/>
  <c r="I66" i="4" s="1"/>
  <c r="H65" i="4"/>
  <c r="I65" i="4" s="1"/>
  <c r="R20" i="3"/>
  <c r="T20" i="3" s="1"/>
  <c r="R19" i="3"/>
  <c r="T19" i="3" s="1"/>
  <c r="U19" i="3" s="1"/>
  <c r="R18" i="3"/>
  <c r="R17" i="3"/>
  <c r="S17" i="3" s="1"/>
  <c r="R16" i="3"/>
  <c r="S16" i="3" s="1"/>
  <c r="W15" i="3"/>
  <c r="R15" i="3"/>
  <c r="T15" i="3" s="1"/>
  <c r="U15" i="3" s="1"/>
  <c r="R13" i="3"/>
  <c r="W12" i="3"/>
  <c r="R12" i="3"/>
  <c r="X15" i="3" l="1"/>
  <c r="T12" i="3"/>
  <c r="R38" i="3"/>
  <c r="Z41" i="5"/>
  <c r="AA41" i="5" s="1"/>
  <c r="Z42" i="5"/>
  <c r="AA42" i="5" s="1"/>
  <c r="Z47" i="5"/>
  <c r="AA47" i="5" s="1"/>
  <c r="J84" i="4"/>
  <c r="M84" i="4" s="1"/>
  <c r="I84" i="4"/>
  <c r="J90" i="4"/>
  <c r="K90" i="4" s="1"/>
  <c r="I90" i="4"/>
  <c r="J97" i="4"/>
  <c r="M97" i="4" s="1"/>
  <c r="I97" i="4"/>
  <c r="J88" i="4"/>
  <c r="K88" i="4" s="1"/>
  <c r="N88" i="4" s="1"/>
  <c r="I88" i="4"/>
  <c r="J67" i="4"/>
  <c r="K67" i="4" s="1"/>
  <c r="I67" i="4"/>
  <c r="J78" i="4"/>
  <c r="K78" i="4" s="1"/>
  <c r="I78" i="4"/>
  <c r="J116" i="4"/>
  <c r="M116" i="4" s="1"/>
  <c r="I116" i="4"/>
  <c r="J73" i="4"/>
  <c r="K73" i="4" s="1"/>
  <c r="I73" i="4"/>
  <c r="J93" i="4"/>
  <c r="K93" i="4" s="1"/>
  <c r="I93" i="4"/>
  <c r="J101" i="4"/>
  <c r="K101" i="4" s="1"/>
  <c r="I101" i="4"/>
  <c r="J71" i="4"/>
  <c r="K71" i="4" s="1"/>
  <c r="I71" i="4"/>
  <c r="J102" i="4"/>
  <c r="K102" i="4" s="1"/>
  <c r="I102" i="4"/>
  <c r="J111" i="4"/>
  <c r="M111" i="4" s="1"/>
  <c r="I111" i="4"/>
  <c r="J70" i="4"/>
  <c r="K70" i="4" s="1"/>
  <c r="N70" i="4" s="1"/>
  <c r="I70" i="4"/>
  <c r="J109" i="4"/>
  <c r="M109" i="4" s="1"/>
  <c r="I109" i="4"/>
  <c r="S15" i="3"/>
  <c r="Y15" i="3" s="1"/>
  <c r="T17" i="3"/>
  <c r="W17" i="3" s="1"/>
  <c r="S20" i="3"/>
  <c r="S12" i="3"/>
  <c r="T16" i="3"/>
  <c r="U16" i="3" s="1"/>
  <c r="V46" i="5"/>
  <c r="W46" i="5" s="1"/>
  <c r="U46" i="5"/>
  <c r="V52" i="5"/>
  <c r="Y52" i="5" s="1"/>
  <c r="U52" i="5"/>
  <c r="V40" i="5"/>
  <c r="W40" i="5" s="1"/>
  <c r="U40" i="5"/>
  <c r="V44" i="5"/>
  <c r="Y44" i="5" s="1"/>
  <c r="U44" i="5"/>
  <c r="V50" i="5"/>
  <c r="Y50" i="5" s="1"/>
  <c r="U50" i="5"/>
  <c r="V45" i="5"/>
  <c r="W45" i="5" s="1"/>
  <c r="U45" i="5"/>
  <c r="V51" i="5"/>
  <c r="W51" i="5" s="1"/>
  <c r="U51" i="5"/>
  <c r="H126" i="4"/>
  <c r="I98" i="4"/>
  <c r="Y38" i="5"/>
  <c r="W38" i="5"/>
  <c r="U38" i="5"/>
  <c r="V49" i="5"/>
  <c r="Y49" i="5" s="1"/>
  <c r="V43" i="5"/>
  <c r="Y43" i="5" s="1"/>
  <c r="J106" i="4"/>
  <c r="M106" i="4" s="1"/>
  <c r="J95" i="4"/>
  <c r="M95" i="4" s="1"/>
  <c r="W19" i="3"/>
  <c r="X19" i="3" s="1"/>
  <c r="S19" i="3"/>
  <c r="W39" i="5"/>
  <c r="Y39" i="5"/>
  <c r="T53" i="5"/>
  <c r="J112" i="4"/>
  <c r="M112" i="4" s="1"/>
  <c r="J115" i="4"/>
  <c r="K115" i="4" s="1"/>
  <c r="J108" i="4"/>
  <c r="K108" i="4" s="1"/>
  <c r="J99" i="4"/>
  <c r="M99" i="4" s="1"/>
  <c r="J103" i="4"/>
  <c r="M103" i="4" s="1"/>
  <c r="M98" i="4"/>
  <c r="K98" i="4"/>
  <c r="J110" i="4"/>
  <c r="J96" i="4"/>
  <c r="J105" i="4"/>
  <c r="K113" i="4"/>
  <c r="N113" i="4" s="1"/>
  <c r="J100" i="4"/>
  <c r="J104" i="4"/>
  <c r="K109" i="4"/>
  <c r="N109" i="4" s="1"/>
  <c r="J114" i="4"/>
  <c r="M114" i="4" s="1"/>
  <c r="N114" i="4" s="1"/>
  <c r="I114" i="4"/>
  <c r="I113" i="4"/>
  <c r="N87" i="4"/>
  <c r="N68" i="4"/>
  <c r="O68" i="4" s="1"/>
  <c r="J65" i="4"/>
  <c r="K65" i="4" s="1"/>
  <c r="J80" i="4"/>
  <c r="M80" i="4" s="1"/>
  <c r="I87" i="4"/>
  <c r="J83" i="4"/>
  <c r="K83" i="4" s="1"/>
  <c r="M85" i="4"/>
  <c r="N85" i="4" s="1"/>
  <c r="I85" i="4"/>
  <c r="J76" i="4"/>
  <c r="J77" i="4"/>
  <c r="M77" i="4" s="1"/>
  <c r="J82" i="4"/>
  <c r="M82" i="4" s="1"/>
  <c r="J69" i="4"/>
  <c r="K69" i="4" s="1"/>
  <c r="M75" i="4"/>
  <c r="J81" i="4"/>
  <c r="K81" i="4" s="1"/>
  <c r="J74" i="4"/>
  <c r="K74" i="4" s="1"/>
  <c r="J79" i="4"/>
  <c r="J92" i="4"/>
  <c r="J89" i="4"/>
  <c r="J94" i="4"/>
  <c r="J72" i="4"/>
  <c r="J86" i="4"/>
  <c r="K91" i="4"/>
  <c r="N91" i="4" s="1"/>
  <c r="O91" i="4" s="1"/>
  <c r="J66" i="4"/>
  <c r="M66" i="4" s="1"/>
  <c r="L66" i="4"/>
  <c r="L126" i="4" s="1"/>
  <c r="T13" i="3"/>
  <c r="S13" i="3"/>
  <c r="T18" i="3"/>
  <c r="S18" i="3"/>
  <c r="U12" i="3"/>
  <c r="W20" i="3"/>
  <c r="U20" i="3"/>
  <c r="M93" i="4" l="1"/>
  <c r="N93" i="4" s="1"/>
  <c r="K111" i="4"/>
  <c r="N111" i="4" s="1"/>
  <c r="W50" i="5"/>
  <c r="Z50" i="5" s="1"/>
  <c r="AA50" i="5" s="1"/>
  <c r="Y40" i="5"/>
  <c r="Z40" i="5" s="1"/>
  <c r="AA40" i="5" s="1"/>
  <c r="Z38" i="5"/>
  <c r="K116" i="4"/>
  <c r="N116" i="4" s="1"/>
  <c r="O116" i="4" s="1"/>
  <c r="M102" i="4"/>
  <c r="N102" i="4" s="1"/>
  <c r="O102" i="4" s="1"/>
  <c r="M90" i="4"/>
  <c r="N90" i="4" s="1"/>
  <c r="O90" i="4" s="1"/>
  <c r="S38" i="3"/>
  <c r="T38" i="3"/>
  <c r="Y46" i="5"/>
  <c r="Z46" i="5" s="1"/>
  <c r="AA46" i="5" s="1"/>
  <c r="W44" i="5"/>
  <c r="W52" i="5"/>
  <c r="Z52" i="5" s="1"/>
  <c r="W43" i="5"/>
  <c r="Z43" i="5" s="1"/>
  <c r="AA43" i="5" s="1"/>
  <c r="Y51" i="5"/>
  <c r="Z51" i="5" s="1"/>
  <c r="AA51" i="5" s="1"/>
  <c r="M78" i="4"/>
  <c r="N78" i="4" s="1"/>
  <c r="M67" i="4"/>
  <c r="N67" i="4" s="1"/>
  <c r="O67" i="4" s="1"/>
  <c r="M73" i="4"/>
  <c r="N73" i="4" s="1"/>
  <c r="M108" i="4"/>
  <c r="N108" i="4" s="1"/>
  <c r="O108" i="4" s="1"/>
  <c r="M101" i="4"/>
  <c r="N101" i="4" s="1"/>
  <c r="O101" i="4" s="1"/>
  <c r="K84" i="4"/>
  <c r="N84" i="4" s="1"/>
  <c r="O84" i="4" s="1"/>
  <c r="K97" i="4"/>
  <c r="N97" i="4" s="1"/>
  <c r="O97" i="4" s="1"/>
  <c r="U17" i="3"/>
  <c r="X17" i="3" s="1"/>
  <c r="Y17" i="3" s="1"/>
  <c r="W16" i="3"/>
  <c r="X16" i="3" s="1"/>
  <c r="Y16" i="3" s="1"/>
  <c r="X20" i="3"/>
  <c r="Y20" i="3" s="1"/>
  <c r="Y19" i="3"/>
  <c r="W49" i="5"/>
  <c r="Z49" i="5" s="1"/>
  <c r="AA49" i="5" s="1"/>
  <c r="Y45" i="5"/>
  <c r="AA38" i="5"/>
  <c r="I126" i="4"/>
  <c r="J126" i="4"/>
  <c r="O111" i="4"/>
  <c r="AA52" i="5"/>
  <c r="V53" i="5"/>
  <c r="U53" i="5"/>
  <c r="H9" i="5" s="1"/>
  <c r="I15" i="5" s="1"/>
  <c r="Z44" i="5"/>
  <c r="AA44" i="5" s="1"/>
  <c r="K112" i="4"/>
  <c r="N112" i="4" s="1"/>
  <c r="O112" i="4" s="1"/>
  <c r="K106" i="4"/>
  <c r="N106" i="4" s="1"/>
  <c r="O106" i="4" s="1"/>
  <c r="K95" i="4"/>
  <c r="N95" i="4" s="1"/>
  <c r="M65" i="4"/>
  <c r="Z39" i="5"/>
  <c r="AA39" i="5" s="1"/>
  <c r="M115" i="4"/>
  <c r="N115" i="4" s="1"/>
  <c r="O115" i="4" s="1"/>
  <c r="O114" i="4"/>
  <c r="O109" i="4"/>
  <c r="K77" i="4"/>
  <c r="N77" i="4" s="1"/>
  <c r="O87" i="4"/>
  <c r="K103" i="4"/>
  <c r="N103" i="4" s="1"/>
  <c r="O103" i="4" s="1"/>
  <c r="K99" i="4"/>
  <c r="N99" i="4" s="1"/>
  <c r="O99" i="4" s="1"/>
  <c r="M100" i="4"/>
  <c r="K100" i="4"/>
  <c r="M96" i="4"/>
  <c r="K96" i="4"/>
  <c r="O113" i="4"/>
  <c r="M104" i="4"/>
  <c r="K104" i="4"/>
  <c r="N98" i="4"/>
  <c r="O98" i="4" s="1"/>
  <c r="K105" i="4"/>
  <c r="M105" i="4"/>
  <c r="K110" i="4"/>
  <c r="M110" i="4"/>
  <c r="M83" i="4"/>
  <c r="N83" i="4" s="1"/>
  <c r="O85" i="4"/>
  <c r="O73" i="4"/>
  <c r="K80" i="4"/>
  <c r="O70" i="4"/>
  <c r="O88" i="4"/>
  <c r="N66" i="4"/>
  <c r="O66" i="4" s="1"/>
  <c r="K82" i="4"/>
  <c r="N82" i="4" s="1"/>
  <c r="O82" i="4" s="1"/>
  <c r="N71" i="4"/>
  <c r="O71" i="4" s="1"/>
  <c r="M69" i="4"/>
  <c r="M76" i="4"/>
  <c r="K76" i="4"/>
  <c r="M81" i="4"/>
  <c r="M74" i="4"/>
  <c r="N74" i="4" s="1"/>
  <c r="O74" i="4" s="1"/>
  <c r="O93" i="4"/>
  <c r="N75" i="4"/>
  <c r="M72" i="4"/>
  <c r="K72" i="4"/>
  <c r="K94" i="4"/>
  <c r="M94" i="4"/>
  <c r="M79" i="4"/>
  <c r="K79" i="4"/>
  <c r="M92" i="4"/>
  <c r="K92" i="4"/>
  <c r="M86" i="4"/>
  <c r="K86" i="4"/>
  <c r="K89" i="4"/>
  <c r="M89" i="4"/>
  <c r="O83" i="4"/>
  <c r="W13" i="3"/>
  <c r="U13" i="3"/>
  <c r="I18" i="3"/>
  <c r="W18" i="3"/>
  <c r="U18" i="3"/>
  <c r="X12" i="3"/>
  <c r="W38" i="3" l="1"/>
  <c r="U38" i="3"/>
  <c r="H34" i="5"/>
  <c r="Y53" i="5"/>
  <c r="W53" i="5"/>
  <c r="Z45" i="5"/>
  <c r="AA45" i="5" s="1"/>
  <c r="AA53" i="5" s="1"/>
  <c r="X18" i="3"/>
  <c r="Y18" i="3" s="1"/>
  <c r="X13" i="3"/>
  <c r="Y13" i="3" s="1"/>
  <c r="H37" i="3"/>
  <c r="K126" i="4"/>
  <c r="M126" i="4"/>
  <c r="N65" i="4"/>
  <c r="N104" i="4"/>
  <c r="O104" i="4" s="1"/>
  <c r="N105" i="4"/>
  <c r="O105" i="4" s="1"/>
  <c r="N100" i="4"/>
  <c r="O100" i="4" s="1"/>
  <c r="N110" i="4"/>
  <c r="O110" i="4" s="1"/>
  <c r="O95" i="4"/>
  <c r="N96" i="4"/>
  <c r="O96" i="4" s="1"/>
  <c r="N80" i="4"/>
  <c r="N69" i="4"/>
  <c r="O69" i="4" s="1"/>
  <c r="N81" i="4"/>
  <c r="N76" i="4"/>
  <c r="O76" i="4" s="1"/>
  <c r="O75" i="4"/>
  <c r="N79" i="4"/>
  <c r="N94" i="4"/>
  <c r="O77" i="4"/>
  <c r="N89" i="4"/>
  <c r="N86" i="4"/>
  <c r="O78" i="4"/>
  <c r="N72" i="4"/>
  <c r="N92" i="4"/>
  <c r="O92" i="4" s="1"/>
  <c r="Y12" i="3"/>
  <c r="Z53" i="5" l="1"/>
  <c r="Y38" i="3"/>
  <c r="X38" i="3"/>
  <c r="O65" i="4"/>
  <c r="N126" i="4"/>
  <c r="O80" i="4"/>
  <c r="O81" i="4"/>
  <c r="O86" i="4"/>
  <c r="O79" i="4"/>
  <c r="O72" i="4"/>
  <c r="O89" i="4"/>
  <c r="O94" i="4"/>
  <c r="O126" i="4" l="1"/>
  <c r="I120" i="2"/>
  <c r="O120" i="2" s="1"/>
  <c r="O122" i="2" s="1"/>
  <c r="H108" i="2"/>
  <c r="I108" i="2" s="1"/>
  <c r="H107" i="2"/>
  <c r="H106" i="2"/>
  <c r="I106" i="2" s="1"/>
  <c r="H105" i="2"/>
  <c r="J105" i="2" s="1"/>
  <c r="H104" i="2"/>
  <c r="H103" i="2"/>
  <c r="I103" i="2" s="1"/>
  <c r="H102" i="2"/>
  <c r="I102" i="2" s="1"/>
  <c r="H101" i="2"/>
  <c r="H100" i="2"/>
  <c r="H98" i="2"/>
  <c r="I98" i="2" s="1"/>
  <c r="H97" i="2"/>
  <c r="I97" i="2" s="1"/>
  <c r="H96" i="2"/>
  <c r="I96" i="2" s="1"/>
  <c r="H95" i="2"/>
  <c r="H94" i="2"/>
  <c r="I94" i="2" s="1"/>
  <c r="H93" i="2"/>
  <c r="I93" i="2" s="1"/>
  <c r="H92" i="2"/>
  <c r="H91" i="2"/>
  <c r="H90" i="2"/>
  <c r="L89" i="2"/>
  <c r="G89" i="2"/>
  <c r="F89" i="2"/>
  <c r="H88" i="2"/>
  <c r="I88" i="2" s="1"/>
  <c r="L87" i="2"/>
  <c r="G87" i="2"/>
  <c r="F87" i="2"/>
  <c r="H86" i="2"/>
  <c r="I86" i="2" s="1"/>
  <c r="H85" i="2"/>
  <c r="L84" i="2"/>
  <c r="G84" i="2"/>
  <c r="F84" i="2"/>
  <c r="H83" i="2"/>
  <c r="H82" i="2"/>
  <c r="H81" i="2"/>
  <c r="I81" i="2" s="1"/>
  <c r="H80" i="2"/>
  <c r="I80" i="2" s="1"/>
  <c r="H79" i="2"/>
  <c r="I79" i="2" s="1"/>
  <c r="H78" i="2"/>
  <c r="H77" i="2"/>
  <c r="I77" i="2" s="1"/>
  <c r="H76" i="2"/>
  <c r="I76" i="2" s="1"/>
  <c r="M75" i="2"/>
  <c r="K75" i="2"/>
  <c r="H75" i="2"/>
  <c r="I75" i="2" s="1"/>
  <c r="M74" i="2"/>
  <c r="K74" i="2"/>
  <c r="H74" i="2"/>
  <c r="I74" i="2" s="1"/>
  <c r="H73" i="2"/>
  <c r="I73" i="2" s="1"/>
  <c r="H72" i="2"/>
  <c r="H71" i="2"/>
  <c r="L70" i="2"/>
  <c r="G70" i="2"/>
  <c r="F70" i="2"/>
  <c r="H69" i="2"/>
  <c r="L68" i="2"/>
  <c r="G68" i="2"/>
  <c r="F68" i="2"/>
  <c r="H67" i="2"/>
  <c r="H66" i="2"/>
  <c r="J65" i="2"/>
  <c r="M65" i="2" s="1"/>
  <c r="I65" i="2"/>
  <c r="H64" i="2"/>
  <c r="I64" i="2" s="1"/>
  <c r="H63" i="2"/>
  <c r="I63" i="2" s="1"/>
  <c r="L62" i="2"/>
  <c r="G62" i="2"/>
  <c r="F62" i="2"/>
  <c r="M61" i="2"/>
  <c r="H61" i="2"/>
  <c r="M60" i="2"/>
  <c r="H60" i="2"/>
  <c r="H59" i="2"/>
  <c r="L58" i="2"/>
  <c r="G58" i="2"/>
  <c r="F58" i="2"/>
  <c r="H57" i="2"/>
  <c r="J57" i="2" s="1"/>
  <c r="H56" i="2"/>
  <c r="J56" i="2" s="1"/>
  <c r="H55" i="2"/>
  <c r="H54" i="2"/>
  <c r="L53" i="2"/>
  <c r="G53" i="2"/>
  <c r="F53" i="2"/>
  <c r="H52" i="2"/>
  <c r="J52" i="2" s="1"/>
  <c r="K52" i="2" s="1"/>
  <c r="H51" i="2"/>
  <c r="I51" i="2" s="1"/>
  <c r="L50" i="2"/>
  <c r="G50" i="2"/>
  <c r="F50" i="2"/>
  <c r="H49" i="2"/>
  <c r="L48" i="2"/>
  <c r="G48" i="2"/>
  <c r="F48" i="2"/>
  <c r="H47" i="2"/>
  <c r="L46" i="2"/>
  <c r="G46" i="2"/>
  <c r="F46" i="2"/>
  <c r="H45" i="2"/>
  <c r="L44" i="2"/>
  <c r="G44" i="2"/>
  <c r="F44" i="2"/>
  <c r="H43" i="2"/>
  <c r="I43" i="2" s="1"/>
  <c r="L42" i="2"/>
  <c r="G42" i="2"/>
  <c r="F42" i="2"/>
  <c r="H41" i="2"/>
  <c r="J40" i="2"/>
  <c r="M40" i="2" s="1"/>
  <c r="I40" i="2"/>
  <c r="L39" i="2"/>
  <c r="G39" i="2"/>
  <c r="F39" i="2"/>
  <c r="H38" i="2"/>
  <c r="I38" i="2" s="1"/>
  <c r="H37" i="2"/>
  <c r="H36" i="2"/>
  <c r="I36" i="2" s="1"/>
  <c r="L35" i="2"/>
  <c r="G35" i="2"/>
  <c r="F35" i="2"/>
  <c r="M34" i="2"/>
  <c r="M35" i="2" s="1"/>
  <c r="H34" i="2"/>
  <c r="L33" i="2"/>
  <c r="G33" i="2"/>
  <c r="F33" i="2"/>
  <c r="M32" i="2"/>
  <c r="H32" i="2"/>
  <c r="I32" i="2" s="1"/>
  <c r="H31" i="2"/>
  <c r="I31" i="2" s="1"/>
  <c r="H30" i="2"/>
  <c r="I30" i="2" s="1"/>
  <c r="L29" i="2"/>
  <c r="G29" i="2"/>
  <c r="F29" i="2"/>
  <c r="H28" i="2"/>
  <c r="I28" i="2" s="1"/>
  <c r="H27" i="2"/>
  <c r="H26" i="2"/>
  <c r="H25" i="2"/>
  <c r="I25" i="2" s="1"/>
  <c r="H24" i="2"/>
  <c r="I24" i="2" s="1"/>
  <c r="H23" i="2"/>
  <c r="I23" i="2" s="1"/>
  <c r="H22" i="2"/>
  <c r="H21" i="2"/>
  <c r="I21" i="2" s="1"/>
  <c r="L20" i="2"/>
  <c r="J20" i="2"/>
  <c r="G20" i="2"/>
  <c r="F20" i="2"/>
  <c r="M19" i="2"/>
  <c r="M20" i="2" s="1"/>
  <c r="K19" i="2"/>
  <c r="K20" i="2" s="1"/>
  <c r="H19" i="2"/>
  <c r="I19" i="2" s="1"/>
  <c r="G18" i="2"/>
  <c r="F18" i="2"/>
  <c r="H17" i="2"/>
  <c r="H16" i="2"/>
  <c r="I16" i="2" s="1"/>
  <c r="H15" i="2"/>
  <c r="L14" i="2"/>
  <c r="G14" i="2"/>
  <c r="F14" i="2"/>
  <c r="H13" i="2"/>
  <c r="I13" i="2" s="1"/>
  <c r="H12" i="2"/>
  <c r="J12" i="2" s="1"/>
  <c r="M12" i="2" s="1"/>
  <c r="H11" i="2"/>
  <c r="M10" i="2"/>
  <c r="H10" i="2"/>
  <c r="J10" i="2" s="1"/>
  <c r="K10" i="2" s="1"/>
  <c r="H9" i="2"/>
  <c r="J9" i="2" s="1"/>
  <c r="M8" i="2"/>
  <c r="H8" i="2"/>
  <c r="J8" i="2" s="1"/>
  <c r="H62" i="2" l="1"/>
  <c r="I56" i="2"/>
  <c r="J86" i="2"/>
  <c r="M86" i="2" s="1"/>
  <c r="N74" i="2"/>
  <c r="O74" i="2" s="1"/>
  <c r="J41" i="2"/>
  <c r="K41" i="2" s="1"/>
  <c r="I41" i="2"/>
  <c r="J11" i="2"/>
  <c r="K11" i="2" s="1"/>
  <c r="I11" i="2"/>
  <c r="L16" i="2"/>
  <c r="L18" i="2" s="1"/>
  <c r="J22" i="2"/>
  <c r="K22" i="2" s="1"/>
  <c r="I22" i="2"/>
  <c r="J26" i="2"/>
  <c r="K26" i="2" s="1"/>
  <c r="I26" i="2"/>
  <c r="J31" i="2"/>
  <c r="M31" i="2" s="1"/>
  <c r="J37" i="2"/>
  <c r="M37" i="2" s="1"/>
  <c r="I37" i="2"/>
  <c r="I39" i="2" s="1"/>
  <c r="J61" i="2"/>
  <c r="K61" i="2" s="1"/>
  <c r="N61" i="2" s="1"/>
  <c r="I61" i="2"/>
  <c r="J72" i="2"/>
  <c r="K72" i="2" s="1"/>
  <c r="I72" i="2"/>
  <c r="I105" i="2"/>
  <c r="J49" i="2"/>
  <c r="M49" i="2" s="1"/>
  <c r="M50" i="2" s="1"/>
  <c r="I49" i="2"/>
  <c r="J17" i="2"/>
  <c r="K17" i="2" s="1"/>
  <c r="I17" i="2"/>
  <c r="J27" i="2"/>
  <c r="K27" i="2" s="1"/>
  <c r="I27" i="2"/>
  <c r="J55" i="2"/>
  <c r="K55" i="2" s="1"/>
  <c r="I55" i="2"/>
  <c r="H118" i="2"/>
  <c r="H46" i="2"/>
  <c r="I45" i="2"/>
  <c r="I46" i="2" s="1"/>
  <c r="N10" i="2"/>
  <c r="J15" i="2"/>
  <c r="K15" i="2" s="1"/>
  <c r="I15" i="2"/>
  <c r="H35" i="2"/>
  <c r="I34" i="2"/>
  <c r="J66" i="2"/>
  <c r="K66" i="2" s="1"/>
  <c r="I66" i="2"/>
  <c r="J78" i="2"/>
  <c r="K78" i="2" s="1"/>
  <c r="I78" i="2"/>
  <c r="J82" i="2"/>
  <c r="K82" i="2" s="1"/>
  <c r="I82" i="2"/>
  <c r="F119" i="2"/>
  <c r="J91" i="2"/>
  <c r="K91" i="2" s="1"/>
  <c r="I91" i="2"/>
  <c r="J95" i="2"/>
  <c r="K95" i="2" s="1"/>
  <c r="I95" i="2"/>
  <c r="J100" i="2"/>
  <c r="K100" i="2" s="1"/>
  <c r="I100" i="2"/>
  <c r="J104" i="2"/>
  <c r="K104" i="2" s="1"/>
  <c r="I104" i="2"/>
  <c r="H48" i="2"/>
  <c r="I47" i="2"/>
  <c r="I48" i="2" s="1"/>
  <c r="J67" i="2"/>
  <c r="M67" i="2" s="1"/>
  <c r="I67" i="2"/>
  <c r="J83" i="2"/>
  <c r="I83" i="2"/>
  <c r="J85" i="2"/>
  <c r="M85" i="2" s="1"/>
  <c r="I85" i="2"/>
  <c r="I87" i="2" s="1"/>
  <c r="J92" i="2"/>
  <c r="K92" i="2" s="1"/>
  <c r="I92" i="2"/>
  <c r="J101" i="2"/>
  <c r="K101" i="2" s="1"/>
  <c r="I101" i="2"/>
  <c r="J107" i="2"/>
  <c r="I107" i="2"/>
  <c r="K58" i="4"/>
  <c r="K59" i="4" s="1"/>
  <c r="N30" i="5" s="1"/>
  <c r="N29" i="5"/>
  <c r="M52" i="2"/>
  <c r="N52" i="2" s="1"/>
  <c r="J30" i="2"/>
  <c r="M30" i="2" s="1"/>
  <c r="J36" i="2"/>
  <c r="K36" i="2" s="1"/>
  <c r="K40" i="2"/>
  <c r="N40" i="2" s="1"/>
  <c r="J45" i="2"/>
  <c r="M45" i="2" s="1"/>
  <c r="M46" i="2" s="1"/>
  <c r="K65" i="2"/>
  <c r="N65" i="2" s="1"/>
  <c r="J106" i="2"/>
  <c r="M106" i="2" s="1"/>
  <c r="N106" i="2" s="1"/>
  <c r="J16" i="2"/>
  <c r="M16" i="2" s="1"/>
  <c r="N16" i="2" s="1"/>
  <c r="O16" i="2" s="1"/>
  <c r="N19" i="2"/>
  <c r="N20" i="2" s="1"/>
  <c r="J47" i="2"/>
  <c r="M47" i="2" s="1"/>
  <c r="M48" i="2" s="1"/>
  <c r="H53" i="2"/>
  <c r="N75" i="2"/>
  <c r="O75" i="2" s="1"/>
  <c r="J13" i="2"/>
  <c r="M13" i="2" s="1"/>
  <c r="J93" i="2"/>
  <c r="M93" i="2" s="1"/>
  <c r="J96" i="2"/>
  <c r="M96" i="2" s="1"/>
  <c r="M104" i="2"/>
  <c r="N104" i="2" s="1"/>
  <c r="I12" i="2"/>
  <c r="J102" i="2"/>
  <c r="M102" i="2" s="1"/>
  <c r="J23" i="2"/>
  <c r="K23" i="2" s="1"/>
  <c r="J79" i="2"/>
  <c r="M79" i="2" s="1"/>
  <c r="M72" i="2"/>
  <c r="N72" i="2" s="1"/>
  <c r="J108" i="2"/>
  <c r="K108" i="2" s="1"/>
  <c r="J97" i="2"/>
  <c r="M97" i="2" s="1"/>
  <c r="H87" i="2"/>
  <c r="J80" i="2"/>
  <c r="M80" i="2" s="1"/>
  <c r="J76" i="2"/>
  <c r="K76" i="2" s="1"/>
  <c r="J73" i="2"/>
  <c r="K73" i="2" s="1"/>
  <c r="H68" i="2"/>
  <c r="J64" i="2"/>
  <c r="M64" i="2" s="1"/>
  <c r="H42" i="2"/>
  <c r="M41" i="2"/>
  <c r="N41" i="2" s="1"/>
  <c r="O41" i="2" s="1"/>
  <c r="J34" i="2"/>
  <c r="J28" i="2"/>
  <c r="M28" i="2" s="1"/>
  <c r="J24" i="2"/>
  <c r="M24" i="2" s="1"/>
  <c r="H14" i="2"/>
  <c r="M9" i="2"/>
  <c r="K9" i="2"/>
  <c r="M11" i="2"/>
  <c r="J25" i="2"/>
  <c r="J38" i="2"/>
  <c r="J43" i="2"/>
  <c r="H44" i="2"/>
  <c r="J81" i="2"/>
  <c r="G119" i="2"/>
  <c r="I20" i="2"/>
  <c r="K45" i="2"/>
  <c r="M76" i="2"/>
  <c r="I9" i="2"/>
  <c r="I10" i="2"/>
  <c r="K12" i="2"/>
  <c r="N12" i="2" s="1"/>
  <c r="H39" i="2"/>
  <c r="K37" i="2"/>
  <c r="N37" i="2" s="1"/>
  <c r="K57" i="2"/>
  <c r="M57" i="2"/>
  <c r="J60" i="2"/>
  <c r="K60" i="2" s="1"/>
  <c r="N60" i="2" s="1"/>
  <c r="I60" i="2"/>
  <c r="J77" i="2"/>
  <c r="M105" i="2"/>
  <c r="K105" i="2"/>
  <c r="H29" i="2"/>
  <c r="J21" i="2"/>
  <c r="J32" i="2"/>
  <c r="K32" i="2" s="1"/>
  <c r="N32" i="2" s="1"/>
  <c r="I33" i="2"/>
  <c r="J54" i="2"/>
  <c r="H58" i="2"/>
  <c r="I54" i="2"/>
  <c r="M92" i="2"/>
  <c r="M101" i="2"/>
  <c r="K8" i="2"/>
  <c r="H18" i="2"/>
  <c r="M23" i="2"/>
  <c r="J50" i="2"/>
  <c r="M56" i="2"/>
  <c r="K56" i="2"/>
  <c r="H84" i="2"/>
  <c r="J88" i="2"/>
  <c r="H89" i="2"/>
  <c r="I8" i="2"/>
  <c r="M15" i="2"/>
  <c r="H20" i="2"/>
  <c r="H33" i="2"/>
  <c r="J42" i="2"/>
  <c r="H50" i="2"/>
  <c r="J51" i="2"/>
  <c r="I52" i="2"/>
  <c r="I57" i="2"/>
  <c r="J63" i="2"/>
  <c r="J69" i="2"/>
  <c r="H70" i="2"/>
  <c r="I69" i="2"/>
  <c r="M83" i="2"/>
  <c r="K83" i="2"/>
  <c r="J59" i="2"/>
  <c r="I59" i="2"/>
  <c r="O65" i="2"/>
  <c r="K85" i="2"/>
  <c r="J71" i="2"/>
  <c r="I71" i="2"/>
  <c r="J90" i="2"/>
  <c r="I90" i="2"/>
  <c r="J94" i="2"/>
  <c r="J98" i="2"/>
  <c r="J103" i="2"/>
  <c r="O106" i="2"/>
  <c r="L119" i="2"/>
  <c r="K49" i="2" l="1"/>
  <c r="M42" i="2"/>
  <c r="M27" i="2"/>
  <c r="M82" i="2"/>
  <c r="N82" i="2" s="1"/>
  <c r="N42" i="2"/>
  <c r="M108" i="2"/>
  <c r="M26" i="2"/>
  <c r="N26" i="2" s="1"/>
  <c r="M87" i="2"/>
  <c r="O52" i="2"/>
  <c r="K80" i="2"/>
  <c r="K67" i="2"/>
  <c r="I118" i="2"/>
  <c r="M17" i="2"/>
  <c r="N17" i="2" s="1"/>
  <c r="O17" i="2" s="1"/>
  <c r="M55" i="2"/>
  <c r="N55" i="2" s="1"/>
  <c r="O40" i="2"/>
  <c r="K86" i="2"/>
  <c r="K87" i="2" s="1"/>
  <c r="M95" i="2"/>
  <c r="N95" i="2" s="1"/>
  <c r="O95" i="2" s="1"/>
  <c r="J87" i="2"/>
  <c r="K31" i="2"/>
  <c r="N31" i="2" s="1"/>
  <c r="O31" i="2" s="1"/>
  <c r="M66" i="2"/>
  <c r="N66" i="2" s="1"/>
  <c r="O66" i="2" s="1"/>
  <c r="M78" i="2"/>
  <c r="N78" i="2" s="1"/>
  <c r="O78" i="2" s="1"/>
  <c r="M22" i="2"/>
  <c r="N22" i="2" s="1"/>
  <c r="O22" i="2" s="1"/>
  <c r="J18" i="2"/>
  <c r="J46" i="2"/>
  <c r="K28" i="2"/>
  <c r="N28" i="2" s="1"/>
  <c r="O28" i="2" s="1"/>
  <c r="O72" i="2"/>
  <c r="O55" i="2"/>
  <c r="O19" i="2"/>
  <c r="O20" i="2" s="1"/>
  <c r="J39" i="2"/>
  <c r="J14" i="2"/>
  <c r="M33" i="2"/>
  <c r="M100" i="2"/>
  <c r="N100" i="2" s="1"/>
  <c r="O100" i="2" s="1"/>
  <c r="O61" i="2"/>
  <c r="J118" i="2"/>
  <c r="O42" i="2"/>
  <c r="N56" i="2"/>
  <c r="O56" i="2" s="1"/>
  <c r="K42" i="2"/>
  <c r="N105" i="2"/>
  <c r="O105" i="2" s="1"/>
  <c r="O10" i="2"/>
  <c r="M91" i="2"/>
  <c r="N91" i="2" s="1"/>
  <c r="O91" i="2" s="1"/>
  <c r="K107" i="2"/>
  <c r="M107" i="2"/>
  <c r="K47" i="2"/>
  <c r="K30" i="2"/>
  <c r="N30" i="2" s="1"/>
  <c r="J48" i="2"/>
  <c r="M36" i="2"/>
  <c r="M73" i="2"/>
  <c r="N73" i="2" s="1"/>
  <c r="O73" i="2" s="1"/>
  <c r="O37" i="2"/>
  <c r="K64" i="2"/>
  <c r="N64" i="2" s="1"/>
  <c r="O64" i="2" s="1"/>
  <c r="N108" i="2"/>
  <c r="O108" i="2" s="1"/>
  <c r="K79" i="2"/>
  <c r="N79" i="2" s="1"/>
  <c r="O79" i="2" s="1"/>
  <c r="K13" i="2"/>
  <c r="N13" i="2" s="1"/>
  <c r="O13" i="2" s="1"/>
  <c r="O104" i="2"/>
  <c r="O12" i="2"/>
  <c r="N23" i="2"/>
  <c r="O23" i="2" s="1"/>
  <c r="K96" i="2"/>
  <c r="N96" i="2" s="1"/>
  <c r="O96" i="2" s="1"/>
  <c r="K97" i="2"/>
  <c r="N97" i="2" s="1"/>
  <c r="O97" i="2" s="1"/>
  <c r="K93" i="2"/>
  <c r="N93" i="2" s="1"/>
  <c r="O93" i="2" s="1"/>
  <c r="K102" i="2"/>
  <c r="N102" i="2" s="1"/>
  <c r="O102" i="2" s="1"/>
  <c r="N80" i="2"/>
  <c r="O80" i="2" s="1"/>
  <c r="K24" i="2"/>
  <c r="N24" i="2" s="1"/>
  <c r="O24" i="2" s="1"/>
  <c r="N83" i="2"/>
  <c r="O83" i="2" s="1"/>
  <c r="O82" i="2"/>
  <c r="N9" i="2"/>
  <c r="O9" i="2" s="1"/>
  <c r="O26" i="2"/>
  <c r="N101" i="2"/>
  <c r="O101" i="2" s="1"/>
  <c r="N86" i="2"/>
  <c r="O86" i="2" s="1"/>
  <c r="J35" i="2"/>
  <c r="K34" i="2"/>
  <c r="H119" i="2"/>
  <c r="M90" i="2"/>
  <c r="K90" i="2"/>
  <c r="I84" i="2"/>
  <c r="N85" i="2"/>
  <c r="J53" i="2"/>
  <c r="M51" i="2"/>
  <c r="M53" i="2" s="1"/>
  <c r="K51" i="2"/>
  <c r="M94" i="2"/>
  <c r="K94" i="2"/>
  <c r="N36" i="2"/>
  <c r="N15" i="2"/>
  <c r="K18" i="2"/>
  <c r="N45" i="2"/>
  <c r="K46" i="2"/>
  <c r="M98" i="2"/>
  <c r="K98" i="2"/>
  <c r="I35" i="2"/>
  <c r="I62" i="2"/>
  <c r="N8" i="2"/>
  <c r="O8" i="2" s="1"/>
  <c r="I58" i="2"/>
  <c r="N57" i="2"/>
  <c r="O57" i="2" s="1"/>
  <c r="I42" i="2"/>
  <c r="K63" i="2"/>
  <c r="J68" i="2"/>
  <c r="M63" i="2"/>
  <c r="I14" i="2"/>
  <c r="J58" i="2"/>
  <c r="M54" i="2"/>
  <c r="M58" i="2" s="1"/>
  <c r="K54" i="2"/>
  <c r="J29" i="2"/>
  <c r="K21" i="2"/>
  <c r="M21" i="2"/>
  <c r="J33" i="2"/>
  <c r="J84" i="2"/>
  <c r="M71" i="2"/>
  <c r="K71" i="2"/>
  <c r="J70" i="2"/>
  <c r="K69" i="2"/>
  <c r="M69" i="2"/>
  <c r="M70" i="2" s="1"/>
  <c r="J89" i="2"/>
  <c r="K88" i="2"/>
  <c r="M88" i="2"/>
  <c r="M89" i="2" s="1"/>
  <c r="K48" i="2"/>
  <c r="N47" i="2"/>
  <c r="I44" i="2"/>
  <c r="K38" i="2"/>
  <c r="M38" i="2"/>
  <c r="M39" i="2" s="1"/>
  <c r="K25" i="2"/>
  <c r="M25" i="2"/>
  <c r="N11" i="2"/>
  <c r="O11" i="2" s="1"/>
  <c r="M103" i="2"/>
  <c r="K103" i="2"/>
  <c r="J62" i="2"/>
  <c r="K59" i="2"/>
  <c r="M59" i="2"/>
  <c r="M62" i="2" s="1"/>
  <c r="I70" i="2"/>
  <c r="I68" i="2"/>
  <c r="I53" i="2"/>
  <c r="I89" i="2"/>
  <c r="N49" i="2"/>
  <c r="N50" i="2" s="1"/>
  <c r="K50" i="2"/>
  <c r="N92" i="2"/>
  <c r="O92" i="2" s="1"/>
  <c r="N67" i="2"/>
  <c r="O67" i="2" s="1"/>
  <c r="O32" i="2"/>
  <c r="I29" i="2"/>
  <c r="M77" i="2"/>
  <c r="K77" i="2"/>
  <c r="O60" i="2"/>
  <c r="I50" i="2"/>
  <c r="N76" i="2"/>
  <c r="O76" i="2" s="1"/>
  <c r="N27" i="2"/>
  <c r="O27" i="2" s="1"/>
  <c r="M81" i="2"/>
  <c r="K81" i="2"/>
  <c r="J44" i="2"/>
  <c r="M43" i="2"/>
  <c r="M44" i="2" s="1"/>
  <c r="K43" i="2"/>
  <c r="I18" i="2"/>
  <c r="M14" i="2"/>
  <c r="M68" i="2" l="1"/>
  <c r="M18" i="2"/>
  <c r="K33" i="2"/>
  <c r="O49" i="2"/>
  <c r="O50" i="2" s="1"/>
  <c r="N107" i="2"/>
  <c r="O107" i="2" s="1"/>
  <c r="K118" i="2"/>
  <c r="M118" i="2"/>
  <c r="N38" i="2"/>
  <c r="O38" i="2" s="1"/>
  <c r="K14" i="2"/>
  <c r="N77" i="2"/>
  <c r="O77" i="2" s="1"/>
  <c r="N103" i="2"/>
  <c r="O103" i="2" s="1"/>
  <c r="N81" i="2"/>
  <c r="O81" i="2" s="1"/>
  <c r="N34" i="2"/>
  <c r="K35" i="2"/>
  <c r="K62" i="2"/>
  <c r="N59" i="2"/>
  <c r="K84" i="2"/>
  <c r="N71" i="2"/>
  <c r="K68" i="2"/>
  <c r="N63" i="2"/>
  <c r="J119" i="2"/>
  <c r="M84" i="2"/>
  <c r="K58" i="2"/>
  <c r="N54" i="2"/>
  <c r="N43" i="2"/>
  <c r="K44" i="2"/>
  <c r="N25" i="2"/>
  <c r="O25" i="2" s="1"/>
  <c r="N88" i="2"/>
  <c r="K89" i="2"/>
  <c r="K70" i="2"/>
  <c r="N69" i="2"/>
  <c r="M29" i="2"/>
  <c r="N14" i="2"/>
  <c r="N46" i="2"/>
  <c r="O45" i="2"/>
  <c r="O46" i="2" s="1"/>
  <c r="N39" i="2"/>
  <c r="O36" i="2"/>
  <c r="O39" i="2" s="1"/>
  <c r="N87" i="2"/>
  <c r="O85" i="2"/>
  <c r="O87" i="2" s="1"/>
  <c r="N90" i="2"/>
  <c r="O14" i="2"/>
  <c r="N18" i="2"/>
  <c r="O15" i="2"/>
  <c r="O18" i="2" s="1"/>
  <c r="K39" i="2"/>
  <c r="N33" i="2"/>
  <c r="O30" i="2"/>
  <c r="O33" i="2" s="1"/>
  <c r="I119" i="2"/>
  <c r="N48" i="2"/>
  <c r="O47" i="2"/>
  <c r="O48" i="2" s="1"/>
  <c r="K29" i="2"/>
  <c r="N21" i="2"/>
  <c r="N98" i="2"/>
  <c r="O98" i="2" s="1"/>
  <c r="N94" i="2"/>
  <c r="O94" i="2" s="1"/>
  <c r="N51" i="2"/>
  <c r="K53" i="2"/>
  <c r="N118" i="2" l="1"/>
  <c r="N35" i="2"/>
  <c r="O34" i="2"/>
  <c r="O35" i="2" s="1"/>
  <c r="N53" i="2"/>
  <c r="O51" i="2"/>
  <c r="O53" i="2" s="1"/>
  <c r="N84" i="2"/>
  <c r="O71" i="2"/>
  <c r="O84" i="2" s="1"/>
  <c r="O90" i="2"/>
  <c r="O118" i="2" s="1"/>
  <c r="N44" i="2"/>
  <c r="O43" i="2"/>
  <c r="O44" i="2" s="1"/>
  <c r="N70" i="2"/>
  <c r="O69" i="2"/>
  <c r="O70" i="2" s="1"/>
  <c r="M119" i="2"/>
  <c r="N29" i="2"/>
  <c r="O21" i="2"/>
  <c r="O29" i="2" s="1"/>
  <c r="K119" i="2"/>
  <c r="N89" i="2"/>
  <c r="O88" i="2"/>
  <c r="O89" i="2" s="1"/>
  <c r="N58" i="2"/>
  <c r="O54" i="2"/>
  <c r="O58" i="2" s="1"/>
  <c r="N68" i="2"/>
  <c r="O63" i="2"/>
  <c r="O68" i="2" s="1"/>
  <c r="N62" i="2"/>
  <c r="O59" i="2"/>
  <c r="O62" i="2" s="1"/>
  <c r="N119" i="2" l="1"/>
  <c r="O119" i="2"/>
  <c r="P119" i="2" s="1"/>
  <c r="Z137" i="1" l="1"/>
  <c r="Z136" i="1" s="1"/>
  <c r="Y137" i="1"/>
  <c r="Y136" i="1" s="1"/>
  <c r="X137" i="1"/>
  <c r="X136" i="1" s="1"/>
  <c r="W137" i="1"/>
  <c r="W136" i="1" s="1"/>
  <c r="V137" i="1"/>
  <c r="V136" i="1" s="1"/>
  <c r="U137" i="1"/>
  <c r="U136" i="1" s="1"/>
  <c r="T137" i="1"/>
  <c r="T136" i="1" s="1"/>
  <c r="S137" i="1"/>
  <c r="S136" i="1" s="1"/>
  <c r="R137" i="1"/>
  <c r="R136" i="1" s="1"/>
  <c r="P137" i="1"/>
  <c r="P136" i="1" s="1"/>
  <c r="O137" i="1"/>
  <c r="O136" i="1" s="1"/>
  <c r="N137" i="1"/>
  <c r="N136" i="1" s="1"/>
  <c r="M137" i="1"/>
  <c r="M136" i="1" s="1"/>
  <c r="L137" i="1"/>
  <c r="L136" i="1" s="1"/>
  <c r="K137" i="1"/>
  <c r="K136" i="1" s="1"/>
  <c r="J137" i="1"/>
  <c r="J136" i="1" s="1"/>
  <c r="I137" i="1"/>
  <c r="I136" i="1" s="1"/>
  <c r="H137" i="1"/>
  <c r="H136" i="1" s="1"/>
  <c r="G137" i="1"/>
  <c r="G136" i="1" s="1"/>
  <c r="E137" i="1"/>
  <c r="E136" i="1" s="1"/>
  <c r="D137" i="1"/>
  <c r="D136" i="1" s="1"/>
  <c r="C137" i="1"/>
  <c r="C136" i="1" s="1"/>
  <c r="Z134" i="1"/>
  <c r="Y134" i="1"/>
  <c r="X134" i="1"/>
  <c r="W134" i="1"/>
  <c r="V134" i="1"/>
  <c r="U134" i="1"/>
  <c r="T134" i="1"/>
  <c r="S134" i="1"/>
  <c r="R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Z132" i="1"/>
  <c r="Y132" i="1"/>
  <c r="X132" i="1"/>
  <c r="W132" i="1"/>
  <c r="V132" i="1"/>
  <c r="U132" i="1"/>
  <c r="T132" i="1"/>
  <c r="S132" i="1"/>
  <c r="R132" i="1"/>
  <c r="P132" i="1"/>
  <c r="O132" i="1"/>
  <c r="N132" i="1"/>
  <c r="M132" i="1"/>
  <c r="L132" i="1"/>
  <c r="K132" i="1"/>
  <c r="J132" i="1"/>
  <c r="I132" i="1"/>
  <c r="H132" i="1"/>
  <c r="G132" i="1"/>
  <c r="E132" i="1"/>
  <c r="D132" i="1"/>
  <c r="C132" i="1"/>
  <c r="Z130" i="1"/>
  <c r="Y130" i="1"/>
  <c r="X130" i="1"/>
  <c r="W130" i="1"/>
  <c r="V130" i="1"/>
  <c r="U130" i="1"/>
  <c r="T130" i="1"/>
  <c r="S130" i="1"/>
  <c r="R130" i="1"/>
  <c r="P130" i="1"/>
  <c r="O130" i="1"/>
  <c r="N130" i="1"/>
  <c r="M130" i="1"/>
  <c r="L130" i="1"/>
  <c r="K130" i="1"/>
  <c r="J130" i="1"/>
  <c r="I130" i="1"/>
  <c r="H130" i="1"/>
  <c r="G130" i="1"/>
  <c r="E130" i="1"/>
  <c r="D130" i="1"/>
  <c r="C130" i="1"/>
  <c r="Z120" i="1"/>
  <c r="Y120" i="1"/>
  <c r="X120" i="1"/>
  <c r="W120" i="1"/>
  <c r="V120" i="1"/>
  <c r="U120" i="1"/>
  <c r="T120" i="1"/>
  <c r="S120" i="1"/>
  <c r="R120" i="1"/>
  <c r="P120" i="1"/>
  <c r="O120" i="1"/>
  <c r="N120" i="1"/>
  <c r="M120" i="1"/>
  <c r="L120" i="1"/>
  <c r="K120" i="1"/>
  <c r="J120" i="1"/>
  <c r="I120" i="1"/>
  <c r="H120" i="1"/>
  <c r="G120" i="1"/>
  <c r="D120" i="1"/>
  <c r="C120" i="1"/>
  <c r="Z115" i="1"/>
  <c r="Y115" i="1"/>
  <c r="X115" i="1"/>
  <c r="W115" i="1"/>
  <c r="V115" i="1"/>
  <c r="U115" i="1"/>
  <c r="T115" i="1"/>
  <c r="S115" i="1"/>
  <c r="R115" i="1"/>
  <c r="P115" i="1"/>
  <c r="O115" i="1"/>
  <c r="N115" i="1"/>
  <c r="M115" i="1"/>
  <c r="L115" i="1"/>
  <c r="K115" i="1"/>
  <c r="J115" i="1"/>
  <c r="I115" i="1"/>
  <c r="H115" i="1"/>
  <c r="G115" i="1"/>
  <c r="D115" i="1"/>
  <c r="C115" i="1"/>
  <c r="Z113" i="1"/>
  <c r="Y113" i="1"/>
  <c r="X113" i="1"/>
  <c r="W113" i="1"/>
  <c r="V113" i="1"/>
  <c r="U113" i="1"/>
  <c r="T113" i="1"/>
  <c r="S113" i="1"/>
  <c r="R113" i="1"/>
  <c r="P113" i="1"/>
  <c r="O113" i="1"/>
  <c r="N113" i="1"/>
  <c r="M113" i="1"/>
  <c r="L113" i="1"/>
  <c r="K113" i="1"/>
  <c r="J113" i="1"/>
  <c r="I113" i="1"/>
  <c r="H113" i="1"/>
  <c r="G113" i="1"/>
  <c r="E113" i="1"/>
  <c r="D113" i="1"/>
  <c r="C113" i="1"/>
  <c r="Z107" i="1"/>
  <c r="Y107" i="1"/>
  <c r="X107" i="1"/>
  <c r="W107" i="1"/>
  <c r="V107" i="1"/>
  <c r="U107" i="1"/>
  <c r="T107" i="1"/>
  <c r="S107" i="1"/>
  <c r="R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Z101" i="1"/>
  <c r="Z100" i="1" s="1"/>
  <c r="Y101" i="1"/>
  <c r="Y100" i="1" s="1"/>
  <c r="X101" i="1"/>
  <c r="X100" i="1" s="1"/>
  <c r="W101" i="1"/>
  <c r="W100" i="1" s="1"/>
  <c r="V101" i="1"/>
  <c r="V100" i="1" s="1"/>
  <c r="U101" i="1"/>
  <c r="U100" i="1" s="1"/>
  <c r="T101" i="1"/>
  <c r="T100" i="1" s="1"/>
  <c r="S101" i="1"/>
  <c r="S100" i="1" s="1"/>
  <c r="R101" i="1"/>
  <c r="R100" i="1" s="1"/>
  <c r="P101" i="1"/>
  <c r="P100" i="1" s="1"/>
  <c r="O101" i="1"/>
  <c r="O100" i="1" s="1"/>
  <c r="N101" i="1"/>
  <c r="N100" i="1" s="1"/>
  <c r="M101" i="1"/>
  <c r="M100" i="1" s="1"/>
  <c r="L101" i="1"/>
  <c r="L100" i="1" s="1"/>
  <c r="K101" i="1"/>
  <c r="K100" i="1" s="1"/>
  <c r="J101" i="1"/>
  <c r="J100" i="1" s="1"/>
  <c r="I101" i="1"/>
  <c r="I100" i="1" s="1"/>
  <c r="H101" i="1"/>
  <c r="H100" i="1" s="1"/>
  <c r="G101" i="1"/>
  <c r="G100" i="1" s="1"/>
  <c r="E101" i="1"/>
  <c r="E100" i="1" s="1"/>
  <c r="D101" i="1"/>
  <c r="D100" i="1" s="1"/>
  <c r="C101" i="1"/>
  <c r="C100" i="1" s="1"/>
  <c r="Z98" i="1"/>
  <c r="Y98" i="1"/>
  <c r="X98" i="1"/>
  <c r="W98" i="1"/>
  <c r="V98" i="1"/>
  <c r="U98" i="1"/>
  <c r="T98" i="1"/>
  <c r="S98" i="1"/>
  <c r="R98" i="1"/>
  <c r="P98" i="1"/>
  <c r="O98" i="1"/>
  <c r="N98" i="1"/>
  <c r="M98" i="1"/>
  <c r="L98" i="1"/>
  <c r="K98" i="1"/>
  <c r="J98" i="1"/>
  <c r="I98" i="1"/>
  <c r="H98" i="1"/>
  <c r="G98" i="1"/>
  <c r="E98" i="1"/>
  <c r="D98" i="1"/>
  <c r="C98" i="1"/>
  <c r="Z94" i="1"/>
  <c r="Y94" i="1"/>
  <c r="X94" i="1"/>
  <c r="W94" i="1"/>
  <c r="V94" i="1"/>
  <c r="U94" i="1"/>
  <c r="T94" i="1"/>
  <c r="S94" i="1"/>
  <c r="R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Z92" i="1"/>
  <c r="Y92" i="1"/>
  <c r="X92" i="1"/>
  <c r="W92" i="1"/>
  <c r="V92" i="1"/>
  <c r="U92" i="1"/>
  <c r="T92" i="1"/>
  <c r="S92" i="1"/>
  <c r="R92" i="1"/>
  <c r="P92" i="1"/>
  <c r="O92" i="1"/>
  <c r="N92" i="1"/>
  <c r="M92" i="1"/>
  <c r="L92" i="1"/>
  <c r="K92" i="1"/>
  <c r="J92" i="1"/>
  <c r="I92" i="1"/>
  <c r="H92" i="1"/>
  <c r="G92" i="1"/>
  <c r="E92" i="1"/>
  <c r="D92" i="1"/>
  <c r="C92" i="1"/>
  <c r="Z90" i="1"/>
  <c r="Y90" i="1"/>
  <c r="X90" i="1"/>
  <c r="W90" i="1"/>
  <c r="V90" i="1"/>
  <c r="U90" i="1"/>
  <c r="T90" i="1"/>
  <c r="S90" i="1"/>
  <c r="R90" i="1"/>
  <c r="P90" i="1"/>
  <c r="O90" i="1"/>
  <c r="N90" i="1"/>
  <c r="M90" i="1"/>
  <c r="L90" i="1"/>
  <c r="K90" i="1"/>
  <c r="J90" i="1"/>
  <c r="I90" i="1"/>
  <c r="H90" i="1"/>
  <c r="G90" i="1"/>
  <c r="E90" i="1"/>
  <c r="D90" i="1"/>
  <c r="C90" i="1"/>
  <c r="Z78" i="1"/>
  <c r="Y78" i="1"/>
  <c r="X78" i="1"/>
  <c r="W78" i="1"/>
  <c r="V78" i="1"/>
  <c r="U78" i="1"/>
  <c r="T78" i="1"/>
  <c r="S78" i="1"/>
  <c r="R78" i="1"/>
  <c r="P78" i="1"/>
  <c r="O78" i="1"/>
  <c r="N78" i="1"/>
  <c r="M78" i="1"/>
  <c r="L78" i="1"/>
  <c r="K78" i="1"/>
  <c r="J78" i="1"/>
  <c r="I78" i="1"/>
  <c r="H78" i="1"/>
  <c r="G78" i="1"/>
  <c r="E78" i="1"/>
  <c r="D78" i="1"/>
  <c r="C78" i="1"/>
  <c r="Z61" i="1"/>
  <c r="Y61" i="1"/>
  <c r="X61" i="1"/>
  <c r="W61" i="1"/>
  <c r="V61" i="1"/>
  <c r="U61" i="1"/>
  <c r="T61" i="1"/>
  <c r="S61" i="1"/>
  <c r="R61" i="1"/>
  <c r="P61" i="1"/>
  <c r="O61" i="1"/>
  <c r="N61" i="1"/>
  <c r="M61" i="1"/>
  <c r="L61" i="1"/>
  <c r="K61" i="1"/>
  <c r="J61" i="1"/>
  <c r="I61" i="1"/>
  <c r="H61" i="1"/>
  <c r="G61" i="1"/>
  <c r="E61" i="1"/>
  <c r="D61" i="1"/>
  <c r="C61" i="1"/>
  <c r="Z55" i="1"/>
  <c r="Y55" i="1"/>
  <c r="X55" i="1"/>
  <c r="W55" i="1"/>
  <c r="V55" i="1"/>
  <c r="U55" i="1"/>
  <c r="T55" i="1"/>
  <c r="S55" i="1"/>
  <c r="R55" i="1"/>
  <c r="P55" i="1"/>
  <c r="O55" i="1"/>
  <c r="N55" i="1"/>
  <c r="M55" i="1"/>
  <c r="L55" i="1"/>
  <c r="K55" i="1"/>
  <c r="J55" i="1"/>
  <c r="I55" i="1"/>
  <c r="H55" i="1"/>
  <c r="G55" i="1"/>
  <c r="E55" i="1"/>
  <c r="D55" i="1"/>
  <c r="C55" i="1"/>
  <c r="Z35" i="1"/>
  <c r="Y35" i="1"/>
  <c r="X35" i="1"/>
  <c r="W35" i="1"/>
  <c r="V35" i="1"/>
  <c r="U35" i="1"/>
  <c r="T35" i="1"/>
  <c r="S35" i="1"/>
  <c r="R35" i="1"/>
  <c r="P35" i="1"/>
  <c r="O35" i="1"/>
  <c r="N35" i="1"/>
  <c r="L35" i="1"/>
  <c r="K35" i="1"/>
  <c r="J35" i="1"/>
  <c r="I35" i="1"/>
  <c r="H35" i="1"/>
  <c r="G35" i="1"/>
  <c r="E35" i="1"/>
  <c r="D35" i="1"/>
  <c r="C35" i="1"/>
  <c r="Z31" i="1"/>
  <c r="Y31" i="1"/>
  <c r="X31" i="1"/>
  <c r="W31" i="1"/>
  <c r="V31" i="1"/>
  <c r="U31" i="1"/>
  <c r="T31" i="1"/>
  <c r="S31" i="1"/>
  <c r="R31" i="1"/>
  <c r="P31" i="1"/>
  <c r="O31" i="1"/>
  <c r="N31" i="1"/>
  <c r="M31" i="1"/>
  <c r="L31" i="1"/>
  <c r="K31" i="1"/>
  <c r="J31" i="1"/>
  <c r="I31" i="1"/>
  <c r="H31" i="1"/>
  <c r="G31" i="1"/>
  <c r="E31" i="1"/>
  <c r="D31" i="1"/>
  <c r="C31" i="1"/>
  <c r="Z28" i="1"/>
  <c r="Y28" i="1"/>
  <c r="X28" i="1"/>
  <c r="W28" i="1"/>
  <c r="V28" i="1"/>
  <c r="U28" i="1"/>
  <c r="T28" i="1"/>
  <c r="S28" i="1"/>
  <c r="R28" i="1"/>
  <c r="P28" i="1"/>
  <c r="O28" i="1"/>
  <c r="N28" i="1"/>
  <c r="M28" i="1"/>
  <c r="L28" i="1"/>
  <c r="K28" i="1"/>
  <c r="J28" i="1"/>
  <c r="I28" i="1"/>
  <c r="H28" i="1"/>
  <c r="G28" i="1"/>
  <c r="D28" i="1"/>
  <c r="C28" i="1"/>
  <c r="Z25" i="1"/>
  <c r="Y25" i="1"/>
  <c r="X25" i="1"/>
  <c r="W25" i="1"/>
  <c r="V25" i="1"/>
  <c r="U25" i="1"/>
  <c r="T25" i="1"/>
  <c r="S25" i="1"/>
  <c r="R25" i="1"/>
  <c r="P25" i="1"/>
  <c r="O25" i="1"/>
  <c r="N25" i="1"/>
  <c r="M25" i="1"/>
  <c r="L25" i="1"/>
  <c r="K25" i="1"/>
  <c r="J25" i="1"/>
  <c r="I25" i="1"/>
  <c r="H25" i="1"/>
  <c r="G25" i="1"/>
  <c r="E25" i="1"/>
  <c r="D25" i="1"/>
  <c r="C25" i="1"/>
  <c r="Z23" i="1"/>
  <c r="Y23" i="1"/>
  <c r="X23" i="1"/>
  <c r="W23" i="1"/>
  <c r="V23" i="1"/>
  <c r="U23" i="1"/>
  <c r="T23" i="1"/>
  <c r="S23" i="1"/>
  <c r="R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Z21" i="1"/>
  <c r="Y21" i="1"/>
  <c r="X21" i="1"/>
  <c r="W21" i="1"/>
  <c r="V21" i="1"/>
  <c r="U21" i="1"/>
  <c r="T21" i="1"/>
  <c r="S21" i="1"/>
  <c r="R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Z18" i="1"/>
  <c r="Y18" i="1"/>
  <c r="X18" i="1"/>
  <c r="W18" i="1"/>
  <c r="V18" i="1"/>
  <c r="U18" i="1"/>
  <c r="T18" i="1"/>
  <c r="S18" i="1"/>
  <c r="R18" i="1"/>
  <c r="P18" i="1"/>
  <c r="O18" i="1"/>
  <c r="N18" i="1"/>
  <c r="M18" i="1"/>
  <c r="L18" i="1"/>
  <c r="K18" i="1"/>
  <c r="J18" i="1"/>
  <c r="I18" i="1"/>
  <c r="H18" i="1"/>
  <c r="G18" i="1"/>
  <c r="E18" i="1"/>
  <c r="D18" i="1"/>
  <c r="C18" i="1"/>
  <c r="Z14" i="1"/>
  <c r="Y14" i="1"/>
  <c r="X14" i="1"/>
  <c r="W14" i="1"/>
  <c r="V14" i="1"/>
  <c r="U14" i="1"/>
  <c r="T14" i="1"/>
  <c r="S14" i="1"/>
  <c r="R14" i="1"/>
  <c r="P14" i="1"/>
  <c r="O14" i="1"/>
  <c r="N14" i="1"/>
  <c r="M14" i="1"/>
  <c r="L14" i="1"/>
  <c r="K14" i="1"/>
  <c r="J14" i="1"/>
  <c r="I14" i="1"/>
  <c r="H14" i="1"/>
  <c r="G14" i="1"/>
  <c r="E14" i="1"/>
  <c r="D14" i="1"/>
  <c r="C14" i="1"/>
  <c r="Z9" i="1"/>
  <c r="Y9" i="1"/>
  <c r="X9" i="1"/>
  <c r="W9" i="1"/>
  <c r="V9" i="1"/>
  <c r="U9" i="1"/>
  <c r="T9" i="1"/>
  <c r="S9" i="1"/>
  <c r="R9" i="1"/>
  <c r="P9" i="1"/>
  <c r="O9" i="1"/>
  <c r="N9" i="1"/>
  <c r="M9" i="1"/>
  <c r="L9" i="1"/>
  <c r="K9" i="1"/>
  <c r="J9" i="1"/>
  <c r="I9" i="1"/>
  <c r="H9" i="1"/>
  <c r="G9" i="1"/>
  <c r="E9" i="1"/>
  <c r="D9" i="1"/>
  <c r="C9" i="1"/>
  <c r="AF134" i="1" l="1"/>
  <c r="D129" i="1"/>
  <c r="L106" i="1"/>
  <c r="Z129" i="1"/>
  <c r="J129" i="1"/>
  <c r="R129" i="1"/>
  <c r="T106" i="1"/>
  <c r="J106" i="1"/>
  <c r="R106" i="1"/>
  <c r="H8" i="1"/>
  <c r="Z8" i="1"/>
  <c r="P8" i="1"/>
  <c r="O34" i="1"/>
  <c r="C34" i="1"/>
  <c r="Z106" i="1"/>
  <c r="AF23" i="1"/>
  <c r="K89" i="1"/>
  <c r="AF21" i="1"/>
  <c r="C89" i="1"/>
  <c r="AF94" i="1"/>
  <c r="M89" i="1"/>
  <c r="G89" i="1"/>
  <c r="O89" i="1"/>
  <c r="S89" i="1"/>
  <c r="W89" i="1"/>
  <c r="AF107" i="1"/>
  <c r="R8" i="1"/>
  <c r="N106" i="1"/>
  <c r="E89" i="1"/>
  <c r="S34" i="1"/>
  <c r="L8" i="1"/>
  <c r="T8" i="1"/>
  <c r="X8" i="1"/>
  <c r="J8" i="1"/>
  <c r="N8" i="1"/>
  <c r="V8" i="1"/>
  <c r="G34" i="1"/>
  <c r="K34" i="1"/>
  <c r="I34" i="1"/>
  <c r="U34" i="1"/>
  <c r="Y34" i="1"/>
  <c r="W34" i="1"/>
  <c r="I89" i="1"/>
  <c r="C8" i="1"/>
  <c r="D8" i="1"/>
  <c r="C106" i="1"/>
  <c r="G106" i="1"/>
  <c r="K106" i="1"/>
  <c r="O106" i="1"/>
  <c r="S106" i="1"/>
  <c r="W106" i="1"/>
  <c r="D106" i="1"/>
  <c r="P106" i="1"/>
  <c r="H129" i="1"/>
  <c r="L129" i="1"/>
  <c r="P129" i="1"/>
  <c r="T129" i="1"/>
  <c r="X129" i="1"/>
  <c r="N129" i="1"/>
  <c r="V129" i="1"/>
  <c r="I8" i="1"/>
  <c r="Y8" i="1"/>
  <c r="H106" i="1"/>
  <c r="X106" i="1"/>
  <c r="E8" i="1"/>
  <c r="E34" i="1"/>
  <c r="U89" i="1"/>
  <c r="I106" i="1"/>
  <c r="M106" i="1"/>
  <c r="U106" i="1"/>
  <c r="Y106" i="1"/>
  <c r="M8" i="1"/>
  <c r="U8" i="1"/>
  <c r="K8" i="1"/>
  <c r="O8" i="1"/>
  <c r="S8" i="1"/>
  <c r="W8" i="1"/>
  <c r="V106" i="1"/>
  <c r="G8" i="1"/>
  <c r="Y89" i="1"/>
  <c r="Z89" i="1"/>
  <c r="X89" i="1"/>
  <c r="V89" i="1"/>
  <c r="T89" i="1"/>
  <c r="R89" i="1"/>
  <c r="P89" i="1"/>
  <c r="N89" i="1"/>
  <c r="L89" i="1"/>
  <c r="J89" i="1"/>
  <c r="H89" i="1"/>
  <c r="D89" i="1"/>
  <c r="J34" i="1"/>
  <c r="N34" i="1"/>
  <c r="R34" i="1"/>
  <c r="V34" i="1"/>
  <c r="Z34" i="1"/>
  <c r="D34" i="1"/>
  <c r="H34" i="1"/>
  <c r="L34" i="1"/>
  <c r="P34" i="1"/>
  <c r="T34" i="1"/>
  <c r="X34" i="1"/>
  <c r="C129" i="1"/>
  <c r="G129" i="1"/>
  <c r="K129" i="1"/>
  <c r="O129" i="1"/>
  <c r="S129" i="1"/>
  <c r="W129" i="1"/>
  <c r="E129" i="1"/>
  <c r="I129" i="1"/>
  <c r="M129" i="1"/>
  <c r="U129" i="1"/>
  <c r="Y129" i="1"/>
  <c r="M54" i="1"/>
  <c r="AF54" i="1" s="1"/>
  <c r="M48" i="1"/>
  <c r="AF48" i="1" s="1"/>
  <c r="M47" i="1"/>
  <c r="AF47" i="1" s="1"/>
  <c r="M39" i="1"/>
  <c r="AF39" i="1" s="1"/>
  <c r="Y139" i="1" l="1"/>
  <c r="K139" i="1"/>
  <c r="S139" i="1"/>
  <c r="R139" i="1"/>
  <c r="U139" i="1"/>
  <c r="C139" i="1"/>
  <c r="O139" i="1"/>
  <c r="T139" i="1"/>
  <c r="I139" i="1"/>
  <c r="J139" i="1"/>
  <c r="Z139" i="1"/>
  <c r="L139" i="1"/>
  <c r="D139" i="1"/>
  <c r="W139" i="1"/>
  <c r="X139" i="1"/>
  <c r="G139" i="1"/>
  <c r="N139" i="1"/>
  <c r="V139" i="1"/>
  <c r="P139" i="1"/>
  <c r="H139" i="1"/>
  <c r="M35" i="1"/>
  <c r="M34" i="1" s="1"/>
  <c r="M139" i="1" s="1"/>
  <c r="F138" i="1"/>
  <c r="AF138" i="1" s="1"/>
  <c r="F133" i="1"/>
  <c r="AF133" i="1" s="1"/>
  <c r="F131" i="1"/>
  <c r="AF131" i="1" s="1"/>
  <c r="F128" i="1"/>
  <c r="E128" i="1"/>
  <c r="F127" i="1"/>
  <c r="E127" i="1"/>
  <c r="F126" i="1"/>
  <c r="AF126" i="1" s="1"/>
  <c r="F125" i="1"/>
  <c r="E125" i="1"/>
  <c r="F124" i="1"/>
  <c r="E124" i="1"/>
  <c r="F123" i="1"/>
  <c r="E123" i="1"/>
  <c r="F122" i="1"/>
  <c r="AF122" i="1" s="1"/>
  <c r="F121" i="1"/>
  <c r="E121" i="1"/>
  <c r="F119" i="1"/>
  <c r="E119" i="1"/>
  <c r="F118" i="1"/>
  <c r="E118" i="1"/>
  <c r="F117" i="1"/>
  <c r="E117" i="1"/>
  <c r="F116" i="1"/>
  <c r="E116" i="1"/>
  <c r="F114" i="1"/>
  <c r="AF114" i="1" s="1"/>
  <c r="F105" i="1"/>
  <c r="AF105" i="1" s="1"/>
  <c r="F103" i="1"/>
  <c r="AF103" i="1" s="1"/>
  <c r="F102" i="1"/>
  <c r="AF102" i="1" s="1"/>
  <c r="F99" i="1"/>
  <c r="AF99" i="1" s="1"/>
  <c r="F93" i="1"/>
  <c r="AF93" i="1" s="1"/>
  <c r="F91" i="1"/>
  <c r="AF91" i="1" s="1"/>
  <c r="F88" i="1"/>
  <c r="AF88" i="1" s="1"/>
  <c r="F87" i="1"/>
  <c r="AF87" i="1" s="1"/>
  <c r="F86" i="1"/>
  <c r="AF86" i="1" s="1"/>
  <c r="F85" i="1"/>
  <c r="AF85" i="1" s="1"/>
  <c r="F84" i="1"/>
  <c r="AF84" i="1" s="1"/>
  <c r="F83" i="1"/>
  <c r="AF83" i="1" s="1"/>
  <c r="F80" i="1"/>
  <c r="AF80" i="1" s="1"/>
  <c r="F79" i="1"/>
  <c r="AF79" i="1" s="1"/>
  <c r="F76" i="1"/>
  <c r="AF76" i="1" s="1"/>
  <c r="F73" i="1"/>
  <c r="AF73" i="1" s="1"/>
  <c r="F71" i="1"/>
  <c r="AF71" i="1" s="1"/>
  <c r="F70" i="1"/>
  <c r="AF70" i="1" s="1"/>
  <c r="F69" i="1"/>
  <c r="AF69" i="1" s="1"/>
  <c r="F68" i="1"/>
  <c r="AF68" i="1" s="1"/>
  <c r="F67" i="1"/>
  <c r="AF67" i="1" s="1"/>
  <c r="F66" i="1"/>
  <c r="AF66" i="1" s="1"/>
  <c r="F60" i="1"/>
  <c r="AF60" i="1" s="1"/>
  <c r="F56" i="1"/>
  <c r="AF56" i="1" s="1"/>
  <c r="F46" i="1"/>
  <c r="AF46" i="1" s="1"/>
  <c r="F45" i="1"/>
  <c r="AF45" i="1" s="1"/>
  <c r="F42" i="1"/>
  <c r="AF42" i="1" s="1"/>
  <c r="F38" i="1"/>
  <c r="AF38" i="1" s="1"/>
  <c r="F37" i="1"/>
  <c r="AF37" i="1" s="1"/>
  <c r="F36" i="1"/>
  <c r="AF36" i="1" s="1"/>
  <c r="F33" i="1"/>
  <c r="AF33" i="1" s="1"/>
  <c r="F32" i="1"/>
  <c r="AF32" i="1" s="1"/>
  <c r="E29" i="1"/>
  <c r="F30" i="1"/>
  <c r="F27" i="1"/>
  <c r="AF27" i="1" s="1"/>
  <c r="F26" i="1"/>
  <c r="AF26" i="1" s="1"/>
  <c r="F20" i="1"/>
  <c r="F17" i="1"/>
  <c r="F13" i="1"/>
  <c r="AF13" i="1" s="1"/>
  <c r="F12" i="1"/>
  <c r="AF12" i="1" s="1"/>
  <c r="E28" i="1" l="1"/>
  <c r="AF29" i="1"/>
  <c r="AF117" i="1"/>
  <c r="AF125" i="1"/>
  <c r="AF116" i="1"/>
  <c r="AF121" i="1"/>
  <c r="AF124" i="1"/>
  <c r="AF127" i="1"/>
  <c r="AF128" i="1"/>
  <c r="F14" i="1"/>
  <c r="AF14" i="1" s="1"/>
  <c r="AF17" i="1"/>
  <c r="AF119" i="1"/>
  <c r="AF123" i="1"/>
  <c r="F18" i="1"/>
  <c r="AF18" i="1" s="1"/>
  <c r="AF20" i="1"/>
  <c r="F28" i="1"/>
  <c r="AF30" i="1"/>
  <c r="AF118" i="1"/>
  <c r="F92" i="1"/>
  <c r="AF92" i="1" s="1"/>
  <c r="F132" i="1"/>
  <c r="AF132" i="1" s="1"/>
  <c r="F90" i="1"/>
  <c r="AF90" i="1" s="1"/>
  <c r="F113" i="1"/>
  <c r="AF113" i="1" s="1"/>
  <c r="F130" i="1"/>
  <c r="AF130" i="1" s="1"/>
  <c r="F98" i="1"/>
  <c r="AF98" i="1" s="1"/>
  <c r="F137" i="1"/>
  <c r="AF137" i="1" s="1"/>
  <c r="E120" i="1"/>
  <c r="F31" i="1"/>
  <c r="AF31" i="1" s="1"/>
  <c r="F78" i="1"/>
  <c r="AF78" i="1" s="1"/>
  <c r="F55" i="1"/>
  <c r="AF55" i="1" s="1"/>
  <c r="F101" i="1"/>
  <c r="AF101" i="1" s="1"/>
  <c r="F35" i="1"/>
  <c r="AF35" i="1" s="1"/>
  <c r="F61" i="1"/>
  <c r="AF61" i="1" s="1"/>
  <c r="F9" i="1"/>
  <c r="AF9" i="1" s="1"/>
  <c r="F25" i="1"/>
  <c r="AF25" i="1" s="1"/>
  <c r="E115" i="1"/>
  <c r="F115" i="1"/>
  <c r="F120" i="1"/>
  <c r="AF28" i="1" l="1"/>
  <c r="F89" i="1"/>
  <c r="AF89" i="1" s="1"/>
  <c r="F129" i="1"/>
  <c r="AF129" i="1" s="1"/>
  <c r="AF115" i="1"/>
  <c r="AF120" i="1"/>
  <c r="E106" i="1"/>
  <c r="F136" i="1"/>
  <c r="AF136" i="1" s="1"/>
  <c r="F100" i="1"/>
  <c r="AF100" i="1" s="1"/>
  <c r="F8" i="1"/>
  <c r="AF8" i="1" s="1"/>
  <c r="F106" i="1"/>
  <c r="F34" i="1"/>
  <c r="AF34" i="1" s="1"/>
  <c r="AF106" i="1" l="1"/>
  <c r="AF139" i="1" s="1"/>
  <c r="E139" i="1"/>
  <c r="F139" i="1"/>
  <c r="AG139" i="1" l="1"/>
</calcChain>
</file>

<file path=xl/sharedStrings.xml><?xml version="1.0" encoding="utf-8"?>
<sst xmlns="http://schemas.openxmlformats.org/spreadsheetml/2006/main" count="2471" uniqueCount="991">
  <si>
    <t xml:space="preserve">PRESUPUESTO INSTITUCIONAL DE EGRESOS </t>
  </si>
  <si>
    <t>En dolares de Estados Unidos de America</t>
  </si>
  <si>
    <t>INSTITUCION: ALCALDIA MUNICIPAL DE SUCHITOTO, DEPARTAMENTO DE CUSCATLAN</t>
  </si>
  <si>
    <t>DETALLE DE EGRESOS</t>
  </si>
  <si>
    <t>EXPRESION PRESUPUESTARIA</t>
  </si>
  <si>
    <t>TOTAL</t>
  </si>
  <si>
    <t>CODIGO</t>
  </si>
  <si>
    <t>ESPECIFICO</t>
  </si>
  <si>
    <t>REMUNERACIONES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</si>
  <si>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</si>
  <si>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</si>
  <si>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</si>
  <si>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</si>
  <si>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</si>
  <si>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</si>
  <si>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</si>
  <si>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</si>
  <si>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</si>
  <si>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</si>
  <si>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</si>
  <si>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</si>
  <si>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SUELDOS POR JORNAL</t>
  </si>
  <si>
    <t>51203</t>
  </si>
  <si>
    <t>513</t>
  </si>
  <si>
    <t>REMUNERACIONES EXTRAORDINARIAS</t>
  </si>
  <si>
    <t>HORAS EXTRAORDINARIAS</t>
  </si>
  <si>
    <t>BENEFICIOS EXTRAORDINARIAS</t>
  </si>
  <si>
    <t>CONTRIB.PATRONALES A INST. SEG. SOC. PUB.</t>
  </si>
  <si>
    <t>51401</t>
  </si>
  <si>
    <t>CONTRIB PAT.INST.SEG.PUB</t>
  </si>
  <si>
    <t>CONTRIB.PATRONALES A INST. SEG. SOC. PRIV.</t>
  </si>
  <si>
    <t>51501</t>
  </si>
  <si>
    <t>CONTRIB PAT.INST.SEG.PRIV.</t>
  </si>
  <si>
    <t>516</t>
  </si>
  <si>
    <t>POR PRESTACION SERV.EN EL PAIS</t>
  </si>
  <si>
    <t>PRESTACION SERV.EN EL EXTERIOR</t>
  </si>
  <si>
    <t>INDEMNIZACIONES</t>
  </si>
  <si>
    <t>AL PERSONAL SERVICIO PERMANENTE</t>
  </si>
  <si>
    <t>AL PERSONAL SERVICIO EVENTUAL</t>
  </si>
  <si>
    <t>REMUNERACIONES DIVERSAS</t>
  </si>
  <si>
    <t>HONORARIOS</t>
  </si>
  <si>
    <t>ADQUISICIONES DE BIENES Y SERVICIOS</t>
  </si>
  <si>
    <t>BIENES DE USO Y CONSUMO</t>
  </si>
  <si>
    <t>PRODUCTOS ALIMENTICIOS P/PERSONAS</t>
  </si>
  <si>
    <t>PRODUCTOS AGROPECUARIOS Y FORESTAL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</si>
  <si>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</si>
  <si>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</si>
  <si>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</si>
  <si>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</si>
  <si>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</si>
  <si>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COMBUSTIBLES</t>
  </si>
  <si>
    <t>MINERALES NO METALICOS Y PROD.DERIVADOS</t>
  </si>
  <si>
    <t>MINERALES METALICOS Y PRODUCTOS DERV.</t>
  </si>
  <si>
    <t>MATERIALES DE OFICINA</t>
  </si>
  <si>
    <t>MATERIALES INFORMATICOS</t>
  </si>
  <si>
    <t>LIBROS, TEXTOS, UTILES Y PUBLICACIONES</t>
  </si>
  <si>
    <t>MATERIALES DE DEFENSA Y SEG.PUBLICA</t>
  </si>
  <si>
    <t>HERRAMIENTAS, REPUESTOS Y ACCESOR.</t>
  </si>
  <si>
    <t>MATERIALES ELECTRICOS</t>
  </si>
  <si>
    <t>ESPECIES MUNICIPALES DIVERSAS</t>
  </si>
  <si>
    <t>BIENES DE USO Y CONSUMO DIVERSO</t>
  </si>
  <si>
    <t>SERVICIOS BASICOS</t>
  </si>
  <si>
    <t>ALUMBRADO PUBLICO</t>
  </si>
  <si>
    <t>ENERGIA ELECTRICA</t>
  </si>
  <si>
    <t>SERVICIO DE AGUA</t>
  </si>
  <si>
    <t>TELECOMUNICACIONES</t>
  </si>
  <si>
    <t>CORREOS</t>
  </si>
  <si>
    <t>SERV. GRALES. Y ARRENDAMIENTOS</t>
  </si>
  <si>
    <t>MANT.REPARACION BIENES MUEBLES</t>
  </si>
  <si>
    <t>MANT.REPARACION DE VEHICULOS</t>
  </si>
  <si>
    <t>MANT. REPARACION BIENES INMUEBLES</t>
  </si>
  <si>
    <t>TRANSPORTES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</si>
  <si>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</si>
  <si>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</si>
  <si>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</si>
  <si>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</si>
  <si>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</si>
  <si>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</si>
  <si>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IMPRESIONES, PUBLICAC. Y REPRODUC.</t>
  </si>
  <si>
    <t>ARRENDAMIENTO DE BIENES MUEBLES</t>
  </si>
  <si>
    <t>ARRENDAMIENTO DE BIENES INMUEBLE</t>
  </si>
  <si>
    <t>ATENCIONES OFICIALES</t>
  </si>
  <si>
    <t>ARRENDAMIENTO DE BIENES INTANGIBLES</t>
  </si>
  <si>
    <t>SERVICIOS GENERALES DIVERSOS</t>
  </si>
  <si>
    <t>PASAJES Y VIATICOS</t>
  </si>
  <si>
    <t>PASAJES AL INTERIOR</t>
  </si>
  <si>
    <t>VIATICOS POR COMISION EXTERNA</t>
  </si>
  <si>
    <t>VIATICOS AL INTERIOR</t>
  </si>
  <si>
    <t>SERVICIOS MEDICOS</t>
  </si>
  <si>
    <t>SERVICIOS JURIDICOS</t>
  </si>
  <si>
    <t>SERVICIOS DE CAPACITACION</t>
  </si>
  <si>
    <t>DESARROLLOS INFORMATICOS</t>
  </si>
  <si>
    <t>CONSULTORIAS,ESTUDIOS E INVESTIGACIONES</t>
  </si>
  <si>
    <t>ESTUDIOS E INVESTIGACIONES</t>
  </si>
  <si>
    <t>SERVICIOS DIVERSOS</t>
  </si>
  <si>
    <t>GASTOS FINANCIEROS Y OTROS</t>
  </si>
  <si>
    <t>INTERESES Y COMISIONES DE LA DEUDA INTERNA</t>
  </si>
  <si>
    <t>DE EMPRESAS PRIVADAS FINANCIERAS</t>
  </si>
  <si>
    <t>IMPUESTOS,TASAS Y DERECHOS</t>
  </si>
  <si>
    <t>IMPUESTOS,TASAS Y DERECHOS DIVERSOS</t>
  </si>
  <si>
    <t>SEGUROS, COMISIONES Y GTOS.BANCARIOS</t>
  </si>
  <si>
    <t>PRIMAS Y GASTOS SEGUROS DE PERSONAS</t>
  </si>
  <si>
    <t>PRIMAS Y GASTOS SEGUROS DE BIENES</t>
  </si>
  <si>
    <t>COMISION Y GASTOS BANCARIOS</t>
  </si>
  <si>
    <t>OTROS GASTOS NO CLASIFICADOS</t>
  </si>
  <si>
    <t>GASTOS DIVERSOS</t>
  </si>
  <si>
    <t>TRANSFERENCIAS CORRIENTES</t>
  </si>
  <si>
    <t>TRANSF. CORRIENTES AL SECTOR PUBLICO</t>
  </si>
  <si>
    <t>ORGANISMOS SIN FINES DE LUCRO</t>
  </si>
  <si>
    <t>A PERSONAS NATURALES</t>
  </si>
  <si>
    <t>BECAS</t>
  </si>
  <si>
    <t>INVERSIONES EN ACTIVOS FIJOS</t>
  </si>
  <si>
    <t>BIENES MUEBLES</t>
  </si>
  <si>
    <t xml:space="preserve">MOBILIARIOS </t>
  </si>
  <si>
    <t>MAQUINARIA Y EQUIPO</t>
  </si>
  <si>
    <t>VEHICULOS DE TRANSPORTE</t>
  </si>
  <si>
    <t>EQUIPOS INFORMATICOS</t>
  </si>
  <si>
    <t>BIENES MUEBLES DIVERSOS</t>
  </si>
  <si>
    <t>BIENES INMUEBLES</t>
  </si>
  <si>
    <t>TERRENOS</t>
  </si>
  <si>
    <t>ESTUDIOS DE PREINVERSION</t>
  </si>
  <si>
    <t>PROYECTOS DE CONSTRUCCIONES</t>
  </si>
  <si>
    <t>PROYECTOS DE AMPLIACIONES</t>
  </si>
  <si>
    <t>PROYECTO  DE INVERSION SOCIAL</t>
  </si>
  <si>
    <t>PROYECTOS Y PROGRAMAS  INVERSION DIVERSO</t>
  </si>
  <si>
    <t>INFRAESTRUCTURAS</t>
  </si>
  <si>
    <t>VIALES</t>
  </si>
  <si>
    <t>DE SALUD Y SANEAMIENTO AMBIENTAL</t>
  </si>
  <si>
    <t>DE EDUCACION Y RECREACION</t>
  </si>
  <si>
    <t>DE VIVIENDAS Y OFICINAS</t>
  </si>
  <si>
    <t>ELECTRICAS Y COMUNICACIONES</t>
  </si>
  <si>
    <t>DE PRODUCCION DE BIENES Y SERVICIOS</t>
  </si>
  <si>
    <t>SUPERVISION DE INFRAESTRUCTURAS</t>
  </si>
  <si>
    <t>OBRAS DE INFRAESTRUCTURA DIVERSA</t>
  </si>
  <si>
    <t>TRANSFERENCIAS DE CAPITAL</t>
  </si>
  <si>
    <t>TRANSF.DE CAPITAL AL SECTOR PUBLICO</t>
  </si>
  <si>
    <t>TRANSFERENCIAS DE CAPITAL AL SECTOR PUBLICO</t>
  </si>
  <si>
    <t>TRANSF.DE CAPITAL AL SECTOR PRIVADO</t>
  </si>
  <si>
    <t>ENDEUDAMIENTO INTERNO</t>
  </si>
  <si>
    <t>EMPRESTITOS DE EMPRESAS PRIVADAS FINANCIERAS</t>
  </si>
  <si>
    <t>SALDOS DE AÑOS ANTERIORES</t>
  </si>
  <si>
    <t>CUENTAS X PAGAR AÑOS ANTERIORES</t>
  </si>
  <si>
    <t>Ejercicio Financiero Fiscal: 2016</t>
  </si>
  <si>
    <t>0105 RECURSOS HUMANOS</t>
  </si>
  <si>
    <t>0106 ARCHIVO MUNICIPAL</t>
  </si>
  <si>
    <t>0201  TESORERIA MUNICIPAL</t>
  </si>
  <si>
    <t>0202 CONTABILIDADMUNICIPAL</t>
  </si>
  <si>
    <t>0203 CUENTAS CORRIENTES</t>
  </si>
  <si>
    <t>0204 REGISTRO Y CONTROL TRIBUTARIO ASEM</t>
  </si>
  <si>
    <t>0301 BIBLIOTECA PUBLICA MUNICIPAL ALEJANDRO COTO</t>
  </si>
  <si>
    <t>0302 OFICINA MUNICIPAL DE LA MUJER</t>
  </si>
  <si>
    <t>0303  U A C I</t>
  </si>
  <si>
    <t xml:space="preserve">0304- UTPM </t>
  </si>
  <si>
    <t>0305- MEDIO AMBIENTE</t>
  </si>
  <si>
    <t>0306- OFICINA MUNICIPAL DE TURISMO</t>
  </si>
  <si>
    <t>0307- PUERTO TURISTICO SAN JUAN</t>
  </si>
  <si>
    <t>0308- REGISTRO DEL ESTADO FAMILIAR</t>
  </si>
  <si>
    <t>0309-P´ROYECCION SOCIAL</t>
  </si>
  <si>
    <t>0310- SERVICIOS GENERALES MUNICIPALES</t>
  </si>
  <si>
    <t>nissan gris$ 4320 combustible</t>
  </si>
  <si>
    <t>0310- CEMENTERIO GRA.</t>
  </si>
  <si>
    <t xml:space="preserve">0310-BARRIDO DE PARQUES  Y   CALLES </t>
  </si>
  <si>
    <t>0310-ESTADIO MUNICIPAL</t>
  </si>
  <si>
    <t>0310- RASTRO MUNICIPAL</t>
  </si>
  <si>
    <t>0310- MERCADO MUNICIPAL</t>
  </si>
  <si>
    <t>0303- PROVEEDURIAY ACTIVO FIJO</t>
  </si>
  <si>
    <t>0206- CARTAS DE VENTA</t>
  </si>
  <si>
    <t>0204- ASEM</t>
  </si>
  <si>
    <t>ALCALDIA MUNCIPAL DE SUCHITOTO, DEPARTAMENTO DE CUSCATLAN.</t>
  </si>
  <si>
    <t>Proyección de Recursos Humanos para el Año 2016</t>
  </si>
  <si>
    <t>No.</t>
  </si>
  <si>
    <t xml:space="preserve">Nombres del Empleado     </t>
  </si>
  <si>
    <t>Cargo o Puesto</t>
  </si>
  <si>
    <t>Depto.</t>
  </si>
  <si>
    <t>sub- Linea</t>
  </si>
  <si>
    <t xml:space="preserve">SALARIO   </t>
  </si>
  <si>
    <t xml:space="preserve">PRESTA-CIONES </t>
  </si>
  <si>
    <t>Aportes Por Contribuciones Patronales</t>
  </si>
  <si>
    <t>Seg.Soc.Priv.</t>
  </si>
  <si>
    <t>Seguridad Social Publica</t>
  </si>
  <si>
    <t>Mensual</t>
  </si>
  <si>
    <t xml:space="preserve">AUMENTO </t>
  </si>
  <si>
    <t>Anual</t>
  </si>
  <si>
    <t>Aguinaldo</t>
  </si>
  <si>
    <t>AFP,s 6.75%</t>
  </si>
  <si>
    <t>INPEP 6.50%</t>
  </si>
  <si>
    <t>ISSS 7.5%</t>
  </si>
  <si>
    <t>Total</t>
  </si>
  <si>
    <t>Pedrina Rivera Hernandez</t>
  </si>
  <si>
    <t>Alcaldesa Municipal</t>
  </si>
  <si>
    <t>Despacho</t>
  </si>
  <si>
    <t>0101</t>
  </si>
  <si>
    <t>Jose Fredy duran Rivas</t>
  </si>
  <si>
    <t>Sindico Municipal</t>
  </si>
  <si>
    <t>Secretario Municipal</t>
  </si>
  <si>
    <t>Secretaria</t>
  </si>
  <si>
    <t>Carmen Elizabeth Marín Mejía</t>
  </si>
  <si>
    <t>Auxiliar de Secretaría</t>
  </si>
  <si>
    <t>Secretaria Desp.</t>
  </si>
  <si>
    <t>Mauricio Hernández</t>
  </si>
  <si>
    <t xml:space="preserve">Tecnico Proy.rurales </t>
  </si>
  <si>
    <t>Elias Castillo</t>
  </si>
  <si>
    <t xml:space="preserve">juridico </t>
  </si>
  <si>
    <t>TOTAL……………………………</t>
  </si>
  <si>
    <t>Marcos Ismael De Paz Abrego</t>
  </si>
  <si>
    <t>Conserje</t>
  </si>
  <si>
    <t>0102</t>
  </si>
  <si>
    <t>Teresa de Jesús León v. de Flamenco</t>
  </si>
  <si>
    <t>Carlos López Martínez</t>
  </si>
  <si>
    <t>Motorista</t>
  </si>
  <si>
    <t>Auditor Interno</t>
  </si>
  <si>
    <t>0103</t>
  </si>
  <si>
    <t>Baltazar Sorto Bautista</t>
  </si>
  <si>
    <t>Sub-Jefe Policía Mpal.</t>
  </si>
  <si>
    <t>0104</t>
  </si>
  <si>
    <t>Jesús Otsmaro Marroquín Ventura</t>
  </si>
  <si>
    <t>Agente Policía Mpal.</t>
  </si>
  <si>
    <t>Hugo Marvin Hernández Gámez</t>
  </si>
  <si>
    <t>Miguel de Jesus Paz</t>
  </si>
  <si>
    <t>Josefa del Carmen Olmedo</t>
  </si>
  <si>
    <t>Fidel Alfonso Lopez Herrera.</t>
  </si>
  <si>
    <t>Wilfredo Mejia Alas</t>
  </si>
  <si>
    <t>jefe de Recursos H</t>
  </si>
  <si>
    <t>0105</t>
  </si>
  <si>
    <t>Atencion al cliente</t>
  </si>
  <si>
    <t>Jose Abel Otero</t>
  </si>
  <si>
    <t>Oscar Omar Belloso Alvarenga</t>
  </si>
  <si>
    <t>Archivo Municipal</t>
  </si>
  <si>
    <t>0106</t>
  </si>
  <si>
    <t>Blanca Deysi Monge Rivera</t>
  </si>
  <si>
    <t>Tesorera Municipal</t>
  </si>
  <si>
    <t>Tesoreria</t>
  </si>
  <si>
    <t>0201</t>
  </si>
  <si>
    <t>Shirley Mabel Bográn de Chávez</t>
  </si>
  <si>
    <t>Cajera</t>
  </si>
  <si>
    <t>Tesorería</t>
  </si>
  <si>
    <t>Yanira Guadalupe Ardón de Minero</t>
  </si>
  <si>
    <t>Auxiliar de Tesorería</t>
  </si>
  <si>
    <t>Martha Gloribel González V. de Chávez</t>
  </si>
  <si>
    <t>Contadora Municipal</t>
  </si>
  <si>
    <t>Contabilidad</t>
  </si>
  <si>
    <t>0202</t>
  </si>
  <si>
    <t>Fanny Beatríz Monge de Guzmán</t>
  </si>
  <si>
    <t>Auxiliar Contabilidad</t>
  </si>
  <si>
    <t>Sonia Leonor Alas de Rivera</t>
  </si>
  <si>
    <t>Ctas.Ctes.y cobro mora</t>
  </si>
  <si>
    <t>Catastro</t>
  </si>
  <si>
    <t>0203</t>
  </si>
  <si>
    <t>Luis Antonio Paz Cárcamo</t>
  </si>
  <si>
    <t>Enc.Reg.y Control Trib.</t>
  </si>
  <si>
    <t>0204</t>
  </si>
  <si>
    <t>Enc.Cartas de Venta</t>
  </si>
  <si>
    <t xml:space="preserve">      Tiangue</t>
  </si>
  <si>
    <t>0205</t>
  </si>
  <si>
    <t>Cristina del Carmen Olmedo R.</t>
  </si>
  <si>
    <t>Bibliotecaria Municipal</t>
  </si>
  <si>
    <t>0301</t>
  </si>
  <si>
    <t>Lilian Concepción Merino</t>
  </si>
  <si>
    <t>Enc. UMM</t>
  </si>
  <si>
    <t>0302</t>
  </si>
  <si>
    <t>Udelia Guadalupe Vásquez Reyes</t>
  </si>
  <si>
    <t>Admora.Proyect.AECI</t>
  </si>
  <si>
    <t>Juan Emilio Montes Escobar</t>
  </si>
  <si>
    <t>Encargado UACI</t>
  </si>
  <si>
    <t>UACI</t>
  </si>
  <si>
    <t>0303</t>
  </si>
  <si>
    <t>Annel Onil Iraheta Rivera</t>
  </si>
  <si>
    <t>Auxiliar de la UACI.</t>
  </si>
  <si>
    <t>Enc. De Proveeduría</t>
  </si>
  <si>
    <t>Otilio Martir Ayala</t>
  </si>
  <si>
    <t>Jose Antonio Gomez Guzman</t>
  </si>
  <si>
    <t>UTPM</t>
  </si>
  <si>
    <t>0304</t>
  </si>
  <si>
    <t>Xenia Guadalupe Rodas</t>
  </si>
  <si>
    <t>Encargada de Control Urbano</t>
  </si>
  <si>
    <t>Verónica Graciela Ramírez</t>
  </si>
  <si>
    <t>Promotora Ambiental</t>
  </si>
  <si>
    <t>Unidad Ambiental</t>
  </si>
  <si>
    <t>0305</t>
  </si>
  <si>
    <t>Concepción Yesenia Juárez Ayala</t>
  </si>
  <si>
    <t>Jefe Unidad Ambiental</t>
  </si>
  <si>
    <t>Santiago de Jesús Joachín Cordero</t>
  </si>
  <si>
    <t>Enc.Planta Desechos S.</t>
  </si>
  <si>
    <t>Leonidas Antonio Bonilla</t>
  </si>
  <si>
    <t>Enc. Minicargador</t>
  </si>
  <si>
    <t>Miguel Angel Duran Batres</t>
  </si>
  <si>
    <t>Oficina de Turismo</t>
  </si>
  <si>
    <t>0306</t>
  </si>
  <si>
    <t>Modesto Elio León Espinoza</t>
  </si>
  <si>
    <t>Admor.Puerto San J.</t>
  </si>
  <si>
    <t>Puerto San Juan</t>
  </si>
  <si>
    <t>0307</t>
  </si>
  <si>
    <t>Elizabeth Constante Orellana</t>
  </si>
  <si>
    <t xml:space="preserve">Ordenanza  </t>
  </si>
  <si>
    <t>José Ayala Pineda</t>
  </si>
  <si>
    <t>Ordenanza</t>
  </si>
  <si>
    <t>Mirian Esperanza Olmedo</t>
  </si>
  <si>
    <t>Cobradora Puerto S.J.</t>
  </si>
  <si>
    <t>María Magdalena Casco</t>
  </si>
  <si>
    <t>José Benedicto Madrid Rodas</t>
  </si>
  <si>
    <t>Wiliam Ermidio Rivas</t>
  </si>
  <si>
    <t>Pedro Alcides Murillo</t>
  </si>
  <si>
    <t>agente Policía Mpal.</t>
  </si>
  <si>
    <t>Gloria Espeanza Mancia</t>
  </si>
  <si>
    <t>Oscar Mauricio Ramos Henriquez</t>
  </si>
  <si>
    <t>Mtto. De Piscinas</t>
  </si>
  <si>
    <t>Jose Edwin Hernandez Gamez</t>
  </si>
  <si>
    <t>Javier de Jesus Henriquez Sanchez</t>
  </si>
  <si>
    <t>Oscar Mauricio Menjivar Alvarado</t>
  </si>
  <si>
    <t>Marta Maura Rivas de Gámez</t>
  </si>
  <si>
    <t>Enc.Registro Estado F.</t>
  </si>
  <si>
    <t>Reg.Estado Fam.</t>
  </si>
  <si>
    <t>0308</t>
  </si>
  <si>
    <t>Silvia Elizabeth Pastrán de Alas</t>
  </si>
  <si>
    <t>Auxiliar Reg.E. Fam.</t>
  </si>
  <si>
    <t>Toribio Emilio Rivera</t>
  </si>
  <si>
    <t>Promotor Social</t>
  </si>
  <si>
    <t>0309</t>
  </si>
  <si>
    <t>José Baldemar Granados</t>
  </si>
  <si>
    <t>Jefe Servicios Generales</t>
  </si>
  <si>
    <t>Servicios Mpales.</t>
  </si>
  <si>
    <t>0310</t>
  </si>
  <si>
    <t>Rolando Antonio Alas Galdamez</t>
  </si>
  <si>
    <t>Auxiliar de Serv.Grales.</t>
  </si>
  <si>
    <t>María Magdalena Cañas</t>
  </si>
  <si>
    <t>Felícito Castillo Recínos</t>
  </si>
  <si>
    <t>Motorista Tren de Aseo</t>
  </si>
  <si>
    <t>Facundo de Dolores García</t>
  </si>
  <si>
    <t>Andrés Vásquez Pérez</t>
  </si>
  <si>
    <t>Mozo Tren de Aseo</t>
  </si>
  <si>
    <t>Encargado Parques</t>
  </si>
  <si>
    <t>Juan José Acosta Rudamas</t>
  </si>
  <si>
    <t>Barrido de Calles</t>
  </si>
  <si>
    <t>Roberto Antonio Alas</t>
  </si>
  <si>
    <t>Pedro Juan Cañas Torres</t>
  </si>
  <si>
    <t>Aux.Motoniveladora</t>
  </si>
  <si>
    <t>Jose´Leonardo Coca Guardado</t>
  </si>
  <si>
    <t>Marcial Ruíz Vanegas</t>
  </si>
  <si>
    <t>Matarife</t>
  </si>
  <si>
    <t>Rastro y Tiangue</t>
  </si>
  <si>
    <t>Jose Oliverio Valladares</t>
  </si>
  <si>
    <t>José Florentino Peraza</t>
  </si>
  <si>
    <t>Custodio Cementerio</t>
  </si>
  <si>
    <t xml:space="preserve">Walter Rolando Menjivar Salinas </t>
  </si>
  <si>
    <t>Operador de Retroexcabadora</t>
  </si>
  <si>
    <t>Efraín Guzman Estrada</t>
  </si>
  <si>
    <t>Operador Retroexcabadora</t>
  </si>
  <si>
    <t>Esmeralda Margareth Zamora</t>
  </si>
  <si>
    <t>Enc. baños Mercado</t>
  </si>
  <si>
    <t>TOTAL REMUNERACIONES</t>
  </si>
  <si>
    <t>Concejo</t>
  </si>
  <si>
    <t>Aport.Patron.INSAFOR 1% s/planilla ISSS</t>
  </si>
  <si>
    <t>ANEXO 4.1</t>
  </si>
  <si>
    <t>FORMULACION DEL PRESUPUESTO MUNICIPAL DE EGRESOS</t>
  </si>
  <si>
    <t>(En Dolares de los Estados Unidos de América)</t>
  </si>
  <si>
    <t>PRESUPUESTO MUNICIPAL DE FUNCIONAMIENTO POR ESTRUCTURA PRESUPUESTARIA</t>
  </si>
  <si>
    <t>FUENTE O SUBFUENTE DE FINANCIAMIENTO: Recursos Propios</t>
  </si>
  <si>
    <t>ESTRUCTURA PRESUPUESTARIA</t>
  </si>
  <si>
    <t>(7) DENOMINACIÓN</t>
  </si>
  <si>
    <t>(8) MONTO</t>
  </si>
  <si>
    <t>(1) Area de Gestión</t>
  </si>
  <si>
    <t>(2) Unidd Presupuestaria</t>
  </si>
  <si>
    <t>(3) Linea de Trabajo</t>
  </si>
  <si>
    <t>(4) Fuente de Financiamiento</t>
  </si>
  <si>
    <t>(5) Subfuente de Financiamiento</t>
  </si>
  <si>
    <t>(6) Objeto Específico</t>
  </si>
  <si>
    <t>01</t>
  </si>
  <si>
    <t>2</t>
  </si>
  <si>
    <t>000</t>
  </si>
  <si>
    <t>Sueldos</t>
  </si>
  <si>
    <t>Aguinaldos</t>
  </si>
  <si>
    <t>Horas Extraordinarias</t>
  </si>
  <si>
    <t>Productos Alimenticios para Personas</t>
  </si>
  <si>
    <t>Productos de papel y Carton</t>
  </si>
  <si>
    <t>Combustibles y Lubricantes</t>
  </si>
  <si>
    <t>Materiales de Oficina</t>
  </si>
  <si>
    <t>Herramientas, Rep. Y Acces.</t>
  </si>
  <si>
    <t>Servicios de Energia Electrica</t>
  </si>
  <si>
    <t>Servicios de Agua</t>
  </si>
  <si>
    <t>Servicios de Telecomunicaciones</t>
  </si>
  <si>
    <t>Mant. Y Repar. De Vehiculos</t>
  </si>
  <si>
    <t>Servicio de Limpieza y Fumig.</t>
  </si>
  <si>
    <t>Servicios de Alimentación</t>
  </si>
  <si>
    <t>Impuestos, Tasas y Der. Div.</t>
  </si>
  <si>
    <t>Mobiliarios</t>
  </si>
  <si>
    <t>61105</t>
  </si>
  <si>
    <t>Vehiculos de Transporte</t>
  </si>
  <si>
    <t>(9) TOTAL GASTOS</t>
  </si>
  <si>
    <t>02</t>
  </si>
  <si>
    <t>Miner. No Metalicos y Prod. Der.</t>
  </si>
  <si>
    <t>Miner. Metalicos y Prod. Der.</t>
  </si>
  <si>
    <t>Mant. Y Repar. De Bs. Muebles</t>
  </si>
  <si>
    <t>DEPARTAMENTO DE CUSCATLAN</t>
  </si>
  <si>
    <t>ALCALDIA MUNICIPAL DE SUCHITOTO</t>
  </si>
  <si>
    <t>AÑO 2016</t>
  </si>
  <si>
    <t>110</t>
  </si>
  <si>
    <t>ANEXO 4.2</t>
  </si>
  <si>
    <t>FUENTE O SUBFUENTE DE FINANCIAMIENTO: Recursos Propios Puerto San Juan</t>
  </si>
  <si>
    <t>Erick Jason Bonilla Gonzalez</t>
  </si>
  <si>
    <t>Elias Benjamin Castillo Rodriguez</t>
  </si>
  <si>
    <t>WALTER CANDELARIO RODRIGUEZ</t>
  </si>
  <si>
    <t>ANA LUCIA RAMIREZ AYALA</t>
  </si>
  <si>
    <t>PEDRO MIRANDA RIVERA</t>
  </si>
  <si>
    <t>VERONICA MARISOL FLORESPEREZ</t>
  </si>
  <si>
    <t>LILIAN DEL CARMEN MENJIVAR LANDAVERDE</t>
  </si>
  <si>
    <t>VICTOR ARISTIDES ORELLANA SANTAMARIA</t>
  </si>
  <si>
    <t>JORGE FRANCISCO GOMEZ CASTILLO</t>
  </si>
  <si>
    <t>JOSE MAURICIO ALAS MENJIVAR</t>
  </si>
  <si>
    <t>CLAUDIA ELILZABETH CSTRO DE ARGUETA</t>
  </si>
  <si>
    <t>ALFREDO LANDAVERDE</t>
  </si>
  <si>
    <t>MARGOTH PEREZ PORTILLO</t>
  </si>
  <si>
    <t>PASCUAL GALDAMEZ HERNANDEZ</t>
  </si>
  <si>
    <t>Concejal</t>
  </si>
  <si>
    <t>Concejala</t>
  </si>
  <si>
    <t>totales………………………………………</t>
  </si>
  <si>
    <t>Jose Luis Coto Guevara</t>
  </si>
  <si>
    <t>REMUNERACIONES A EVENTUALES</t>
  </si>
  <si>
    <t>´PRODUCTOS ALIMENTICIOS PARA PERSONAS</t>
  </si>
  <si>
    <t>PRODUCTOS DE PAPEL Y CARTON</t>
  </si>
  <si>
    <t>COMBUSTIBLES Y LUBRICANTES</t>
  </si>
  <si>
    <t>SERVICIOS DE AGUA POTABLE</t>
  </si>
  <si>
    <t>SERVICIOS DE TELECOMUNICACIONES</t>
  </si>
  <si>
    <t>FUENTE O SUBFUENTE DE FINANCIAMIENTO:          FONDOS FODES 25%</t>
  </si>
  <si>
    <t>1</t>
  </si>
  <si>
    <t>Por Remuneraciones Permanentes Seguridad Publica</t>
  </si>
  <si>
    <t>Por Remuneraciones Permanentes Seguridad privada</t>
  </si>
  <si>
    <t>sueldos a eventuales</t>
  </si>
  <si>
    <t>Sandra Beatriz Galdamez Ceron</t>
  </si>
  <si>
    <t>Productos Quimicos</t>
  </si>
  <si>
    <t>Remuneraciones Diversas</t>
  </si>
  <si>
    <t>Productos de cuero y caucho</t>
  </si>
  <si>
    <t>Productos quimicos</t>
  </si>
  <si>
    <t>Llantas y Neumaticos</t>
  </si>
  <si>
    <t>Materiales Informaticos</t>
  </si>
  <si>
    <t>Materiales Electricos</t>
  </si>
  <si>
    <t>Bienes de usos y consumo diversos</t>
  </si>
  <si>
    <t>Mant. Y Repar. De Bs. Inmuebles</t>
  </si>
  <si>
    <t>Impresiones, Publicaciones y Reproducciones</t>
  </si>
  <si>
    <t>Atenciones Oficiales</t>
  </si>
  <si>
    <t>Viaticos por comision interna</t>
  </si>
  <si>
    <t>Primas y gastos seguros de vehiculos</t>
  </si>
  <si>
    <t>Maquinarias y equipos</t>
  </si>
  <si>
    <t>Equipos informaticos</t>
  </si>
  <si>
    <t>61199</t>
  </si>
  <si>
    <t>Bienes Muebles diversos</t>
  </si>
  <si>
    <t>Admor. del mercado</t>
  </si>
  <si>
    <t>Sueldos Eventuales</t>
  </si>
  <si>
    <t>Miguel Angel De Pas</t>
  </si>
  <si>
    <t>ANEXO 3</t>
  </si>
  <si>
    <t>FORMULACIÓN DEL PRESUPUESTO MUNICIPAL DE INGRESOS</t>
  </si>
  <si>
    <t>(En Dolares de los Estados Unidos de America)</t>
  </si>
  <si>
    <t>DETALLE CONSOLIDADO DE INGRESOS POR ESPECIFICO Y FUENTE DE FINANCIAMIENTO</t>
  </si>
  <si>
    <t>(1) Objeto Específico</t>
  </si>
  <si>
    <t>(2) DENOMINACION</t>
  </si>
  <si>
    <t>(3) Fondo General</t>
  </si>
  <si>
    <t>(9) Fondos Propios</t>
  </si>
  <si>
    <t>(10) Préstamos Externos</t>
  </si>
  <si>
    <t>(11) Préstamos Internos</t>
  </si>
  <si>
    <t>(12) Donaciones</t>
  </si>
  <si>
    <t xml:space="preserve">(13) T O T A L  </t>
  </si>
  <si>
    <t>(4) FODES</t>
  </si>
  <si>
    <t>(7) OTROS</t>
  </si>
  <si>
    <t>(8) SUBTOTAL</t>
  </si>
  <si>
    <t>(5) Funcionamiento</t>
  </si>
  <si>
    <t>(6) Inversión</t>
  </si>
  <si>
    <t>Ej.: FISDL</t>
  </si>
  <si>
    <t>11801</t>
  </si>
  <si>
    <t>De Comercio</t>
  </si>
  <si>
    <t>11802</t>
  </si>
  <si>
    <t>De Industria</t>
  </si>
  <si>
    <t>11804</t>
  </si>
  <si>
    <t>De Servicios</t>
  </si>
  <si>
    <t>Vallas Publicitarias</t>
  </si>
  <si>
    <t>Por Servicio de Certificación o Visado de Documentos</t>
  </si>
  <si>
    <t>Alumbrado Público</t>
  </si>
  <si>
    <t>12109</t>
  </si>
  <si>
    <t>Aseo Público</t>
  </si>
  <si>
    <t>12210</t>
  </si>
  <si>
    <t>Permisos y Licencias Municipales</t>
  </si>
  <si>
    <t>12211</t>
  </si>
  <si>
    <t>Cotejo de Fierros</t>
  </si>
  <si>
    <t>14299</t>
  </si>
  <si>
    <t>Servicios Diversos</t>
  </si>
  <si>
    <t>14399</t>
  </si>
  <si>
    <t>De Bienes Diversos</t>
  </si>
  <si>
    <t>15301</t>
  </si>
  <si>
    <t>Multa por Mora de Impuestos</t>
  </si>
  <si>
    <t>15302</t>
  </si>
  <si>
    <t>Intereses por Mora de Impuestos</t>
  </si>
  <si>
    <t>16201</t>
  </si>
  <si>
    <t>Transf. Ctes. Del S.P.</t>
  </si>
  <si>
    <t>22201</t>
  </si>
  <si>
    <t>Transf. De Capital del S.P.</t>
  </si>
  <si>
    <t>22404</t>
  </si>
  <si>
    <t>De Org.Multilaterales</t>
  </si>
  <si>
    <t>22405</t>
  </si>
  <si>
    <t>De Org. Sin Fines de Lucro</t>
  </si>
  <si>
    <t>(14) TOTAL INGRESOS</t>
  </si>
  <si>
    <t>INSUMOS BASICOS:</t>
  </si>
  <si>
    <t>1. BASE DE GENERACION DE AVISOS DE CONTRIBUYENTES</t>
  </si>
  <si>
    <t>2. HISTORIAL DE RECUPERACION DE MOROSIDAD</t>
  </si>
  <si>
    <t>3. HISTORIAL DE SALDOS BANCARIOS</t>
  </si>
  <si>
    <t>4. TRANSFERENCIAS GOES</t>
  </si>
  <si>
    <t>5. INFORME DE CREDITOS SOLICITADOS</t>
  </si>
  <si>
    <t>6. DONACIONES</t>
  </si>
  <si>
    <t>Indicaciones para llenado de ANEXO 3</t>
  </si>
  <si>
    <r>
      <t>(1)</t>
    </r>
    <r>
      <rPr>
        <sz val="10"/>
        <rFont val="Trebuchet MS"/>
        <family val="2"/>
      </rPr>
      <t>: Se detallará el objeto específico al que se asigne el ingreso estimado</t>
    </r>
  </si>
  <si>
    <r>
      <t>(8)</t>
    </r>
    <r>
      <rPr>
        <sz val="10"/>
        <rFont val="Trebuchet MS"/>
        <family val="2"/>
      </rPr>
      <t>: Registra la sumatoria de los valores ingresados en las columnas 5,6 y 7</t>
    </r>
  </si>
  <si>
    <r>
      <t>(2)</t>
    </r>
    <r>
      <rPr>
        <sz val="10"/>
        <rFont val="Trebuchet MS"/>
        <family val="2"/>
      </rPr>
      <t>: Se describe el nombre del objeto especifico  a utilizar</t>
    </r>
  </si>
  <si>
    <r>
      <t>(9)</t>
    </r>
    <r>
      <rPr>
        <sz val="10"/>
        <rFont val="Trebuchet MS"/>
        <family val="2"/>
      </rPr>
      <t>: Comprende los ingresos presupuestados como fondos propios.</t>
    </r>
  </si>
  <si>
    <r>
      <t>(3)</t>
    </r>
    <r>
      <rPr>
        <sz val="10"/>
        <rFont val="Trebuchet MS"/>
        <family val="2"/>
      </rPr>
      <t xml:space="preserve">: Columna dode se detallarán los recursos percibidos como Fondo General </t>
    </r>
  </si>
  <si>
    <r>
      <t>(10)</t>
    </r>
    <r>
      <rPr>
        <sz val="10"/>
        <rFont val="Trebuchet MS"/>
        <family val="2"/>
      </rPr>
      <t>: Se detallarán los ingresos bajo el concepto de Prestamos Externos</t>
    </r>
  </si>
  <si>
    <t xml:space="preserve">         de sus diferentes subfuentes de financiamiento</t>
  </si>
  <si>
    <r>
      <t>(11)</t>
    </r>
    <r>
      <rPr>
        <sz val="10"/>
        <rFont val="Trebuchet MS"/>
        <family val="2"/>
      </rPr>
      <t>: Registra los ingresos presupuestados como Prestamos Internos</t>
    </r>
  </si>
  <si>
    <r>
      <t>(4)</t>
    </r>
    <r>
      <rPr>
        <sz val="10"/>
        <rFont val="Trebuchet MS"/>
        <family val="2"/>
      </rPr>
      <t>: Columna que detallarà ingresos FODES por funcionamiento e inversión.</t>
    </r>
  </si>
  <si>
    <r>
      <t>(12)</t>
    </r>
    <r>
      <rPr>
        <sz val="10"/>
        <rFont val="Trebuchet MS"/>
        <family val="2"/>
      </rPr>
      <t xml:space="preserve">: Detallará los ingresos previstos que se percibirán como Donaciones </t>
    </r>
  </si>
  <si>
    <r>
      <t>(5)</t>
    </r>
    <r>
      <rPr>
        <sz val="10"/>
        <rFont val="Trebuchet MS"/>
        <family val="2"/>
      </rPr>
      <t>: Se detallarán ingresos FODES para gastos por funcionamiento</t>
    </r>
  </si>
  <si>
    <r>
      <t>(13)</t>
    </r>
    <r>
      <rPr>
        <sz val="10"/>
        <rFont val="Trebuchet MS"/>
        <family val="2"/>
      </rPr>
      <t xml:space="preserve">: Reflejará la sumatoria de los montos de todos los ingresos detallados </t>
    </r>
  </si>
  <si>
    <r>
      <t>(6)</t>
    </r>
    <r>
      <rPr>
        <sz val="10"/>
        <rFont val="Trebuchet MS"/>
        <family val="2"/>
      </rPr>
      <t>: Se detallarán ingresos FODES para inversión</t>
    </r>
  </si>
  <si>
    <t xml:space="preserve">             en las columnas 8,9,10, 11 y 12 por cada especifico presupuestario</t>
  </si>
  <si>
    <r>
      <t>(7)</t>
    </r>
    <r>
      <rPr>
        <sz val="10"/>
        <rFont val="Trebuchet MS"/>
        <family val="2"/>
      </rPr>
      <t>: Seutilizará para detallar otros ingresos del Fondo General, por ejemplo  FISDL</t>
    </r>
  </si>
  <si>
    <r>
      <t>(14)</t>
    </r>
    <r>
      <rPr>
        <sz val="10"/>
        <rFont val="Trebuchet MS"/>
        <family val="2"/>
      </rPr>
      <t xml:space="preserve">: Incluye la sumatoria total de cada Fuente y Subfuente de Financiamiento </t>
    </r>
  </si>
  <si>
    <t>MERCADO</t>
  </si>
  <si>
    <t>RASTRO</t>
  </si>
  <si>
    <t>CEMENTERIO</t>
  </si>
  <si>
    <t>TREN ASEO</t>
  </si>
  <si>
    <t>CANCHA</t>
  </si>
  <si>
    <t>PRODUCTOS TEXTILES Y VESTUARIOS</t>
  </si>
  <si>
    <t>MUNICIPALIDAD DE SUCHITOTO</t>
  </si>
  <si>
    <t xml:space="preserve">PREINVERSION  5 %                         </t>
  </si>
  <si>
    <t>NOMBRE DEL PROYECTO</t>
  </si>
  <si>
    <t>MONTO ASIGNADO</t>
  </si>
  <si>
    <t>NOMBRE DE LOS PROYECTOS A EJECUTAR EN CADA ZONA</t>
  </si>
  <si>
    <t>Costruccion</t>
  </si>
  <si>
    <t>Ampliaciones</t>
  </si>
  <si>
    <t>Inversiones Social</t>
  </si>
  <si>
    <t>Inversiones Diversos</t>
  </si>
  <si>
    <t>TOTAL………………………………………………………………………………………...……………</t>
  </si>
  <si>
    <t xml:space="preserve">70% FODES       </t>
  </si>
  <si>
    <t>61601- PROYECTOS VIALES</t>
  </si>
  <si>
    <t>No. PROYECTO</t>
  </si>
  <si>
    <t xml:space="preserve">PROYECTO CAMPAÑA DE LIMPIEZA EN LA ZONA URBANA Y RURAL. </t>
  </si>
  <si>
    <t>RECOLECCION DE BASURA, OPERACIÓN Y MTTO DE RELLENO SANITARIO Y PLANTA COMPOSTAJE</t>
  </si>
  <si>
    <t xml:space="preserve">SEGURIDAD E HIGIENE OCUPACIONAL </t>
  </si>
  <si>
    <t>VIVIENDA PROVISIONAL</t>
  </si>
  <si>
    <t>SUPERVISION DE PROYECTOS</t>
  </si>
  <si>
    <t>EJECUCION DE LA POLITICA DE EQUIDAD DE GENERO</t>
  </si>
  <si>
    <t xml:space="preserve"> IMPLEMENTACION DE LA POLITICA MUNICIPAL AGROPECUARIA CON ENFOQUE DE GENERO</t>
  </si>
  <si>
    <t>ACTIVIDADES CULTURALES ANIVERSARIO DE SUCHITOTO.</t>
  </si>
  <si>
    <t>PROYECTO DE PROMOCION Y APOYO A LA CULTURA Y EL TURISMO EN SUCHITOTO</t>
  </si>
  <si>
    <t>APOYO A PERSONAS CON DISCAPACIDAD</t>
  </si>
  <si>
    <t>MONTO PARA EL 2016</t>
  </si>
  <si>
    <t>11803</t>
  </si>
  <si>
    <t>Financieras</t>
  </si>
  <si>
    <t>Bares y Restaurantes</t>
  </si>
  <si>
    <t>Transporte</t>
  </si>
  <si>
    <t>Servicios de esparcimiento</t>
  </si>
  <si>
    <t>Vialidades</t>
  </si>
  <si>
    <t>Impuestos Municipales Diversos</t>
  </si>
  <si>
    <t>Por expedicion de documentos de Identidad</t>
  </si>
  <si>
    <t>Por acceso a Lugares Publicos</t>
  </si>
  <si>
    <t>12111</t>
  </si>
  <si>
    <t>Cementerios Municipales</t>
  </si>
  <si>
    <t>12112</t>
  </si>
  <si>
    <t>Desechos Solidos</t>
  </si>
  <si>
    <t>12113</t>
  </si>
  <si>
    <t>Estacionamientos y Parquimetros</t>
  </si>
  <si>
    <t>12114</t>
  </si>
  <si>
    <t>5% Fiestas Patronales</t>
  </si>
  <si>
    <t>12115</t>
  </si>
  <si>
    <t>Mercados Municipales</t>
  </si>
  <si>
    <t>12117</t>
  </si>
  <si>
    <t>Pavimentacion</t>
  </si>
  <si>
    <t>12118</t>
  </si>
  <si>
    <t>Postes, Torres y Antenas</t>
  </si>
  <si>
    <t>12119</t>
  </si>
  <si>
    <t>Rastro y Tiange</t>
  </si>
  <si>
    <t>12123</t>
  </si>
  <si>
    <t>Baños y Lavaderos Publicos</t>
  </si>
  <si>
    <t>15402</t>
  </si>
  <si>
    <t>Arrendamientos de bienes inmuebles</t>
  </si>
  <si>
    <t>15312</t>
  </si>
  <si>
    <t>Multas del Registro del Estado Fam,</t>
  </si>
  <si>
    <t>15314</t>
  </si>
  <si>
    <t>Otras Multas Municipales</t>
  </si>
  <si>
    <t>21201</t>
  </si>
  <si>
    <t>Venta de Terrenos</t>
  </si>
  <si>
    <t>15799</t>
  </si>
  <si>
    <t>Ingesos Diversos</t>
  </si>
  <si>
    <t>Productos textiles y vestuarios</t>
  </si>
  <si>
    <t>Arrendamiento de bienes inmuebles</t>
  </si>
  <si>
    <t>Miguel Angel Benitez Cisneros</t>
  </si>
  <si>
    <t>Electricista</t>
  </si>
  <si>
    <t>ANEXO 4.3</t>
  </si>
  <si>
    <t>PRESUPUESTO MUNICIPAL DEL SERVICIO DE LA DEUDA POR ESTRUCTURA PRESUPUESTARIA</t>
  </si>
  <si>
    <t>05</t>
  </si>
  <si>
    <t>111</t>
  </si>
  <si>
    <t>71308</t>
  </si>
  <si>
    <t>De Empresas Financieras</t>
  </si>
  <si>
    <t>55308</t>
  </si>
  <si>
    <t>(9) T O T A L   GASTOS</t>
  </si>
  <si>
    <t>1. ESTRUCTURA PRESUPUESTARIA APROBADA</t>
  </si>
  <si>
    <t>2. AMORTIZACION DE LA DEUDA PUBLICA MUNICIPAL</t>
  </si>
  <si>
    <t>Indicaciones para llenado de ANEXO 4.3</t>
  </si>
  <si>
    <r>
      <t>(1)</t>
    </r>
    <r>
      <rPr>
        <sz val="10"/>
        <rFont val="Trebuchet MS"/>
        <family val="2"/>
      </rPr>
      <t>: Se detallará el Área de Gestión donde se clasificará el egreso a realizar</t>
    </r>
  </si>
  <si>
    <r>
      <t>(2)</t>
    </r>
    <r>
      <rPr>
        <sz val="10"/>
        <rFont val="Trebuchet MS"/>
        <family val="2"/>
      </rPr>
      <t>: Registrará el código de la Unidad presupuestaria a la cual han sido asignados los montos presupuestarios</t>
    </r>
  </si>
  <si>
    <r>
      <t>(3)</t>
    </r>
    <r>
      <rPr>
        <sz val="10"/>
        <rFont val="Trebuchet MS"/>
        <family val="2"/>
      </rPr>
      <t>: Se detalla la Linea de Trabajo a la que se aplicarán los egresos</t>
    </r>
  </si>
  <si>
    <r>
      <t>(4)</t>
    </r>
    <r>
      <rPr>
        <sz val="10"/>
        <rFont val="Trebuchet MS"/>
        <family val="2"/>
      </rPr>
      <t>: Se detalla la Fuente de Financiamiento con la que se pagarán los desembolsos por Servicio de la Deuda</t>
    </r>
  </si>
  <si>
    <r>
      <t>(5)</t>
    </r>
    <r>
      <rPr>
        <sz val="10"/>
        <rFont val="Trebuchet MS"/>
        <family val="2"/>
      </rPr>
      <t xml:space="preserve">: Se debe identificar el destino de los fondos transferidos por entes del Estado, si es Recurso Propio se completa con ceros. </t>
    </r>
  </si>
  <si>
    <r>
      <t>(6)</t>
    </r>
    <r>
      <rPr>
        <sz val="10"/>
        <rFont val="Trebuchet MS"/>
        <family val="2"/>
      </rPr>
      <t>: Se detallará el objeto específico de gasto al que se asigne el egreso estimado</t>
    </r>
  </si>
  <si>
    <r>
      <t>(7)</t>
    </r>
    <r>
      <rPr>
        <sz val="10"/>
        <rFont val="Trebuchet MS"/>
        <family val="2"/>
      </rPr>
      <t>: Se escribe el nombre del objeto especifico de gasto a utilizar</t>
    </r>
  </si>
  <si>
    <r>
      <t>(8)</t>
    </r>
    <r>
      <rPr>
        <sz val="10"/>
        <rFont val="Trebuchet MS"/>
        <family val="2"/>
      </rPr>
      <t xml:space="preserve">: Incluye el monto asignado por especifico presupuestario de gastos de todos los elementos de la Estructura Presupuestaria </t>
    </r>
  </si>
  <si>
    <r>
      <t>(9)</t>
    </r>
    <r>
      <rPr>
        <sz val="10"/>
        <rFont val="Trebuchet MS"/>
        <family val="2"/>
      </rPr>
      <t xml:space="preserve">: Incluye la sumatoria de todos los especificos presupuestarios de gastos que integran lo asignado al Servicio de la Deuda </t>
    </r>
  </si>
  <si>
    <t>MANDAMIENTO DE PAGO COLECTIVO DE SUELDOS</t>
  </si>
  <si>
    <t>1-  UNIDAD PRIMARIA_____________________________________________________</t>
  </si>
  <si>
    <t>2- UNIDAD SECUNDARIA_________________________________________</t>
  </si>
  <si>
    <t>3-  INSTITUCION U OFICINA:  ALCALDIA MUNICIPAL DE SUCHITOTO</t>
  </si>
  <si>
    <t xml:space="preserve"> </t>
  </si>
  <si>
    <t xml:space="preserve">                      7-</t>
  </si>
  <si>
    <t>PERIODO DE</t>
  </si>
  <si>
    <t xml:space="preserve">                        8-</t>
  </si>
  <si>
    <t>4- PROGRAMA_____________5-  SUBPROGRAMA:________6-  CIFRADO PRESUPESTARIO /2010-511-51101</t>
  </si>
  <si>
    <t>CIFRADO PRESUPUESTARIO:  /2013- 511- 51101</t>
  </si>
  <si>
    <r>
      <t>PAGO DESDE:</t>
    </r>
    <r>
      <rPr>
        <b/>
        <sz val="14"/>
        <rFont val="CityDLig"/>
      </rPr>
      <t xml:space="preserve"> 01/01/2016</t>
    </r>
  </si>
  <si>
    <r>
      <t>HASTA EL:</t>
    </r>
    <r>
      <rPr>
        <b/>
        <sz val="14"/>
        <rFont val="CityDLig"/>
      </rPr>
      <t xml:space="preserve"> 31/01/2016</t>
    </r>
  </si>
  <si>
    <t>9-        CODIGO  DE</t>
  </si>
  <si>
    <t>10-CODIGO   DE</t>
  </si>
  <si>
    <t xml:space="preserve">   11-</t>
  </si>
  <si>
    <t>REGIMEN:</t>
  </si>
  <si>
    <t xml:space="preserve">  OFICINA:  00-715                      </t>
  </si>
  <si>
    <t>PAGADURIA:________________________________</t>
  </si>
  <si>
    <t>ADMINISTRATIVO:   X           12</t>
  </si>
  <si>
    <t>PLANILLA 01</t>
  </si>
  <si>
    <t>13-FECHA DE EMISION:   17/11/2015                                  14- HOJA #  01  DE  05</t>
  </si>
  <si>
    <t>vienen……………………………………….</t>
  </si>
  <si>
    <t>xxxxxxxxxxxxx</t>
  </si>
  <si>
    <t>Gerente General</t>
  </si>
  <si>
    <t>LT 0102</t>
  </si>
  <si>
    <t>Maria de los Angeles Velasco</t>
  </si>
  <si>
    <t>Unicad Economica</t>
  </si>
  <si>
    <t>Jose David Molina</t>
  </si>
  <si>
    <t>TV Municipal</t>
  </si>
  <si>
    <t>Heriberto de Jesús Casco</t>
  </si>
  <si>
    <t>Servicios Grales</t>
  </si>
  <si>
    <t>Agente CAM</t>
  </si>
  <si>
    <t>Enc.Baños</t>
  </si>
  <si>
    <t>SUB TOTAL………………….</t>
  </si>
  <si>
    <t>TOTALES…………………</t>
  </si>
  <si>
    <t>Gerente</t>
  </si>
  <si>
    <t>UDEL</t>
  </si>
  <si>
    <t>TV MPAL</t>
  </si>
  <si>
    <t>ALCALDIA MUNICIPAL DE SUCHITOTO. DEPARTAMENTO DE CUSCATLAN</t>
  </si>
  <si>
    <t>PROYECCION DE INGRESOS CORRIENTES PARA EL AÑO 2015</t>
  </si>
  <si>
    <t>INGRESOS CORRIENTES REALES DE 2011/2015</t>
  </si>
  <si>
    <t>COD</t>
  </si>
  <si>
    <t>CUENTA DE INGRESOS</t>
  </si>
  <si>
    <t>PROYECCION DE INGRESOS POR METODO DE</t>
  </si>
  <si>
    <t>COMERCIOS</t>
  </si>
  <si>
    <t>LOS MINIMOS CUADRADOS</t>
  </si>
  <si>
    <t>INDUSTRIAS</t>
  </si>
  <si>
    <t>X</t>
  </si>
  <si>
    <t>n</t>
  </si>
  <si>
    <t>Y</t>
  </si>
  <si>
    <t>XY</t>
  </si>
  <si>
    <t>FINANCIERAS</t>
  </si>
  <si>
    <t>SERVICIOS</t>
  </si>
  <si>
    <t>BARES Y RESTAURANTES</t>
  </si>
  <si>
    <t>SERVICIOS DE ESPARCIMIENTO</t>
  </si>
  <si>
    <t>TRANSPORTE</t>
  </si>
  <si>
    <t>VALLAS PUBLICITARIAS</t>
  </si>
  <si>
    <t>VIALIDAD</t>
  </si>
  <si>
    <t>IMPUESTOS MUNICIPALES DIVERSOS</t>
  </si>
  <si>
    <t>POR SERVICIOS DE CERTIFICACION O VISADO DE DOCUMENTOS</t>
  </si>
  <si>
    <t>POR EXPEDICION DE DOCUMENTOS DE IDENTIFICACION</t>
  </si>
  <si>
    <t>POR ACCESO A LUGARES PUBLICOS</t>
  </si>
  <si>
    <t>ASEO PUBLICO</t>
  </si>
  <si>
    <t>CASETAS TELEFONICAS</t>
  </si>
  <si>
    <t>CEMENTERIOS MUNICIPALES</t>
  </si>
  <si>
    <t>DESECHOS</t>
  </si>
  <si>
    <t>ESTACIONAMIENTOS Y PARQUIMETROS</t>
  </si>
  <si>
    <t xml:space="preserve"> 5% FIESTAS PATRONALES</t>
  </si>
  <si>
    <t>a=</t>
  </si>
  <si>
    <t>MERCADOS MUNICIPALES</t>
  </si>
  <si>
    <t>PAVIMENTACION</t>
  </si>
  <si>
    <t>b=</t>
  </si>
  <si>
    <t>POSTES, TORRES Y ANTENAS</t>
  </si>
  <si>
    <t>X = 3</t>
  </si>
  <si>
    <t>RASTRO Y TIANGUE</t>
  </si>
  <si>
    <t>Y2015</t>
  </si>
  <si>
    <t>BAÑOS Y LAVADEROS PUBLICOS</t>
  </si>
  <si>
    <t>i=</t>
  </si>
  <si>
    <t>Porcentaje de</t>
  </si>
  <si>
    <t>PERMISOS Y LICENCIAS MUNICIPALES</t>
  </si>
  <si>
    <t>crecimiento de</t>
  </si>
  <si>
    <t>COTEJO DE FIERROS</t>
  </si>
  <si>
    <t>los Ingresos</t>
  </si>
  <si>
    <t>VENTA DE BIENES DIVERSOS</t>
  </si>
  <si>
    <t>Corrientes</t>
  </si>
  <si>
    <t>VENTA DE BIENES DIVERSOS (DESECHOS SOLIDOS)</t>
  </si>
  <si>
    <t>ARRENDAMIENTOS BIENES INMUEBLES</t>
  </si>
  <si>
    <t>ARRENDAMIENTO DE BIENES DIVERSOS</t>
  </si>
  <si>
    <t>MULTAS POR MORA DE IMPUESTOS</t>
  </si>
  <si>
    <t>INTERESES POR MORA DE IMPUESTOS</t>
  </si>
  <si>
    <t>MULTAS POR DECLARACION EXTEMPORANEA</t>
  </si>
  <si>
    <t>MULTAS DEL REGISTRO ESTADO FAM.</t>
  </si>
  <si>
    <t>OTRAS MULTAS MUNICIPALES</t>
  </si>
  <si>
    <t>VENTA DE TERRENOS</t>
  </si>
  <si>
    <t>INGRESOS DIVERSOS</t>
  </si>
  <si>
    <t>DEUDORES MONETARIOS X PERCIBIR (MORA)</t>
  </si>
  <si>
    <t>TOTAL INGRESO ANUAL</t>
  </si>
  <si>
    <t>TOTAL DEL FONDO MUNICIPAL A DISTRIBUIR  SEGÚN PROYECCION…………………………………</t>
  </si>
  <si>
    <t>MAS SALDOS DE CUENTAS DE BANCO:</t>
  </si>
  <si>
    <t>TOTAL FONDO MUNICIPAL…………………………………………………………………………………………….</t>
  </si>
  <si>
    <t>SALDO BANCOS FODES 70% 2015……………………………………………………………………………………………….</t>
  </si>
  <si>
    <t>ASIGNACION FODES 2016………………………………………………………….</t>
  </si>
  <si>
    <t>TOTAL FONDOS FODES………………………………………………………………………………………………….</t>
  </si>
  <si>
    <t>PREINVERSION 5% FODES  SALDO BANCO 31-12-2015…………………………………………………..</t>
  </si>
  <si>
    <t>ASIGNACION FODES  5 % 2016…………………………………………………………………….……………………….</t>
  </si>
  <si>
    <t>TOTAL FODES 5%  FODES……………………………………………………………………………………………….</t>
  </si>
  <si>
    <t>TOTAL FONDO FODES 25% EN BANCO……………………………………………………………………………..</t>
  </si>
  <si>
    <t>ASIGNACION FODES 25%  2015………………………………………………………………………………………</t>
  </si>
  <si>
    <t>TOTAL FONDOS FODES 25%.......................................................................................................</t>
  </si>
  <si>
    <t>OTROS FONDOS   (FISDL/PFGL-C1 Y FISDL/PFGL-C2)………………………………………</t>
  </si>
  <si>
    <t>DONACION: INTRODUCCION SISTEMA DE AGUA POTABLE COMUNIDAD PAPAYAN</t>
  </si>
  <si>
    <t>SALDO PRESTAMO REMODELACION MERCADO MPAL. SUCHITOTO II FASE………………………………</t>
  </si>
  <si>
    <t>TOTAL FONDOS PRESUPUESTO MUNICIPAL  AÑO 2016…………………………………………………..</t>
  </si>
  <si>
    <t>SALDO PROYECTOS 2015………………………………………………………………………………………………</t>
  </si>
  <si>
    <t>SALDOS AL 31 DICIEMBRE 2015</t>
  </si>
  <si>
    <t>BCO.</t>
  </si>
  <si>
    <t>FONDO MUNICIPAL</t>
  </si>
  <si>
    <t>MONTO</t>
  </si>
  <si>
    <t>FONDOS FISDL</t>
  </si>
  <si>
    <t>DAVIVIENDA</t>
  </si>
  <si>
    <t>031-51-0015528 FONDO MPAL.</t>
  </si>
  <si>
    <t>FISDL/PGL/C1</t>
  </si>
  <si>
    <t>031-51-00152-18 PUERTO SAN JUAN</t>
  </si>
  <si>
    <t>FISDL/PGL/C2</t>
  </si>
  <si>
    <t>031-51-0012080 COMPOSTAJE</t>
  </si>
  <si>
    <t>031-51-00270-20 5% FIESTAS PATRONALES</t>
  </si>
  <si>
    <t>TOTAL……………………………………………..</t>
  </si>
  <si>
    <t>BANCO DAVIVIENDA</t>
  </si>
  <si>
    <t>FONDO FODES 25%</t>
  </si>
  <si>
    <t>031-51-00154-98 FODES 25%</t>
  </si>
  <si>
    <t>Indemnizaciones al Personal Permanente</t>
  </si>
  <si>
    <t>HONORARIOS CONCEJALES</t>
  </si>
  <si>
    <t>Libros, textos, utilles de enseñanza y publicaciones</t>
  </si>
  <si>
    <t>A personas Naturales</t>
  </si>
  <si>
    <t>$ 1500.00 apoyo casa estudiantes y 1500 apoyos funerarios</t>
  </si>
  <si>
    <t>14199</t>
  </si>
  <si>
    <t>De Bienes Diversos (abono organico)</t>
  </si>
  <si>
    <t>SUCHITOTO/FISDL/PFGL/INTRODUCCION DEL SISTEMA DE AGUA POTABLE Y SANEAMIENTO BASICO EN CANTON BUENA VISTA Y BUENOS AIRES.</t>
  </si>
  <si>
    <t>TESORERIA MPAL.SUCHITOTO/SUCHITOTO/FISDL/CSR 2015…</t>
  </si>
  <si>
    <t>INTRODUCCION DE AGUA POTABLE YSANEAMIENTO EN COMUNIDAD CELINA RAMOS…………………………………………</t>
  </si>
  <si>
    <t>SUCHITOTO/FISDL/PFGL/ADQUIISICION DE BIENES PARA GESTION DE RIESGO</t>
  </si>
  <si>
    <t>ASIGNACION 2016</t>
  </si>
  <si>
    <t>PRIMAS Y SEGUROS DE BIENES</t>
  </si>
  <si>
    <t>TOTAL FONDO FODES 25% EN BANCO……………………………..$  16,825.13</t>
  </si>
  <si>
    <t>ASIGNACION FODES 25%  2015………………………..….…………$ 407,920.68</t>
  </si>
  <si>
    <r>
      <t>TOTAL FONDOS FODES 25%..................................................</t>
    </r>
    <r>
      <rPr>
        <b/>
        <sz val="16"/>
        <color rgb="FF000000"/>
        <rFont val="Calibri"/>
        <family val="2"/>
      </rPr>
      <t>$ 424,745.81</t>
    </r>
  </si>
  <si>
    <t>TV MPAL.</t>
  </si>
  <si>
    <t>UNIDAD DE JUVENTUD</t>
  </si>
  <si>
    <t>PROYECTOS MPALES</t>
  </si>
  <si>
    <t>RADIO MERCADO</t>
  </si>
  <si>
    <t>LLANTAS Y NEUMANTICOS</t>
  </si>
  <si>
    <t>21389</t>
  </si>
  <si>
    <t>D.M. x percibir</t>
  </si>
  <si>
    <t>LT0106</t>
  </si>
  <si>
    <t>LT 0201</t>
  </si>
  <si>
    <t>LT 0202</t>
  </si>
  <si>
    <t>LT 0203</t>
  </si>
  <si>
    <t>LT 024</t>
  </si>
  <si>
    <t>LT 0301</t>
  </si>
  <si>
    <t>LT 0302</t>
  </si>
  <si>
    <t>LT 0304</t>
  </si>
  <si>
    <t>LT 0305</t>
  </si>
  <si>
    <t>LT 0306</t>
  </si>
  <si>
    <t>LT 0307</t>
  </si>
  <si>
    <t>LT 0308</t>
  </si>
  <si>
    <t>LT 0309</t>
  </si>
  <si>
    <t>LT 0310</t>
  </si>
  <si>
    <t>TV</t>
  </si>
  <si>
    <t>LT 0105</t>
  </si>
  <si>
    <t>LT 0206</t>
  </si>
  <si>
    <t>LT 0303UACI</t>
  </si>
  <si>
    <t>LT 0303PROV</t>
  </si>
  <si>
    <t>Beneficios Adicionales</t>
  </si>
  <si>
    <t>BARRIDO CALLES</t>
  </si>
  <si>
    <t>CANCHA NACINAL</t>
  </si>
  <si>
    <t>Honorarios</t>
  </si>
  <si>
    <t>Transportes, Fletes y Almacenamientos</t>
  </si>
  <si>
    <t>TOTALES</t>
  </si>
  <si>
    <t>CONSOLIDADO DE EGRESOS PARA EL AÑO 2016</t>
  </si>
  <si>
    <t>Comisiones y gastos bancarios</t>
  </si>
  <si>
    <t>Primas y gastos seguros de personas</t>
  </si>
  <si>
    <t>Comisiones y Gastos bancarios</t>
  </si>
  <si>
    <t>RECUPERACION DE MORA PARA 2016………………………….………</t>
  </si>
  <si>
    <t>MORA TRIBUTARIA (SEGÚN INFORME ENC.CTAS.CTES. $ 82518.77)</t>
  </si>
  <si>
    <t xml:space="preserve">CEMUDI </t>
  </si>
  <si>
    <t>GESTION DE RIESGOS, PROTECCION CIVIL Y FUNCIONAMIENTO COEM</t>
  </si>
  <si>
    <t>TECNICO EN PROY.</t>
  </si>
  <si>
    <t>Enc.Activo Fijo y Proveeduria</t>
  </si>
  <si>
    <t>APOYO A LA EDUCACION SUPERIOR</t>
  </si>
  <si>
    <t>Veronica Azucena Gomez</t>
  </si>
  <si>
    <t>Cristian Geovanni</t>
  </si>
  <si>
    <t>Enc.Baños Mercado</t>
  </si>
  <si>
    <t>EMPLEADOS  FODES 25%             (SUELDOS Y PRESTACIONES)</t>
  </si>
  <si>
    <t>EMPLEADOS   FONDO   MUNICIPAL     (SUELDOS Y PRESTACIONES)</t>
  </si>
  <si>
    <t>TOTAL DEL FONDO MUNICIPAL A DISTRIBUIR  SEGÚN PROYECCION…………………</t>
  </si>
  <si>
    <t>RECUPERACION DE MORA ……………………………………………(25%  a recuperar)</t>
  </si>
  <si>
    <t>MORA TRIBUTARIA………………………………………………………….(25% A RECUPERAR)</t>
  </si>
  <si>
    <t>RECUPERACION DE MORA ………(35%  a recuperar)</t>
  </si>
  <si>
    <t>EMPLEADOS PUERTO SAN JUAN  (SUELDOS Y PRESTACIONES)</t>
  </si>
  <si>
    <t>22551</t>
  </si>
  <si>
    <t>32102</t>
  </si>
  <si>
    <t>Saldos en banco</t>
  </si>
  <si>
    <t xml:space="preserve">ALCALDIA MUNICIPAL DE SUCHITOTO </t>
  </si>
  <si>
    <t>INGRESOS</t>
  </si>
  <si>
    <t>FONDO GENERAL Y DONACIONES</t>
  </si>
  <si>
    <t>INGRESOS CORRIENTES</t>
  </si>
  <si>
    <t>EGRESOS</t>
  </si>
  <si>
    <t>GASTOS DE CAPITAL</t>
  </si>
  <si>
    <t>GASTOS CORRIENTES</t>
  </si>
  <si>
    <t>RESUMEN GENERAL DEL PRESUPUESTO DEL AÑO 2016</t>
  </si>
  <si>
    <t>PRESUPUESTO MUNICIPAL POR AREAS DE GESTION</t>
  </si>
  <si>
    <t>ALCALDIA MUNICIPAL DE SUCHITOTO, DEPARTAMENTO DE CUSCATLAN</t>
  </si>
  <si>
    <t>CUADRO RESUMEN</t>
  </si>
  <si>
    <t>PRESUPUESTO DE EGRESOS POR</t>
  </si>
  <si>
    <t>CLASIFICACIONES ECONOMICAS DE GASTO</t>
  </si>
  <si>
    <t>21</t>
  </si>
  <si>
    <t>22</t>
  </si>
  <si>
    <t>23</t>
  </si>
  <si>
    <t>APLICACIONES FINANCIERAS</t>
  </si>
  <si>
    <t>CUADRO RESUMEN POR FUENTE DE FINANCIAMIENTO</t>
  </si>
  <si>
    <t>N°</t>
  </si>
  <si>
    <t>FUENTE</t>
  </si>
  <si>
    <t>FONDO GENERAL</t>
  </si>
  <si>
    <t>FONDOS PROPIOS</t>
  </si>
  <si>
    <t>FONDOS DONACIONES</t>
  </si>
  <si>
    <t>PRESTAMOS INTERNOS</t>
  </si>
  <si>
    <t>EJERCICIO FISCAL 2016</t>
  </si>
  <si>
    <t>PRESUPUESTO DE INGRESOS</t>
  </si>
  <si>
    <t>CLASIFICACIONES POR RUBRO DE INGRESOS</t>
  </si>
  <si>
    <t xml:space="preserve">IMPUESTOS  </t>
  </si>
  <si>
    <t>TASAS Y DERECHOS</t>
  </si>
  <si>
    <t>INGRESOS FINANCIEROS Y OTROS</t>
  </si>
  <si>
    <t xml:space="preserve">TRANSFERENCIAS CORRIENTES  </t>
  </si>
  <si>
    <t>VENTA DE ACTIVOS FIJOS</t>
  </si>
  <si>
    <t>DEUDORES MONETARIOS POR PERCIBIR</t>
  </si>
  <si>
    <t xml:space="preserve">TRANSFERENCIAS DE CAPITAL </t>
  </si>
  <si>
    <t>PRESUPUESTO DE EGRESOS</t>
  </si>
  <si>
    <t>CLASIFICACIONES POR RUBRO DE EGRESOS</t>
  </si>
  <si>
    <t>61</t>
  </si>
  <si>
    <t>ASIGNACIONES POR APLICAR</t>
  </si>
  <si>
    <t>Fuentes de Financiamiento</t>
  </si>
  <si>
    <t>Fondo General 25%       FF1</t>
  </si>
  <si>
    <t>Fondo General  75%  y 5%FODES      FF1</t>
  </si>
  <si>
    <t>Fondo Fortalecimiento a Gobiernos Locales  FF1</t>
  </si>
  <si>
    <t>Fondos Propios Municipales FF2</t>
  </si>
  <si>
    <t>FINANCIAMIENTO DE LA DEUDA</t>
  </si>
  <si>
    <t>Fondos Donaciones</t>
  </si>
  <si>
    <t>.</t>
  </si>
  <si>
    <t>PRODUCTOS TEXTILES</t>
  </si>
  <si>
    <t>MONTO ASIGNADO 2016</t>
  </si>
  <si>
    <t>TOTAL ………………………………………………………………………………………….</t>
  </si>
  <si>
    <t>TOTAL FONDO MUNICIPAL.</t>
  </si>
  <si>
    <t>TOTAL FONDOS FISDL/PFGL……………………………………………………………………………………………...…………………………</t>
  </si>
  <si>
    <t>TOTAL FONDOS DONACIONES……………………………………………………………………………………………...…………………………</t>
  </si>
  <si>
    <t>03</t>
  </si>
  <si>
    <t>61601</t>
  </si>
  <si>
    <t>61602</t>
  </si>
  <si>
    <t xml:space="preserve"> VIALES</t>
  </si>
  <si>
    <t>ELECTRICAS Y DE COMUNICACIONES</t>
  </si>
  <si>
    <t>DE SUPERVISION DE INFRAESTRUCTURAS</t>
  </si>
  <si>
    <t>OBRAS DE INFRAESTRUCTURAS DIVERAS</t>
  </si>
  <si>
    <t>FUENTE O SUBFUENTE DE FINANCIAMIENTO:      FONDOS FODES 75%      INVERSION</t>
  </si>
  <si>
    <t>61201</t>
  </si>
  <si>
    <t>61501</t>
  </si>
  <si>
    <t>61502</t>
  </si>
  <si>
    <t>61503</t>
  </si>
  <si>
    <t>61599</t>
  </si>
  <si>
    <t>CONSTRUCCION</t>
  </si>
  <si>
    <t>AMPLIACIONES</t>
  </si>
  <si>
    <t>INVERSION SOCIAL</t>
  </si>
  <si>
    <t>INVERSIONES DIVERSAS</t>
  </si>
  <si>
    <t>A PAARTIR DE MARZO AUENTO</t>
  </si>
  <si>
    <t>Azucena Carolina Gomez</t>
  </si>
  <si>
    <t>Contadora Municipal y Presupuesto</t>
  </si>
  <si>
    <t>ALCALDIA MUNICIPAL DE SUCHITOTO, DPTO. DE CUSCATLAN</t>
  </si>
  <si>
    <t>PRESUPUESTO DE EGRESOS POR ESTRUCTURA PRESUPUESTARIA</t>
  </si>
  <si>
    <t>AREA DE GESTION</t>
  </si>
  <si>
    <t>UNIDAD PRESUPUESTARIA</t>
  </si>
  <si>
    <t>FUENTE DE FINANCIAMIENTO</t>
  </si>
  <si>
    <t>LINEA DE</t>
  </si>
  <si>
    <t>CONCEPTO</t>
  </si>
  <si>
    <t>Sub-tot</t>
  </si>
  <si>
    <t>TRABAJO</t>
  </si>
  <si>
    <t>PRE-INVERSION</t>
  </si>
  <si>
    <t>0501</t>
  </si>
  <si>
    <t>FINANCIAMIENTO DE LA  DEUDA</t>
  </si>
  <si>
    <t>FORTALECIMIENTO DE GOBIERNOS LOCALES</t>
  </si>
  <si>
    <t>0601</t>
  </si>
  <si>
    <t>ADMINISTRACION MUNICIPAL</t>
  </si>
  <si>
    <t>DIRECCION Y ADMINISTRACION SUPERIOR</t>
  </si>
  <si>
    <t>SERVICIOS MUNICIPALES</t>
  </si>
  <si>
    <t>INVERSION PARA EL DESARROLLO SOCIAL</t>
  </si>
  <si>
    <t>DONACIONES</t>
  </si>
  <si>
    <t>PROY.DESARROLLO SOCIAL</t>
  </si>
  <si>
    <t>ADMON,FINANCIERA, TRIBUTARIA Y SERVICIOS GENERALES</t>
  </si>
  <si>
    <t>CENTRO TURISTICO PUERTO SAN JUAN</t>
  </si>
  <si>
    <t>FINANCIAMIENTO MUNICIPAL</t>
  </si>
  <si>
    <t>FUENTE O SUBFUENTE DE FINANCIAMIENTO:      FONDOS DONACIONES</t>
  </si>
  <si>
    <t>FUENTE O SUBFUENTE DE FINANCIAMIENTO:  FONDOS FODES   5%    PREINVERSION</t>
  </si>
  <si>
    <t>0</t>
  </si>
  <si>
    <t>+</t>
  </si>
  <si>
    <t>PRESTAMO ISDEM</t>
  </si>
  <si>
    <t>APOYO AL FESTIVAL DE ARTE Y CULTURA, 2018</t>
  </si>
  <si>
    <t>APOYO A LA SALUD</t>
  </si>
  <si>
    <t xml:space="preserve">SEGURIDAD Y PREVENCION DE VIOLENCIA </t>
  </si>
  <si>
    <t xml:space="preserve">apoyo al deporte </t>
  </si>
  <si>
    <t>apoyo al fesTIVAL inernacional de cine , 2018</t>
  </si>
  <si>
    <t xml:space="preserve">organización y participacion ciudadana </t>
  </si>
  <si>
    <t xml:space="preserve">II fase casa cerca perimetral area social  comunidada la Mora </t>
  </si>
  <si>
    <t>I fase casa comunal mazate</t>
  </si>
  <si>
    <t xml:space="preserve">I fase cerca perimetra, casa comunal nueva Consolacion </t>
  </si>
  <si>
    <t xml:space="preserve">I fase cerca perimetra, cancha de futbol Asuncion. </t>
  </si>
  <si>
    <t xml:space="preserve">obras de proteccion y funcionamiento del relleno </t>
  </si>
  <si>
    <t>LISTADO DE PROYECTOS A EJECUTARSE EN EL AÑO 2019</t>
  </si>
  <si>
    <t xml:space="preserve">cancha de basquesbol, zacamil II fase </t>
  </si>
  <si>
    <t>contrapartida CE San Cristobal</t>
  </si>
  <si>
    <t>Cerca PERIMET  fase II  zacamil I</t>
  </si>
  <si>
    <t xml:space="preserve">CONSTRUCCION DE III FASE CASA COMUNAL  NUEVO VALLE VERDE </t>
  </si>
  <si>
    <t>CONSTRUCCION DE III FASE CASA COMUNAL  SAN ANTONIO</t>
  </si>
  <si>
    <t>PROYECTO DE PREVENCION DE VIOLENCIA HACIA LAS MUJERES</t>
  </si>
  <si>
    <t>Mantenimiento edificio Municipal</t>
  </si>
  <si>
    <t xml:space="preserve"> puente calle Bario a sitio cenicero </t>
  </si>
  <si>
    <t xml:space="preserve">Empedrado fraguado Bario </t>
  </si>
  <si>
    <t xml:space="preserve">apoyo a educacion basica, media y legalizacion de inmuebles </t>
  </si>
  <si>
    <t xml:space="preserve">contrapartida proyecyo de vivienda </t>
  </si>
  <si>
    <t>empedrado fraguado frente CE SC</t>
  </si>
  <si>
    <t xml:space="preserve">cancha de Laura Lopez </t>
  </si>
  <si>
    <t>$6,000.00</t>
  </si>
  <si>
    <t>$ 12,000.00</t>
  </si>
  <si>
    <t>casa comunal SAN FCO</t>
  </si>
  <si>
    <t>$                              6,000.00</t>
  </si>
  <si>
    <t xml:space="preserve">POLITICA ECONOMICA </t>
  </si>
  <si>
    <t>$ 4,000.00</t>
  </si>
  <si>
    <t>$                               4,000.00</t>
  </si>
  <si>
    <t>CASA COMUNAL LA PITA</t>
  </si>
  <si>
    <t>$                                4,000.00</t>
  </si>
  <si>
    <t xml:space="preserve">EMPEDADRDO CHAGUITON </t>
  </si>
  <si>
    <t xml:space="preserve">CANCHA SANTA FE </t>
  </si>
  <si>
    <t>$                               7,000.00</t>
  </si>
  <si>
    <t xml:space="preserve">CANCHA SAN RAFAEL </t>
  </si>
  <si>
    <t>$                               6,000.00</t>
  </si>
  <si>
    <t xml:space="preserve">NIÑEZ Y ADOLESCENCIA </t>
  </si>
  <si>
    <t>$                                7,000.00</t>
  </si>
  <si>
    <t xml:space="preserve">IMPLEMENTACION DE LA POLITICA MUNICIPAL DE JUVENTUD </t>
  </si>
  <si>
    <t xml:space="preserve">OPERACIÓN Y MANTENIMIENTO DE ALUMBRADO PUBLICO </t>
  </si>
  <si>
    <t xml:space="preserve">ACTIVIDADES FESTIVAS Y CULTURALES DE SUCHITOTO </t>
  </si>
  <si>
    <t xml:space="preserve">Aprendiendo a vivir en cultura de paz, reconctruir sociedades y dibujar un mejor fuuro para suchitoto </t>
  </si>
  <si>
    <t>TOTAL ASIGNACION FODES 2019………………………</t>
  </si>
  <si>
    <t xml:space="preserve">CUOTA A MICROREGION </t>
  </si>
  <si>
    <t xml:space="preserve">  $                           5,000.00</t>
  </si>
  <si>
    <t xml:space="preserve">EMPEDRADO FRAGUADO UNGO </t>
  </si>
  <si>
    <t xml:space="preserve">  </t>
  </si>
  <si>
    <t xml:space="preserve">CANCHA EL BARIO I FASE </t>
  </si>
  <si>
    <t>PROYECTO PILOTO PAPATURRO, DE MANEJO INTEGRAL DE DESECHOS S</t>
  </si>
  <si>
    <t>EMPEDARDO FRAG PRIMAVERA</t>
  </si>
  <si>
    <t xml:space="preserve">COMPRA DE INMUEBLE </t>
  </si>
  <si>
    <t>OPERACIÓN  Y MANTENIMIENTO DE EQUIPO DE CONSTRUCCION PARA MANTENIMIENTO VIAL DE CALLES Y CAMINOS VECINALES, MUNICIPIO DE SUCHITOTO</t>
  </si>
  <si>
    <t>ALQUILER DE EQUIPO PARA TRABAJOS DE TERRACERIA EN BANCO MUNICIPAL DE BALASTO Y MANTENIMIENTO VIAL DE CALLES Y CAMINOS VECINALES DEL MUNICIPIO DE SUCHITOTO</t>
  </si>
  <si>
    <t xml:space="preserve">CONTRA PARTIDA PROYECTOS GOBERNACION </t>
  </si>
  <si>
    <t xml:space="preserve">PRIMERA FASE casa comunal copinol  </t>
  </si>
  <si>
    <t xml:space="preserve">FASE   Casa comunal Estanzuelas </t>
  </si>
  <si>
    <t>MEJORAS A Cancha DE FUTBOL  milingo</t>
  </si>
  <si>
    <t xml:space="preserve">CASETAS EN CALLE S PRINCIPALES </t>
  </si>
  <si>
    <t>Empedrado fraguado LAS Brisas</t>
  </si>
  <si>
    <t xml:space="preserve">Mejoras al compl educa  Colima </t>
  </si>
  <si>
    <t xml:space="preserve">Cancha Buena Vista </t>
  </si>
  <si>
    <t xml:space="preserve"> II FASE casa comunal cereto</t>
  </si>
  <si>
    <t>EMPEDRADO FRAGUADO PAPATURRO</t>
  </si>
  <si>
    <t xml:space="preserve">CERCA PERIMETRAL CANCHA DE VASQUESBOL HACIENDA MONTEPEQUE </t>
  </si>
  <si>
    <t>EMPEDRADO  FRAGUADO EN CALLE COMUNIDAD  PEPESTENANGO</t>
  </si>
  <si>
    <t xml:space="preserve">EMPEDRADO FRAGUADO  CALLE SITIO NUEVO </t>
  </si>
  <si>
    <t>EMPEDRADO FRAGUADO COMUNIDAD MONSEÑOR ROMERO</t>
  </si>
  <si>
    <t>Cerca perimetral de la cancha de futbol  II f las AMERICAS</t>
  </si>
  <si>
    <t xml:space="preserve">Contra patida proyecto electrico Los Henriquez </t>
  </si>
  <si>
    <t>CERCA PERIMETRAL CANCHA II fase a cali</t>
  </si>
  <si>
    <t>PROYECTO ELECTRICO COMUNIDAD SHAFICK</t>
  </si>
  <si>
    <t>FASE I CANCHA COMUNIDAD PAPAYAN</t>
  </si>
  <si>
    <t xml:space="preserve">MEJORAS A LA PLAZA CENTRAL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</si>
</sst>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 &quot;#,##0.00&quot; &quot;;&quot; (&quot;#,##0.00&quot;)&quot;;&quot; -&quot;00&quot; &quot;;&quot; &quot;@&quot; &quot;"/>
    <numFmt numFmtId="168" formatCode="&quot; &quot;[$€-402]#,##0.00&quot; &quot;;&quot;-&quot;[$€-402]#,##0.00&quot; &quot;;&quot; &quot;[$€-402]&quot;-&quot;00&quot; &quot;"/>
    <numFmt numFmtId="169" formatCode="&quot;$&quot;#,##0.00&quot; &quot;;[Red]&quot;(&quot;&quot;$&quot;#,##0.00&quot;)&quot;"/>
    <numFmt numFmtId="170" formatCode="&quot; &quot;&quot;$&quot;#,##0.00&quot; &quot;;&quot; &quot;&quot;$&quot;&quot;(&quot;#,##0.00&quot;)&quot;;&quot; &quot;&quot;$&quot;&quot;-&quot;00&quot; &quot;;&quot; &quot;@&quot; &quot;"/>
    <numFmt numFmtId="171" formatCode="&quot;$&quot;#,##0.00"/>
    <numFmt numFmtId="172" formatCode="_-[$$-409]* #,##0.00_ ;_-[$$-409]* \-#,##0.00\ ;_-[$$-409]* &quot;-&quot;??_ ;_-@_ "/>
    <numFmt numFmtId="173" formatCode="&quot;$&quot;#,##0.00;[Red]&quot;$&quot;#,##0.00"/>
    <numFmt numFmtId="174" formatCode="[$$-440A]#,##0.00"/>
  </numFmts>
  <fonts count="1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4"/>
      <color rgb="FF000000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sz val="14"/>
      <color rgb="FF000000"/>
      <name val="Arial"/>
      <family val="2"/>
    </font>
    <font>
      <b/>
      <sz val="18"/>
      <color rgb="FF000000"/>
      <name val="Comic Sans MS"/>
      <family val="4"/>
    </font>
    <font>
      <b/>
      <sz val="22"/>
      <color rgb="FF000000"/>
      <name val="Comic Sans MS"/>
      <family val="4"/>
    </font>
    <font>
      <b/>
      <sz val="16"/>
      <color rgb="FF000000"/>
      <name val="Comic Sans MS"/>
      <family val="4"/>
    </font>
    <font>
      <b/>
      <sz val="8"/>
      <color rgb="FF000000"/>
      <name val="Comic Sans MS"/>
      <family val="4"/>
    </font>
    <font>
      <sz val="12"/>
      <color rgb="FF000000"/>
      <name val="Comic Sans MS"/>
      <family val="4"/>
    </font>
    <font>
      <b/>
      <sz val="12"/>
      <color rgb="FF000000"/>
      <name val="Comic Sans MS"/>
      <family val="4"/>
    </font>
    <font>
      <sz val="12"/>
      <name val="Arial"/>
      <family val="2"/>
    </font>
    <font>
      <sz val="10"/>
      <name val="Trebuchet MS"/>
      <family val="2"/>
    </font>
    <font>
      <sz val="10"/>
      <color indexed="10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sz val="14"/>
      <name val="Trebuchet MS"/>
      <family val="2"/>
    </font>
    <font>
      <sz val="14"/>
      <name val="Arial"/>
      <family val="2"/>
    </font>
    <font>
      <b/>
      <sz val="14"/>
      <name val="Trebuchet MS"/>
      <family val="2"/>
    </font>
    <font>
      <b/>
      <sz val="10"/>
      <name val="Trebuchet MS"/>
      <family val="2"/>
    </font>
    <font>
      <i/>
      <sz val="12"/>
      <name val="Arial"/>
      <family val="2"/>
    </font>
    <font>
      <i/>
      <sz val="12"/>
      <color indexed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omic Sans MS"/>
      <family val="4"/>
    </font>
    <font>
      <sz val="12"/>
      <color theme="1"/>
      <name val="Comic Sans MS"/>
      <family val="4"/>
    </font>
    <font>
      <sz val="16"/>
      <color theme="1"/>
      <name val="Comic Sans MS"/>
      <family val="4"/>
    </font>
    <font>
      <sz val="12"/>
      <color rgb="FF000000"/>
      <name val="Arial"/>
      <family val="2"/>
    </font>
    <font>
      <i/>
      <sz val="14"/>
      <name val="Arial"/>
      <family val="2"/>
    </font>
    <font>
      <sz val="20"/>
      <name val="Trebuchet MS"/>
      <family val="2"/>
    </font>
    <font>
      <sz val="20"/>
      <color indexed="10"/>
      <name val="Trebuchet MS"/>
      <family val="2"/>
    </font>
    <font>
      <b/>
      <sz val="20"/>
      <name val="Trebuchet MS"/>
      <family val="2"/>
    </font>
    <font>
      <sz val="2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7"/>
      <color rgb="FF000000"/>
      <name val="Comic Sans MS"/>
      <family val="4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indexed="12"/>
      <name val="Trebuchet MS"/>
      <family val="2"/>
    </font>
    <font>
      <b/>
      <sz val="12"/>
      <name val="Arial"/>
      <family val="2"/>
    </font>
    <font>
      <b/>
      <sz val="11"/>
      <color rgb="FFFF0000"/>
      <name val="Calibri"/>
      <family val="2"/>
      <scheme val="minor"/>
    </font>
    <font>
      <i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000000"/>
      <name val="Calibri"/>
      <family val="2"/>
    </font>
    <font>
      <sz val="18"/>
      <name val="Arial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color rgb="FF000000"/>
      <name val="Calibri"/>
      <family val="2"/>
    </font>
    <font>
      <sz val="18"/>
      <name val="Calibri"/>
      <family val="2"/>
      <scheme val="minor"/>
    </font>
    <font>
      <sz val="18"/>
      <color theme="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57"/>
      <name val="Trebuchet MS"/>
      <family val="2"/>
    </font>
    <font>
      <b/>
      <sz val="20"/>
      <name val="Castellar"/>
      <family val="1"/>
    </font>
    <font>
      <b/>
      <sz val="9"/>
      <name val="Castellar"/>
      <family val="1"/>
    </font>
    <font>
      <sz val="12"/>
      <name val="CityDLig"/>
      <family val="1"/>
    </font>
    <font>
      <b/>
      <sz val="14"/>
      <name val="CityDLig"/>
    </font>
    <font>
      <b/>
      <sz val="12"/>
      <name val="CityDLig"/>
    </font>
    <font>
      <sz val="14"/>
      <name val="CityDLig"/>
      <family val="1"/>
    </font>
    <font>
      <sz val="11"/>
      <name val="CityDLig"/>
      <family val="1"/>
    </font>
    <font>
      <sz val="18"/>
      <name val="Arial Unicode MS"/>
      <family val="2"/>
    </font>
    <font>
      <b/>
      <sz val="16"/>
      <name val="Arial Unicode MS"/>
      <family val="2"/>
    </font>
    <font>
      <b/>
      <sz val="18"/>
      <name val="Arial Unicode MS"/>
      <family val="2"/>
    </font>
    <font>
      <sz val="12"/>
      <name val="Arial Unicode MS"/>
      <family val="2"/>
    </font>
    <font>
      <sz val="11"/>
      <name val="Arial Unicode MS"/>
      <family val="2"/>
    </font>
    <font>
      <b/>
      <sz val="18"/>
      <name val="Arial"/>
      <family val="2"/>
    </font>
    <font>
      <sz val="14"/>
      <name val="Arial Unicode MS"/>
      <family val="2"/>
    </font>
    <font>
      <b/>
      <sz val="18"/>
      <color rgb="FF000000"/>
      <name val="Arial"/>
      <family val="2"/>
    </font>
    <font>
      <b/>
      <sz val="14"/>
      <color rgb="FFFFFFFF"/>
      <name val="Arial"/>
      <family val="2"/>
    </font>
    <font>
      <b/>
      <sz val="14"/>
      <color rgb="FFEEECE1"/>
      <name val="Calibri"/>
      <family val="2"/>
    </font>
    <font>
      <sz val="14"/>
      <color rgb="FFFFFFFF"/>
      <name val="Arial"/>
      <family val="2"/>
    </font>
    <font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20"/>
      <color rgb="FF000000"/>
      <name val="Calibri"/>
      <family val="2"/>
    </font>
    <font>
      <sz val="10"/>
      <color rgb="FF000000"/>
      <name val="Calibri"/>
      <family val="2"/>
    </font>
    <font>
      <sz val="12"/>
      <name val="Comic Sans MS"/>
      <family val="4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rgb="FF000000"/>
      <name val="Comic Sans MS"/>
      <family val="4"/>
    </font>
    <font>
      <sz val="16"/>
      <color rgb="FF000000"/>
      <name val="Comic Sans MS"/>
      <family val="4"/>
    </font>
    <font>
      <u val="singleAccounting"/>
      <sz val="16"/>
      <color rgb="FF000000"/>
      <name val="Calibri"/>
      <family val="2"/>
    </font>
    <font>
      <sz val="10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FFFF"/>
      <name val="Comic Sans MS"/>
      <family val="4"/>
    </font>
    <font>
      <b/>
      <sz val="14"/>
      <color rgb="FF000000"/>
      <name val="Comic Sans MS"/>
      <family val="4"/>
    </font>
    <font>
      <b/>
      <sz val="14"/>
      <name val="Comic Sans MS"/>
      <family val="4"/>
    </font>
    <font>
      <i/>
      <sz val="14"/>
      <name val="Comic Sans MS"/>
      <family val="4"/>
    </font>
    <font>
      <sz val="14"/>
      <color rgb="FF000000"/>
      <name val="Comic Sans MS"/>
      <family val="4"/>
    </font>
    <font>
      <i/>
      <sz val="14"/>
      <color rgb="FF000000"/>
      <name val="Comic Sans MS"/>
      <family val="4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omic Sans MS"/>
      <family val="4"/>
    </font>
    <font>
      <sz val="3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6"/>
      <color rgb="FF000000"/>
      <name val="Arial"/>
      <family val="2"/>
    </font>
    <font>
      <b/>
      <sz val="18"/>
      <color rgb="FF0000FF"/>
      <name val="Arial"/>
      <family val="2"/>
    </font>
    <font>
      <sz val="18"/>
      <color rgb="FF993366"/>
      <name val="Arial"/>
      <family val="2"/>
    </font>
    <font>
      <sz val="18"/>
      <color rgb="FF000000"/>
      <name val="Arial"/>
      <family val="2"/>
    </font>
    <font>
      <b/>
      <sz val="18"/>
      <color rgb="FFFF00FF"/>
      <name val="Arial"/>
      <family val="2"/>
    </font>
    <font>
      <sz val="18"/>
      <color rgb="FF800080"/>
      <name val="Arial"/>
      <family val="2"/>
    </font>
    <font>
      <b/>
      <sz val="18"/>
      <color theme="3" tint="0.39997558519241921"/>
      <name val="Arial"/>
      <family val="2"/>
    </font>
    <font>
      <sz val="18"/>
      <color theme="1"/>
      <name val="Arial"/>
      <family val="2"/>
    </font>
    <font>
      <b/>
      <sz val="26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sz val="18"/>
      <color rgb="FFFF0000"/>
      <name val="Calibri"/>
      <family val="2"/>
      <scheme val="minor"/>
    </font>
    <font>
      <sz val="18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  <fill>
      <patternFill patternType="solid">
        <fgColor indexed="46"/>
        <bgColor indexed="64"/>
      </patternFill>
    </fill>
    <fill>
      <patternFill patternType="gray125">
        <bgColor indexed="46"/>
      </patternFill>
    </fill>
    <fill>
      <patternFill patternType="lightTrellis">
        <fgColor indexed="22"/>
        <bgColor indexed="9"/>
      </patternFill>
    </fill>
    <fill>
      <patternFill patternType="lightTrellis">
        <fgColor indexed="22"/>
      </patternFill>
    </fill>
    <fill>
      <patternFill patternType="gray125">
        <fgColor indexed="22"/>
        <bgColor indexed="9"/>
      </patternFill>
    </fill>
    <fill>
      <patternFill patternType="gray125">
        <fgColor indexed="22"/>
      </patternFill>
    </fill>
    <fill>
      <patternFill patternType="gray125">
        <fgColor indexed="22"/>
        <bgColor indexed="46"/>
      </patternFill>
    </fill>
    <fill>
      <patternFill patternType="solid">
        <fgColor indexed="65"/>
        <bgColor indexed="22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B7DEE8"/>
        <bgColor rgb="FFB7DEE8"/>
      </patternFill>
    </fill>
    <fill>
      <patternFill patternType="solid">
        <fgColor rgb="FFDAEEF3"/>
        <bgColor rgb="FFDAEEF3"/>
      </patternFill>
    </fill>
    <fill>
      <patternFill patternType="solid">
        <fgColor rgb="FFDCE6F1"/>
        <bgColor rgb="FFDCE6F1"/>
      </patternFill>
    </fill>
    <fill>
      <patternFill patternType="solid">
        <fgColor rgb="FFDA9694"/>
        <bgColor rgb="FFDA969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rgb="FFB8CCE4"/>
      </patternFill>
    </fill>
    <fill>
      <patternFill patternType="solid">
        <fgColor theme="8" tint="0.39997558519241921"/>
        <bgColor rgb="FF8DB4E2"/>
      </patternFill>
    </fill>
    <fill>
      <patternFill patternType="solid">
        <fgColor theme="8" tint="0.39997558519241921"/>
        <bgColor rgb="FFC5D9F1"/>
      </patternFill>
    </fill>
    <fill>
      <patternFill patternType="solid">
        <fgColor theme="8" tint="0.39997558519241921"/>
        <bgColor indexed="64"/>
      </patternFill>
    </fill>
  </fills>
  <borders count="9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06" fillId="0" borderId="0" applyNumberFormat="0" applyFill="0" applyBorder="0" applyAlignment="0" applyProtection="0"/>
  </cellStyleXfs>
  <cellXfs count="744"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7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7" fontId="4" fillId="0" borderId="2" xfId="0" applyNumberFormat="1" applyFont="1" applyBorder="1" applyAlignment="1">
      <alignment horizontal="right" wrapText="1"/>
    </xf>
    <xf numFmtId="165" fontId="4" fillId="0" borderId="2" xfId="1" applyFont="1" applyBorder="1" applyAlignment="1">
      <alignment horizontal="right" wrapText="1"/>
    </xf>
    <xf numFmtId="49" fontId="6" fillId="0" borderId="2" xfId="2" applyNumberFormat="1" applyFont="1" applyBorder="1" applyAlignment="1">
      <alignment horizontal="center"/>
    </xf>
    <xf numFmtId="4" fontId="6" fillId="0" borderId="2" xfId="2" applyNumberFormat="1" applyFont="1" applyBorder="1"/>
    <xf numFmtId="165" fontId="6" fillId="0" borderId="2" xfId="1" applyFont="1" applyBorder="1" applyAlignment="1">
      <alignment horizontal="right" wrapText="1"/>
    </xf>
    <xf numFmtId="49" fontId="4" fillId="0" borderId="2" xfId="2" applyNumberFormat="1" applyFont="1" applyBorder="1" applyAlignment="1">
      <alignment horizontal="center"/>
    </xf>
    <xf numFmtId="4" fontId="4" fillId="0" borderId="2" xfId="2" applyNumberFormat="1" applyFont="1" applyBorder="1"/>
    <xf numFmtId="167" fontId="4" fillId="0" borderId="2" xfId="3" applyFont="1" applyBorder="1" applyAlignment="1">
      <alignment horizontal="right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4" fillId="0" borderId="2" xfId="0" applyFont="1" applyBorder="1" applyAlignment="1">
      <alignment wrapText="1"/>
    </xf>
    <xf numFmtId="167" fontId="4" fillId="0" borderId="2" xfId="3" applyFont="1" applyBorder="1" applyAlignment="1">
      <alignment horizontal="right"/>
    </xf>
    <xf numFmtId="0" fontId="4" fillId="0" borderId="2" xfId="0" applyFont="1" applyBorder="1"/>
    <xf numFmtId="0" fontId="6" fillId="0" borderId="2" xfId="0" applyFont="1" applyBorder="1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4" fillId="0" borderId="7" xfId="0" applyFont="1" applyBorder="1"/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4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0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49" fontId="11" fillId="0" borderId="4" xfId="0" applyNumberFormat="1" applyFont="1" applyBorder="1" applyAlignment="1">
      <alignment horizontal="center"/>
    </xf>
    <xf numFmtId="165" fontId="11" fillId="0" borderId="4" xfId="1" applyFont="1" applyBorder="1" applyAlignment="1">
      <alignment horizontal="right"/>
    </xf>
    <xf numFmtId="165" fontId="11" fillId="0" borderId="4" xfId="1" applyFont="1" applyBorder="1"/>
    <xf numFmtId="0" fontId="11" fillId="0" borderId="4" xfId="0" applyFont="1" applyBorder="1" applyAlignment="1">
      <alignment horizontal="left"/>
    </xf>
    <xf numFmtId="169" fontId="11" fillId="0" borderId="4" xfId="1" applyNumberFormat="1" applyFont="1" applyBorder="1" applyAlignment="1">
      <alignment horizontal="right"/>
    </xf>
    <xf numFmtId="0" fontId="12" fillId="0" borderId="4" xfId="0" applyFont="1" applyBorder="1"/>
    <xf numFmtId="165" fontId="12" fillId="0" borderId="4" xfId="1" applyFont="1" applyBorder="1" applyAlignment="1">
      <alignment horizontal="right"/>
    </xf>
    <xf numFmtId="0" fontId="11" fillId="0" borderId="4" xfId="0" applyFont="1" applyBorder="1" applyAlignment="1">
      <alignment wrapText="1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165" fontId="11" fillId="0" borderId="2" xfId="1" applyFont="1" applyBorder="1" applyAlignment="1">
      <alignment horizontal="right"/>
    </xf>
    <xf numFmtId="0" fontId="13" fillId="0" borderId="12" xfId="0" applyFont="1" applyBorder="1"/>
    <xf numFmtId="165" fontId="13" fillId="0" borderId="12" xfId="1" applyFont="1" applyBorder="1" applyAlignment="1">
      <alignment horizontal="center" wrapText="1"/>
    </xf>
    <xf numFmtId="0" fontId="14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right"/>
    </xf>
    <xf numFmtId="0" fontId="17" fillId="3" borderId="17" xfId="0" applyFont="1" applyFill="1" applyBorder="1" applyAlignment="1">
      <alignment horizontal="center" vertical="center" textRotation="90" wrapText="1"/>
    </xf>
    <xf numFmtId="0" fontId="17" fillId="3" borderId="18" xfId="0" applyFont="1" applyFill="1" applyBorder="1" applyAlignment="1">
      <alignment horizontal="center" vertical="center" textRotation="90" wrapText="1"/>
    </xf>
    <xf numFmtId="0" fontId="17" fillId="3" borderId="19" xfId="0" applyFont="1" applyFill="1" applyBorder="1" applyAlignment="1">
      <alignment horizontal="center" vertical="center" textRotation="90" wrapText="1"/>
    </xf>
    <xf numFmtId="0" fontId="17" fillId="3" borderId="20" xfId="0" applyFont="1" applyFill="1" applyBorder="1" applyAlignment="1">
      <alignment horizontal="center" vertical="center" textRotation="90" wrapText="1"/>
    </xf>
    <xf numFmtId="0" fontId="13" fillId="2" borderId="21" xfId="0" applyFont="1" applyFill="1" applyBorder="1" applyAlignment="1">
      <alignment horizontal="center"/>
    </xf>
    <xf numFmtId="49" fontId="13" fillId="2" borderId="22" xfId="0" applyNumberFormat="1" applyFont="1" applyFill="1" applyBorder="1" applyAlignment="1">
      <alignment horizontal="center"/>
    </xf>
    <xf numFmtId="49" fontId="13" fillId="2" borderId="23" xfId="0" applyNumberFormat="1" applyFont="1" applyFill="1" applyBorder="1" applyAlignment="1">
      <alignment horizontal="center"/>
    </xf>
    <xf numFmtId="0" fontId="13" fillId="2" borderId="24" xfId="0" applyFont="1" applyFill="1" applyBorder="1" applyAlignment="1">
      <alignment horizontal="left"/>
    </xf>
    <xf numFmtId="0" fontId="13" fillId="2" borderId="25" xfId="0" applyFont="1" applyFill="1" applyBorder="1" applyAlignment="1">
      <alignment horizontal="center"/>
    </xf>
    <xf numFmtId="49" fontId="13" fillId="2" borderId="26" xfId="0" applyNumberFormat="1" applyFont="1" applyFill="1" applyBorder="1" applyAlignment="1">
      <alignment horizontal="center"/>
    </xf>
    <xf numFmtId="0" fontId="13" fillId="0" borderId="27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left"/>
    </xf>
    <xf numFmtId="165" fontId="13" fillId="2" borderId="27" xfId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center"/>
    </xf>
    <xf numFmtId="0" fontId="22" fillId="3" borderId="31" xfId="0" applyFont="1" applyFill="1" applyBorder="1" applyAlignment="1">
      <alignment horizontal="center"/>
    </xf>
    <xf numFmtId="165" fontId="13" fillId="2" borderId="23" xfId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center"/>
    </xf>
    <xf numFmtId="0" fontId="13" fillId="2" borderId="33" xfId="0" applyFont="1" applyFill="1" applyBorder="1" applyAlignment="1">
      <alignment horizontal="left"/>
    </xf>
    <xf numFmtId="0" fontId="23" fillId="3" borderId="29" xfId="0" applyFont="1" applyFill="1" applyBorder="1"/>
    <xf numFmtId="49" fontId="22" fillId="3" borderId="30" xfId="0" applyNumberFormat="1" applyFont="1" applyFill="1" applyBorder="1" applyAlignment="1">
      <alignment horizontal="center"/>
    </xf>
    <xf numFmtId="49" fontId="22" fillId="3" borderId="34" xfId="0" applyNumberFormat="1" applyFont="1" applyFill="1" applyBorder="1" applyAlignment="1">
      <alignment horizontal="center"/>
    </xf>
    <xf numFmtId="165" fontId="22" fillId="5" borderId="35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165" fontId="11" fillId="0" borderId="1" xfId="1" applyFont="1" applyBorder="1" applyAlignment="1">
      <alignment horizontal="right"/>
    </xf>
    <xf numFmtId="165" fontId="11" fillId="0" borderId="1" xfId="1" applyFont="1" applyBorder="1"/>
    <xf numFmtId="0" fontId="0" fillId="0" borderId="26" xfId="0" applyBorder="1"/>
    <xf numFmtId="0" fontId="11" fillId="0" borderId="0" xfId="0" applyFont="1" applyAlignment="1">
      <alignment horizontal="center"/>
    </xf>
    <xf numFmtId="0" fontId="11" fillId="0" borderId="0" xfId="0" applyFont="1"/>
    <xf numFmtId="49" fontId="11" fillId="0" borderId="0" xfId="0" applyNumberFormat="1" applyFont="1" applyAlignment="1">
      <alignment horizontal="center"/>
    </xf>
    <xf numFmtId="165" fontId="11" fillId="0" borderId="0" xfId="1" applyFont="1" applyAlignment="1">
      <alignment horizontal="right"/>
    </xf>
    <xf numFmtId="165" fontId="11" fillId="0" borderId="0" xfId="1" applyFont="1"/>
    <xf numFmtId="0" fontId="11" fillId="0" borderId="26" xfId="0" applyFont="1" applyBorder="1" applyAlignment="1">
      <alignment horizontal="center"/>
    </xf>
    <xf numFmtId="165" fontId="11" fillId="0" borderId="26" xfId="1" applyFont="1" applyBorder="1" applyAlignment="1">
      <alignment horizontal="right"/>
    </xf>
    <xf numFmtId="165" fontId="11" fillId="0" borderId="26" xfId="1" applyFont="1" applyBorder="1"/>
    <xf numFmtId="165" fontId="28" fillId="0" borderId="26" xfId="1" applyFont="1" applyBorder="1"/>
    <xf numFmtId="0" fontId="11" fillId="0" borderId="36" xfId="0" applyFont="1" applyBorder="1" applyAlignment="1">
      <alignment horizontal="center"/>
    </xf>
    <xf numFmtId="165" fontId="11" fillId="0" borderId="36" xfId="1" applyFont="1" applyBorder="1" applyAlignment="1">
      <alignment horizontal="right"/>
    </xf>
    <xf numFmtId="165" fontId="28" fillId="0" borderId="36" xfId="1" applyFont="1" applyBorder="1"/>
    <xf numFmtId="165" fontId="27" fillId="0" borderId="26" xfId="0" applyNumberFormat="1" applyFont="1" applyBorder="1"/>
    <xf numFmtId="0" fontId="3" fillId="0" borderId="26" xfId="0" applyFont="1" applyBorder="1"/>
    <xf numFmtId="4" fontId="30" fillId="0" borderId="26" xfId="2" applyNumberFormat="1" applyFont="1" applyBorder="1"/>
    <xf numFmtId="165" fontId="24" fillId="0" borderId="0" xfId="1" applyFont="1"/>
    <xf numFmtId="165" fontId="0" fillId="0" borderId="0" xfId="0" applyNumberFormat="1"/>
    <xf numFmtId="165" fontId="3" fillId="0" borderId="26" xfId="1" applyFont="1" applyBorder="1"/>
    <xf numFmtId="49" fontId="19" fillId="2" borderId="26" xfId="0" applyNumberFormat="1" applyFont="1" applyFill="1" applyBorder="1" applyAlignment="1">
      <alignment horizontal="center"/>
    </xf>
    <xf numFmtId="4" fontId="6" fillId="0" borderId="26" xfId="2" applyNumberFormat="1" applyFont="1" applyBorder="1"/>
    <xf numFmtId="0" fontId="32" fillId="2" borderId="0" xfId="0" applyFont="1" applyFill="1"/>
    <xf numFmtId="0" fontId="33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4" fillId="2" borderId="0" xfId="0" applyFont="1" applyFill="1" applyAlignment="1">
      <alignment horizontal="right"/>
    </xf>
    <xf numFmtId="1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169" fontId="11" fillId="0" borderId="0" xfId="1" applyNumberFormat="1" applyFont="1" applyAlignment="1">
      <alignment horizontal="right"/>
    </xf>
    <xf numFmtId="0" fontId="25" fillId="0" borderId="0" xfId="0" applyFont="1"/>
    <xf numFmtId="165" fontId="26" fillId="0" borderId="0" xfId="0" applyNumberFormat="1" applyFont="1"/>
    <xf numFmtId="165" fontId="28" fillId="0" borderId="0" xfId="1" applyFont="1"/>
    <xf numFmtId="0" fontId="29" fillId="0" borderId="0" xfId="0" applyFont="1"/>
    <xf numFmtId="165" fontId="27" fillId="0" borderId="0" xfId="0" applyNumberFormat="1" applyFont="1"/>
    <xf numFmtId="0" fontId="6" fillId="0" borderId="26" xfId="0" applyFont="1" applyBorder="1"/>
    <xf numFmtId="165" fontId="6" fillId="0" borderId="26" xfId="1" applyFont="1" applyBorder="1" applyAlignment="1">
      <alignment horizontal="right" wrapText="1"/>
    </xf>
    <xf numFmtId="0" fontId="13" fillId="2" borderId="26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left"/>
    </xf>
    <xf numFmtId="165" fontId="19" fillId="2" borderId="26" xfId="1" applyFont="1" applyFill="1" applyBorder="1" applyAlignment="1">
      <alignment horizontal="right"/>
    </xf>
    <xf numFmtId="0" fontId="19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/>
    </xf>
    <xf numFmtId="0" fontId="31" fillId="3" borderId="26" xfId="0" applyFont="1" applyFill="1" applyBorder="1" applyAlignment="1">
      <alignment horizontal="center"/>
    </xf>
    <xf numFmtId="165" fontId="36" fillId="4" borderId="26" xfId="1" applyFont="1" applyFill="1" applyBorder="1" applyAlignment="1">
      <alignment horizontal="right"/>
    </xf>
    <xf numFmtId="0" fontId="13" fillId="0" borderId="26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37" fillId="0" borderId="26" xfId="0" applyFont="1" applyBorder="1"/>
    <xf numFmtId="0" fontId="38" fillId="0" borderId="4" xfId="0" applyFont="1" applyBorder="1" applyAlignment="1">
      <alignment horizontal="center" wrapText="1"/>
    </xf>
    <xf numFmtId="165" fontId="37" fillId="0" borderId="26" xfId="0" applyNumberFormat="1" applyFont="1" applyBorder="1"/>
    <xf numFmtId="165" fontId="39" fillId="0" borderId="0" xfId="0" applyNumberFormat="1" applyFont="1"/>
    <xf numFmtId="0" fontId="20" fillId="2" borderId="0" xfId="0" applyFont="1" applyFill="1" applyAlignment="1">
      <alignment horizontal="left"/>
    </xf>
    <xf numFmtId="0" fontId="21" fillId="8" borderId="40" xfId="0" applyFont="1" applyFill="1" applyBorder="1" applyAlignment="1">
      <alignment horizontal="center" wrapText="1"/>
    </xf>
    <xf numFmtId="0" fontId="17" fillId="9" borderId="14" xfId="0" applyFont="1" applyFill="1" applyBorder="1" applyAlignment="1">
      <alignment horizontal="center" vertical="center" textRotation="90" wrapText="1"/>
    </xf>
    <xf numFmtId="0" fontId="17" fillId="9" borderId="40" xfId="0" applyFont="1" applyFill="1" applyBorder="1" applyAlignment="1">
      <alignment horizontal="center" vertical="center" textRotation="90" wrapText="1"/>
    </xf>
    <xf numFmtId="0" fontId="17" fillId="9" borderId="38" xfId="0" applyFont="1" applyFill="1" applyBorder="1" applyAlignment="1">
      <alignment horizontal="center" vertical="center" textRotation="90" wrapText="1"/>
    </xf>
    <xf numFmtId="49" fontId="40" fillId="2" borderId="23" xfId="0" applyNumberFormat="1" applyFont="1" applyFill="1" applyBorder="1" applyAlignment="1">
      <alignment horizontal="center"/>
    </xf>
    <xf numFmtId="0" fontId="41" fillId="2" borderId="23" xfId="0" applyFont="1" applyFill="1" applyBorder="1" applyAlignment="1">
      <alignment horizontal="left"/>
    </xf>
    <xf numFmtId="165" fontId="42" fillId="2" borderId="44" xfId="1" applyFont="1" applyFill="1" applyBorder="1" applyAlignment="1">
      <alignment horizontal="center"/>
    </xf>
    <xf numFmtId="165" fontId="42" fillId="2" borderId="23" xfId="1" applyFont="1" applyFill="1" applyBorder="1" applyAlignment="1">
      <alignment horizontal="center"/>
    </xf>
    <xf numFmtId="49" fontId="40" fillId="2" borderId="44" xfId="0" applyNumberFormat="1" applyFont="1" applyFill="1" applyBorder="1" applyAlignment="1">
      <alignment horizontal="center"/>
    </xf>
    <xf numFmtId="0" fontId="41" fillId="2" borderId="44" xfId="0" applyFont="1" applyFill="1" applyBorder="1" applyAlignment="1">
      <alignment horizontal="left"/>
    </xf>
    <xf numFmtId="0" fontId="40" fillId="0" borderId="27" xfId="0" applyFont="1" applyBorder="1" applyAlignment="1">
      <alignment horizontal="center" vertical="center" wrapText="1"/>
    </xf>
    <xf numFmtId="0" fontId="41" fillId="2" borderId="27" xfId="0" applyFont="1" applyFill="1" applyBorder="1" applyAlignment="1">
      <alignment horizontal="left"/>
    </xf>
    <xf numFmtId="49" fontId="40" fillId="2" borderId="27" xfId="0" applyNumberFormat="1" applyFont="1" applyFill="1" applyBorder="1" applyAlignment="1">
      <alignment horizontal="center"/>
    </xf>
    <xf numFmtId="49" fontId="40" fillId="2" borderId="32" xfId="0" applyNumberFormat="1" applyFont="1" applyFill="1" applyBorder="1" applyAlignment="1">
      <alignment horizontal="center"/>
    </xf>
    <xf numFmtId="0" fontId="41" fillId="2" borderId="32" xfId="0" applyFont="1" applyFill="1" applyBorder="1" applyAlignment="1">
      <alignment horizontal="left"/>
    </xf>
    <xf numFmtId="0" fontId="13" fillId="2" borderId="32" xfId="0" applyFont="1" applyFill="1" applyBorder="1"/>
    <xf numFmtId="165" fontId="42" fillId="2" borderId="27" xfId="1" applyFont="1" applyFill="1" applyBorder="1"/>
    <xf numFmtId="165" fontId="42" fillId="2" borderId="45" xfId="1" applyFont="1" applyFill="1" applyBorder="1"/>
    <xf numFmtId="0" fontId="13" fillId="7" borderId="40" xfId="0" applyFont="1" applyFill="1" applyBorder="1" applyAlignment="1">
      <alignment vertical="center" wrapText="1"/>
    </xf>
    <xf numFmtId="0" fontId="42" fillId="7" borderId="40" xfId="0" applyFont="1" applyFill="1" applyBorder="1" applyAlignment="1">
      <alignment vertical="center" wrapText="1"/>
    </xf>
    <xf numFmtId="165" fontId="42" fillId="9" borderId="40" xfId="1" applyFont="1" applyFill="1" applyBorder="1" applyAlignment="1">
      <alignment vertical="center" wrapText="1"/>
    </xf>
    <xf numFmtId="49" fontId="14" fillId="2" borderId="0" xfId="0" applyNumberFormat="1" applyFont="1" applyFill="1" applyAlignment="1">
      <alignment horizontal="center"/>
    </xf>
    <xf numFmtId="0" fontId="17" fillId="11" borderId="0" xfId="0" applyFont="1" applyFill="1" applyAlignment="1">
      <alignment vertical="center" wrapText="1"/>
    </xf>
    <xf numFmtId="0" fontId="43" fillId="2" borderId="0" xfId="0" applyFont="1" applyFill="1"/>
    <xf numFmtId="49" fontId="15" fillId="2" borderId="0" xfId="0" applyNumberFormat="1" applyFont="1" applyFill="1" applyAlignment="1">
      <alignment horizontal="center"/>
    </xf>
    <xf numFmtId="49" fontId="16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44" fillId="0" borderId="0" xfId="0" applyFont="1" applyAlignment="1">
      <alignment horizontal="center"/>
    </xf>
    <xf numFmtId="49" fontId="21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165" fontId="0" fillId="0" borderId="0" xfId="1" applyFont="1"/>
    <xf numFmtId="165" fontId="39" fillId="0" borderId="0" xfId="1" applyFont="1"/>
    <xf numFmtId="0" fontId="39" fillId="0" borderId="0" xfId="0" applyFont="1"/>
    <xf numFmtId="165" fontId="45" fillId="0" borderId="0" xfId="0" applyNumberFormat="1" applyFont="1"/>
    <xf numFmtId="0" fontId="46" fillId="0" borderId="26" xfId="0" applyFont="1" applyBorder="1"/>
    <xf numFmtId="0" fontId="39" fillId="0" borderId="26" xfId="0" applyFont="1" applyBorder="1"/>
    <xf numFmtId="0" fontId="49" fillId="0" borderId="26" xfId="0" applyFont="1" applyBorder="1" applyAlignment="1">
      <alignment horizontal="center"/>
    </xf>
    <xf numFmtId="166" fontId="51" fillId="0" borderId="26" xfId="4" applyFont="1" applyBorder="1" applyAlignment="1">
      <alignment vertical="center"/>
    </xf>
    <xf numFmtId="0" fontId="49" fillId="0" borderId="47" xfId="0" applyFont="1" applyBorder="1"/>
    <xf numFmtId="0" fontId="49" fillId="0" borderId="48" xfId="0" applyFont="1" applyBorder="1"/>
    <xf numFmtId="164" fontId="49" fillId="0" borderId="48" xfId="0" applyNumberFormat="1" applyFont="1" applyBorder="1"/>
    <xf numFmtId="0" fontId="49" fillId="0" borderId="49" xfId="0" applyFont="1" applyBorder="1"/>
    <xf numFmtId="170" fontId="49" fillId="0" borderId="26" xfId="0" applyNumberFormat="1" applyFont="1" applyBorder="1" applyAlignment="1">
      <alignment horizontal="right"/>
    </xf>
    <xf numFmtId="0" fontId="53" fillId="0" borderId="26" xfId="0" applyFont="1" applyBorder="1" applyAlignment="1">
      <alignment horizontal="center" wrapText="1"/>
    </xf>
    <xf numFmtId="0" fontId="39" fillId="13" borderId="26" xfId="0" applyFont="1" applyFill="1" applyBorder="1"/>
    <xf numFmtId="165" fontId="39" fillId="0" borderId="26" xfId="1" applyFont="1" applyBorder="1"/>
    <xf numFmtId="0" fontId="48" fillId="0" borderId="26" xfId="0" applyFont="1" applyBorder="1"/>
    <xf numFmtId="0" fontId="39" fillId="0" borderId="26" xfId="0" applyFont="1" applyBorder="1" applyAlignment="1">
      <alignment wrapText="1"/>
    </xf>
    <xf numFmtId="165" fontId="52" fillId="0" borderId="26" xfId="1" applyFont="1" applyBorder="1"/>
    <xf numFmtId="0" fontId="51" fillId="0" borderId="26" xfId="0" applyFont="1" applyBorder="1" applyAlignment="1">
      <alignment vertical="center" wrapText="1"/>
    </xf>
    <xf numFmtId="165" fontId="40" fillId="9" borderId="40" xfId="1" applyFont="1" applyFill="1" applyBorder="1" applyAlignment="1">
      <alignment vertical="center" wrapText="1"/>
    </xf>
    <xf numFmtId="165" fontId="40" fillId="10" borderId="42" xfId="1" applyFont="1" applyFill="1" applyBorder="1" applyAlignment="1">
      <alignment vertical="center" wrapText="1"/>
    </xf>
    <xf numFmtId="0" fontId="58" fillId="2" borderId="0" xfId="0" applyFont="1" applyFill="1" applyAlignment="1">
      <alignment horizontal="center"/>
    </xf>
    <xf numFmtId="49" fontId="13" fillId="2" borderId="50" xfId="0" applyNumberFormat="1" applyFont="1" applyFill="1" applyBorder="1" applyAlignment="1">
      <alignment horizontal="center"/>
    </xf>
    <xf numFmtId="165" fontId="13" fillId="2" borderId="23" xfId="1" applyFont="1" applyFill="1" applyBorder="1" applyAlignment="1">
      <alignment horizontal="center"/>
    </xf>
    <xf numFmtId="49" fontId="13" fillId="2" borderId="51" xfId="0" applyNumberFormat="1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165" fontId="13" fillId="2" borderId="27" xfId="1" applyFont="1" applyFill="1" applyBorder="1" applyAlignment="1">
      <alignment horizontal="center"/>
    </xf>
    <xf numFmtId="49" fontId="13" fillId="2" borderId="25" xfId="0" applyNumberFormat="1" applyFont="1" applyFill="1" applyBorder="1" applyAlignment="1">
      <alignment horizontal="center"/>
    </xf>
    <xf numFmtId="0" fontId="13" fillId="2" borderId="28" xfId="0" applyFont="1" applyFill="1" applyBorder="1"/>
    <xf numFmtId="165" fontId="13" fillId="2" borderId="27" xfId="1" applyFont="1" applyFill="1" applyBorder="1"/>
    <xf numFmtId="0" fontId="13" fillId="1" borderId="29" xfId="0" applyFont="1" applyFill="1" applyBorder="1" applyAlignment="1">
      <alignment horizontal="center" vertical="center" wrapText="1"/>
    </xf>
    <xf numFmtId="0" fontId="13" fillId="1" borderId="30" xfId="0" applyFont="1" applyFill="1" applyBorder="1" applyAlignment="1">
      <alignment horizontal="center" vertical="center" wrapText="1"/>
    </xf>
    <xf numFmtId="0" fontId="13" fillId="1" borderId="34" xfId="0" applyFont="1" applyFill="1" applyBorder="1" applyAlignment="1">
      <alignment horizontal="center" vertical="center" wrapText="1"/>
    </xf>
    <xf numFmtId="0" fontId="13" fillId="1" borderId="35" xfId="0" applyFont="1" applyFill="1" applyBorder="1" applyAlignment="1">
      <alignment horizontal="center" vertical="center" wrapText="1"/>
    </xf>
    <xf numFmtId="165" fontId="13" fillId="5" borderId="46" xfId="1" applyFont="1" applyFill="1" applyBorder="1" applyAlignment="1">
      <alignment horizontal="center" vertical="center" wrapText="1"/>
    </xf>
    <xf numFmtId="49" fontId="58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59" fillId="0" borderId="52" xfId="0" applyFont="1" applyBorder="1" applyAlignment="1">
      <alignment horizontal="centerContinuous" vertical="center"/>
    </xf>
    <xf numFmtId="0" fontId="59" fillId="0" borderId="53" xfId="0" applyFont="1" applyBorder="1" applyAlignment="1">
      <alignment horizontal="centerContinuous" vertical="center"/>
    </xf>
    <xf numFmtId="0" fontId="59" fillId="0" borderId="54" xfId="0" applyFont="1" applyBorder="1" applyAlignment="1">
      <alignment horizontal="centerContinuous" vertical="center"/>
    </xf>
    <xf numFmtId="0" fontId="59" fillId="0" borderId="55" xfId="0" applyFont="1" applyBorder="1" applyAlignment="1">
      <alignment horizontal="centerContinuous" vertical="center"/>
    </xf>
    <xf numFmtId="0" fontId="60" fillId="0" borderId="55" xfId="0" applyFont="1" applyBorder="1" applyAlignment="1">
      <alignment horizontal="centerContinuous" vertical="center"/>
    </xf>
    <xf numFmtId="0" fontId="60" fillId="0" borderId="56" xfId="0" applyFont="1" applyBorder="1" applyAlignment="1">
      <alignment horizontal="centerContinuous" vertical="center"/>
    </xf>
    <xf numFmtId="0" fontId="61" fillId="0" borderId="57" xfId="0" applyFont="1" applyBorder="1"/>
    <xf numFmtId="0" fontId="61" fillId="0" borderId="0" xfId="0" applyFont="1"/>
    <xf numFmtId="0" fontId="62" fillId="0" borderId="57" xfId="0" applyFont="1" applyBorder="1"/>
    <xf numFmtId="0" fontId="62" fillId="0" borderId="0" xfId="0" applyFont="1"/>
    <xf numFmtId="0" fontId="62" fillId="0" borderId="58" xfId="0" applyFont="1" applyBorder="1"/>
    <xf numFmtId="0" fontId="61" fillId="0" borderId="59" xfId="0" applyFont="1" applyBorder="1"/>
    <xf numFmtId="0" fontId="61" fillId="0" borderId="55" xfId="0" applyFont="1" applyBorder="1"/>
    <xf numFmtId="0" fontId="61" fillId="0" borderId="52" xfId="0" applyFont="1" applyBorder="1"/>
    <xf numFmtId="0" fontId="61" fillId="0" borderId="53" xfId="0" applyFont="1" applyBorder="1"/>
    <xf numFmtId="0" fontId="63" fillId="0" borderId="58" xfId="0" applyFont="1" applyBorder="1"/>
    <xf numFmtId="0" fontId="61" fillId="0" borderId="47" xfId="0" applyFont="1" applyBorder="1"/>
    <xf numFmtId="0" fontId="61" fillId="0" borderId="60" xfId="0" applyFont="1" applyBorder="1"/>
    <xf numFmtId="0" fontId="61" fillId="0" borderId="58" xfId="0" applyFont="1" applyBorder="1"/>
    <xf numFmtId="0" fontId="64" fillId="0" borderId="57" xfId="0" applyFont="1" applyBorder="1"/>
    <xf numFmtId="0" fontId="64" fillId="0" borderId="0" xfId="0" applyFont="1"/>
    <xf numFmtId="0" fontId="64" fillId="0" borderId="54" xfId="0" applyFont="1" applyBorder="1"/>
    <xf numFmtId="0" fontId="64" fillId="0" borderId="53" xfId="0" applyFont="1" applyBorder="1"/>
    <xf numFmtId="0" fontId="61" fillId="0" borderId="54" xfId="0" applyFont="1" applyBorder="1"/>
    <xf numFmtId="0" fontId="65" fillId="0" borderId="0" xfId="0" applyFont="1"/>
    <xf numFmtId="0" fontId="66" fillId="0" borderId="26" xfId="0" applyFont="1" applyBorder="1"/>
    <xf numFmtId="165" fontId="67" fillId="0" borderId="26" xfId="0" applyNumberFormat="1" applyFont="1" applyBorder="1"/>
    <xf numFmtId="165" fontId="68" fillId="0" borderId="26" xfId="0" applyNumberFormat="1" applyFont="1" applyBorder="1"/>
    <xf numFmtId="165" fontId="66" fillId="0" borderId="26" xfId="0" applyNumberFormat="1" applyFont="1" applyBorder="1"/>
    <xf numFmtId="0" fontId="69" fillId="0" borderId="26" xfId="0" applyFont="1" applyBorder="1"/>
    <xf numFmtId="0" fontId="70" fillId="0" borderId="26" xfId="0" applyFont="1" applyBorder="1"/>
    <xf numFmtId="165" fontId="66" fillId="0" borderId="26" xfId="1" applyFont="1" applyBorder="1"/>
    <xf numFmtId="165" fontId="49" fillId="0" borderId="12" xfId="1" applyFont="1" applyBorder="1"/>
    <xf numFmtId="0" fontId="71" fillId="0" borderId="12" xfId="0" applyFont="1" applyBorder="1"/>
    <xf numFmtId="165" fontId="67" fillId="0" borderId="26" xfId="1" applyFont="1" applyBorder="1"/>
    <xf numFmtId="0" fontId="68" fillId="0" borderId="12" xfId="0" applyFont="1" applyBorder="1"/>
    <xf numFmtId="0" fontId="66" fillId="0" borderId="26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1" fillId="0" borderId="26" xfId="0" applyFont="1" applyBorder="1" applyAlignment="1">
      <alignment horizontal="left"/>
    </xf>
    <xf numFmtId="49" fontId="11" fillId="0" borderId="26" xfId="0" applyNumberFormat="1" applyFont="1" applyBorder="1" applyAlignment="1">
      <alignment horizontal="center"/>
    </xf>
    <xf numFmtId="173" fontId="0" fillId="0" borderId="0" xfId="0" applyNumberFormat="1"/>
    <xf numFmtId="0" fontId="74" fillId="14" borderId="4" xfId="0" applyFont="1" applyFill="1" applyBorder="1" applyAlignment="1">
      <alignment horizontal="center"/>
    </xf>
    <xf numFmtId="0" fontId="74" fillId="14" borderId="5" xfId="0" applyFont="1" applyFill="1" applyBorder="1" applyAlignment="1">
      <alignment horizontal="center"/>
    </xf>
    <xf numFmtId="0" fontId="74" fillId="14" borderId="0" xfId="0" applyFont="1" applyFill="1" applyAlignment="1">
      <alignment horizontal="center"/>
    </xf>
    <xf numFmtId="0" fontId="75" fillId="14" borderId="4" xfId="0" applyFont="1" applyFill="1" applyBorder="1" applyAlignment="1">
      <alignment horizontal="center"/>
    </xf>
    <xf numFmtId="10" fontId="74" fillId="14" borderId="0" xfId="0" applyNumberFormat="1" applyFont="1" applyFill="1" applyAlignment="1">
      <alignment horizontal="center"/>
    </xf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/>
    <xf numFmtId="165" fontId="6" fillId="16" borderId="5" xfId="1" applyFont="1" applyFill="1" applyBorder="1"/>
    <xf numFmtId="165" fontId="6" fillId="17" borderId="4" xfId="1" applyFont="1" applyFill="1" applyBorder="1"/>
    <xf numFmtId="165" fontId="6" fillId="16" borderId="61" xfId="1" applyFont="1" applyFill="1" applyBorder="1"/>
    <xf numFmtId="165" fontId="6" fillId="16" borderId="4" xfId="1" applyFont="1" applyFill="1" applyBorder="1"/>
    <xf numFmtId="0" fontId="6" fillId="15" borderId="5" xfId="0" applyFont="1" applyFill="1" applyBorder="1" applyAlignment="1">
      <alignment wrapText="1"/>
    </xf>
    <xf numFmtId="0" fontId="6" fillId="15" borderId="4" xfId="0" applyFont="1" applyFill="1" applyBorder="1"/>
    <xf numFmtId="167" fontId="0" fillId="0" borderId="0" xfId="0" applyNumberFormat="1"/>
    <xf numFmtId="0" fontId="6" fillId="15" borderId="1" xfId="0" applyFont="1" applyFill="1" applyBorder="1" applyAlignment="1">
      <alignment horizontal="center"/>
    </xf>
    <xf numFmtId="0" fontId="6" fillId="15" borderId="75" xfId="0" applyFont="1" applyFill="1" applyBorder="1"/>
    <xf numFmtId="170" fontId="0" fillId="0" borderId="0" xfId="0" applyNumberFormat="1"/>
    <xf numFmtId="0" fontId="76" fillId="14" borderId="4" xfId="0" applyFont="1" applyFill="1" applyBorder="1"/>
    <xf numFmtId="0" fontId="74" fillId="14" borderId="4" xfId="0" applyFont="1" applyFill="1" applyBorder="1"/>
    <xf numFmtId="167" fontId="4" fillId="18" borderId="4" xfId="6" applyFont="1" applyFill="1" applyBorder="1"/>
    <xf numFmtId="165" fontId="4" fillId="18" borderId="4" xfId="1" applyFont="1" applyFill="1" applyBorder="1"/>
    <xf numFmtId="165" fontId="4" fillId="18" borderId="0" xfId="1" applyFont="1" applyFill="1"/>
    <xf numFmtId="0" fontId="77" fillId="0" borderId="0" xfId="0" applyFont="1"/>
    <xf numFmtId="170" fontId="78" fillId="0" borderId="0" xfId="0" applyNumberFormat="1" applyFont="1"/>
    <xf numFmtId="165" fontId="79" fillId="0" borderId="0" xfId="1" applyFont="1"/>
    <xf numFmtId="170" fontId="79" fillId="0" borderId="4" xfId="0" applyNumberFormat="1" applyFont="1" applyBorder="1"/>
    <xf numFmtId="165" fontId="77" fillId="0" borderId="0" xfId="0" applyNumberFormat="1" applyFont="1"/>
    <xf numFmtId="165" fontId="80" fillId="0" borderId="0" xfId="0" applyNumberFormat="1" applyFont="1"/>
    <xf numFmtId="170" fontId="81" fillId="0" borderId="0" xfId="0" applyNumberFormat="1" applyFont="1"/>
    <xf numFmtId="0" fontId="79" fillId="0" borderId="0" xfId="0" applyFont="1"/>
    <xf numFmtId="170" fontId="78" fillId="0" borderId="4" xfId="0" applyNumberFormat="1" applyFont="1" applyBorder="1"/>
    <xf numFmtId="170" fontId="78" fillId="0" borderId="26" xfId="0" applyNumberFormat="1" applyFont="1" applyBorder="1"/>
    <xf numFmtId="170" fontId="78" fillId="0" borderId="76" xfId="0" applyNumberFormat="1" applyFont="1" applyBorder="1"/>
    <xf numFmtId="170" fontId="53" fillId="0" borderId="77" xfId="0" applyNumberFormat="1" applyFont="1" applyBorder="1"/>
    <xf numFmtId="0" fontId="82" fillId="0" borderId="4" xfId="0" applyFont="1" applyBorder="1" applyAlignment="1">
      <alignment horizontal="center"/>
    </xf>
    <xf numFmtId="0" fontId="82" fillId="0" borderId="4" xfId="0" applyFont="1" applyBorder="1"/>
    <xf numFmtId="0" fontId="53" fillId="0" borderId="0" xfId="0" applyFont="1"/>
    <xf numFmtId="0" fontId="83" fillId="0" borderId="4" xfId="0" applyFont="1" applyBorder="1" applyAlignment="1">
      <alignment wrapText="1"/>
    </xf>
    <xf numFmtId="165" fontId="77" fillId="0" borderId="4" xfId="1" applyFont="1" applyBorder="1"/>
    <xf numFmtId="0" fontId="82" fillId="0" borderId="1" xfId="0" applyFont="1" applyBorder="1"/>
    <xf numFmtId="165" fontId="81" fillId="0" borderId="1" xfId="1" applyFont="1" applyBorder="1"/>
    <xf numFmtId="0" fontId="82" fillId="0" borderId="5" xfId="0" applyFont="1" applyBorder="1"/>
    <xf numFmtId="165" fontId="82" fillId="0" borderId="61" xfId="1" applyFont="1" applyBorder="1"/>
    <xf numFmtId="0" fontId="82" fillId="0" borderId="26" xfId="0" applyFont="1" applyBorder="1"/>
    <xf numFmtId="165" fontId="81" fillId="0" borderId="26" xfId="1" applyFont="1" applyBorder="1"/>
    <xf numFmtId="0" fontId="82" fillId="0" borderId="3" xfId="0" applyFont="1" applyBorder="1"/>
    <xf numFmtId="165" fontId="78" fillId="0" borderId="3" xfId="1" applyFont="1" applyBorder="1"/>
    <xf numFmtId="0" fontId="82" fillId="0" borderId="0" xfId="0" applyFont="1"/>
    <xf numFmtId="165" fontId="81" fillId="0" borderId="0" xfId="1" applyFont="1"/>
    <xf numFmtId="0" fontId="82" fillId="0" borderId="75" xfId="0" applyFont="1" applyBorder="1"/>
    <xf numFmtId="165" fontId="82" fillId="0" borderId="78" xfId="1" applyFont="1" applyBorder="1"/>
    <xf numFmtId="165" fontId="79" fillId="0" borderId="1" xfId="1" applyFont="1" applyBorder="1"/>
    <xf numFmtId="0" fontId="82" fillId="0" borderId="53" xfId="0" applyFont="1" applyBorder="1"/>
    <xf numFmtId="165" fontId="82" fillId="0" borderId="53" xfId="1" applyFont="1" applyBorder="1"/>
    <xf numFmtId="165" fontId="79" fillId="0" borderId="53" xfId="1" applyFont="1" applyBorder="1"/>
    <xf numFmtId="0" fontId="81" fillId="0" borderId="0" xfId="0" applyFont="1"/>
    <xf numFmtId="165" fontId="77" fillId="0" borderId="0" xfId="1" applyFont="1"/>
    <xf numFmtId="0" fontId="82" fillId="0" borderId="61" xfId="0" applyFont="1" applyBorder="1"/>
    <xf numFmtId="165" fontId="77" fillId="0" borderId="61" xfId="1" applyFont="1" applyBorder="1"/>
    <xf numFmtId="0" fontId="82" fillId="0" borderId="0" xfId="0" applyFont="1" applyAlignment="1">
      <alignment horizontal="center"/>
    </xf>
    <xf numFmtId="0" fontId="82" fillId="0" borderId="76" xfId="0" applyFont="1" applyBorder="1"/>
    <xf numFmtId="165" fontId="53" fillId="0" borderId="78" xfId="1" applyFont="1" applyBorder="1"/>
    <xf numFmtId="0" fontId="83" fillId="0" borderId="0" xfId="0" applyFont="1" applyAlignment="1">
      <alignment wrapText="1"/>
    </xf>
    <xf numFmtId="165" fontId="81" fillId="0" borderId="53" xfId="1" applyFont="1" applyBorder="1"/>
    <xf numFmtId="0" fontId="13" fillId="0" borderId="48" xfId="0" applyFont="1" applyBorder="1" applyAlignment="1">
      <alignment horizontal="center" vertical="center" wrapText="1"/>
    </xf>
    <xf numFmtId="4" fontId="30" fillId="0" borderId="48" xfId="2" applyNumberFormat="1" applyFont="1" applyBorder="1"/>
    <xf numFmtId="165" fontId="84" fillId="0" borderId="26" xfId="1" applyFont="1" applyBorder="1"/>
    <xf numFmtId="0" fontId="47" fillId="0" borderId="0" xfId="0" applyFont="1"/>
    <xf numFmtId="165" fontId="85" fillId="0" borderId="0" xfId="0" applyNumberFormat="1" applyFont="1"/>
    <xf numFmtId="165" fontId="4" fillId="0" borderId="2" xfId="1" applyFont="1" applyBorder="1"/>
    <xf numFmtId="165" fontId="25" fillId="0" borderId="0" xfId="1" applyFont="1"/>
    <xf numFmtId="0" fontId="13" fillId="2" borderId="79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4" fontId="30" fillId="0" borderId="47" xfId="2" applyNumberFormat="1" applyFont="1" applyBorder="1"/>
    <xf numFmtId="0" fontId="13" fillId="2" borderId="53" xfId="0" applyFont="1" applyFill="1" applyBorder="1" applyAlignment="1">
      <alignment horizontal="left"/>
    </xf>
    <xf numFmtId="165" fontId="25" fillId="0" borderId="26" xfId="1" applyFont="1" applyBorder="1"/>
    <xf numFmtId="170" fontId="53" fillId="0" borderId="0" xfId="0" applyNumberFormat="1" applyFont="1"/>
    <xf numFmtId="0" fontId="72" fillId="0" borderId="26" xfId="0" applyFont="1" applyBorder="1" applyAlignment="1">
      <alignment wrapText="1"/>
    </xf>
    <xf numFmtId="0" fontId="70" fillId="0" borderId="26" xfId="0" applyFont="1" applyBorder="1" applyAlignment="1">
      <alignment wrapText="1"/>
    </xf>
    <xf numFmtId="0" fontId="27" fillId="0" borderId="26" xfId="0" applyFont="1" applyBorder="1"/>
    <xf numFmtId="165" fontId="89" fillId="0" borderId="0" xfId="1" applyFont="1"/>
    <xf numFmtId="165" fontId="79" fillId="0" borderId="0" xfId="0" applyNumberFormat="1" applyFont="1"/>
    <xf numFmtId="0" fontId="11" fillId="0" borderId="0" xfId="0" applyFont="1" applyAlignment="1">
      <alignment wrapText="1"/>
    </xf>
    <xf numFmtId="0" fontId="13" fillId="0" borderId="12" xfId="0" applyFont="1" applyBorder="1" applyAlignment="1">
      <alignment wrapText="1"/>
    </xf>
    <xf numFmtId="49" fontId="40" fillId="2" borderId="37" xfId="0" applyNumberFormat="1" applyFont="1" applyFill="1" applyBorder="1" applyAlignment="1">
      <alignment horizontal="center"/>
    </xf>
    <xf numFmtId="0" fontId="13" fillId="2" borderId="37" xfId="0" applyFont="1" applyFill="1" applyBorder="1"/>
    <xf numFmtId="165" fontId="42" fillId="2" borderId="37" xfId="1" applyFont="1" applyFill="1" applyBorder="1"/>
    <xf numFmtId="165" fontId="42" fillId="2" borderId="80" xfId="1" applyFont="1" applyFill="1" applyBorder="1"/>
    <xf numFmtId="0" fontId="88" fillId="0" borderId="87" xfId="0" applyFont="1" applyBorder="1"/>
    <xf numFmtId="0" fontId="9" fillId="0" borderId="71" xfId="0" applyFont="1" applyBorder="1"/>
    <xf numFmtId="174" fontId="9" fillId="0" borderId="71" xfId="1" applyNumberFormat="1" applyFont="1" applyBorder="1"/>
    <xf numFmtId="0" fontId="88" fillId="0" borderId="71" xfId="0" applyFont="1" applyBorder="1"/>
    <xf numFmtId="174" fontId="88" fillId="0" borderId="71" xfId="1" applyNumberFormat="1" applyFont="1" applyBorder="1"/>
    <xf numFmtId="0" fontId="92" fillId="14" borderId="85" xfId="0" applyFont="1" applyFill="1" applyBorder="1" applyAlignment="1">
      <alignment horizontal="center"/>
    </xf>
    <xf numFmtId="174" fontId="92" fillId="14" borderId="85" xfId="1" applyNumberFormat="1" applyFont="1" applyFill="1" applyBorder="1"/>
    <xf numFmtId="0" fontId="92" fillId="14" borderId="0" xfId="0" applyFont="1" applyFill="1" applyAlignment="1">
      <alignment horizontal="center"/>
    </xf>
    <xf numFmtId="174" fontId="92" fillId="14" borderId="0" xfId="1" applyNumberFormat="1" applyFont="1" applyFill="1"/>
    <xf numFmtId="165" fontId="9" fillId="0" borderId="71" xfId="1" applyFont="1" applyBorder="1"/>
    <xf numFmtId="0" fontId="88" fillId="0" borderId="73" xfId="0" applyFont="1" applyBorder="1"/>
    <xf numFmtId="174" fontId="88" fillId="0" borderId="73" xfId="1" applyNumberFormat="1" applyFont="1" applyBorder="1"/>
    <xf numFmtId="0" fontId="90" fillId="21" borderId="81" xfId="0" applyFont="1" applyFill="1" applyBorder="1"/>
    <xf numFmtId="0" fontId="87" fillId="21" borderId="82" xfId="0" applyFont="1" applyFill="1" applyBorder="1"/>
    <xf numFmtId="0" fontId="90" fillId="21" borderId="83" xfId="0" applyFont="1" applyFill="1" applyBorder="1"/>
    <xf numFmtId="0" fontId="91" fillId="21" borderId="84" xfId="0" applyFont="1" applyFill="1" applyBorder="1"/>
    <xf numFmtId="0" fontId="91" fillId="21" borderId="86" xfId="0" applyFont="1" applyFill="1" applyBorder="1"/>
    <xf numFmtId="0" fontId="91" fillId="21" borderId="88" xfId="0" applyFont="1" applyFill="1" applyBorder="1"/>
    <xf numFmtId="0" fontId="88" fillId="23" borderId="0" xfId="0" applyFont="1" applyFill="1"/>
    <xf numFmtId="0" fontId="91" fillId="21" borderId="89" xfId="0" applyFont="1" applyFill="1" applyBorder="1"/>
    <xf numFmtId="0" fontId="91" fillId="21" borderId="62" xfId="0" applyFont="1" applyFill="1" applyBorder="1"/>
    <xf numFmtId="0" fontId="96" fillId="0" borderId="71" xfId="0" applyFont="1" applyBorder="1"/>
    <xf numFmtId="49" fontId="93" fillId="0" borderId="71" xfId="0" applyNumberFormat="1" applyFont="1" applyBorder="1" applyAlignment="1">
      <alignment horizontal="center"/>
    </xf>
    <xf numFmtId="165" fontId="93" fillId="0" borderId="71" xfId="1" applyFont="1" applyBorder="1"/>
    <xf numFmtId="0" fontId="96" fillId="0" borderId="0" xfId="0" applyFont="1"/>
    <xf numFmtId="49" fontId="93" fillId="0" borderId="0" xfId="0" applyNumberFormat="1" applyFont="1" applyAlignment="1">
      <alignment horizontal="center"/>
    </xf>
    <xf numFmtId="166" fontId="93" fillId="0" borderId="0" xfId="4" applyFont="1"/>
    <xf numFmtId="49" fontId="96" fillId="0" borderId="71" xfId="0" applyNumberFormat="1" applyFont="1" applyBorder="1" applyAlignment="1">
      <alignment horizontal="center"/>
    </xf>
    <xf numFmtId="166" fontId="96" fillId="0" borderId="71" xfId="4" applyFont="1" applyBorder="1"/>
    <xf numFmtId="0" fontId="93" fillId="0" borderId="71" xfId="0" applyFont="1" applyBorder="1" applyAlignment="1">
      <alignment horizontal="center"/>
    </xf>
    <xf numFmtId="0" fontId="93" fillId="0" borderId="0" xfId="0" applyFont="1"/>
    <xf numFmtId="166" fontId="93" fillId="0" borderId="71" xfId="4" applyFont="1" applyBorder="1"/>
    <xf numFmtId="49" fontId="96" fillId="0" borderId="71" xfId="0" applyNumberFormat="1" applyFont="1" applyBorder="1"/>
    <xf numFmtId="0" fontId="96" fillId="23" borderId="85" xfId="0" applyFont="1" applyFill="1" applyBorder="1"/>
    <xf numFmtId="166" fontId="93" fillId="23" borderId="85" xfId="4" applyFont="1" applyFill="1" applyBorder="1"/>
    <xf numFmtId="49" fontId="93" fillId="23" borderId="85" xfId="0" applyNumberFormat="1" applyFont="1" applyFill="1" applyBorder="1" applyAlignment="1">
      <alignment horizontal="center"/>
    </xf>
    <xf numFmtId="0" fontId="93" fillId="23" borderId="90" xfId="0" applyFont="1" applyFill="1" applyBorder="1" applyAlignment="1">
      <alignment horizontal="center"/>
    </xf>
    <xf numFmtId="0" fontId="93" fillId="23" borderId="85" xfId="0" applyFont="1" applyFill="1" applyBorder="1" applyAlignment="1">
      <alignment horizontal="center"/>
    </xf>
    <xf numFmtId="49" fontId="96" fillId="23" borderId="85" xfId="0" applyNumberFormat="1" applyFont="1" applyFill="1" applyBorder="1"/>
    <xf numFmtId="165" fontId="93" fillId="23" borderId="85" xfId="1" applyFont="1" applyFill="1" applyBorder="1"/>
    <xf numFmtId="0" fontId="93" fillId="0" borderId="71" xfId="0" applyFont="1" applyBorder="1" applyAlignment="1">
      <alignment horizontal="left"/>
    </xf>
    <xf numFmtId="165" fontId="93" fillId="0" borderId="71" xfId="1" applyFont="1" applyBorder="1" applyAlignment="1">
      <alignment horizontal="right" wrapText="1"/>
    </xf>
    <xf numFmtId="0" fontId="93" fillId="0" borderId="71" xfId="0" applyFont="1" applyBorder="1"/>
    <xf numFmtId="165" fontId="93" fillId="0" borderId="71" xfId="1" applyFont="1" applyBorder="1" applyAlignment="1">
      <alignment horizontal="right"/>
    </xf>
    <xf numFmtId="0" fontId="93" fillId="0" borderId="71" xfId="0" applyFont="1" applyBorder="1" applyAlignment="1">
      <alignment wrapText="1"/>
    </xf>
    <xf numFmtId="0" fontId="96" fillId="0" borderId="73" xfId="0" applyFont="1" applyBorder="1" applyAlignment="1">
      <alignment horizontal="center"/>
    </xf>
    <xf numFmtId="0" fontId="96" fillId="0" borderId="73" xfId="0" applyFont="1" applyBorder="1"/>
    <xf numFmtId="0" fontId="93" fillId="0" borderId="0" xfId="0" applyFont="1" applyAlignment="1">
      <alignment horizontal="center"/>
    </xf>
    <xf numFmtId="167" fontId="93" fillId="0" borderId="0" xfId="0" applyNumberFormat="1" applyFont="1"/>
    <xf numFmtId="0" fontId="93" fillId="0" borderId="84" xfId="0" applyFont="1" applyBorder="1" applyAlignment="1">
      <alignment horizontal="center"/>
    </xf>
    <xf numFmtId="0" fontId="96" fillId="0" borderId="88" xfId="0" applyFont="1" applyBorder="1" applyAlignment="1">
      <alignment horizontal="center"/>
    </xf>
    <xf numFmtId="0" fontId="93" fillId="0" borderId="73" xfId="0" applyFont="1" applyBorder="1"/>
    <xf numFmtId="0" fontId="96" fillId="23" borderId="91" xfId="0" applyFont="1" applyFill="1" applyBorder="1"/>
    <xf numFmtId="167" fontId="93" fillId="23" borderId="92" xfId="0" applyNumberFormat="1" applyFont="1" applyFill="1" applyBorder="1"/>
    <xf numFmtId="0" fontId="93" fillId="23" borderId="91" xfId="0" applyFont="1" applyFill="1" applyBorder="1" applyAlignment="1">
      <alignment horizontal="center"/>
    </xf>
    <xf numFmtId="4" fontId="93" fillId="23" borderId="3" xfId="0" applyNumberFormat="1" applyFont="1" applyFill="1" applyBorder="1"/>
    <xf numFmtId="165" fontId="4" fillId="0" borderId="1" xfId="1" applyFont="1" applyBorder="1" applyAlignment="1">
      <alignment horizontal="right" vertical="center"/>
    </xf>
    <xf numFmtId="167" fontId="4" fillId="0" borderId="2" xfId="0" applyNumberFormat="1" applyFont="1" applyBorder="1" applyAlignment="1">
      <alignment horizontal="right" vertical="center"/>
    </xf>
    <xf numFmtId="165" fontId="4" fillId="0" borderId="2" xfId="1" applyFont="1" applyBorder="1" applyAlignment="1">
      <alignment horizontal="right"/>
    </xf>
    <xf numFmtId="167" fontId="6" fillId="0" borderId="2" xfId="0" applyNumberFormat="1" applyFont="1" applyBorder="1" applyAlignment="1">
      <alignment horizontal="right" vertical="center"/>
    </xf>
    <xf numFmtId="167" fontId="4" fillId="0" borderId="3" xfId="0" applyNumberFormat="1" applyFont="1" applyBorder="1" applyAlignment="1">
      <alignment horizontal="right" vertical="center"/>
    </xf>
    <xf numFmtId="0" fontId="4" fillId="24" borderId="4" xfId="0" applyFont="1" applyFill="1" applyBorder="1" applyAlignment="1">
      <alignment horizontal="center"/>
    </xf>
    <xf numFmtId="0" fontId="4" fillId="24" borderId="4" xfId="0" applyFont="1" applyFill="1" applyBorder="1" applyAlignment="1">
      <alignment horizontal="center" vertical="center"/>
    </xf>
    <xf numFmtId="0" fontId="4" fillId="24" borderId="5" xfId="0" applyFont="1" applyFill="1" applyBorder="1" applyAlignment="1">
      <alignment horizontal="center" wrapText="1"/>
    </xf>
    <xf numFmtId="0" fontId="6" fillId="24" borderId="9" xfId="0" applyFont="1" applyFill="1" applyBorder="1"/>
    <xf numFmtId="0" fontId="4" fillId="24" borderId="10" xfId="0" applyFont="1" applyFill="1" applyBorder="1" applyAlignment="1">
      <alignment horizontal="center"/>
    </xf>
    <xf numFmtId="165" fontId="4" fillId="24" borderId="4" xfId="1" applyFont="1" applyFill="1" applyBorder="1"/>
    <xf numFmtId="165" fontId="98" fillId="0" borderId="0" xfId="0" applyNumberFormat="1" applyFont="1"/>
    <xf numFmtId="170" fontId="77" fillId="0" borderId="0" xfId="0" applyNumberFormat="1" applyFont="1"/>
    <xf numFmtId="170" fontId="79" fillId="0" borderId="0" xfId="0" applyNumberFormat="1" applyFont="1"/>
    <xf numFmtId="165" fontId="99" fillId="0" borderId="26" xfId="1" applyFont="1" applyBorder="1"/>
    <xf numFmtId="170" fontId="100" fillId="0" borderId="0" xfId="0" applyNumberFormat="1" applyFont="1"/>
    <xf numFmtId="165" fontId="100" fillId="0" borderId="0" xfId="1" applyFont="1"/>
    <xf numFmtId="170" fontId="100" fillId="0" borderId="4" xfId="0" applyNumberFormat="1" applyFont="1" applyBorder="1"/>
    <xf numFmtId="165" fontId="101" fillId="0" borderId="0" xfId="1" applyFont="1"/>
    <xf numFmtId="165" fontId="101" fillId="0" borderId="0" xfId="0" applyNumberFormat="1" applyFont="1"/>
    <xf numFmtId="170" fontId="81" fillId="0" borderId="4" xfId="0" applyNumberFormat="1" applyFont="1" applyBorder="1"/>
    <xf numFmtId="170" fontId="81" fillId="0" borderId="76" xfId="0" applyNumberFormat="1" applyFont="1" applyBorder="1"/>
    <xf numFmtId="171" fontId="77" fillId="0" borderId="0" xfId="0" applyNumberFormat="1" applyFont="1"/>
    <xf numFmtId="0" fontId="4" fillId="0" borderId="75" xfId="0" applyFont="1" applyBorder="1" applyAlignment="1">
      <alignment horizontal="center" wrapText="1"/>
    </xf>
    <xf numFmtId="165" fontId="4" fillId="0" borderId="3" xfId="1" applyFont="1" applyBorder="1"/>
    <xf numFmtId="167" fontId="4" fillId="0" borderId="26" xfId="0" applyNumberFormat="1" applyFont="1" applyBorder="1" applyAlignment="1">
      <alignment horizontal="right" vertical="center"/>
    </xf>
    <xf numFmtId="167" fontId="4" fillId="0" borderId="26" xfId="0" applyNumberFormat="1" applyFont="1" applyBorder="1" applyAlignment="1">
      <alignment horizontal="right" wrapText="1"/>
    </xf>
    <xf numFmtId="167" fontId="4" fillId="0" borderId="26" xfId="3" applyFont="1" applyBorder="1" applyAlignment="1">
      <alignment horizontal="right" wrapText="1"/>
    </xf>
    <xf numFmtId="167" fontId="4" fillId="0" borderId="26" xfId="3" applyFont="1" applyBorder="1" applyAlignment="1">
      <alignment horizontal="right"/>
    </xf>
    <xf numFmtId="165" fontId="4" fillId="0" borderId="26" xfId="1" applyFont="1" applyBorder="1" applyAlignment="1">
      <alignment horizontal="right" wrapText="1"/>
    </xf>
    <xf numFmtId="0" fontId="4" fillId="0" borderId="7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" fontId="6" fillId="0" borderId="6" xfId="2" applyNumberFormat="1" applyFont="1" applyBorder="1"/>
    <xf numFmtId="4" fontId="4" fillId="0" borderId="6" xfId="2" applyNumberFormat="1" applyFont="1" applyBorder="1"/>
    <xf numFmtId="0" fontId="6" fillId="0" borderId="6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6" fillId="0" borderId="6" xfId="0" applyFont="1" applyBorder="1" applyAlignment="1">
      <alignment wrapText="1"/>
    </xf>
    <xf numFmtId="0" fontId="4" fillId="0" borderId="0" xfId="0" applyFont="1"/>
    <xf numFmtId="0" fontId="6" fillId="0" borderId="0" xfId="0" applyFont="1" applyAlignment="1">
      <alignment wrapText="1"/>
    </xf>
    <xf numFmtId="0" fontId="6" fillId="0" borderId="72" xfId="0" applyFont="1" applyBorder="1"/>
    <xf numFmtId="165" fontId="6" fillId="19" borderId="26" xfId="1" applyFont="1" applyFill="1" applyBorder="1" applyAlignment="1">
      <alignment horizontal="right" wrapText="1"/>
    </xf>
    <xf numFmtId="10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24" fillId="0" borderId="26" xfId="0" applyFont="1" applyBorder="1"/>
    <xf numFmtId="165" fontId="24" fillId="0" borderId="26" xfId="0" applyNumberFormat="1" applyFont="1" applyBorder="1"/>
    <xf numFmtId="0" fontId="24" fillId="0" borderId="36" xfId="0" applyFont="1" applyBorder="1"/>
    <xf numFmtId="0" fontId="28" fillId="0" borderId="26" xfId="0" applyFont="1" applyBorder="1"/>
    <xf numFmtId="165" fontId="102" fillId="0" borderId="26" xfId="0" applyNumberFormat="1" applyFont="1" applyBorder="1"/>
    <xf numFmtId="165" fontId="103" fillId="0" borderId="0" xfId="0" applyNumberFormat="1" applyFont="1"/>
    <xf numFmtId="0" fontId="13" fillId="2" borderId="94" xfId="0" applyFont="1" applyFill="1" applyBorder="1" applyAlignment="1">
      <alignment horizontal="center"/>
    </xf>
    <xf numFmtId="49" fontId="19" fillId="2" borderId="94" xfId="0" applyNumberFormat="1" applyFont="1" applyFill="1" applyBorder="1" applyAlignment="1">
      <alignment horizontal="center"/>
    </xf>
    <xf numFmtId="0" fontId="19" fillId="2" borderId="94" xfId="0" applyFont="1" applyFill="1" applyBorder="1" applyAlignment="1">
      <alignment horizontal="left"/>
    </xf>
    <xf numFmtId="0" fontId="19" fillId="0" borderId="26" xfId="0" applyFont="1" applyBorder="1" applyAlignment="1">
      <alignment horizontal="left" vertical="center" wrapText="1"/>
    </xf>
    <xf numFmtId="165" fontId="3" fillId="0" borderId="0" xfId="1" applyFont="1"/>
    <xf numFmtId="0" fontId="3" fillId="0" borderId="26" xfId="0" applyFont="1" applyBorder="1" applyAlignment="1">
      <alignment horizontal="center"/>
    </xf>
    <xf numFmtId="0" fontId="19" fillId="12" borderId="26" xfId="0" applyFont="1" applyFill="1" applyBorder="1" applyAlignment="1">
      <alignment horizontal="left" vertical="center"/>
    </xf>
    <xf numFmtId="0" fontId="17" fillId="3" borderId="26" xfId="0" applyFont="1" applyFill="1" applyBorder="1" applyAlignment="1">
      <alignment horizontal="center" vertical="center" textRotation="90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 applyProtection="1">
      <alignment horizontal="center" vertical="center" textRotation="90" wrapText="1"/>
      <protection locked="0" hidden="1"/>
    </xf>
    <xf numFmtId="164" fontId="51" fillId="0" borderId="26" xfId="4" applyNumberFormat="1" applyFont="1" applyBorder="1" applyAlignment="1">
      <alignment vertical="center"/>
    </xf>
    <xf numFmtId="165" fontId="25" fillId="0" borderId="0" xfId="0" applyNumberFormat="1" applyFont="1"/>
    <xf numFmtId="171" fontId="0" fillId="0" borderId="0" xfId="0" applyNumberFormat="1"/>
    <xf numFmtId="0" fontId="25" fillId="0" borderId="0" xfId="0" applyFont="1" applyAlignment="1">
      <alignment horizontal="center"/>
    </xf>
    <xf numFmtId="164" fontId="25" fillId="0" borderId="0" xfId="0" applyNumberFormat="1" applyFont="1"/>
    <xf numFmtId="164" fontId="6" fillId="0" borderId="2" xfId="1" applyNumberFormat="1" applyFont="1" applyBorder="1" applyAlignment="1">
      <alignment horizontal="right" wrapText="1"/>
    </xf>
    <xf numFmtId="4" fontId="30" fillId="0" borderId="49" xfId="2" applyNumberFormat="1" applyFont="1" applyBorder="1"/>
    <xf numFmtId="0" fontId="13" fillId="2" borderId="0" xfId="0" applyFont="1" applyFill="1" applyAlignment="1">
      <alignment horizontal="center"/>
    </xf>
    <xf numFmtId="0" fontId="4" fillId="15" borderId="63" xfId="0" applyFont="1" applyFill="1" applyBorder="1" applyAlignment="1">
      <alignment horizontal="center"/>
    </xf>
    <xf numFmtId="0" fontId="4" fillId="15" borderId="64" xfId="0" applyFont="1" applyFill="1" applyBorder="1" applyAlignment="1">
      <alignment horizontal="center"/>
    </xf>
    <xf numFmtId="0" fontId="4" fillId="15" borderId="65" xfId="0" applyFont="1" applyFill="1" applyBorder="1" applyAlignment="1">
      <alignment horizontal="center"/>
    </xf>
    <xf numFmtId="0" fontId="4" fillId="16" borderId="66" xfId="0" applyFont="1" applyFill="1" applyBorder="1"/>
    <xf numFmtId="0" fontId="4" fillId="16" borderId="4" xfId="0" applyFont="1" applyFill="1" applyBorder="1" applyAlignment="1">
      <alignment horizontal="center"/>
    </xf>
    <xf numFmtId="165" fontId="4" fillId="16" borderId="4" xfId="1" applyFont="1" applyFill="1" applyBorder="1"/>
    <xf numFmtId="165" fontId="4" fillId="16" borderId="67" xfId="1" applyFont="1" applyFill="1" applyBorder="1"/>
    <xf numFmtId="0" fontId="4" fillId="16" borderId="68" xfId="0" applyFont="1" applyFill="1" applyBorder="1"/>
    <xf numFmtId="165" fontId="4" fillId="16" borderId="5" xfId="1" applyFont="1" applyFill="1" applyBorder="1"/>
    <xf numFmtId="0" fontId="4" fillId="16" borderId="69" xfId="0" applyFont="1" applyFill="1" applyBorder="1"/>
    <xf numFmtId="0" fontId="4" fillId="16" borderId="70" xfId="0" applyFont="1" applyFill="1" applyBorder="1"/>
    <xf numFmtId="0" fontId="4" fillId="16" borderId="2" xfId="0" applyFont="1" applyFill="1" applyBorder="1" applyAlignment="1">
      <alignment horizontal="center"/>
    </xf>
    <xf numFmtId="165" fontId="4" fillId="16" borderId="6" xfId="1" applyFont="1" applyFill="1" applyBorder="1"/>
    <xf numFmtId="165" fontId="4" fillId="16" borderId="71" xfId="1" applyFont="1" applyFill="1" applyBorder="1"/>
    <xf numFmtId="0" fontId="4" fillId="16" borderId="8" xfId="0" applyFont="1" applyFill="1" applyBorder="1" applyAlignment="1">
      <alignment horizontal="center"/>
    </xf>
    <xf numFmtId="165" fontId="4" fillId="16" borderId="72" xfId="1" applyFont="1" applyFill="1" applyBorder="1"/>
    <xf numFmtId="165" fontId="4" fillId="16" borderId="73" xfId="1" applyFont="1" applyFill="1" applyBorder="1"/>
    <xf numFmtId="167" fontId="4" fillId="16" borderId="8" xfId="6" applyFont="1" applyFill="1" applyBorder="1"/>
    <xf numFmtId="167" fontId="4" fillId="16" borderId="74" xfId="6" applyFont="1" applyFill="1" applyBorder="1"/>
    <xf numFmtId="0" fontId="4" fillId="15" borderId="63" xfId="0" applyFont="1" applyFill="1" applyBorder="1"/>
    <xf numFmtId="0" fontId="4" fillId="15" borderId="64" xfId="0" applyFont="1" applyFill="1" applyBorder="1"/>
    <xf numFmtId="165" fontId="4" fillId="15" borderId="64" xfId="1" applyFont="1" applyFill="1" applyBorder="1"/>
    <xf numFmtId="165" fontId="4" fillId="15" borderId="65" xfId="1" applyFont="1" applyFill="1" applyBorder="1"/>
    <xf numFmtId="167" fontId="4" fillId="0" borderId="0" xfId="0" applyNumberFormat="1" applyFont="1"/>
    <xf numFmtId="167" fontId="4" fillId="0" borderId="0" xfId="6" applyFont="1"/>
    <xf numFmtId="10" fontId="36" fillId="0" borderId="0" xfId="5" applyNumberFormat="1" applyFont="1"/>
    <xf numFmtId="165" fontId="26" fillId="0" borderId="26" xfId="0" applyNumberFormat="1" applyFont="1" applyBorder="1"/>
    <xf numFmtId="0" fontId="105" fillId="0" borderId="0" xfId="0" applyFont="1" applyAlignment="1">
      <alignment vertical="center"/>
    </xf>
    <xf numFmtId="0" fontId="106" fillId="0" borderId="0" xfId="7" applyAlignment="1">
      <alignment vertical="center"/>
    </xf>
    <xf numFmtId="49" fontId="108" fillId="0" borderId="81" xfId="0" applyNumberFormat="1" applyFont="1" applyBorder="1" applyAlignment="1">
      <alignment horizontal="center"/>
    </xf>
    <xf numFmtId="49" fontId="108" fillId="0" borderId="87" xfId="0" applyNumberFormat="1" applyFont="1" applyBorder="1"/>
    <xf numFmtId="0" fontId="56" fillId="0" borderId="87" xfId="0" applyFont="1" applyBorder="1" applyAlignment="1">
      <alignment horizontal="center"/>
    </xf>
    <xf numFmtId="166" fontId="108" fillId="0" borderId="83" xfId="4" applyFont="1" applyBorder="1" applyAlignment="1">
      <alignment horizontal="right"/>
    </xf>
    <xf numFmtId="166" fontId="108" fillId="0" borderId="87" xfId="4" applyFont="1" applyBorder="1" applyAlignment="1">
      <alignment horizontal="right"/>
    </xf>
    <xf numFmtId="166" fontId="110" fillId="0" borderId="86" xfId="4" applyFont="1" applyBorder="1" applyAlignment="1">
      <alignment horizontal="right"/>
    </xf>
    <xf numFmtId="166" fontId="110" fillId="0" borderId="71" xfId="4" applyFont="1" applyBorder="1" applyAlignment="1">
      <alignment horizontal="right"/>
    </xf>
    <xf numFmtId="165" fontId="110" fillId="0" borderId="86" xfId="1" applyFont="1" applyBorder="1" applyAlignment="1">
      <alignment horizontal="right"/>
    </xf>
    <xf numFmtId="0" fontId="110" fillId="0" borderId="71" xfId="0" applyFont="1" applyBorder="1" applyAlignment="1">
      <alignment horizontal="center"/>
    </xf>
    <xf numFmtId="49" fontId="71" fillId="0" borderId="71" xfId="0" applyNumberFormat="1" applyFont="1" applyBorder="1" applyAlignment="1">
      <alignment horizontal="center"/>
    </xf>
    <xf numFmtId="0" fontId="71" fillId="0" borderId="84" xfId="0" applyFont="1" applyBorder="1" applyAlignment="1">
      <alignment horizontal="center"/>
    </xf>
    <xf numFmtId="0" fontId="91" fillId="0" borderId="86" xfId="0" applyFont="1" applyBorder="1" applyAlignment="1">
      <alignment wrapText="1"/>
    </xf>
    <xf numFmtId="49" fontId="71" fillId="0" borderId="26" xfId="0" applyNumberFormat="1" applyFont="1" applyBorder="1" applyAlignment="1">
      <alignment horizontal="center"/>
    </xf>
    <xf numFmtId="49" fontId="109" fillId="0" borderId="26" xfId="0" applyNumberFormat="1" applyFont="1" applyBorder="1" applyAlignment="1">
      <alignment horizontal="center"/>
    </xf>
    <xf numFmtId="49" fontId="110" fillId="0" borderId="26" xfId="0" applyNumberFormat="1" applyFont="1" applyBorder="1" applyAlignment="1">
      <alignment horizontal="center"/>
    </xf>
    <xf numFmtId="0" fontId="56" fillId="0" borderId="26" xfId="0" applyFont="1" applyBorder="1" applyAlignment="1">
      <alignment horizontal="center" wrapText="1"/>
    </xf>
    <xf numFmtId="166" fontId="110" fillId="0" borderId="26" xfId="4" applyFont="1" applyBorder="1" applyAlignment="1">
      <alignment horizontal="right"/>
    </xf>
    <xf numFmtId="165" fontId="111" fillId="0" borderId="26" xfId="1" applyFont="1" applyBorder="1" applyAlignment="1">
      <alignment horizontal="right"/>
    </xf>
    <xf numFmtId="165" fontId="110" fillId="0" borderId="26" xfId="1" applyFont="1" applyBorder="1" applyAlignment="1">
      <alignment horizontal="right"/>
    </xf>
    <xf numFmtId="49" fontId="110" fillId="0" borderId="36" xfId="0" applyNumberFormat="1" applyFont="1" applyBorder="1"/>
    <xf numFmtId="49" fontId="71" fillId="0" borderId="36" xfId="0" applyNumberFormat="1" applyFont="1" applyBorder="1" applyAlignment="1">
      <alignment horizontal="center"/>
    </xf>
    <xf numFmtId="49" fontId="110" fillId="0" borderId="36" xfId="0" applyNumberFormat="1" applyFont="1" applyBorder="1" applyAlignment="1">
      <alignment horizontal="center"/>
    </xf>
    <xf numFmtId="0" fontId="91" fillId="0" borderId="36" xfId="0" applyFont="1" applyBorder="1" applyAlignment="1">
      <alignment wrapText="1"/>
    </xf>
    <xf numFmtId="165" fontId="110" fillId="0" borderId="36" xfId="1" applyFont="1" applyBorder="1" applyAlignment="1">
      <alignment horizontal="right"/>
    </xf>
    <xf numFmtId="166" fontId="110" fillId="0" borderId="36" xfId="4" applyFont="1" applyBorder="1" applyAlignment="1">
      <alignment horizontal="right"/>
    </xf>
    <xf numFmtId="0" fontId="71" fillId="0" borderId="26" xfId="0" applyFont="1" applyBorder="1" applyAlignment="1">
      <alignment horizontal="center"/>
    </xf>
    <xf numFmtId="49" fontId="112" fillId="0" borderId="26" xfId="0" applyNumberFormat="1" applyFont="1" applyBorder="1" applyAlignment="1">
      <alignment horizontal="center"/>
    </xf>
    <xf numFmtId="0" fontId="56" fillId="0" borderId="26" xfId="0" applyFont="1" applyBorder="1" applyAlignment="1">
      <alignment horizontal="center"/>
    </xf>
    <xf numFmtId="166" fontId="112" fillId="0" borderId="26" xfId="4" applyFont="1" applyBorder="1" applyAlignment="1">
      <alignment horizontal="right"/>
    </xf>
    <xf numFmtId="49" fontId="71" fillId="0" borderId="47" xfId="0" applyNumberFormat="1" applyFont="1" applyBorder="1" applyAlignment="1">
      <alignment horizontal="center"/>
    </xf>
    <xf numFmtId="0" fontId="57" fillId="0" borderId="49" xfId="0" applyFont="1" applyBorder="1" applyAlignment="1">
      <alignment horizontal="center" wrapText="1"/>
    </xf>
    <xf numFmtId="166" fontId="49" fillId="0" borderId="26" xfId="4" applyFont="1" applyBorder="1" applyAlignment="1">
      <alignment horizontal="right"/>
    </xf>
    <xf numFmtId="0" fontId="71" fillId="0" borderId="3" xfId="0" applyFont="1" applyBorder="1" applyAlignment="1">
      <alignment horizontal="center"/>
    </xf>
    <xf numFmtId="0" fontId="113" fillId="0" borderId="26" xfId="0" applyFont="1" applyBorder="1" applyAlignment="1">
      <alignment horizontal="center"/>
    </xf>
    <xf numFmtId="0" fontId="107" fillId="0" borderId="26" xfId="0" applyFont="1" applyBorder="1"/>
    <xf numFmtId="165" fontId="110" fillId="0" borderId="26" xfId="1" applyFont="1" applyBorder="1"/>
    <xf numFmtId="0" fontId="110" fillId="0" borderId="26" xfId="0" applyFont="1" applyBorder="1"/>
    <xf numFmtId="165" fontId="110" fillId="0" borderId="47" xfId="1" applyFont="1" applyBorder="1"/>
    <xf numFmtId="166" fontId="110" fillId="0" borderId="49" xfId="4" applyFont="1" applyBorder="1" applyAlignment="1">
      <alignment horizontal="right"/>
    </xf>
    <xf numFmtId="0" fontId="110" fillId="0" borderId="26" xfId="0" applyFont="1" applyBorder="1" applyAlignment="1">
      <alignment horizontal="center"/>
    </xf>
    <xf numFmtId="0" fontId="91" fillId="0" borderId="26" xfId="0" applyFont="1" applyBorder="1"/>
    <xf numFmtId="165" fontId="14" fillId="2" borderId="0" xfId="0" applyNumberFormat="1" applyFont="1" applyFill="1"/>
    <xf numFmtId="165" fontId="43" fillId="2" borderId="0" xfId="0" applyNumberFormat="1" applyFont="1" applyFill="1"/>
    <xf numFmtId="0" fontId="107" fillId="0" borderId="26" xfId="0" applyFont="1" applyBorder="1" applyAlignment="1">
      <alignment horizontal="center"/>
    </xf>
    <xf numFmtId="165" fontId="71" fillId="0" borderId="87" xfId="1" applyFont="1" applyBorder="1" applyAlignment="1">
      <alignment horizontal="right"/>
    </xf>
    <xf numFmtId="0" fontId="30" fillId="0" borderId="4" xfId="0" applyFont="1" applyBorder="1" applyAlignment="1">
      <alignment horizontal="center"/>
    </xf>
    <xf numFmtId="0" fontId="30" fillId="0" borderId="4" xfId="0" applyFont="1" applyBorder="1"/>
    <xf numFmtId="49" fontId="30" fillId="0" borderId="4" xfId="0" applyNumberFormat="1" applyFont="1" applyBorder="1" applyAlignment="1">
      <alignment horizontal="center"/>
    </xf>
    <xf numFmtId="165" fontId="30" fillId="0" borderId="4" xfId="1" applyFont="1" applyBorder="1" applyAlignment="1">
      <alignment horizontal="right"/>
    </xf>
    <xf numFmtId="165" fontId="30" fillId="0" borderId="4" xfId="1" applyFont="1" applyBorder="1"/>
    <xf numFmtId="0" fontId="30" fillId="0" borderId="4" xfId="0" applyFont="1" applyBorder="1" applyAlignment="1">
      <alignment horizontal="left"/>
    </xf>
    <xf numFmtId="169" fontId="30" fillId="0" borderId="4" xfId="1" applyNumberFormat="1" applyFont="1" applyBorder="1" applyAlignment="1">
      <alignment horizontal="right"/>
    </xf>
    <xf numFmtId="0" fontId="104" fillId="0" borderId="4" xfId="0" applyFont="1" applyBorder="1"/>
    <xf numFmtId="169" fontId="104" fillId="0" borderId="4" xfId="1" applyNumberFormat="1" applyFont="1" applyBorder="1" applyAlignment="1">
      <alignment horizontal="right"/>
    </xf>
    <xf numFmtId="165" fontId="104" fillId="0" borderId="4" xfId="1" applyFont="1" applyBorder="1" applyAlignment="1">
      <alignment horizontal="right"/>
    </xf>
    <xf numFmtId="0" fontId="30" fillId="0" borderId="4" xfId="0" applyFont="1" applyBorder="1" applyAlignment="1">
      <alignment wrapText="1"/>
    </xf>
    <xf numFmtId="0" fontId="30" fillId="0" borderId="2" xfId="0" applyFont="1" applyBorder="1"/>
    <xf numFmtId="0" fontId="30" fillId="0" borderId="2" xfId="0" applyFont="1" applyBorder="1" applyAlignment="1">
      <alignment horizontal="center"/>
    </xf>
    <xf numFmtId="165" fontId="30" fillId="0" borderId="2" xfId="1" applyFont="1" applyBorder="1" applyAlignment="1">
      <alignment horizontal="right"/>
    </xf>
    <xf numFmtId="0" fontId="30" fillId="20" borderId="4" xfId="0" applyFont="1" applyFill="1" applyBorder="1"/>
    <xf numFmtId="0" fontId="104" fillId="0" borderId="4" xfId="0" applyFont="1" applyBorder="1" applyAlignment="1">
      <alignment horizontal="left"/>
    </xf>
    <xf numFmtId="49" fontId="104" fillId="0" borderId="4" xfId="0" applyNumberFormat="1" applyFont="1" applyBorder="1" applyAlignment="1">
      <alignment horizontal="center"/>
    </xf>
    <xf numFmtId="0" fontId="30" fillId="0" borderId="26" xfId="0" applyFont="1" applyBorder="1" applyAlignment="1">
      <alignment wrapText="1"/>
    </xf>
    <xf numFmtId="165" fontId="13" fillId="0" borderId="26" xfId="1" applyFont="1" applyBorder="1"/>
    <xf numFmtId="0" fontId="13" fillId="0" borderId="26" xfId="0" applyFont="1" applyBorder="1" applyAlignment="1">
      <alignment wrapText="1"/>
    </xf>
    <xf numFmtId="0" fontId="104" fillId="0" borderId="1" xfId="0" applyFont="1" applyBorder="1"/>
    <xf numFmtId="165" fontId="116" fillId="0" borderId="4" xfId="1" applyFont="1" applyBorder="1" applyAlignment="1">
      <alignment horizontal="right"/>
    </xf>
    <xf numFmtId="4" fontId="30" fillId="0" borderId="4" xfId="0" applyNumberFormat="1" applyFont="1" applyBorder="1" applyAlignment="1">
      <alignment horizontal="center"/>
    </xf>
    <xf numFmtId="165" fontId="104" fillId="0" borderId="4" xfId="1" applyFont="1" applyBorder="1"/>
    <xf numFmtId="10" fontId="104" fillId="0" borderId="4" xfId="0" applyNumberFormat="1" applyFont="1" applyBorder="1" applyAlignment="1">
      <alignment horizontal="center"/>
    </xf>
    <xf numFmtId="0" fontId="104" fillId="0" borderId="4" xfId="0" applyFont="1" applyBorder="1" applyAlignment="1">
      <alignment horizontal="center"/>
    </xf>
    <xf numFmtId="0" fontId="104" fillId="0" borderId="4" xfId="0" applyFont="1" applyBorder="1" applyAlignment="1">
      <alignment horizontal="center" vertical="center" wrapText="1"/>
    </xf>
    <xf numFmtId="0" fontId="117" fillId="0" borderId="0" xfId="0" applyFont="1"/>
    <xf numFmtId="49" fontId="110" fillId="0" borderId="2" xfId="0" applyNumberFormat="1" applyFont="1" applyBorder="1" applyAlignment="1">
      <alignment horizontal="center"/>
    </xf>
    <xf numFmtId="0" fontId="91" fillId="0" borderId="2" xfId="0" applyFont="1" applyBorder="1"/>
    <xf numFmtId="170" fontId="110" fillId="0" borderId="6" xfId="4" applyNumberFormat="1" applyFont="1" applyBorder="1" applyAlignment="1">
      <alignment horizontal="right"/>
    </xf>
    <xf numFmtId="0" fontId="0" fillId="0" borderId="36" xfId="0" applyBorder="1"/>
    <xf numFmtId="166" fontId="73" fillId="0" borderId="7" xfId="4" applyFont="1" applyBorder="1" applyAlignment="1">
      <alignment horizontal="right"/>
    </xf>
    <xf numFmtId="49" fontId="73" fillId="0" borderId="26" xfId="0" applyNumberFormat="1" applyFont="1" applyBorder="1"/>
    <xf numFmtId="166" fontId="73" fillId="0" borderId="26" xfId="4" applyFont="1" applyBorder="1" applyAlignment="1">
      <alignment horizontal="right"/>
    </xf>
    <xf numFmtId="0" fontId="91" fillId="0" borderId="26" xfId="0" applyFont="1" applyBorder="1" applyAlignment="1">
      <alignment wrapText="1"/>
    </xf>
    <xf numFmtId="49" fontId="73" fillId="0" borderId="2" xfId="0" applyNumberFormat="1" applyFont="1" applyBorder="1" applyAlignment="1">
      <alignment horizontal="center"/>
    </xf>
    <xf numFmtId="49" fontId="73" fillId="0" borderId="26" xfId="0" applyNumberFormat="1" applyFont="1" applyBorder="1" applyAlignment="1">
      <alignment horizontal="center"/>
    </xf>
    <xf numFmtId="49" fontId="107" fillId="13" borderId="82" xfId="0" applyNumberFormat="1" applyFont="1" applyFill="1" applyBorder="1" applyAlignment="1">
      <alignment horizontal="center"/>
    </xf>
    <xf numFmtId="49" fontId="107" fillId="13" borderId="62" xfId="0" applyNumberFormat="1" applyFont="1" applyFill="1" applyBorder="1" applyAlignment="1">
      <alignment horizontal="center"/>
    </xf>
    <xf numFmtId="166" fontId="73" fillId="13" borderId="73" xfId="4" applyFont="1" applyFill="1" applyBorder="1" applyAlignment="1">
      <alignment horizontal="right"/>
    </xf>
    <xf numFmtId="165" fontId="73" fillId="13" borderId="73" xfId="1" applyFont="1" applyFill="1" applyBorder="1" applyAlignment="1">
      <alignment horizontal="right"/>
    </xf>
    <xf numFmtId="0" fontId="39" fillId="13" borderId="0" xfId="0" applyFont="1" applyFill="1"/>
    <xf numFmtId="166" fontId="119" fillId="0" borderId="26" xfId="0" applyNumberFormat="1" applyFont="1" applyBorder="1" applyAlignment="1">
      <alignment horizontal="left" vertical="center" wrapText="1"/>
    </xf>
    <xf numFmtId="0" fontId="118" fillId="0" borderId="26" xfId="0" applyFont="1" applyBorder="1"/>
    <xf numFmtId="0" fontId="118" fillId="0" borderId="26" xfId="0" applyFont="1" applyBorder="1" applyAlignment="1">
      <alignment wrapText="1"/>
    </xf>
    <xf numFmtId="165" fontId="118" fillId="0" borderId="26" xfId="1" applyFont="1" applyBorder="1"/>
    <xf numFmtId="0" fontId="39" fillId="0" borderId="26" xfId="0" applyFont="1" applyBorder="1" applyAlignment="1">
      <alignment horizontal="left" wrapText="1"/>
    </xf>
    <xf numFmtId="164" fontId="39" fillId="0" borderId="26" xfId="1" applyNumberFormat="1" applyFont="1" applyBorder="1"/>
    <xf numFmtId="0" fontId="48" fillId="0" borderId="26" xfId="0" applyFont="1" applyBorder="1" applyAlignment="1">
      <alignment horizontal="center" wrapText="1"/>
    </xf>
    <xf numFmtId="0" fontId="39" fillId="0" borderId="26" xfId="0" applyFont="1" applyBorder="1" applyAlignment="1">
      <alignment horizontal="center"/>
    </xf>
    <xf numFmtId="0" fontId="39" fillId="0" borderId="26" xfId="0" applyFont="1" applyBorder="1" applyAlignment="1">
      <alignment horizontal="center" wrapText="1"/>
    </xf>
    <xf numFmtId="0" fontId="50" fillId="0" borderId="26" xfId="0" applyFont="1" applyBorder="1" applyAlignment="1">
      <alignment horizontal="left" vertical="center"/>
    </xf>
    <xf numFmtId="164" fontId="39" fillId="0" borderId="26" xfId="0" applyNumberFormat="1" applyFont="1" applyBorder="1"/>
    <xf numFmtId="0" fontId="47" fillId="0" borderId="26" xfId="0" applyFont="1" applyBorder="1" applyAlignment="1">
      <alignment horizontal="center"/>
    </xf>
    <xf numFmtId="165" fontId="52" fillId="0" borderId="26" xfId="0" applyNumberFormat="1" applyFont="1" applyBorder="1"/>
    <xf numFmtId="165" fontId="47" fillId="0" borderId="26" xfId="1" applyFont="1" applyBorder="1"/>
    <xf numFmtId="8" fontId="39" fillId="0" borderId="26" xfId="0" applyNumberFormat="1" applyFont="1" applyBorder="1"/>
    <xf numFmtId="165" fontId="39" fillId="0" borderId="26" xfId="1" applyFont="1" applyBorder="1" applyAlignment="1">
      <alignment horizontal="right"/>
    </xf>
    <xf numFmtId="0" fontId="118" fillId="0" borderId="26" xfId="0" applyFont="1" applyBorder="1" applyAlignment="1">
      <alignment horizontal="left" wrapText="1"/>
    </xf>
    <xf numFmtId="164" fontId="118" fillId="0" borderId="26" xfId="1" applyNumberFormat="1" applyFont="1" applyBorder="1"/>
    <xf numFmtId="0" fontId="118" fillId="0" borderId="26" xfId="0" applyFont="1" applyBorder="1" applyAlignment="1">
      <alignment horizontal="left" indent="2"/>
    </xf>
    <xf numFmtId="165" fontId="47" fillId="0" borderId="0" xfId="0" applyNumberFormat="1" applyFont="1"/>
    <xf numFmtId="165" fontId="54" fillId="0" borderId="26" xfId="1" applyFont="1" applyBorder="1"/>
    <xf numFmtId="0" fontId="118" fillId="0" borderId="0" xfId="0" applyFont="1"/>
    <xf numFmtId="171" fontId="39" fillId="0" borderId="26" xfId="0" applyNumberFormat="1" applyFont="1" applyBorder="1" applyAlignment="1">
      <alignment vertical="center"/>
    </xf>
    <xf numFmtId="165" fontId="39" fillId="0" borderId="26" xfId="1" applyFont="1" applyBorder="1" applyAlignment="1">
      <alignment vertical="center"/>
    </xf>
    <xf numFmtId="164" fontId="39" fillId="0" borderId="26" xfId="1" applyNumberFormat="1" applyFont="1" applyBorder="1" applyAlignment="1">
      <alignment vertical="center"/>
    </xf>
    <xf numFmtId="0" fontId="119" fillId="0" borderId="26" xfId="0" applyFont="1" applyBorder="1" applyAlignment="1">
      <alignment vertical="center" wrapText="1"/>
    </xf>
    <xf numFmtId="0" fontId="119" fillId="0" borderId="26" xfId="0" applyFont="1" applyBorder="1" applyAlignment="1">
      <alignment horizontal="left" wrapText="1"/>
    </xf>
    <xf numFmtId="0" fontId="55" fillId="0" borderId="26" xfId="0" applyFont="1" applyBorder="1" applyAlignment="1">
      <alignment horizontal="left" wrapText="1"/>
    </xf>
    <xf numFmtId="0" fontId="118" fillId="0" borderId="26" xfId="0" applyFont="1" applyBorder="1" applyAlignment="1">
      <alignment horizontal="center" wrapText="1"/>
    </xf>
    <xf numFmtId="0" fontId="52" fillId="0" borderId="26" xfId="0" applyFont="1" applyBorder="1" applyAlignment="1">
      <alignment horizontal="center" wrapText="1"/>
    </xf>
    <xf numFmtId="165" fontId="118" fillId="0" borderId="26" xfId="1" applyFont="1" applyBorder="1" applyAlignment="1">
      <alignment horizontal="right" wrapText="1"/>
    </xf>
    <xf numFmtId="6" fontId="47" fillId="0" borderId="26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171" fontId="39" fillId="0" borderId="0" xfId="0" applyNumberFormat="1" applyFont="1"/>
    <xf numFmtId="0" fontId="47" fillId="0" borderId="26" xfId="0" applyFont="1" applyBorder="1"/>
    <xf numFmtId="170" fontId="48" fillId="0" borderId="26" xfId="0" applyNumberFormat="1" applyFont="1" applyBorder="1"/>
    <xf numFmtId="167" fontId="48" fillId="0" borderId="26" xfId="0" applyNumberFormat="1" applyFont="1" applyBorder="1"/>
    <xf numFmtId="4" fontId="0" fillId="0" borderId="0" xfId="0" applyNumberFormat="1"/>
    <xf numFmtId="49" fontId="56" fillId="0" borderId="0" xfId="0" applyNumberFormat="1" applyFont="1" applyAlignment="1" applyProtection="1">
      <alignment horizontal="center" vertical="center"/>
      <protection hidden="1"/>
    </xf>
    <xf numFmtId="0" fontId="57" fillId="0" borderId="0" xfId="0" applyFont="1" applyAlignment="1">
      <alignment vertical="center" wrapText="1"/>
    </xf>
    <xf numFmtId="172" fontId="57" fillId="0" borderId="0" xfId="0" applyNumberFormat="1" applyFont="1"/>
    <xf numFmtId="172" fontId="41" fillId="0" borderId="0" xfId="0" applyNumberFormat="1" applyFont="1"/>
    <xf numFmtId="165" fontId="47" fillId="0" borderId="0" xfId="1" applyFont="1"/>
    <xf numFmtId="0" fontId="118" fillId="0" borderId="58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04" fillId="0" borderId="4" xfId="0" applyFont="1" applyBorder="1" applyAlignment="1">
      <alignment horizontal="center"/>
    </xf>
    <xf numFmtId="0" fontId="104" fillId="0" borderId="4" xfId="0" applyFont="1" applyBorder="1" applyAlignment="1">
      <alignment horizontal="center" vertical="center"/>
    </xf>
    <xf numFmtId="9" fontId="104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/>
    <xf numFmtId="0" fontId="104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9" fontId="12" fillId="0" borderId="4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9" fontId="10" fillId="0" borderId="0" xfId="0" applyNumberFormat="1" applyFont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4" fillId="2" borderId="0" xfId="0" applyFont="1" applyFill="1" applyAlignment="1">
      <alignment horizontal="left"/>
    </xf>
    <xf numFmtId="0" fontId="34" fillId="2" borderId="13" xfId="0" applyFont="1" applyFill="1" applyBorder="1" applyAlignment="1">
      <alignment horizontal="left"/>
    </xf>
    <xf numFmtId="0" fontId="21" fillId="3" borderId="14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 applyProtection="1">
      <alignment horizontal="center" vertical="center" textRotation="90" wrapText="1"/>
      <protection locked="0" hidden="1"/>
    </xf>
    <xf numFmtId="0" fontId="17" fillId="3" borderId="37" xfId="0" applyFont="1" applyFill="1" applyBorder="1" applyAlignment="1" applyProtection="1">
      <alignment horizontal="center" vertical="center" textRotation="90" wrapText="1"/>
      <protection locked="0" hidden="1"/>
    </xf>
    <xf numFmtId="0" fontId="77" fillId="0" borderId="0" xfId="0" applyFont="1" applyAlignment="1">
      <alignment horizontal="left"/>
    </xf>
    <xf numFmtId="0" fontId="24" fillId="0" borderId="1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9" fontId="10" fillId="0" borderId="4" xfId="0" applyNumberFormat="1" applyFont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20" fillId="2" borderId="13" xfId="0" applyFont="1" applyFill="1" applyBorder="1" applyAlignment="1">
      <alignment horizontal="left"/>
    </xf>
    <xf numFmtId="0" fontId="86" fillId="0" borderId="11" xfId="0" applyFont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85" fillId="0" borderId="11" xfId="0" applyFont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 vertical="center" textRotation="90" wrapText="1"/>
    </xf>
    <xf numFmtId="0" fontId="17" fillId="6" borderId="37" xfId="0" applyFont="1" applyFill="1" applyBorder="1" applyAlignment="1">
      <alignment horizontal="center" vertical="center" textRotation="90" wrapText="1"/>
    </xf>
    <xf numFmtId="0" fontId="17" fillId="6" borderId="42" xfId="0" applyFont="1" applyFill="1" applyBorder="1" applyAlignment="1">
      <alignment horizontal="center" vertical="center" textRotation="90" wrapText="1"/>
    </xf>
    <xf numFmtId="0" fontId="17" fillId="7" borderId="16" xfId="0" applyFont="1" applyFill="1" applyBorder="1" applyAlignment="1">
      <alignment horizontal="center" vertical="center" wrapText="1"/>
    </xf>
    <xf numFmtId="0" fontId="17" fillId="7" borderId="37" xfId="0" applyFont="1" applyFill="1" applyBorder="1" applyAlignment="1">
      <alignment horizontal="center" vertical="center" wrapText="1"/>
    </xf>
    <xf numFmtId="0" fontId="17" fillId="7" borderId="42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/>
    </xf>
    <xf numFmtId="0" fontId="17" fillId="8" borderId="15" xfId="0" applyFont="1" applyFill="1" applyBorder="1" applyAlignment="1">
      <alignment horizontal="center"/>
    </xf>
    <xf numFmtId="0" fontId="17" fillId="8" borderId="38" xfId="0" applyFont="1" applyFill="1" applyBorder="1" applyAlignment="1">
      <alignment horizontal="center"/>
    </xf>
    <xf numFmtId="0" fontId="17" fillId="9" borderId="39" xfId="0" applyFont="1" applyFill="1" applyBorder="1" applyAlignment="1">
      <alignment horizontal="center" vertical="center" textRotation="90" wrapText="1"/>
    </xf>
    <xf numFmtId="0" fontId="17" fillId="9" borderId="41" xfId="0" applyFont="1" applyFill="1" applyBorder="1" applyAlignment="1">
      <alignment horizontal="center" vertical="center" textRotation="90" wrapText="1"/>
    </xf>
    <xf numFmtId="0" fontId="17" fillId="9" borderId="43" xfId="0" applyFont="1" applyFill="1" applyBorder="1" applyAlignment="1">
      <alignment horizontal="center" vertical="center" textRotation="90" wrapText="1"/>
    </xf>
    <xf numFmtId="0" fontId="17" fillId="9" borderId="16" xfId="0" applyFont="1" applyFill="1" applyBorder="1" applyAlignment="1" applyProtection="1">
      <alignment horizontal="center" vertical="center" textRotation="90" wrapText="1"/>
      <protection locked="0" hidden="1"/>
    </xf>
    <xf numFmtId="0" fontId="17" fillId="9" borderId="37" xfId="0" applyFont="1" applyFill="1" applyBorder="1" applyAlignment="1" applyProtection="1">
      <alignment horizontal="center" vertical="center" textRotation="90" wrapText="1"/>
      <protection locked="0" hidden="1"/>
    </xf>
    <xf numFmtId="0" fontId="17" fillId="9" borderId="42" xfId="0" applyFont="1" applyFill="1" applyBorder="1" applyAlignment="1" applyProtection="1">
      <alignment horizontal="center" vertical="center" textRotation="90" wrapText="1"/>
      <protection locked="0" hidden="1"/>
    </xf>
    <xf numFmtId="0" fontId="21" fillId="8" borderId="14" xfId="0" applyFont="1" applyFill="1" applyBorder="1" applyAlignment="1">
      <alignment horizontal="center"/>
    </xf>
    <xf numFmtId="0" fontId="21" fillId="8" borderId="38" xfId="0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justify"/>
    </xf>
    <xf numFmtId="0" fontId="17" fillId="2" borderId="0" xfId="0" applyFont="1" applyFill="1" applyAlignment="1">
      <alignment horizontal="center"/>
    </xf>
    <xf numFmtId="0" fontId="44" fillId="0" borderId="0" xfId="0" applyFont="1" applyAlignment="1">
      <alignment horizontal="center"/>
    </xf>
    <xf numFmtId="0" fontId="17" fillId="9" borderId="16" xfId="0" applyFont="1" applyFill="1" applyBorder="1" applyAlignment="1">
      <alignment horizontal="center" vertical="center" textRotation="90" wrapText="1"/>
    </xf>
    <xf numFmtId="0" fontId="17" fillId="9" borderId="42" xfId="0" applyFont="1" applyFill="1" applyBorder="1" applyAlignment="1">
      <alignment horizontal="center" vertical="center" textRotation="90" wrapText="1"/>
    </xf>
    <xf numFmtId="0" fontId="47" fillId="0" borderId="26" xfId="0" applyFont="1" applyBorder="1" applyAlignment="1">
      <alignment horizontal="center"/>
    </xf>
    <xf numFmtId="0" fontId="46" fillId="0" borderId="47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0" fontId="46" fillId="0" borderId="26" xfId="0" applyFont="1" applyBorder="1" applyAlignment="1">
      <alignment horizontal="center"/>
    </xf>
    <xf numFmtId="0" fontId="52" fillId="0" borderId="26" xfId="0" applyFont="1" applyBorder="1" applyAlignment="1">
      <alignment horizontal="center"/>
    </xf>
    <xf numFmtId="0" fontId="17" fillId="3" borderId="42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 applyProtection="1">
      <alignment horizontal="center" vertical="center" textRotation="90" wrapText="1"/>
      <protection locked="0" hidden="1"/>
    </xf>
    <xf numFmtId="49" fontId="16" fillId="2" borderId="0" xfId="0" applyNumberFormat="1" applyFont="1" applyFill="1" applyAlignment="1">
      <alignment horizontal="left"/>
    </xf>
    <xf numFmtId="0" fontId="82" fillId="0" borderId="4" xfId="0" applyFont="1" applyBorder="1" applyAlignment="1">
      <alignment horizontal="center"/>
    </xf>
    <xf numFmtId="0" fontId="7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2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77" fillId="0" borderId="0" xfId="0" applyFont="1" applyAlignment="1">
      <alignment horizontal="left" wrapText="1"/>
    </xf>
    <xf numFmtId="0" fontId="82" fillId="0" borderId="0" xfId="0" applyFont="1" applyAlignment="1">
      <alignment horizontal="center"/>
    </xf>
    <xf numFmtId="0" fontId="82" fillId="0" borderId="0" xfId="0" applyFont="1" applyAlignment="1">
      <alignment horizontal="center" wrapText="1"/>
    </xf>
    <xf numFmtId="0" fontId="81" fillId="0" borderId="0" xfId="0" applyFont="1" applyAlignment="1">
      <alignment horizontal="center" wrapText="1"/>
    </xf>
    <xf numFmtId="0" fontId="82" fillId="0" borderId="5" xfId="0" applyFont="1" applyBorder="1" applyAlignment="1">
      <alignment horizontal="center"/>
    </xf>
    <xf numFmtId="0" fontId="82" fillId="0" borderId="61" xfId="0" applyFont="1" applyBorder="1" applyAlignment="1">
      <alignment horizontal="center"/>
    </xf>
    <xf numFmtId="0" fontId="82" fillId="0" borderId="4" xfId="0" applyFont="1" applyBorder="1" applyAlignment="1">
      <alignment horizontal="left"/>
    </xf>
    <xf numFmtId="0" fontId="82" fillId="0" borderId="1" xfId="0" applyFont="1" applyBorder="1" applyAlignment="1">
      <alignment horizontal="center" wrapText="1"/>
    </xf>
    <xf numFmtId="0" fontId="82" fillId="0" borderId="3" xfId="0" applyFont="1" applyBorder="1" applyAlignment="1">
      <alignment horizontal="center" wrapText="1"/>
    </xf>
    <xf numFmtId="0" fontId="82" fillId="0" borderId="4" xfId="0" applyFont="1" applyBorder="1" applyAlignment="1">
      <alignment horizontal="center" wrapText="1"/>
    </xf>
    <xf numFmtId="0" fontId="8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22" borderId="85" xfId="0" applyFont="1" applyFill="1" applyBorder="1" applyAlignment="1">
      <alignment horizontal="center"/>
    </xf>
    <xf numFmtId="0" fontId="93" fillId="0" borderId="71" xfId="0" applyFont="1" applyBorder="1" applyAlignment="1">
      <alignment horizontal="left"/>
    </xf>
    <xf numFmtId="0" fontId="0" fillId="0" borderId="73" xfId="0" applyBorder="1"/>
    <xf numFmtId="49" fontId="93" fillId="23" borderId="85" xfId="0" applyNumberFormat="1" applyFont="1" applyFill="1" applyBorder="1" applyAlignment="1">
      <alignment horizontal="center"/>
    </xf>
    <xf numFmtId="0" fontId="93" fillId="23" borderId="87" xfId="0" applyFont="1" applyFill="1" applyBorder="1" applyAlignment="1">
      <alignment horizontal="center"/>
    </xf>
    <xf numFmtId="0" fontId="97" fillId="23" borderId="73" xfId="0" applyFont="1" applyFill="1" applyBorder="1" applyAlignment="1">
      <alignment horizontal="center"/>
    </xf>
    <xf numFmtId="0" fontId="0" fillId="0" borderId="71" xfId="0" applyBorder="1"/>
    <xf numFmtId="0" fontId="93" fillId="0" borderId="0" xfId="0" applyFont="1" applyAlignment="1">
      <alignment horizontal="center"/>
    </xf>
    <xf numFmtId="0" fontId="94" fillId="23" borderId="87" xfId="0" applyFont="1" applyFill="1" applyBorder="1" applyAlignment="1">
      <alignment horizontal="center"/>
    </xf>
    <xf numFmtId="49" fontId="94" fillId="23" borderId="71" xfId="0" applyNumberFormat="1" applyFont="1" applyFill="1" applyBorder="1" applyAlignment="1">
      <alignment horizontal="center"/>
    </xf>
    <xf numFmtId="0" fontId="94" fillId="23" borderId="71" xfId="0" applyFont="1" applyFill="1" applyBorder="1" applyAlignment="1">
      <alignment horizontal="center"/>
    </xf>
    <xf numFmtId="0" fontId="95" fillId="23" borderId="73" xfId="0" applyFont="1" applyFill="1" applyBorder="1" applyAlignment="1">
      <alignment horizontal="center"/>
    </xf>
    <xf numFmtId="0" fontId="0" fillId="0" borderId="87" xfId="0" applyBorder="1"/>
    <xf numFmtId="0" fontId="9" fillId="0" borderId="0" xfId="0" applyFont="1" applyAlignment="1">
      <alignment horizontal="center"/>
    </xf>
    <xf numFmtId="49" fontId="93" fillId="23" borderId="71" xfId="0" applyNumberFormat="1" applyFont="1" applyFill="1" applyBorder="1" applyAlignment="1">
      <alignment horizontal="center"/>
    </xf>
    <xf numFmtId="0" fontId="93" fillId="23" borderId="71" xfId="0" applyFont="1" applyFill="1" applyBorder="1" applyAlignment="1">
      <alignment horizontal="center"/>
    </xf>
    <xf numFmtId="0" fontId="4" fillId="24" borderId="4" xfId="0" applyFont="1" applyFill="1" applyBorder="1" applyAlignment="1">
      <alignment horizontal="center"/>
    </xf>
    <xf numFmtId="0" fontId="4" fillId="24" borderId="4" xfId="0" applyFont="1" applyFill="1" applyBorder="1" applyAlignment="1">
      <alignment horizontal="center" vertical="center"/>
    </xf>
    <xf numFmtId="0" fontId="3" fillId="24" borderId="93" xfId="0" applyFont="1" applyFill="1" applyBorder="1"/>
    <xf numFmtId="0" fontId="73" fillId="13" borderId="85" xfId="0" applyFont="1" applyFill="1" applyBorder="1" applyAlignment="1">
      <alignment horizontal="center" vertical="center" wrapText="1"/>
    </xf>
    <xf numFmtId="0" fontId="114" fillId="13" borderId="85" xfId="0" applyFont="1" applyFill="1" applyBorder="1"/>
    <xf numFmtId="0" fontId="114" fillId="13" borderId="73" xfId="0" applyFont="1" applyFill="1" applyBorder="1"/>
    <xf numFmtId="49" fontId="73" fillId="0" borderId="0" xfId="0" applyNumberFormat="1" applyFont="1" applyAlignment="1">
      <alignment horizontal="center"/>
    </xf>
    <xf numFmtId="49" fontId="115" fillId="0" borderId="0" xfId="0" applyNumberFormat="1" applyFont="1" applyAlignment="1">
      <alignment horizontal="center"/>
    </xf>
    <xf numFmtId="49" fontId="73" fillId="0" borderId="62" xfId="0" applyNumberFormat="1" applyFont="1" applyBorder="1" applyAlignment="1">
      <alignment horizontal="center"/>
    </xf>
    <xf numFmtId="49" fontId="107" fillId="13" borderId="87" xfId="0" applyNumberFormat="1" applyFont="1" applyFill="1" applyBorder="1" applyAlignment="1">
      <alignment horizontal="center" wrapText="1"/>
    </xf>
    <xf numFmtId="49" fontId="107" fillId="13" borderId="73" xfId="0" applyNumberFormat="1" applyFont="1" applyFill="1" applyBorder="1" applyAlignment="1">
      <alignment horizontal="center" wrapText="1"/>
    </xf>
    <xf numFmtId="44" fontId="39" fillId="0" borderId="26" xfId="1" applyNumberFormat="1" applyFont="1" applyBorder="1"/>
  </cellXfs>
  <cellStyles count="8">
    <cellStyle name="Euro" xfId="2" xr:uid="{00000000-0005-0000-0000-000000000000}"/>
    <cellStyle name="Hipervínculo" xfId="7" builtinId="8"/>
    <cellStyle name="Millares" xfId="4" builtinId="3"/>
    <cellStyle name="Millares_bienes y servicios 2003 juayua" xfId="3" xr:uid="{00000000-0005-0000-0000-000003000000}"/>
    <cellStyle name="Millares_Presupuesto_Ingresos2003" xfId="6" xr:uid="{00000000-0005-0000-0000-000004000000}"/>
    <cellStyle name="Moneda" xfId="1" builtinId="4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\Desktop\PRESUPUESTO%202015\PROYECCION%20FONDOS%20PROPIOS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.INGRESOS 2015"/>
      <sheetName val="RESUMEN GENERAL 2015"/>
      <sheetName val="ESTRUCTURA PRESUPUESTARIA"/>
      <sheetName val="CUADRO RESUMEN INGRESOS Y EGRES"/>
      <sheetName val="CUADRO RESUMEN CLASIFICACION IN"/>
      <sheetName val="DETALLE DE INGRESOS"/>
      <sheetName val="DETALLE DE EGRESOS"/>
      <sheetName val="LT 0101"/>
      <sheetName val="LT 0102"/>
      <sheetName val="LT 0103"/>
      <sheetName val="LT 0104"/>
      <sheetName val="LT 0105"/>
      <sheetName val="LT 0106"/>
      <sheetName val="LT 0201"/>
      <sheetName val="LT 0202"/>
      <sheetName val="LT 0203"/>
      <sheetName val="LT 0204"/>
      <sheetName val="LT 0205"/>
      <sheetName val="LT 0301"/>
      <sheetName val="LT 0302"/>
      <sheetName val="LT 0303"/>
      <sheetName val="LT 0304"/>
      <sheetName val="LT 0305"/>
      <sheetName val="LT 0306"/>
      <sheetName val="LT 0307"/>
      <sheetName val="LT 0308"/>
      <sheetName val="LT 0309"/>
      <sheetName val="LT 0310"/>
      <sheetName val="LT 0401"/>
      <sheetName val="LT 0402"/>
      <sheetName val="LT 0403 PROY.DONACIONES"/>
      <sheetName val="LT 0501 FINANCIAMIENTO DEUDA"/>
      <sheetName val="LT 0601 FORTALECIMIENTO GOB.LOC"/>
      <sheetName val="PROYEC.RECURSOS HUMANOS"/>
      <sheetName val="LISTADE PROYECTOS 2015"/>
      <sheetName val="Hoja13"/>
      <sheetName val="Hoja14"/>
      <sheetName val="Hoja15"/>
      <sheetName val="Hoja16"/>
      <sheetName val="Hoja17"/>
      <sheetName val="Hoja18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</sheetData>
      <sheetData sheetId="8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9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10"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</sheetData>
      <sheetData sheetId="11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12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13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14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15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16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17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18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19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20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21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22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23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24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25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26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27">
        <row r="16">
          <cell r="D16">
            <v>0</v>
          </cell>
        </row>
        <row r="17">
          <cell r="D17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0</v>
          </cell>
        </row>
        <row r="60">
          <cell r="D60">
            <v>0</v>
          </cell>
        </row>
        <row r="64">
          <cell r="D64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102">
          <cell r="D102">
            <v>0</v>
          </cell>
        </row>
        <row r="103">
          <cell r="D103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9">
          <cell r="D139">
            <v>0</v>
          </cell>
        </row>
        <row r="140">
          <cell r="D140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5"/>
  <sheetViews>
    <sheetView workbookViewId="0">
      <pane xSplit="2" ySplit="7" topLeftCell="Y50" activePane="bottomRight" state="frozen"/>
      <selection pane="topRight" activeCell="C1" sqref="C1"/>
      <selection pane="bottomLeft" activeCell="A8" sqref="A8"/>
      <selection pane="bottomRight" activeCell="AF64" sqref="AF64"/>
    </sheetView>
  </sheetViews>
  <sheetFormatPr baseColWidth="10" defaultRowHeight="15"/>
  <cols>
    <col min="2" max="2" width="62.85546875" customWidth="1"/>
    <col min="3" max="4" width="19.42578125" customWidth="1"/>
    <col min="5" max="5" width="21.140625" customWidth="1"/>
    <col min="6" max="6" width="22" customWidth="1"/>
    <col min="7" max="7" width="20.7109375" customWidth="1"/>
    <col min="8" max="31" width="20.140625" customWidth="1"/>
    <col min="32" max="32" width="22.5703125" customWidth="1"/>
    <col min="33" max="33" width="27.5703125" customWidth="1"/>
  </cols>
  <sheetData>
    <row r="1" spans="1:32" ht="30">
      <c r="A1" s="624" t="s">
        <v>0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  <c r="V1" s="624"/>
      <c r="W1" s="624"/>
      <c r="X1" s="624"/>
      <c r="Y1" s="624"/>
      <c r="Z1" s="624"/>
      <c r="AA1" s="624"/>
      <c r="AB1" s="624"/>
      <c r="AC1" s="624"/>
      <c r="AD1" s="624"/>
      <c r="AE1" s="624"/>
      <c r="AF1" s="624"/>
    </row>
    <row r="2" spans="1:32" ht="30">
      <c r="A2" s="625" t="s">
        <v>1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625"/>
    </row>
    <row r="3" spans="1:32" ht="30">
      <c r="A3" s="626" t="s">
        <v>2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26"/>
      <c r="S3" s="626"/>
      <c r="T3" s="626"/>
      <c r="U3" s="626"/>
      <c r="V3" s="626"/>
      <c r="W3" s="626"/>
      <c r="X3" s="626"/>
      <c r="Y3" s="626"/>
      <c r="Z3" s="626"/>
      <c r="AA3" s="626"/>
      <c r="AB3" s="626"/>
      <c r="AC3" s="626"/>
      <c r="AD3" s="626"/>
      <c r="AE3" s="626"/>
      <c r="AF3" s="626"/>
    </row>
    <row r="4" spans="1:32" ht="30">
      <c r="A4" s="625" t="s">
        <v>142</v>
      </c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5"/>
      <c r="U4" s="625"/>
      <c r="V4" s="625"/>
      <c r="W4" s="625"/>
      <c r="X4" s="625"/>
      <c r="Y4" s="625"/>
      <c r="Z4" s="625"/>
      <c r="AA4" s="625"/>
      <c r="AB4" s="625"/>
      <c r="AC4" s="625"/>
      <c r="AD4" s="625"/>
      <c r="AE4" s="625"/>
      <c r="AF4" s="625"/>
    </row>
    <row r="5" spans="1:32" ht="30">
      <c r="A5" s="627" t="s">
        <v>3</v>
      </c>
      <c r="B5" s="627"/>
      <c r="C5" s="627"/>
      <c r="D5" s="627"/>
      <c r="E5" s="627"/>
      <c r="F5" s="627"/>
      <c r="G5" s="627"/>
      <c r="H5" s="627"/>
      <c r="I5" s="627"/>
      <c r="J5" s="627"/>
      <c r="K5" s="627"/>
      <c r="L5" s="627"/>
      <c r="M5" s="627"/>
      <c r="N5" s="627"/>
      <c r="O5" s="627"/>
      <c r="P5" s="627"/>
      <c r="Q5" s="627"/>
      <c r="R5" s="627"/>
      <c r="S5" s="627"/>
      <c r="T5" s="627"/>
      <c r="U5" s="627"/>
      <c r="V5" s="627"/>
      <c r="W5" s="627"/>
      <c r="X5" s="627"/>
      <c r="Y5" s="627"/>
      <c r="Z5" s="627"/>
      <c r="AA5" s="627"/>
      <c r="AB5" s="627"/>
      <c r="AC5" s="627"/>
      <c r="AD5" s="627"/>
      <c r="AE5" s="627"/>
      <c r="AF5" s="627"/>
    </row>
    <row r="6" spans="1:32" ht="18">
      <c r="A6" s="621" t="s">
        <v>4</v>
      </c>
      <c r="B6" s="621"/>
      <c r="C6" s="621"/>
      <c r="D6" s="621"/>
      <c r="E6" s="621"/>
      <c r="F6" s="62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622" t="s">
        <v>5</v>
      </c>
    </row>
    <row r="7" spans="1:32" ht="116.25" customHeight="1">
      <c r="A7" s="2" t="s">
        <v>6</v>
      </c>
      <c r="B7" s="2" t="s">
        <v>7</v>
      </c>
      <c r="C7" s="414" t="s">
        <v>143</v>
      </c>
      <c r="D7" s="414" t="s">
        <v>144</v>
      </c>
      <c r="E7" s="414" t="s">
        <v>145</v>
      </c>
      <c r="F7" s="414" t="s">
        <v>146</v>
      </c>
      <c r="G7" s="414" t="s">
        <v>147</v>
      </c>
      <c r="H7" s="414" t="s">
        <v>148</v>
      </c>
      <c r="I7" s="414" t="s">
        <v>167</v>
      </c>
      <c r="J7" s="414" t="s">
        <v>166</v>
      </c>
      <c r="K7" s="414" t="s">
        <v>149</v>
      </c>
      <c r="L7" s="414" t="s">
        <v>150</v>
      </c>
      <c r="M7" s="414" t="s">
        <v>165</v>
      </c>
      <c r="N7" s="414" t="s">
        <v>151</v>
      </c>
      <c r="O7" s="414" t="s">
        <v>152</v>
      </c>
      <c r="P7" s="414" t="s">
        <v>153</v>
      </c>
      <c r="Q7" s="414" t="s">
        <v>154</v>
      </c>
      <c r="R7" s="414" t="s">
        <v>155</v>
      </c>
      <c r="S7" s="414" t="s">
        <v>156</v>
      </c>
      <c r="T7" s="414" t="s">
        <v>157</v>
      </c>
      <c r="U7" s="414" t="s">
        <v>158</v>
      </c>
      <c r="V7" s="414" t="s">
        <v>160</v>
      </c>
      <c r="W7" s="414" t="s">
        <v>161</v>
      </c>
      <c r="X7" s="414" t="s">
        <v>162</v>
      </c>
      <c r="Y7" s="414" t="s">
        <v>163</v>
      </c>
      <c r="Z7" s="414" t="s">
        <v>164</v>
      </c>
      <c r="AA7" s="414" t="s">
        <v>649</v>
      </c>
      <c r="AB7" s="414" t="s">
        <v>759</v>
      </c>
      <c r="AC7" s="414" t="s">
        <v>760</v>
      </c>
      <c r="AD7" s="414" t="s">
        <v>761</v>
      </c>
      <c r="AE7" s="414" t="s">
        <v>762</v>
      </c>
      <c r="AF7" s="623"/>
    </row>
    <row r="8" spans="1:32" ht="18.75">
      <c r="A8" s="3">
        <v>51</v>
      </c>
      <c r="B8" s="421" t="s">
        <v>8</v>
      </c>
      <c r="C8" s="416">
        <f t="shared" ref="C8:Z8" si="0">SUM(C9,C14,C18,C21,C23,C25,C31)</f>
        <v>0</v>
      </c>
      <c r="D8" s="416">
        <f t="shared" si="0"/>
        <v>0</v>
      </c>
      <c r="E8" s="416">
        <f t="shared" si="0"/>
        <v>500</v>
      </c>
      <c r="F8" s="416">
        <f t="shared" si="0"/>
        <v>500</v>
      </c>
      <c r="G8" s="416">
        <f t="shared" si="0"/>
        <v>1510</v>
      </c>
      <c r="H8" s="416">
        <f t="shared" si="0"/>
        <v>0</v>
      </c>
      <c r="I8" s="416">
        <f t="shared" si="0"/>
        <v>0</v>
      </c>
      <c r="J8" s="416">
        <f t="shared" si="0"/>
        <v>0</v>
      </c>
      <c r="K8" s="416">
        <f t="shared" si="0"/>
        <v>0</v>
      </c>
      <c r="L8" s="416">
        <f t="shared" si="0"/>
        <v>0</v>
      </c>
      <c r="M8" s="416">
        <f t="shared" si="0"/>
        <v>0</v>
      </c>
      <c r="N8" s="416">
        <f t="shared" si="0"/>
        <v>0</v>
      </c>
      <c r="O8" s="416">
        <f t="shared" si="0"/>
        <v>0</v>
      </c>
      <c r="P8" s="416">
        <f t="shared" si="0"/>
        <v>0</v>
      </c>
      <c r="Q8" s="416"/>
      <c r="R8" s="416">
        <f>SUM(R9,R14,R18,R21,R23,R25,R31)</f>
        <v>0</v>
      </c>
      <c r="S8" s="416">
        <f t="shared" si="0"/>
        <v>300</v>
      </c>
      <c r="T8" s="416">
        <f t="shared" si="0"/>
        <v>0</v>
      </c>
      <c r="U8" s="416">
        <f t="shared" si="0"/>
        <v>11049.95</v>
      </c>
      <c r="V8" s="416">
        <f t="shared" si="0"/>
        <v>0</v>
      </c>
      <c r="W8" s="416">
        <f t="shared" si="0"/>
        <v>0</v>
      </c>
      <c r="X8" s="416">
        <f t="shared" si="0"/>
        <v>0</v>
      </c>
      <c r="Y8" s="416">
        <f t="shared" si="0"/>
        <v>0</v>
      </c>
      <c r="Z8" s="416">
        <f t="shared" si="0"/>
        <v>0</v>
      </c>
      <c r="AA8" s="416"/>
      <c r="AB8" s="82"/>
      <c r="AC8" s="416"/>
      <c r="AD8" s="416"/>
      <c r="AE8" s="416"/>
      <c r="AF8" s="486">
        <f t="shared" ref="AF8:AF40" si="1">SUM(C8:Z8)</f>
        <v>13859.95</v>
      </c>
    </row>
    <row r="9" spans="1:32" ht="18.75">
      <c r="A9" s="6">
        <v>511</v>
      </c>
      <c r="B9" s="422" t="s">
        <v>9</v>
      </c>
      <c r="C9" s="417">
        <f t="shared" ref="C9:Z9" si="2">SUM(C10:C13)</f>
        <v>0</v>
      </c>
      <c r="D9" s="417">
        <f t="shared" si="2"/>
        <v>0</v>
      </c>
      <c r="E9" s="417">
        <f t="shared" si="2"/>
        <v>0</v>
      </c>
      <c r="F9" s="417">
        <f t="shared" si="2"/>
        <v>0</v>
      </c>
      <c r="G9" s="417">
        <f t="shared" si="2"/>
        <v>0</v>
      </c>
      <c r="H9" s="417">
        <f t="shared" si="2"/>
        <v>0</v>
      </c>
      <c r="I9" s="417">
        <f t="shared" si="2"/>
        <v>0</v>
      </c>
      <c r="J9" s="417">
        <f t="shared" si="2"/>
        <v>0</v>
      </c>
      <c r="K9" s="417">
        <f t="shared" si="2"/>
        <v>0</v>
      </c>
      <c r="L9" s="417">
        <f t="shared" si="2"/>
        <v>0</v>
      </c>
      <c r="M9" s="417">
        <f t="shared" si="2"/>
        <v>0</v>
      </c>
      <c r="N9" s="417">
        <f t="shared" si="2"/>
        <v>0</v>
      </c>
      <c r="O9" s="417">
        <f t="shared" si="2"/>
        <v>0</v>
      </c>
      <c r="P9" s="417">
        <f t="shared" si="2"/>
        <v>0</v>
      </c>
      <c r="Q9" s="417"/>
      <c r="R9" s="417">
        <f t="shared" si="2"/>
        <v>0</v>
      </c>
      <c r="S9" s="417">
        <f t="shared" si="2"/>
        <v>0</v>
      </c>
      <c r="T9" s="417">
        <f t="shared" si="2"/>
        <v>0</v>
      </c>
      <c r="U9" s="417">
        <f t="shared" si="2"/>
        <v>49.95</v>
      </c>
      <c r="V9" s="417">
        <f t="shared" si="2"/>
        <v>0</v>
      </c>
      <c r="W9" s="417">
        <f t="shared" si="2"/>
        <v>0</v>
      </c>
      <c r="X9" s="417">
        <f t="shared" si="2"/>
        <v>0</v>
      </c>
      <c r="Y9" s="417">
        <f t="shared" si="2"/>
        <v>0</v>
      </c>
      <c r="Z9" s="417">
        <f t="shared" si="2"/>
        <v>0</v>
      </c>
      <c r="AA9" s="417"/>
      <c r="AB9" s="82"/>
      <c r="AC9" s="417"/>
      <c r="AD9" s="417"/>
      <c r="AE9" s="417"/>
      <c r="AF9" s="486">
        <f t="shared" si="1"/>
        <v>49.95</v>
      </c>
    </row>
    <row r="10" spans="1:32" ht="18.75">
      <c r="A10" s="10" t="s">
        <v>10</v>
      </c>
      <c r="B10" s="423" t="s">
        <v>11</v>
      </c>
      <c r="C10" s="118"/>
      <c r="D10" s="118"/>
      <c r="E10" s="118">
        <v>0</v>
      </c>
      <c r="F10" s="118">
        <v>0</v>
      </c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82"/>
      <c r="AC10" s="118"/>
      <c r="AD10" s="118"/>
      <c r="AE10" s="118"/>
      <c r="AF10" s="486">
        <f t="shared" si="1"/>
        <v>0</v>
      </c>
    </row>
    <row r="11" spans="1:32" ht="18.75">
      <c r="A11" s="10" t="s">
        <v>12</v>
      </c>
      <c r="B11" s="423" t="s">
        <v>13</v>
      </c>
      <c r="C11" s="118"/>
      <c r="D11" s="118"/>
      <c r="E11" s="118">
        <v>0</v>
      </c>
      <c r="F11" s="118">
        <v>0</v>
      </c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82"/>
      <c r="AC11" s="118"/>
      <c r="AD11" s="118"/>
      <c r="AE11" s="118"/>
      <c r="AF11" s="486">
        <f t="shared" si="1"/>
        <v>0</v>
      </c>
    </row>
    <row r="12" spans="1:32" ht="18.75">
      <c r="A12" s="10" t="s">
        <v>14</v>
      </c>
      <c r="B12" s="423" t="s">
        <v>15</v>
      </c>
      <c r="C12" s="118"/>
      <c r="D12" s="118"/>
      <c r="E12" s="118">
        <v>0</v>
      </c>
      <c r="F12" s="118">
        <f>+'[1]LT 0102'!D16+'[1]LT 0103'!D16+'[1]LT 0105'!D16+'[1]LT 0106'!D16+'[1]LT 0201'!D16+'[1]LT 0202'!D16+'[1]LT 0203'!D16+'[1]LT 0204'!D16+'[1]LT 0205'!D16+'[1]LT 0301'!D16+'[1]LT 0302'!D16+'[1]LT 0303'!D16+'[1]LT 0304'!D16+'[1]LT 0305'!D16+'[1]LT 0306'!D16+'[1]LT 0307'!D16+'[1]LT 0308'!D16+'[1]LT 0309'!D16+'[1]LT 0310'!D16</f>
        <v>0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82"/>
      <c r="AC12" s="118"/>
      <c r="AD12" s="118"/>
      <c r="AE12" s="118"/>
      <c r="AF12" s="486">
        <f t="shared" si="1"/>
        <v>0</v>
      </c>
    </row>
    <row r="13" spans="1:32" ht="18.75">
      <c r="A13" s="10" t="s">
        <v>16</v>
      </c>
      <c r="B13" s="423" t="s">
        <v>17</v>
      </c>
      <c r="C13" s="118"/>
      <c r="D13" s="118"/>
      <c r="E13" s="118">
        <v>0</v>
      </c>
      <c r="F13" s="118">
        <f>+'[1]LT 0102'!D17+'[1]LT 0103'!D17+'[1]LT 0105'!D17+'[1]LT 0106'!D17+'[1]LT 0201'!D17+'[1]LT 0202'!D17+'[1]LT 0203'!D17+'[1]LT 0204'!D17+'[1]LT 0205'!D17+'[1]LT 0301'!D17+'[1]LT 0302'!D17+'[1]LT 0303'!D17+'[1]LT 0304'!D17+'[1]LT 0305'!D17+'[1]LT 0306'!D17+'[1]LT 0307'!D17+'[1]LT 0308'!D17+'[1]LT 0309'!D17+'[1]LT 0310'!D17</f>
        <v>0</v>
      </c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>
        <v>49.95</v>
      </c>
      <c r="V13" s="118"/>
      <c r="W13" s="118"/>
      <c r="X13" s="118"/>
      <c r="Y13" s="118"/>
      <c r="Z13" s="118"/>
      <c r="AA13" s="118"/>
      <c r="AB13" s="82"/>
      <c r="AC13" s="118"/>
      <c r="AD13" s="118"/>
      <c r="AE13" s="118"/>
      <c r="AF13" s="486">
        <f t="shared" si="1"/>
        <v>49.95</v>
      </c>
    </row>
    <row r="14" spans="1:32" ht="18.75">
      <c r="A14" s="13" t="s">
        <v>18</v>
      </c>
      <c r="B14" s="424" t="s">
        <v>19</v>
      </c>
      <c r="C14" s="418">
        <f t="shared" ref="C14:Z14" si="3">SUM(C15:C17)</f>
        <v>0</v>
      </c>
      <c r="D14" s="418">
        <f t="shared" si="3"/>
        <v>0</v>
      </c>
      <c r="E14" s="418">
        <f t="shared" si="3"/>
        <v>0</v>
      </c>
      <c r="F14" s="418">
        <f t="shared" si="3"/>
        <v>0</v>
      </c>
      <c r="G14" s="418">
        <f t="shared" si="3"/>
        <v>1210</v>
      </c>
      <c r="H14" s="418">
        <f t="shared" si="3"/>
        <v>0</v>
      </c>
      <c r="I14" s="418">
        <f t="shared" si="3"/>
        <v>0</v>
      </c>
      <c r="J14" s="418">
        <f t="shared" si="3"/>
        <v>0</v>
      </c>
      <c r="K14" s="418">
        <f t="shared" si="3"/>
        <v>0</v>
      </c>
      <c r="L14" s="418">
        <f t="shared" si="3"/>
        <v>0</v>
      </c>
      <c r="M14" s="418">
        <f t="shared" si="3"/>
        <v>0</v>
      </c>
      <c r="N14" s="418">
        <f t="shared" si="3"/>
        <v>0</v>
      </c>
      <c r="O14" s="418">
        <f t="shared" si="3"/>
        <v>0</v>
      </c>
      <c r="P14" s="418">
        <f t="shared" si="3"/>
        <v>0</v>
      </c>
      <c r="Q14" s="418"/>
      <c r="R14" s="418">
        <f t="shared" si="3"/>
        <v>0</v>
      </c>
      <c r="S14" s="418">
        <f t="shared" si="3"/>
        <v>0</v>
      </c>
      <c r="T14" s="418">
        <f t="shared" si="3"/>
        <v>0</v>
      </c>
      <c r="U14" s="418">
        <f t="shared" si="3"/>
        <v>10000</v>
      </c>
      <c r="V14" s="418">
        <f t="shared" si="3"/>
        <v>0</v>
      </c>
      <c r="W14" s="418">
        <f t="shared" si="3"/>
        <v>0</v>
      </c>
      <c r="X14" s="418">
        <f t="shared" si="3"/>
        <v>0</v>
      </c>
      <c r="Y14" s="418">
        <f t="shared" si="3"/>
        <v>0</v>
      </c>
      <c r="Z14" s="418">
        <f t="shared" si="3"/>
        <v>0</v>
      </c>
      <c r="AA14" s="418"/>
      <c r="AB14" s="82"/>
      <c r="AC14" s="418"/>
      <c r="AD14" s="418"/>
      <c r="AE14" s="418"/>
      <c r="AF14" s="486">
        <f t="shared" si="1"/>
        <v>11210</v>
      </c>
    </row>
    <row r="15" spans="1:32" ht="18.75">
      <c r="A15" s="10" t="s">
        <v>20</v>
      </c>
      <c r="B15" s="423" t="s">
        <v>11</v>
      </c>
      <c r="C15" s="118"/>
      <c r="D15" s="118"/>
      <c r="E15" s="118">
        <v>0</v>
      </c>
      <c r="F15" s="118">
        <v>0</v>
      </c>
      <c r="G15" s="118">
        <v>1210</v>
      </c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>
        <v>0</v>
      </c>
      <c r="S15" s="118"/>
      <c r="T15" s="118"/>
      <c r="U15" s="118">
        <v>10000</v>
      </c>
      <c r="V15" s="118"/>
      <c r="W15" s="118"/>
      <c r="X15" s="118"/>
      <c r="Y15" s="118"/>
      <c r="Z15" s="118"/>
      <c r="AA15" s="118"/>
      <c r="AB15" s="82"/>
      <c r="AC15" s="118"/>
      <c r="AD15" s="118"/>
      <c r="AE15" s="118"/>
      <c r="AF15" s="486">
        <f t="shared" si="1"/>
        <v>11210</v>
      </c>
    </row>
    <row r="16" spans="1:32" ht="18.75">
      <c r="A16" s="16">
        <v>51202</v>
      </c>
      <c r="B16" s="425" t="s">
        <v>21</v>
      </c>
      <c r="C16" s="118"/>
      <c r="D16" s="118"/>
      <c r="E16" s="118">
        <v>0</v>
      </c>
      <c r="F16" s="118">
        <v>0</v>
      </c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82"/>
      <c r="AC16" s="118"/>
      <c r="AD16" s="118"/>
      <c r="AE16" s="118"/>
      <c r="AF16" s="486">
        <f t="shared" si="1"/>
        <v>0</v>
      </c>
    </row>
    <row r="17" spans="1:32" ht="18.75">
      <c r="A17" s="10" t="s">
        <v>22</v>
      </c>
      <c r="B17" s="423" t="s">
        <v>13</v>
      </c>
      <c r="C17" s="118"/>
      <c r="D17" s="118"/>
      <c r="E17" s="118">
        <v>0</v>
      </c>
      <c r="F17" s="118">
        <f>+'[1]LT 0102'!D21+'[1]LT 0103'!D21+'[1]LT 0105'!D21+'[1]LT 0106'!D21+'[1]LT 0201'!D21+'[1]LT 0202'!D21+'[1]LT 0203'!D21+'[1]LT 0204'!D21+'[1]LT 0205'!D21+'[1]LT 0301'!D21+'[1]LT 0302'!D21+'[1]LT 0303'!D21+'[1]LT 0304'!D21+'[1]LT 0305'!D21+'[1]LT 0306'!D21+'[1]LT 0307'!D21+'[1]LT 0308'!D21+'[1]LT 0309'!D21+'[1]LT 0310'!D21</f>
        <v>0</v>
      </c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82"/>
      <c r="AC17" s="118"/>
      <c r="AD17" s="118"/>
      <c r="AE17" s="118"/>
      <c r="AF17" s="486">
        <f t="shared" si="1"/>
        <v>0</v>
      </c>
    </row>
    <row r="18" spans="1:32" ht="18.75">
      <c r="A18" s="13" t="s">
        <v>23</v>
      </c>
      <c r="B18" s="424" t="s">
        <v>24</v>
      </c>
      <c r="C18" s="418">
        <f t="shared" ref="C18:Z18" si="4">SUM(C19:C20)</f>
        <v>0</v>
      </c>
      <c r="D18" s="418">
        <f t="shared" si="4"/>
        <v>0</v>
      </c>
      <c r="E18" s="418">
        <f t="shared" si="4"/>
        <v>500</v>
      </c>
      <c r="F18" s="418">
        <f t="shared" si="4"/>
        <v>500</v>
      </c>
      <c r="G18" s="418">
        <f t="shared" si="4"/>
        <v>300</v>
      </c>
      <c r="H18" s="418">
        <f t="shared" si="4"/>
        <v>0</v>
      </c>
      <c r="I18" s="418">
        <f t="shared" si="4"/>
        <v>0</v>
      </c>
      <c r="J18" s="418">
        <f t="shared" si="4"/>
        <v>0</v>
      </c>
      <c r="K18" s="418">
        <f t="shared" si="4"/>
        <v>0</v>
      </c>
      <c r="L18" s="418">
        <f t="shared" si="4"/>
        <v>0</v>
      </c>
      <c r="M18" s="418">
        <f t="shared" si="4"/>
        <v>0</v>
      </c>
      <c r="N18" s="418">
        <f t="shared" si="4"/>
        <v>0</v>
      </c>
      <c r="O18" s="418">
        <f t="shared" si="4"/>
        <v>0</v>
      </c>
      <c r="P18" s="418">
        <f t="shared" si="4"/>
        <v>0</v>
      </c>
      <c r="Q18" s="418"/>
      <c r="R18" s="418">
        <f t="shared" si="4"/>
        <v>0</v>
      </c>
      <c r="S18" s="418">
        <f t="shared" si="4"/>
        <v>300</v>
      </c>
      <c r="T18" s="418">
        <f t="shared" si="4"/>
        <v>0</v>
      </c>
      <c r="U18" s="418">
        <f t="shared" si="4"/>
        <v>1000</v>
      </c>
      <c r="V18" s="418">
        <f t="shared" si="4"/>
        <v>0</v>
      </c>
      <c r="W18" s="418">
        <f t="shared" si="4"/>
        <v>0</v>
      </c>
      <c r="X18" s="418">
        <f t="shared" si="4"/>
        <v>0</v>
      </c>
      <c r="Y18" s="418">
        <f t="shared" si="4"/>
        <v>0</v>
      </c>
      <c r="Z18" s="418">
        <f t="shared" si="4"/>
        <v>0</v>
      </c>
      <c r="AA18" s="418"/>
      <c r="AB18" s="82"/>
      <c r="AC18" s="418"/>
      <c r="AD18" s="418"/>
      <c r="AE18" s="418"/>
      <c r="AF18" s="486">
        <f t="shared" si="1"/>
        <v>2600</v>
      </c>
    </row>
    <row r="19" spans="1:32" ht="18.75">
      <c r="A19" s="16">
        <v>51301</v>
      </c>
      <c r="B19" s="425" t="s">
        <v>25</v>
      </c>
      <c r="C19" s="118"/>
      <c r="D19" s="118"/>
      <c r="E19" s="118">
        <v>500</v>
      </c>
      <c r="F19" s="118">
        <v>500</v>
      </c>
      <c r="G19" s="118">
        <v>300</v>
      </c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432">
        <v>300</v>
      </c>
      <c r="T19" s="118"/>
      <c r="U19" s="118">
        <v>1000</v>
      </c>
      <c r="V19" s="118"/>
      <c r="W19" s="118"/>
      <c r="X19" s="118"/>
      <c r="Y19" s="118"/>
      <c r="Z19" s="118"/>
      <c r="AA19" s="118"/>
      <c r="AB19" s="82"/>
      <c r="AC19" s="118"/>
      <c r="AD19" s="118"/>
      <c r="AE19" s="118"/>
      <c r="AF19" s="486">
        <f t="shared" si="1"/>
        <v>2600</v>
      </c>
    </row>
    <row r="20" spans="1:32" ht="18.75">
      <c r="A20" s="16">
        <v>51302</v>
      </c>
      <c r="B20" s="425" t="s">
        <v>26</v>
      </c>
      <c r="C20" s="118"/>
      <c r="D20" s="118"/>
      <c r="E20" s="118">
        <v>0</v>
      </c>
      <c r="F20" s="118">
        <f>+'[1]LT 0102'!D24+'[1]LT 0103'!D24+'[1]LT 0105'!D24+'[1]LT 0106'!D24+'[1]LT 0201'!D24+'[1]LT 0202'!D24+'[1]LT 0203'!D24+'[1]LT 0204'!D24+'[1]LT 0205'!D24+'[1]LT 0301'!D24+'[1]LT 0302'!D24+'[1]LT 0303'!D24+'[1]LT 0304'!D24+'[1]LT 0305'!D24+'[1]LT 0306'!D24+'[1]LT 0307'!D24+'[1]LT 0308'!D24+'[1]LT 0309'!D24+'[1]LT 0310'!D24</f>
        <v>0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82"/>
      <c r="AC20" s="118"/>
      <c r="AD20" s="118"/>
      <c r="AE20" s="118"/>
      <c r="AF20" s="486">
        <f t="shared" si="1"/>
        <v>0</v>
      </c>
    </row>
    <row r="21" spans="1:32" ht="39.75" customHeight="1">
      <c r="A21" s="6">
        <v>514</v>
      </c>
      <c r="B21" s="426" t="s">
        <v>27</v>
      </c>
      <c r="C21" s="419">
        <f t="shared" ref="C21:Z21" si="5">SUM(C22)</f>
        <v>0</v>
      </c>
      <c r="D21" s="419">
        <f t="shared" si="5"/>
        <v>0</v>
      </c>
      <c r="E21" s="419">
        <f t="shared" si="5"/>
        <v>0</v>
      </c>
      <c r="F21" s="419">
        <f t="shared" si="5"/>
        <v>0</v>
      </c>
      <c r="G21" s="419">
        <f t="shared" si="5"/>
        <v>0</v>
      </c>
      <c r="H21" s="419">
        <f t="shared" si="5"/>
        <v>0</v>
      </c>
      <c r="I21" s="419">
        <f t="shared" si="5"/>
        <v>0</v>
      </c>
      <c r="J21" s="419">
        <f t="shared" si="5"/>
        <v>0</v>
      </c>
      <c r="K21" s="419">
        <f t="shared" si="5"/>
        <v>0</v>
      </c>
      <c r="L21" s="419">
        <f t="shared" si="5"/>
        <v>0</v>
      </c>
      <c r="M21" s="419">
        <f t="shared" si="5"/>
        <v>0</v>
      </c>
      <c r="N21" s="419">
        <f t="shared" si="5"/>
        <v>0</v>
      </c>
      <c r="O21" s="419">
        <f t="shared" si="5"/>
        <v>0</v>
      </c>
      <c r="P21" s="419">
        <f t="shared" si="5"/>
        <v>0</v>
      </c>
      <c r="Q21" s="419"/>
      <c r="R21" s="419">
        <f t="shared" si="5"/>
        <v>0</v>
      </c>
      <c r="S21" s="419">
        <f t="shared" si="5"/>
        <v>0</v>
      </c>
      <c r="T21" s="419">
        <f t="shared" si="5"/>
        <v>0</v>
      </c>
      <c r="U21" s="419">
        <f t="shared" si="5"/>
        <v>0</v>
      </c>
      <c r="V21" s="419">
        <f t="shared" si="5"/>
        <v>0</v>
      </c>
      <c r="W21" s="419">
        <f t="shared" si="5"/>
        <v>0</v>
      </c>
      <c r="X21" s="419">
        <f t="shared" si="5"/>
        <v>0</v>
      </c>
      <c r="Y21" s="419">
        <f t="shared" si="5"/>
        <v>0</v>
      </c>
      <c r="Z21" s="419">
        <f t="shared" si="5"/>
        <v>0</v>
      </c>
      <c r="AA21" s="419"/>
      <c r="AB21" s="82"/>
      <c r="AC21" s="419"/>
      <c r="AD21" s="419"/>
      <c r="AE21" s="419"/>
      <c r="AF21" s="486">
        <f t="shared" si="1"/>
        <v>0</v>
      </c>
    </row>
    <row r="22" spans="1:32" ht="18.75">
      <c r="A22" s="10" t="s">
        <v>28</v>
      </c>
      <c r="B22" s="423" t="s">
        <v>29</v>
      </c>
      <c r="C22" s="118"/>
      <c r="D22" s="118"/>
      <c r="E22" s="118">
        <v>0</v>
      </c>
      <c r="F22" s="118">
        <v>0</v>
      </c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82"/>
      <c r="AC22" s="118"/>
      <c r="AD22" s="118"/>
      <c r="AE22" s="118"/>
      <c r="AF22" s="486">
        <f t="shared" si="1"/>
        <v>0</v>
      </c>
    </row>
    <row r="23" spans="1:32" ht="40.5" customHeight="1">
      <c r="A23" s="6">
        <v>515</v>
      </c>
      <c r="B23" s="426" t="s">
        <v>30</v>
      </c>
      <c r="C23" s="418">
        <f t="shared" ref="C23:Z23" si="6">SUM(C24)</f>
        <v>0</v>
      </c>
      <c r="D23" s="418">
        <f t="shared" si="6"/>
        <v>0</v>
      </c>
      <c r="E23" s="418">
        <f t="shared" si="6"/>
        <v>0</v>
      </c>
      <c r="F23" s="418">
        <f t="shared" si="6"/>
        <v>0</v>
      </c>
      <c r="G23" s="418">
        <f t="shared" si="6"/>
        <v>0</v>
      </c>
      <c r="H23" s="418">
        <f t="shared" si="6"/>
        <v>0</v>
      </c>
      <c r="I23" s="418">
        <f t="shared" si="6"/>
        <v>0</v>
      </c>
      <c r="J23" s="418">
        <f t="shared" si="6"/>
        <v>0</v>
      </c>
      <c r="K23" s="418">
        <f t="shared" si="6"/>
        <v>0</v>
      </c>
      <c r="L23" s="418">
        <f t="shared" si="6"/>
        <v>0</v>
      </c>
      <c r="M23" s="418">
        <f t="shared" si="6"/>
        <v>0</v>
      </c>
      <c r="N23" s="418">
        <f t="shared" si="6"/>
        <v>0</v>
      </c>
      <c r="O23" s="418">
        <f t="shared" si="6"/>
        <v>0</v>
      </c>
      <c r="P23" s="418">
        <f t="shared" si="6"/>
        <v>0</v>
      </c>
      <c r="Q23" s="418"/>
      <c r="R23" s="418">
        <f t="shared" si="6"/>
        <v>0</v>
      </c>
      <c r="S23" s="418">
        <f t="shared" si="6"/>
        <v>0</v>
      </c>
      <c r="T23" s="418">
        <f t="shared" si="6"/>
        <v>0</v>
      </c>
      <c r="U23" s="418">
        <f t="shared" si="6"/>
        <v>0</v>
      </c>
      <c r="V23" s="418">
        <f t="shared" si="6"/>
        <v>0</v>
      </c>
      <c r="W23" s="418">
        <f t="shared" si="6"/>
        <v>0</v>
      </c>
      <c r="X23" s="418">
        <f t="shared" si="6"/>
        <v>0</v>
      </c>
      <c r="Y23" s="418">
        <f t="shared" si="6"/>
        <v>0</v>
      </c>
      <c r="Z23" s="418">
        <f t="shared" si="6"/>
        <v>0</v>
      </c>
      <c r="AA23" s="418"/>
      <c r="AB23" s="82"/>
      <c r="AC23" s="418"/>
      <c r="AD23" s="418"/>
      <c r="AE23" s="418"/>
      <c r="AF23" s="486">
        <f t="shared" si="1"/>
        <v>0</v>
      </c>
    </row>
    <row r="24" spans="1:32" ht="18.75">
      <c r="A24" s="10" t="s">
        <v>31</v>
      </c>
      <c r="B24" s="423" t="s">
        <v>32</v>
      </c>
      <c r="C24" s="118"/>
      <c r="D24" s="118"/>
      <c r="E24" s="118">
        <v>0</v>
      </c>
      <c r="F24" s="118">
        <v>0</v>
      </c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82"/>
      <c r="AC24" s="118"/>
      <c r="AD24" s="118"/>
      <c r="AE24" s="118"/>
      <c r="AF24" s="486">
        <f t="shared" si="1"/>
        <v>0</v>
      </c>
    </row>
    <row r="25" spans="1:32" ht="18.75">
      <c r="A25" s="13" t="s">
        <v>33</v>
      </c>
      <c r="B25" s="424" t="s">
        <v>34</v>
      </c>
      <c r="C25" s="418">
        <f t="shared" ref="C25:Z25" si="7">+C26+C27</f>
        <v>0</v>
      </c>
      <c r="D25" s="418">
        <f t="shared" si="7"/>
        <v>0</v>
      </c>
      <c r="E25" s="418">
        <f t="shared" si="7"/>
        <v>0</v>
      </c>
      <c r="F25" s="418">
        <f t="shared" si="7"/>
        <v>0</v>
      </c>
      <c r="G25" s="418">
        <f t="shared" si="7"/>
        <v>0</v>
      </c>
      <c r="H25" s="418">
        <f t="shared" si="7"/>
        <v>0</v>
      </c>
      <c r="I25" s="418">
        <f t="shared" si="7"/>
        <v>0</v>
      </c>
      <c r="J25" s="418">
        <f t="shared" si="7"/>
        <v>0</v>
      </c>
      <c r="K25" s="418">
        <f t="shared" si="7"/>
        <v>0</v>
      </c>
      <c r="L25" s="418">
        <f t="shared" si="7"/>
        <v>0</v>
      </c>
      <c r="M25" s="418">
        <f t="shared" si="7"/>
        <v>0</v>
      </c>
      <c r="N25" s="418">
        <f t="shared" si="7"/>
        <v>0</v>
      </c>
      <c r="O25" s="418">
        <f t="shared" si="7"/>
        <v>0</v>
      </c>
      <c r="P25" s="418">
        <f t="shared" si="7"/>
        <v>0</v>
      </c>
      <c r="Q25" s="418"/>
      <c r="R25" s="418">
        <f t="shared" si="7"/>
        <v>0</v>
      </c>
      <c r="S25" s="418">
        <f t="shared" si="7"/>
        <v>0</v>
      </c>
      <c r="T25" s="418">
        <f t="shared" si="7"/>
        <v>0</v>
      </c>
      <c r="U25" s="418">
        <f t="shared" si="7"/>
        <v>0</v>
      </c>
      <c r="V25" s="418">
        <f t="shared" si="7"/>
        <v>0</v>
      </c>
      <c r="W25" s="418">
        <f t="shared" si="7"/>
        <v>0</v>
      </c>
      <c r="X25" s="418">
        <f t="shared" si="7"/>
        <v>0</v>
      </c>
      <c r="Y25" s="418">
        <f t="shared" si="7"/>
        <v>0</v>
      </c>
      <c r="Z25" s="418">
        <f t="shared" si="7"/>
        <v>0</v>
      </c>
      <c r="AA25" s="418"/>
      <c r="AB25" s="82"/>
      <c r="AC25" s="418"/>
      <c r="AD25" s="418"/>
      <c r="AE25" s="418"/>
      <c r="AF25" s="486">
        <f t="shared" si="1"/>
        <v>0</v>
      </c>
    </row>
    <row r="26" spans="1:32" ht="18.75">
      <c r="A26" s="16">
        <v>51601</v>
      </c>
      <c r="B26" s="425" t="s">
        <v>34</v>
      </c>
      <c r="C26" s="118"/>
      <c r="D26" s="118"/>
      <c r="E26" s="118">
        <v>0</v>
      </c>
      <c r="F26" s="118">
        <f>+'[1]LT 0102'!D30+'[1]LT 0103'!D30+'[1]LT 0105'!D30+'[1]LT 0106'!D30+'[1]LT 0201'!D30+'[1]LT 0202'!D30+'[1]LT 0203'!D30+'[1]LT 0204'!D30+'[1]LT 0205'!D30+'[1]LT 0301'!D30+'[1]LT 0302'!D30+'[1]LT 0303'!D30+'[1]LT 0304'!D30+'[1]LT 0305'!D30+'[1]LT 0306'!D30+'[1]LT 0307'!D30+'[1]LT 0308'!D30+'[1]LT 0309'!D30+'[1]LT 0310'!D30</f>
        <v>0</v>
      </c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82"/>
      <c r="AC26" s="118"/>
      <c r="AD26" s="118"/>
      <c r="AE26" s="118"/>
      <c r="AF26" s="486">
        <f t="shared" si="1"/>
        <v>0</v>
      </c>
    </row>
    <row r="27" spans="1:32" ht="18.75">
      <c r="A27" s="16">
        <v>51602</v>
      </c>
      <c r="B27" s="425" t="s">
        <v>35</v>
      </c>
      <c r="C27" s="118"/>
      <c r="D27" s="118"/>
      <c r="E27" s="118">
        <v>0</v>
      </c>
      <c r="F27" s="118">
        <f>+'[1]LT 0102'!D31+'[1]LT 0103'!D31+'[1]LT 0105'!D31+'[1]LT 0106'!D31+'[1]LT 0201'!D31+'[1]LT 0202'!D31+'[1]LT 0203'!D31+'[1]LT 0204'!D31+'[1]LT 0205'!D31+'[1]LT 0301'!D31+'[1]LT 0302'!D31+'[1]LT 0303'!D31+'[1]LT 0304'!D31+'[1]LT 0305'!D31+'[1]LT 0306'!D31+'[1]LT 0307'!D31+'[1]LT 0308'!D31+'[1]LT 0309'!D31+'[1]LT 0310'!D31</f>
        <v>0</v>
      </c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82"/>
      <c r="AC27" s="118"/>
      <c r="AD27" s="118"/>
      <c r="AE27" s="118"/>
      <c r="AF27" s="486">
        <f t="shared" si="1"/>
        <v>0</v>
      </c>
    </row>
    <row r="28" spans="1:32" ht="18.75">
      <c r="A28" s="6">
        <v>517</v>
      </c>
      <c r="B28" s="427" t="s">
        <v>36</v>
      </c>
      <c r="C28" s="419">
        <f t="shared" ref="C28:Z28" si="8">SUM(C29:C30)</f>
        <v>3500</v>
      </c>
      <c r="D28" s="419">
        <f t="shared" si="8"/>
        <v>0</v>
      </c>
      <c r="E28" s="419">
        <f t="shared" si="8"/>
        <v>0</v>
      </c>
      <c r="F28" s="419">
        <f t="shared" si="8"/>
        <v>0</v>
      </c>
      <c r="G28" s="419">
        <f t="shared" si="8"/>
        <v>0</v>
      </c>
      <c r="H28" s="419">
        <f t="shared" si="8"/>
        <v>0</v>
      </c>
      <c r="I28" s="419">
        <f t="shared" si="8"/>
        <v>0</v>
      </c>
      <c r="J28" s="419">
        <f t="shared" si="8"/>
        <v>0</v>
      </c>
      <c r="K28" s="419">
        <f t="shared" si="8"/>
        <v>0</v>
      </c>
      <c r="L28" s="419">
        <f t="shared" si="8"/>
        <v>0</v>
      </c>
      <c r="M28" s="419">
        <f t="shared" si="8"/>
        <v>0</v>
      </c>
      <c r="N28" s="419">
        <f t="shared" si="8"/>
        <v>0</v>
      </c>
      <c r="O28" s="419">
        <f t="shared" si="8"/>
        <v>0</v>
      </c>
      <c r="P28" s="419">
        <f t="shared" si="8"/>
        <v>0</v>
      </c>
      <c r="Q28" s="419"/>
      <c r="R28" s="419">
        <f t="shared" si="8"/>
        <v>0</v>
      </c>
      <c r="S28" s="419">
        <f t="shared" si="8"/>
        <v>0</v>
      </c>
      <c r="T28" s="419">
        <f t="shared" si="8"/>
        <v>0</v>
      </c>
      <c r="U28" s="419">
        <f t="shared" si="8"/>
        <v>0</v>
      </c>
      <c r="V28" s="419">
        <f t="shared" si="8"/>
        <v>0</v>
      </c>
      <c r="W28" s="419">
        <f t="shared" si="8"/>
        <v>0</v>
      </c>
      <c r="X28" s="419">
        <f t="shared" si="8"/>
        <v>0</v>
      </c>
      <c r="Y28" s="419">
        <f t="shared" si="8"/>
        <v>0</v>
      </c>
      <c r="Z28" s="419">
        <f t="shared" si="8"/>
        <v>0</v>
      </c>
      <c r="AA28" s="419"/>
      <c r="AB28" s="82"/>
      <c r="AC28" s="419"/>
      <c r="AD28" s="419"/>
      <c r="AE28" s="419"/>
      <c r="AF28" s="486">
        <f t="shared" si="1"/>
        <v>3500</v>
      </c>
    </row>
    <row r="29" spans="1:32" ht="18.75">
      <c r="A29" s="16">
        <v>51701</v>
      </c>
      <c r="B29" s="425" t="s">
        <v>37</v>
      </c>
      <c r="C29" s="419">
        <v>3500</v>
      </c>
      <c r="D29" s="419"/>
      <c r="E29" s="419">
        <f>SUM(E30:E31)</f>
        <v>0</v>
      </c>
      <c r="F29" s="118">
        <v>0</v>
      </c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82"/>
      <c r="AC29" s="118"/>
      <c r="AD29" s="118"/>
      <c r="AE29" s="118"/>
      <c r="AF29" s="486">
        <f t="shared" si="1"/>
        <v>3500</v>
      </c>
    </row>
    <row r="30" spans="1:32" ht="18.75">
      <c r="A30" s="16">
        <v>51702</v>
      </c>
      <c r="B30" s="425" t="s">
        <v>38</v>
      </c>
      <c r="C30" s="118"/>
      <c r="D30" s="118"/>
      <c r="E30" s="118">
        <v>0</v>
      </c>
      <c r="F30" s="118">
        <f>+'[1]LT 0102'!D34+'[1]LT 0103'!D34+'[1]LT 0105'!D34+'[1]LT 0106'!D34+'[1]LT 0201'!D34+'[1]LT 0202'!D34+'[1]LT 0203'!D34+'[1]LT 0204'!D34+'[1]LT 0205'!D34+'[1]LT 0301'!D34+'[1]LT 0302'!D34+'[1]LT 0303'!D34+'[1]LT 0304'!D34+'[1]LT 0305'!D34+'[1]LT 0306'!D34+'[1]LT 0307'!D34+'[1]LT 0308'!D34+'[1]LT 0309'!D34+'[1]LT 0310'!D34</f>
        <v>0</v>
      </c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82"/>
      <c r="AC30" s="118"/>
      <c r="AD30" s="118"/>
      <c r="AE30" s="118"/>
      <c r="AF30" s="486">
        <f t="shared" si="1"/>
        <v>0</v>
      </c>
    </row>
    <row r="31" spans="1:32" ht="18.75">
      <c r="A31" s="6">
        <v>519</v>
      </c>
      <c r="B31" s="427" t="s">
        <v>39</v>
      </c>
      <c r="C31" s="419">
        <f t="shared" ref="C31:Z31" si="9">SUM(C32:C33)</f>
        <v>0</v>
      </c>
      <c r="D31" s="419">
        <f t="shared" si="9"/>
        <v>0</v>
      </c>
      <c r="E31" s="419">
        <f t="shared" si="9"/>
        <v>0</v>
      </c>
      <c r="F31" s="419">
        <f t="shared" si="9"/>
        <v>0</v>
      </c>
      <c r="G31" s="419">
        <f t="shared" si="9"/>
        <v>0</v>
      </c>
      <c r="H31" s="419">
        <f t="shared" si="9"/>
        <v>0</v>
      </c>
      <c r="I31" s="419">
        <f t="shared" si="9"/>
        <v>0</v>
      </c>
      <c r="J31" s="419">
        <f t="shared" si="9"/>
        <v>0</v>
      </c>
      <c r="K31" s="419">
        <f t="shared" si="9"/>
        <v>0</v>
      </c>
      <c r="L31" s="419">
        <f t="shared" si="9"/>
        <v>0</v>
      </c>
      <c r="M31" s="419">
        <f t="shared" si="9"/>
        <v>0</v>
      </c>
      <c r="N31" s="419">
        <f t="shared" si="9"/>
        <v>0</v>
      </c>
      <c r="O31" s="419">
        <f t="shared" si="9"/>
        <v>0</v>
      </c>
      <c r="P31" s="419">
        <f t="shared" si="9"/>
        <v>0</v>
      </c>
      <c r="Q31" s="419"/>
      <c r="R31" s="419">
        <f t="shared" si="9"/>
        <v>0</v>
      </c>
      <c r="S31" s="419">
        <f t="shared" si="9"/>
        <v>0</v>
      </c>
      <c r="T31" s="419">
        <f t="shared" si="9"/>
        <v>0</v>
      </c>
      <c r="U31" s="419">
        <f t="shared" si="9"/>
        <v>0</v>
      </c>
      <c r="V31" s="419">
        <f t="shared" si="9"/>
        <v>0</v>
      </c>
      <c r="W31" s="419">
        <f t="shared" si="9"/>
        <v>0</v>
      </c>
      <c r="X31" s="419">
        <f t="shared" si="9"/>
        <v>0</v>
      </c>
      <c r="Y31" s="419">
        <f t="shared" si="9"/>
        <v>0</v>
      </c>
      <c r="Z31" s="419">
        <f t="shared" si="9"/>
        <v>0</v>
      </c>
      <c r="AA31" s="419"/>
      <c r="AB31" s="82"/>
      <c r="AC31" s="419"/>
      <c r="AD31" s="419"/>
      <c r="AE31" s="419"/>
      <c r="AF31" s="486">
        <f t="shared" si="1"/>
        <v>0</v>
      </c>
    </row>
    <row r="32" spans="1:32" ht="18.75">
      <c r="A32" s="16">
        <v>51901</v>
      </c>
      <c r="B32" s="425" t="s">
        <v>40</v>
      </c>
      <c r="C32" s="118"/>
      <c r="D32" s="118"/>
      <c r="E32" s="118">
        <v>0</v>
      </c>
      <c r="F32" s="118">
        <f>+'[1]LT 0102'!D36+'[1]LT 0103'!D36+'[1]LT 0105'!D36+'[1]LT 0106'!D36+'[1]LT 0201'!D36+'[1]LT 0202'!D36+'[1]LT 0203'!D36+'[1]LT 0204'!D36+'[1]LT 0205'!D36+'[1]LT 0301'!D36+'[1]LT 0302'!D36+'[1]LT 0303'!D36+'[1]LT 0304'!D36+'[1]LT 0305'!D36+'[1]LT 0306'!D36+'[1]LT 0307'!D36+'[1]LT 0308'!D36+'[1]LT 0309'!D36+'[1]LT 0310'!D36</f>
        <v>0</v>
      </c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82"/>
      <c r="AC32" s="118"/>
      <c r="AD32" s="118"/>
      <c r="AE32" s="118"/>
      <c r="AF32" s="486">
        <f t="shared" si="1"/>
        <v>0</v>
      </c>
    </row>
    <row r="33" spans="1:32" ht="18.75">
      <c r="A33" s="16">
        <v>51999</v>
      </c>
      <c r="B33" s="425" t="s">
        <v>39</v>
      </c>
      <c r="C33" s="118"/>
      <c r="D33" s="118"/>
      <c r="E33" s="118">
        <v>0</v>
      </c>
      <c r="F33" s="118">
        <f>+'[1]LT 0102'!D37+'[1]LT 0103'!D37+'[1]LT 0105'!D37+'[1]LT 0106'!D37+'[1]LT 0201'!D37+'[1]LT 0202'!D37+'[1]LT 0203'!D37+'[1]LT 0204'!D37+'[1]LT 0205'!D37+'[1]LT 0301'!D37+'[1]LT 0302'!D37+'[1]LT 0303'!D37+'[1]LT 0304'!D37+'[1]LT 0305'!D37+'[1]LT 0306'!D37+'[1]LT 0307'!D37+'[1]LT 0308'!D37+'[1]LT 0309'!D37+'[1]LT 0310'!D37</f>
        <v>0</v>
      </c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>
        <v>0</v>
      </c>
      <c r="S33" s="118"/>
      <c r="T33" s="118"/>
      <c r="U33" s="118"/>
      <c r="V33" s="118"/>
      <c r="W33" s="118"/>
      <c r="X33" s="118"/>
      <c r="Y33" s="118"/>
      <c r="Z33" s="118"/>
      <c r="AA33" s="118"/>
      <c r="AB33" s="82"/>
      <c r="AC33" s="118"/>
      <c r="AD33" s="118"/>
      <c r="AE33" s="118"/>
      <c r="AF33" s="486">
        <f t="shared" si="1"/>
        <v>0</v>
      </c>
    </row>
    <row r="34" spans="1:32" ht="18.75">
      <c r="A34" s="6">
        <v>54</v>
      </c>
      <c r="B34" s="427" t="s">
        <v>41</v>
      </c>
      <c r="C34" s="418">
        <f t="shared" ref="C34:Z34" si="10">SUM(C35,C55,C61,C78,)</f>
        <v>7597.2</v>
      </c>
      <c r="D34" s="418">
        <f t="shared" si="10"/>
        <v>2000</v>
      </c>
      <c r="E34" s="418">
        <f t="shared" si="10"/>
        <v>3258.2</v>
      </c>
      <c r="F34" s="418">
        <f t="shared" si="10"/>
        <v>2360</v>
      </c>
      <c r="G34" s="418">
        <f t="shared" si="10"/>
        <v>914.75</v>
      </c>
      <c r="H34" s="418">
        <f t="shared" si="10"/>
        <v>350.5</v>
      </c>
      <c r="I34" s="418">
        <f t="shared" si="10"/>
        <v>1683.7</v>
      </c>
      <c r="J34" s="418">
        <f t="shared" si="10"/>
        <v>200</v>
      </c>
      <c r="K34" s="418">
        <f t="shared" si="10"/>
        <v>1916.3</v>
      </c>
      <c r="L34" s="418">
        <f t="shared" si="10"/>
        <v>5699.2</v>
      </c>
      <c r="M34" s="418">
        <f t="shared" si="10"/>
        <v>2218.0500000000002</v>
      </c>
      <c r="N34" s="418">
        <f t="shared" si="10"/>
        <v>2349.06</v>
      </c>
      <c r="O34" s="418">
        <f t="shared" si="10"/>
        <v>3151.95</v>
      </c>
      <c r="P34" s="418">
        <f t="shared" si="10"/>
        <v>2244.8000000000002</v>
      </c>
      <c r="Q34" s="418"/>
      <c r="R34" s="418">
        <f t="shared" si="10"/>
        <v>12200</v>
      </c>
      <c r="S34" s="418">
        <f t="shared" si="10"/>
        <v>4008.5</v>
      </c>
      <c r="T34" s="418">
        <f t="shared" si="10"/>
        <v>983.5</v>
      </c>
      <c r="U34" s="418">
        <f t="shared" si="10"/>
        <v>19713.8</v>
      </c>
      <c r="V34" s="418">
        <f t="shared" si="10"/>
        <v>1272.75</v>
      </c>
      <c r="W34" s="418">
        <f t="shared" si="10"/>
        <v>2258.5</v>
      </c>
      <c r="X34" s="418">
        <f t="shared" si="10"/>
        <v>1540</v>
      </c>
      <c r="Y34" s="418">
        <f t="shared" si="10"/>
        <v>2112.8500000000004</v>
      </c>
      <c r="Z34" s="418">
        <f t="shared" si="10"/>
        <v>5179.8999999999996</v>
      </c>
      <c r="AA34" s="418"/>
      <c r="AB34" s="82"/>
      <c r="AC34" s="418"/>
      <c r="AD34" s="418"/>
      <c r="AE34" s="418"/>
      <c r="AF34" s="486">
        <f t="shared" si="1"/>
        <v>85213.510000000009</v>
      </c>
    </row>
    <row r="35" spans="1:32" ht="18.75">
      <c r="A35" s="6">
        <v>541</v>
      </c>
      <c r="B35" s="427" t="s">
        <v>42</v>
      </c>
      <c r="C35" s="419">
        <f t="shared" ref="C35:Z35" si="11">SUM(C36:C54)</f>
        <v>6645.2</v>
      </c>
      <c r="D35" s="419">
        <f t="shared" si="11"/>
        <v>2000</v>
      </c>
      <c r="E35" s="419">
        <f t="shared" si="11"/>
        <v>2606.1999999999998</v>
      </c>
      <c r="F35" s="419">
        <f t="shared" si="11"/>
        <v>1910</v>
      </c>
      <c r="G35" s="419">
        <f t="shared" si="11"/>
        <v>754.75</v>
      </c>
      <c r="H35" s="419">
        <f t="shared" si="11"/>
        <v>190.5</v>
      </c>
      <c r="I35" s="419">
        <f t="shared" si="11"/>
        <v>1683.7</v>
      </c>
      <c r="J35" s="419">
        <f t="shared" si="11"/>
        <v>200</v>
      </c>
      <c r="K35" s="419">
        <f t="shared" si="11"/>
        <v>923.8</v>
      </c>
      <c r="L35" s="419">
        <f t="shared" si="11"/>
        <v>699.2</v>
      </c>
      <c r="M35" s="419">
        <f t="shared" si="11"/>
        <v>2218.0500000000002</v>
      </c>
      <c r="N35" s="419">
        <f t="shared" si="11"/>
        <v>2349.06</v>
      </c>
      <c r="O35" s="419">
        <f t="shared" si="11"/>
        <v>2651.95</v>
      </c>
      <c r="P35" s="419">
        <f t="shared" si="11"/>
        <v>1844.8000000000002</v>
      </c>
      <c r="Q35" s="419"/>
      <c r="R35" s="419">
        <f t="shared" si="11"/>
        <v>7000</v>
      </c>
      <c r="S35" s="419">
        <f t="shared" si="11"/>
        <v>2808.5</v>
      </c>
      <c r="T35" s="419">
        <f t="shared" si="11"/>
        <v>723.5</v>
      </c>
      <c r="U35" s="419">
        <f t="shared" si="11"/>
        <v>17523.8</v>
      </c>
      <c r="V35" s="419">
        <f t="shared" si="11"/>
        <v>1272.75</v>
      </c>
      <c r="W35" s="419">
        <f t="shared" si="11"/>
        <v>2258.5</v>
      </c>
      <c r="X35" s="419">
        <f t="shared" si="11"/>
        <v>1540</v>
      </c>
      <c r="Y35" s="419">
        <f t="shared" si="11"/>
        <v>1412.8500000000001</v>
      </c>
      <c r="Z35" s="419">
        <f t="shared" si="11"/>
        <v>5179.8999999999996</v>
      </c>
      <c r="AA35" s="419"/>
      <c r="AB35" s="82"/>
      <c r="AC35" s="419"/>
      <c r="AD35" s="419"/>
      <c r="AE35" s="419"/>
      <c r="AF35" s="486">
        <f t="shared" si="1"/>
        <v>66397.010000000009</v>
      </c>
    </row>
    <row r="36" spans="1:32" ht="18.75">
      <c r="A36" s="16">
        <v>54101</v>
      </c>
      <c r="B36" s="425" t="s">
        <v>43</v>
      </c>
      <c r="C36" s="118"/>
      <c r="D36" s="118"/>
      <c r="E36" s="118">
        <v>0</v>
      </c>
      <c r="F36" s="118">
        <f>+'[1]LT 0102'!D40+'[1]LT 0103'!D40+'[1]LT 0105'!D40+'[1]LT 0106'!D40+'[1]LT 0201'!D40+'[1]LT 0202'!D40+'[1]LT 0203'!D40+'[1]LT 0204'!D40+'[1]LT 0205'!D40+'[1]LT 0301'!D40+'[1]LT 0302'!D40+'[1]LT 0303'!D40+'[1]LT 0304'!D40+'[1]LT 0305'!D40+'[1]LT 0306'!D40+'[1]LT 0307'!D40+'[1]LT 0308'!D40+'[1]LT 0309'!D40+'[1]LT 0310'!D40</f>
        <v>0</v>
      </c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82"/>
      <c r="AC36" s="118"/>
      <c r="AD36" s="118"/>
      <c r="AE36" s="118"/>
      <c r="AF36" s="486">
        <f t="shared" si="1"/>
        <v>0</v>
      </c>
    </row>
    <row r="37" spans="1:32" ht="18.75">
      <c r="A37" s="16">
        <v>54103</v>
      </c>
      <c r="B37" s="425" t="s">
        <v>44</v>
      </c>
      <c r="C37" s="118"/>
      <c r="D37" s="118"/>
      <c r="E37" s="118">
        <v>0</v>
      </c>
      <c r="F37" s="118">
        <f>+'[1]LT 0102'!D41+'[1]LT 0103'!D41+'[1]LT 0105'!D41+'[1]LT 0106'!D41+'[1]LT 0201'!D41+'[1]LT 0202'!D41+'[1]LT 0203'!D41+'[1]LT 0204'!D41+'[1]LT 0205'!D41+'[1]LT 0301'!D41+'[1]LT 0302'!D41+'[1]LT 0303'!D41+'[1]LT 0304'!D41+'[1]LT 0305'!D41+'[1]LT 0306'!D41+'[1]LT 0307'!D41+'[1]LT 0308'!D41+'[1]LT 0309'!D41+'[1]LT 0310'!D41</f>
        <v>0</v>
      </c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82"/>
      <c r="AC37" s="118"/>
      <c r="AD37" s="118"/>
      <c r="AE37" s="118"/>
      <c r="AF37" s="486">
        <f t="shared" si="1"/>
        <v>0</v>
      </c>
    </row>
    <row r="38" spans="1:32" ht="18.75">
      <c r="A38" s="16">
        <v>54104</v>
      </c>
      <c r="B38" s="425" t="s">
        <v>527</v>
      </c>
      <c r="C38" s="118">
        <v>5000</v>
      </c>
      <c r="D38" s="118"/>
      <c r="E38" s="118">
        <v>0</v>
      </c>
      <c r="F38" s="118">
        <f>+'[1]LT 0102'!D42+'[1]LT 0103'!D42+'[1]LT 0105'!D42+'[1]LT 0106'!D42+'[1]LT 0201'!D42+'[1]LT 0202'!D42+'[1]LT 0203'!D42+'[1]LT 0204'!D42+'[1]LT 0205'!D42+'[1]LT 0301'!D42+'[1]LT 0302'!D42+'[1]LT 0303'!D42+'[1]LT 0304'!D42+'[1]LT 0305'!D42+'[1]LT 0306'!D42+'[1]LT 0307'!D42+'[1]LT 0308'!D42+'[1]LT 0309'!D42+'[1]LT 0310'!D42</f>
        <v>0</v>
      </c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82"/>
      <c r="AC38" s="118"/>
      <c r="AD38" s="118"/>
      <c r="AE38" s="118"/>
      <c r="AF38" s="486">
        <f t="shared" si="1"/>
        <v>5000</v>
      </c>
    </row>
    <row r="39" spans="1:32" ht="18.75">
      <c r="A39" s="16">
        <v>54105</v>
      </c>
      <c r="B39" s="425" t="s">
        <v>45</v>
      </c>
      <c r="C39" s="118">
        <v>70.2</v>
      </c>
      <c r="D39" s="118">
        <v>1700</v>
      </c>
      <c r="E39" s="118">
        <v>206.2</v>
      </c>
      <c r="F39" s="118">
        <v>1000</v>
      </c>
      <c r="G39" s="118">
        <v>96.25</v>
      </c>
      <c r="H39" s="118">
        <v>24</v>
      </c>
      <c r="I39" s="118">
        <v>135.1</v>
      </c>
      <c r="J39" s="118">
        <v>75</v>
      </c>
      <c r="K39" s="118"/>
      <c r="L39" s="118">
        <v>224.1</v>
      </c>
      <c r="M39" s="118">
        <f>107.3+1154.8</f>
        <v>1262.0999999999999</v>
      </c>
      <c r="N39" s="118">
        <v>460.3</v>
      </c>
      <c r="O39" s="118">
        <v>566.1</v>
      </c>
      <c r="P39" s="118">
        <v>94.95</v>
      </c>
      <c r="Q39" s="118"/>
      <c r="R39" s="118"/>
      <c r="S39" s="118">
        <v>613.5</v>
      </c>
      <c r="T39" s="118">
        <v>52</v>
      </c>
      <c r="U39" s="118">
        <v>24</v>
      </c>
      <c r="V39" s="118">
        <v>12</v>
      </c>
      <c r="W39" s="118">
        <v>0</v>
      </c>
      <c r="X39" s="118"/>
      <c r="Y39" s="118">
        <v>15</v>
      </c>
      <c r="Z39" s="118">
        <v>76.3</v>
      </c>
      <c r="AA39" s="118"/>
      <c r="AB39" s="82"/>
      <c r="AC39" s="118"/>
      <c r="AD39" s="118"/>
      <c r="AE39" s="118"/>
      <c r="AF39" s="486">
        <f t="shared" si="1"/>
        <v>6707.1</v>
      </c>
    </row>
    <row r="40" spans="1:32" ht="18.75">
      <c r="A40" s="16">
        <v>54106</v>
      </c>
      <c r="B40" s="425" t="s">
        <v>46</v>
      </c>
      <c r="C40" s="118"/>
      <c r="D40" s="118"/>
      <c r="E40" s="118">
        <v>0</v>
      </c>
      <c r="F40" s="118">
        <v>0</v>
      </c>
      <c r="G40" s="118"/>
      <c r="H40" s="118"/>
      <c r="I40" s="118"/>
      <c r="J40" s="118"/>
      <c r="K40" s="118"/>
      <c r="L40" s="118"/>
      <c r="M40" s="118"/>
      <c r="N40" s="118"/>
      <c r="O40" s="118"/>
      <c r="P40" s="118">
        <v>350</v>
      </c>
      <c r="Q40" s="118"/>
      <c r="R40" s="118"/>
      <c r="S40" s="118"/>
      <c r="T40" s="118"/>
      <c r="U40" s="118">
        <v>1872</v>
      </c>
      <c r="V40" s="118"/>
      <c r="W40" s="118"/>
      <c r="X40" s="118">
        <v>30</v>
      </c>
      <c r="Y40" s="118"/>
      <c r="Z40" s="118"/>
      <c r="AA40" s="118"/>
      <c r="AB40" s="82"/>
      <c r="AC40" s="118"/>
      <c r="AD40" s="118"/>
      <c r="AE40" s="118"/>
      <c r="AF40" s="486">
        <f t="shared" si="1"/>
        <v>2252</v>
      </c>
    </row>
    <row r="41" spans="1:32" ht="18.75">
      <c r="A41" s="16">
        <v>54107</v>
      </c>
      <c r="B41" s="425" t="s">
        <v>47</v>
      </c>
      <c r="C41" s="118"/>
      <c r="D41" s="118"/>
      <c r="E41" s="118">
        <v>0</v>
      </c>
      <c r="F41" s="118">
        <v>0</v>
      </c>
      <c r="G41" s="118"/>
      <c r="H41" s="118"/>
      <c r="I41" s="118"/>
      <c r="J41" s="118"/>
      <c r="K41" s="118">
        <v>380.5</v>
      </c>
      <c r="L41" s="118">
        <v>14</v>
      </c>
      <c r="M41" s="118">
        <v>7.5</v>
      </c>
      <c r="N41" s="118"/>
      <c r="O41" s="118">
        <v>169.99</v>
      </c>
      <c r="P41" s="118">
        <v>500</v>
      </c>
      <c r="Q41" s="118"/>
      <c r="R41" s="118">
        <v>7000</v>
      </c>
      <c r="S41" s="118"/>
      <c r="T41" s="118"/>
      <c r="U41" s="118">
        <v>4531.1000000000004</v>
      </c>
      <c r="V41" s="118">
        <v>781</v>
      </c>
      <c r="W41" s="118">
        <v>716</v>
      </c>
      <c r="X41" s="118">
        <v>1020.4</v>
      </c>
      <c r="Y41" s="118">
        <v>706.65</v>
      </c>
      <c r="Z41" s="118">
        <v>1500</v>
      </c>
      <c r="AA41" s="118"/>
      <c r="AB41" s="118">
        <v>130</v>
      </c>
      <c r="AC41" s="118"/>
      <c r="AD41" s="118"/>
      <c r="AE41" s="118"/>
      <c r="AF41" s="486">
        <f>SUM(C41:Z41)-R41</f>
        <v>10327.14</v>
      </c>
    </row>
    <row r="42" spans="1:32" ht="18.75">
      <c r="A42" s="16">
        <v>54108</v>
      </c>
      <c r="B42" s="425" t="s">
        <v>48</v>
      </c>
      <c r="C42" s="118"/>
      <c r="D42" s="118"/>
      <c r="E42" s="118">
        <v>0</v>
      </c>
      <c r="F42" s="118">
        <f>+'[1]LT 0102'!D46+'[1]LT 0103'!D46+'[1]LT 0105'!D46+'[1]LT 0106'!D46+'[1]LT 0201'!D46+'[1]LT 0202'!D46+'[1]LT 0203'!D46+'[1]LT 0204'!D46+'[1]LT 0205'!D46+'[1]LT 0301'!D46+'[1]LT 0302'!D46+'[1]LT 0303'!D46+'[1]LT 0304'!D46+'[1]LT 0305'!D46+'[1]LT 0306'!D46+'[1]LT 0307'!D46+'[1]LT 0308'!D46+'[1]LT 0309'!D46+'[1]LT 0310'!D46</f>
        <v>0</v>
      </c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82"/>
      <c r="AC42" s="118"/>
      <c r="AD42" s="118"/>
      <c r="AE42" s="118"/>
      <c r="AF42" s="486">
        <f t="shared" ref="AF42:AF56" si="12">SUM(C42:Z42)</f>
        <v>0</v>
      </c>
    </row>
    <row r="43" spans="1:32" ht="18.75">
      <c r="A43" s="16">
        <v>54109</v>
      </c>
      <c r="B43" s="425" t="s">
        <v>49</v>
      </c>
      <c r="C43" s="118"/>
      <c r="D43" s="118"/>
      <c r="E43" s="118">
        <v>0</v>
      </c>
      <c r="F43" s="118">
        <v>0</v>
      </c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>
        <v>1475</v>
      </c>
      <c r="V43" s="118"/>
      <c r="W43" s="118"/>
      <c r="X43" s="118"/>
      <c r="Y43" s="118"/>
      <c r="Z43" s="118"/>
      <c r="AA43" s="118"/>
      <c r="AB43" s="82"/>
      <c r="AC43" s="118"/>
      <c r="AD43" s="118"/>
      <c r="AE43" s="118"/>
      <c r="AF43" s="486">
        <f t="shared" si="12"/>
        <v>1475</v>
      </c>
    </row>
    <row r="44" spans="1:32" ht="18.75">
      <c r="A44" s="16">
        <v>54110</v>
      </c>
      <c r="B44" s="425" t="s">
        <v>50</v>
      </c>
      <c r="C44" s="118"/>
      <c r="D44" s="118"/>
      <c r="E44" s="118">
        <v>0</v>
      </c>
      <c r="F44" s="118">
        <v>0</v>
      </c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>
        <v>3500</v>
      </c>
      <c r="V44" s="118"/>
      <c r="W44" s="118"/>
      <c r="X44" s="118">
        <v>140.5</v>
      </c>
      <c r="Y44" s="118"/>
      <c r="Z44" s="118"/>
      <c r="AA44" s="118"/>
      <c r="AB44" s="82"/>
      <c r="AC44" s="118"/>
      <c r="AD44" s="118"/>
      <c r="AE44" s="118"/>
      <c r="AF44" s="486">
        <f t="shared" si="12"/>
        <v>3640.5</v>
      </c>
    </row>
    <row r="45" spans="1:32" ht="39" customHeight="1">
      <c r="A45" s="16">
        <v>54111</v>
      </c>
      <c r="B45" s="428" t="s">
        <v>51</v>
      </c>
      <c r="C45" s="118"/>
      <c r="D45" s="118"/>
      <c r="E45" s="118">
        <v>0</v>
      </c>
      <c r="F45" s="118">
        <f>+'[1]LT 0102'!D49+'[1]LT 0103'!D49+'[1]LT 0105'!D49+'[1]LT 0106'!D49+'[1]LT 0201'!D49+'[1]LT 0202'!D49+'[1]LT 0203'!D49+'[1]LT 0204'!D49+'[1]LT 0205'!D49+'[1]LT 0301'!D49+'[1]LT 0302'!D49+'[1]LT 0303'!D49+'[1]LT 0304'!D49+'[1]LT 0305'!D49+'[1]LT 0306'!D49+'[1]LT 0307'!D49+'[1]LT 0308'!D49+'[1]LT 0309'!D49+'[1]LT 0310'!D49</f>
        <v>0</v>
      </c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>
        <v>89</v>
      </c>
      <c r="W45" s="118"/>
      <c r="X45" s="118"/>
      <c r="Y45" s="118"/>
      <c r="Z45" s="118"/>
      <c r="AA45" s="118"/>
      <c r="AB45" s="82"/>
      <c r="AC45" s="118"/>
      <c r="AD45" s="118"/>
      <c r="AE45" s="118"/>
      <c r="AF45" s="486">
        <f t="shared" si="12"/>
        <v>89</v>
      </c>
    </row>
    <row r="46" spans="1:32" ht="35.25" customHeight="1">
      <c r="A46" s="16">
        <v>54112</v>
      </c>
      <c r="B46" s="428" t="s">
        <v>52</v>
      </c>
      <c r="C46" s="118"/>
      <c r="D46" s="118"/>
      <c r="E46" s="118">
        <v>0</v>
      </c>
      <c r="F46" s="118">
        <f>+'[1]LT 0102'!D50+'[1]LT 0103'!D50+'[1]LT 0105'!D50+'[1]LT 0106'!D50+'[1]LT 0201'!D50+'[1]LT 0202'!D50+'[1]LT 0203'!D50+'[1]LT 0204'!D50+'[1]LT 0205'!D50+'[1]LT 0301'!D50+'[1]LT 0302'!D50+'[1]LT 0303'!D50+'[1]LT 0304'!D50+'[1]LT 0305'!D50+'[1]LT 0306'!D50+'[1]LT 0307'!D50+'[1]LT 0308'!D50+'[1]LT 0309'!D50+'[1]LT 0310'!D50</f>
        <v>0</v>
      </c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>
        <v>40</v>
      </c>
      <c r="W46" s="118"/>
      <c r="X46" s="118"/>
      <c r="Y46" s="118">
        <v>300</v>
      </c>
      <c r="Z46" s="118"/>
      <c r="AA46" s="118"/>
      <c r="AB46" s="82"/>
      <c r="AC46" s="118"/>
      <c r="AD46" s="118"/>
      <c r="AE46" s="118"/>
      <c r="AF46" s="486">
        <f t="shared" si="12"/>
        <v>340</v>
      </c>
    </row>
    <row r="47" spans="1:32" ht="18.75">
      <c r="A47" s="16">
        <v>54114</v>
      </c>
      <c r="B47" s="425" t="s">
        <v>53</v>
      </c>
      <c r="C47" s="118">
        <v>75</v>
      </c>
      <c r="D47" s="118">
        <v>100</v>
      </c>
      <c r="E47" s="118">
        <v>1100</v>
      </c>
      <c r="F47" s="118">
        <v>400</v>
      </c>
      <c r="G47" s="118">
        <v>382.5</v>
      </c>
      <c r="H47" s="118">
        <v>5</v>
      </c>
      <c r="I47" s="118">
        <v>314.60000000000002</v>
      </c>
      <c r="J47" s="118">
        <v>75</v>
      </c>
      <c r="K47" s="118">
        <v>322.3</v>
      </c>
      <c r="L47" s="118">
        <v>65</v>
      </c>
      <c r="M47" s="118">
        <f>21.8+28.15</f>
        <v>49.95</v>
      </c>
      <c r="N47" s="118">
        <v>88.76</v>
      </c>
      <c r="O47" s="118">
        <v>390.62</v>
      </c>
      <c r="P47" s="118">
        <v>302.85000000000002</v>
      </c>
      <c r="Q47" s="118"/>
      <c r="R47" s="118"/>
      <c r="S47" s="118">
        <v>395</v>
      </c>
      <c r="T47" s="118">
        <v>371.5</v>
      </c>
      <c r="U47" s="118">
        <v>203.5</v>
      </c>
      <c r="V47" s="118">
        <v>38</v>
      </c>
      <c r="W47" s="118"/>
      <c r="X47" s="118"/>
      <c r="Y47" s="118">
        <v>20.5</v>
      </c>
      <c r="Z47" s="118">
        <v>37.1</v>
      </c>
      <c r="AA47" s="118"/>
      <c r="AB47" s="82"/>
      <c r="AC47" s="118"/>
      <c r="AD47" s="118"/>
      <c r="AE47" s="118"/>
      <c r="AF47" s="486">
        <f t="shared" si="12"/>
        <v>4737.18</v>
      </c>
    </row>
    <row r="48" spans="1:32" ht="18.75">
      <c r="A48" s="16">
        <v>54115</v>
      </c>
      <c r="B48" s="425" t="s">
        <v>54</v>
      </c>
      <c r="C48" s="118">
        <v>500</v>
      </c>
      <c r="D48" s="118">
        <v>200</v>
      </c>
      <c r="E48" s="118">
        <v>1300</v>
      </c>
      <c r="F48" s="118">
        <v>510</v>
      </c>
      <c r="G48" s="118">
        <v>276</v>
      </c>
      <c r="H48" s="118">
        <v>161.5</v>
      </c>
      <c r="I48" s="118">
        <v>1200</v>
      </c>
      <c r="J48" s="118">
        <v>50</v>
      </c>
      <c r="K48" s="118">
        <v>216</v>
      </c>
      <c r="L48" s="118">
        <v>396.1</v>
      </c>
      <c r="M48" s="118">
        <f>120+300</f>
        <v>420</v>
      </c>
      <c r="N48" s="118">
        <v>1800</v>
      </c>
      <c r="O48" s="118">
        <v>1498.24</v>
      </c>
      <c r="P48" s="118">
        <v>500</v>
      </c>
      <c r="Q48" s="118">
        <v>80</v>
      </c>
      <c r="R48" s="118"/>
      <c r="S48" s="118">
        <v>1800</v>
      </c>
      <c r="T48" s="118">
        <v>300</v>
      </c>
      <c r="U48" s="118"/>
      <c r="V48" s="118"/>
      <c r="W48" s="118"/>
      <c r="X48" s="118"/>
      <c r="Y48" s="118"/>
      <c r="Z48" s="118">
        <v>187</v>
      </c>
      <c r="AA48" s="118"/>
      <c r="AB48" s="322">
        <v>252.5</v>
      </c>
      <c r="AC48" s="118"/>
      <c r="AD48" s="118"/>
      <c r="AE48" s="118"/>
      <c r="AF48" s="486">
        <f t="shared" si="12"/>
        <v>11394.84</v>
      </c>
    </row>
    <row r="49" spans="1:32" ht="20.25" customHeight="1">
      <c r="A49" s="16">
        <v>54116</v>
      </c>
      <c r="B49" s="428" t="s">
        <v>55</v>
      </c>
      <c r="C49" s="118"/>
      <c r="D49" s="118"/>
      <c r="E49" s="118">
        <v>0</v>
      </c>
      <c r="F49" s="118">
        <v>0</v>
      </c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82"/>
      <c r="AC49" s="118"/>
      <c r="AD49" s="118"/>
      <c r="AE49" s="118"/>
      <c r="AF49" s="486">
        <f t="shared" si="12"/>
        <v>0</v>
      </c>
    </row>
    <row r="50" spans="1:32" ht="24.75" customHeight="1">
      <c r="A50" s="16">
        <v>54117</v>
      </c>
      <c r="B50" s="428" t="s">
        <v>56</v>
      </c>
      <c r="C50" s="118"/>
      <c r="D50" s="118"/>
      <c r="E50" s="118">
        <v>0</v>
      </c>
      <c r="F50" s="118">
        <v>0</v>
      </c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82"/>
      <c r="AC50" s="118"/>
      <c r="AD50" s="118"/>
      <c r="AE50" s="118"/>
      <c r="AF50" s="486">
        <f t="shared" si="12"/>
        <v>0</v>
      </c>
    </row>
    <row r="51" spans="1:32" ht="18.75">
      <c r="A51" s="16">
        <v>54118</v>
      </c>
      <c r="B51" s="425" t="s">
        <v>57</v>
      </c>
      <c r="C51" s="118"/>
      <c r="D51" s="118"/>
      <c r="E51" s="118">
        <v>0</v>
      </c>
      <c r="F51" s="118">
        <v>0</v>
      </c>
      <c r="G51" s="118"/>
      <c r="H51" s="118"/>
      <c r="I51" s="118">
        <v>34</v>
      </c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>
        <v>2918.2</v>
      </c>
      <c r="V51" s="118">
        <v>118.75</v>
      </c>
      <c r="W51" s="118">
        <v>1235</v>
      </c>
      <c r="X51" s="118">
        <v>303.35000000000002</v>
      </c>
      <c r="Y51" s="118">
        <v>251</v>
      </c>
      <c r="Z51" s="118">
        <v>379.5</v>
      </c>
      <c r="AA51" s="118"/>
      <c r="AB51" s="82"/>
      <c r="AC51" s="118"/>
      <c r="AD51" s="118"/>
      <c r="AE51" s="118"/>
      <c r="AF51" s="486">
        <f t="shared" si="12"/>
        <v>5239.8</v>
      </c>
    </row>
    <row r="52" spans="1:32" ht="18.75">
      <c r="A52" s="16">
        <v>54119</v>
      </c>
      <c r="B52" s="425" t="s">
        <v>58</v>
      </c>
      <c r="C52" s="118"/>
      <c r="D52" s="118"/>
      <c r="E52" s="118">
        <v>0</v>
      </c>
      <c r="F52" s="118">
        <v>0</v>
      </c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>
        <v>315</v>
      </c>
      <c r="R52" s="118"/>
      <c r="S52" s="118"/>
      <c r="T52" s="118"/>
      <c r="U52" s="118"/>
      <c r="V52" s="118"/>
      <c r="W52" s="118"/>
      <c r="X52" s="118">
        <v>36</v>
      </c>
      <c r="Y52" s="118"/>
      <c r="Z52" s="118"/>
      <c r="AA52" s="118"/>
      <c r="AB52" s="82"/>
      <c r="AC52" s="118"/>
      <c r="AD52" s="118"/>
      <c r="AE52" s="118"/>
      <c r="AF52" s="486">
        <f t="shared" si="12"/>
        <v>351</v>
      </c>
    </row>
    <row r="53" spans="1:32" ht="18.75">
      <c r="A53" s="16">
        <v>54121</v>
      </c>
      <c r="B53" s="425" t="s">
        <v>59</v>
      </c>
      <c r="C53" s="118"/>
      <c r="D53" s="118"/>
      <c r="E53" s="118">
        <v>0</v>
      </c>
      <c r="F53" s="118">
        <v>0</v>
      </c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82"/>
      <c r="AC53" s="118"/>
      <c r="AD53" s="118"/>
      <c r="AE53" s="118"/>
      <c r="AF53" s="486">
        <f t="shared" si="12"/>
        <v>0</v>
      </c>
    </row>
    <row r="54" spans="1:32" ht="18.75">
      <c r="A54" s="16">
        <v>54199</v>
      </c>
      <c r="B54" s="425" t="s">
        <v>60</v>
      </c>
      <c r="C54" s="118">
        <v>1000</v>
      </c>
      <c r="D54" s="118"/>
      <c r="E54" s="118">
        <v>0</v>
      </c>
      <c r="F54" s="118">
        <v>0</v>
      </c>
      <c r="G54" s="118"/>
      <c r="H54" s="118"/>
      <c r="I54" s="118"/>
      <c r="J54" s="118"/>
      <c r="K54" s="118">
        <v>5</v>
      </c>
      <c r="L54" s="118"/>
      <c r="M54" s="118">
        <f>6.5+472</f>
        <v>478.5</v>
      </c>
      <c r="N54" s="118"/>
      <c r="O54" s="118">
        <v>27</v>
      </c>
      <c r="P54" s="118">
        <v>97</v>
      </c>
      <c r="Q54" s="118"/>
      <c r="R54" s="118"/>
      <c r="S54" s="118"/>
      <c r="T54" s="118"/>
      <c r="U54" s="118">
        <v>3000</v>
      </c>
      <c r="V54" s="118">
        <v>194</v>
      </c>
      <c r="W54" s="118">
        <v>307.5</v>
      </c>
      <c r="X54" s="118">
        <v>9.75</v>
      </c>
      <c r="Y54" s="118">
        <v>119.7</v>
      </c>
      <c r="Z54" s="118">
        <v>3000</v>
      </c>
      <c r="AA54" s="118"/>
      <c r="AB54" s="82"/>
      <c r="AC54" s="118"/>
      <c r="AD54" s="118"/>
      <c r="AE54" s="118"/>
      <c r="AF54" s="486">
        <f t="shared" si="12"/>
        <v>8238.4500000000007</v>
      </c>
    </row>
    <row r="55" spans="1:32" ht="18.75">
      <c r="A55" s="6">
        <v>542</v>
      </c>
      <c r="B55" s="427" t="s">
        <v>61</v>
      </c>
      <c r="C55" s="419">
        <f t="shared" ref="C55:Z55" si="13">SUM(C56:C60)</f>
        <v>792</v>
      </c>
      <c r="D55" s="419">
        <f t="shared" si="13"/>
        <v>0</v>
      </c>
      <c r="E55" s="419">
        <f t="shared" si="13"/>
        <v>0</v>
      </c>
      <c r="F55" s="419">
        <f t="shared" si="13"/>
        <v>0</v>
      </c>
      <c r="G55" s="419">
        <f t="shared" si="13"/>
        <v>0</v>
      </c>
      <c r="H55" s="419">
        <f t="shared" si="13"/>
        <v>0</v>
      </c>
      <c r="I55" s="419">
        <f t="shared" si="13"/>
        <v>0</v>
      </c>
      <c r="J55" s="419">
        <f t="shared" si="13"/>
        <v>0</v>
      </c>
      <c r="K55" s="419">
        <f t="shared" si="13"/>
        <v>0</v>
      </c>
      <c r="L55" s="419">
        <f t="shared" si="13"/>
        <v>0</v>
      </c>
      <c r="M55" s="419">
        <f t="shared" si="13"/>
        <v>0</v>
      </c>
      <c r="N55" s="419">
        <f t="shared" si="13"/>
        <v>0</v>
      </c>
      <c r="O55" s="419">
        <f t="shared" si="13"/>
        <v>0</v>
      </c>
      <c r="P55" s="419">
        <f t="shared" si="13"/>
        <v>400</v>
      </c>
      <c r="Q55" s="419"/>
      <c r="R55" s="419">
        <f t="shared" si="13"/>
        <v>5200</v>
      </c>
      <c r="S55" s="419">
        <f t="shared" si="13"/>
        <v>0</v>
      </c>
      <c r="T55" s="419">
        <f t="shared" si="13"/>
        <v>0</v>
      </c>
      <c r="U55" s="419">
        <f t="shared" si="13"/>
        <v>0</v>
      </c>
      <c r="V55" s="419">
        <f t="shared" si="13"/>
        <v>0</v>
      </c>
      <c r="W55" s="419">
        <f t="shared" si="13"/>
        <v>0</v>
      </c>
      <c r="X55" s="419">
        <f t="shared" si="13"/>
        <v>0</v>
      </c>
      <c r="Y55" s="419">
        <f t="shared" si="13"/>
        <v>0</v>
      </c>
      <c r="Z55" s="419">
        <f t="shared" si="13"/>
        <v>0</v>
      </c>
      <c r="AA55" s="419"/>
      <c r="AB55" s="82"/>
      <c r="AC55" s="419"/>
      <c r="AD55" s="419"/>
      <c r="AE55" s="419"/>
      <c r="AF55" s="486">
        <f t="shared" si="12"/>
        <v>6392</v>
      </c>
    </row>
    <row r="56" spans="1:32" ht="18.75">
      <c r="A56" s="16">
        <v>54205</v>
      </c>
      <c r="B56" s="425" t="s">
        <v>62</v>
      </c>
      <c r="C56" s="118"/>
      <c r="D56" s="118"/>
      <c r="E56" s="118">
        <v>0</v>
      </c>
      <c r="F56" s="118">
        <f>+'[1]LT 0102'!D60+'[1]LT 0103'!D60+'[1]LT 0105'!D60+'[1]LT 0106'!D60+'[1]LT 0201'!D60+'[1]LT 0202'!D60+'[1]LT 0203'!D60+'[1]LT 0204'!D60+'[1]LT 0205'!D60+'[1]LT 0301'!D60+'[1]LT 0302'!D60+'[1]LT 0303'!D60+'[1]LT 0304'!D60+'[1]LT 0305'!D60+'[1]LT 0306'!D60+'[1]LT 0307'!D60+'[1]LT 0308'!D60+'[1]LT 0309'!D60+'[1]LT 0310'!D60</f>
        <v>0</v>
      </c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82"/>
      <c r="AC56" s="118"/>
      <c r="AD56" s="118"/>
      <c r="AE56" s="118"/>
      <c r="AF56" s="486">
        <f t="shared" si="12"/>
        <v>0</v>
      </c>
    </row>
    <row r="57" spans="1:32" ht="18.75">
      <c r="A57" s="16">
        <v>54201</v>
      </c>
      <c r="B57" s="425" t="s">
        <v>63</v>
      </c>
      <c r="C57" s="118"/>
      <c r="D57" s="118"/>
      <c r="E57" s="118">
        <v>0</v>
      </c>
      <c r="F57" s="118">
        <v>0</v>
      </c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>
        <v>4000</v>
      </c>
      <c r="S57" s="118"/>
      <c r="T57" s="118"/>
      <c r="U57" s="118"/>
      <c r="V57" s="118"/>
      <c r="W57" s="118"/>
      <c r="X57" s="118"/>
      <c r="Y57" s="118"/>
      <c r="Z57" s="118"/>
      <c r="AA57" s="118"/>
      <c r="AB57" s="82"/>
      <c r="AC57" s="118"/>
      <c r="AD57" s="118"/>
      <c r="AE57" s="118"/>
      <c r="AF57" s="486">
        <f>SUM(C57:Z57)-R57</f>
        <v>0</v>
      </c>
    </row>
    <row r="58" spans="1:32" ht="18.75">
      <c r="A58" s="16">
        <v>54202</v>
      </c>
      <c r="B58" s="425" t="s">
        <v>64</v>
      </c>
      <c r="C58" s="118">
        <v>792</v>
      </c>
      <c r="D58" s="118"/>
      <c r="E58" s="118">
        <v>0</v>
      </c>
      <c r="F58" s="118">
        <v>0</v>
      </c>
      <c r="G58" s="118"/>
      <c r="H58" s="118"/>
      <c r="I58" s="118"/>
      <c r="J58" s="118"/>
      <c r="K58" s="118"/>
      <c r="L58" s="118"/>
      <c r="M58" s="118"/>
      <c r="N58" s="118"/>
      <c r="O58" s="118"/>
      <c r="P58" s="118">
        <v>400</v>
      </c>
      <c r="Q58" s="118"/>
      <c r="R58" s="118">
        <v>1200</v>
      </c>
      <c r="S58" s="118"/>
      <c r="T58" s="118"/>
      <c r="U58" s="118"/>
      <c r="V58" s="118"/>
      <c r="W58" s="118"/>
      <c r="X58" s="118"/>
      <c r="Y58" s="118"/>
      <c r="Z58" s="118"/>
      <c r="AA58" s="118"/>
      <c r="AB58" s="82"/>
      <c r="AC58" s="118"/>
      <c r="AD58" s="118"/>
      <c r="AE58" s="118"/>
      <c r="AF58" s="486">
        <f>SUM(C58:Z58)-R58</f>
        <v>1192</v>
      </c>
    </row>
    <row r="59" spans="1:32" ht="18.75">
      <c r="A59" s="16">
        <v>54203</v>
      </c>
      <c r="B59" s="425" t="s">
        <v>65</v>
      </c>
      <c r="C59" s="118"/>
      <c r="D59" s="118"/>
      <c r="E59" s="118">
        <v>0</v>
      </c>
      <c r="F59" s="118">
        <v>0</v>
      </c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>
        <v>0</v>
      </c>
      <c r="S59" s="118"/>
      <c r="T59" s="118"/>
      <c r="U59" s="118"/>
      <c r="V59" s="118"/>
      <c r="W59" s="118"/>
      <c r="X59" s="118"/>
      <c r="Y59" s="118"/>
      <c r="Z59" s="118"/>
      <c r="AA59" s="118"/>
      <c r="AB59" s="82"/>
      <c r="AC59" s="118"/>
      <c r="AD59" s="118"/>
      <c r="AE59" s="118"/>
      <c r="AF59" s="486">
        <f t="shared" ref="AF59:AF90" si="14">SUM(C59:Z59)</f>
        <v>0</v>
      </c>
    </row>
    <row r="60" spans="1:32" ht="18.75">
      <c r="A60" s="16">
        <v>54204</v>
      </c>
      <c r="B60" s="22" t="s">
        <v>66</v>
      </c>
      <c r="C60" s="118"/>
      <c r="D60" s="118"/>
      <c r="E60" s="118">
        <v>0</v>
      </c>
      <c r="F60" s="118">
        <f>+'[1]LT 0102'!D64+'[1]LT 0103'!D64+'[1]LT 0105'!D64+'[1]LT 0106'!D64+'[1]LT 0201'!D64+'[1]LT 0202'!D64+'[1]LT 0203'!D64+'[1]LT 0204'!D64+'[1]LT 0205'!D64+'[1]LT 0301'!D64+'[1]LT 0302'!D64+'[1]LT 0303'!D64+'[1]LT 0304'!D64+'[1]LT 0305'!D64+'[1]LT 0306'!D64+'[1]LT 0307'!D64+'[1]LT 0308'!D64+'[1]LT 0309'!D64+'[1]LT 0310'!D64</f>
        <v>0</v>
      </c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82"/>
      <c r="AC60" s="118"/>
      <c r="AD60" s="118"/>
      <c r="AE60" s="118"/>
      <c r="AF60" s="486">
        <f t="shared" si="14"/>
        <v>0</v>
      </c>
    </row>
    <row r="61" spans="1:32" ht="18.75">
      <c r="A61" s="6">
        <v>543</v>
      </c>
      <c r="B61" s="427" t="s">
        <v>67</v>
      </c>
      <c r="C61" s="419">
        <f t="shared" ref="C61:Z61" si="15">SUM(C62:C77)</f>
        <v>160</v>
      </c>
      <c r="D61" s="419">
        <f t="shared" si="15"/>
        <v>0</v>
      </c>
      <c r="E61" s="419">
        <f t="shared" si="15"/>
        <v>602</v>
      </c>
      <c r="F61" s="419">
        <f t="shared" si="15"/>
        <v>300</v>
      </c>
      <c r="G61" s="419">
        <f t="shared" si="15"/>
        <v>160</v>
      </c>
      <c r="H61" s="419">
        <f t="shared" si="15"/>
        <v>160</v>
      </c>
      <c r="I61" s="419">
        <f t="shared" si="15"/>
        <v>0</v>
      </c>
      <c r="J61" s="419">
        <f t="shared" si="15"/>
        <v>0</v>
      </c>
      <c r="K61" s="419">
        <f t="shared" si="15"/>
        <v>992.5</v>
      </c>
      <c r="L61" s="419">
        <f t="shared" si="15"/>
        <v>5000</v>
      </c>
      <c r="M61" s="419">
        <f t="shared" si="15"/>
        <v>0</v>
      </c>
      <c r="N61" s="419">
        <f t="shared" si="15"/>
        <v>0</v>
      </c>
      <c r="O61" s="419">
        <f t="shared" si="15"/>
        <v>500</v>
      </c>
      <c r="P61" s="419">
        <f t="shared" si="15"/>
        <v>0</v>
      </c>
      <c r="Q61" s="419"/>
      <c r="R61" s="419">
        <f t="shared" si="15"/>
        <v>0</v>
      </c>
      <c r="S61" s="419">
        <f t="shared" si="15"/>
        <v>1200</v>
      </c>
      <c r="T61" s="419">
        <f t="shared" si="15"/>
        <v>160</v>
      </c>
      <c r="U61" s="419">
        <f t="shared" si="15"/>
        <v>2190</v>
      </c>
      <c r="V61" s="419">
        <f t="shared" si="15"/>
        <v>0</v>
      </c>
      <c r="W61" s="419">
        <f t="shared" si="15"/>
        <v>0</v>
      </c>
      <c r="X61" s="419">
        <f t="shared" si="15"/>
        <v>0</v>
      </c>
      <c r="Y61" s="419">
        <f t="shared" si="15"/>
        <v>700</v>
      </c>
      <c r="Z61" s="419">
        <f t="shared" si="15"/>
        <v>0</v>
      </c>
      <c r="AA61" s="419"/>
      <c r="AB61" s="82"/>
      <c r="AC61" s="419"/>
      <c r="AD61" s="419"/>
      <c r="AE61" s="419"/>
      <c r="AF61" s="486">
        <f t="shared" si="14"/>
        <v>12124.5</v>
      </c>
    </row>
    <row r="62" spans="1:32" ht="18.75">
      <c r="A62" s="16">
        <v>54301</v>
      </c>
      <c r="B62" s="425" t="s">
        <v>68</v>
      </c>
      <c r="C62" s="118">
        <v>160</v>
      </c>
      <c r="D62" s="118"/>
      <c r="E62" s="118">
        <v>300</v>
      </c>
      <c r="F62" s="118">
        <v>300</v>
      </c>
      <c r="G62" s="118">
        <v>160</v>
      </c>
      <c r="H62" s="118">
        <v>160</v>
      </c>
      <c r="I62" s="118"/>
      <c r="J62" s="118"/>
      <c r="K62" s="432">
        <v>160</v>
      </c>
      <c r="L62" s="118"/>
      <c r="M62" s="118"/>
      <c r="N62" s="118"/>
      <c r="O62" s="118">
        <v>500</v>
      </c>
      <c r="P62" s="118"/>
      <c r="Q62" s="118"/>
      <c r="R62" s="118"/>
      <c r="S62" s="118">
        <v>400</v>
      </c>
      <c r="T62" s="118">
        <v>160</v>
      </c>
      <c r="U62" s="118">
        <v>300</v>
      </c>
      <c r="V62" s="118"/>
      <c r="W62" s="118"/>
      <c r="X62" s="118"/>
      <c r="Y62" s="118">
        <v>700</v>
      </c>
      <c r="Z62" s="118"/>
      <c r="AA62" s="118"/>
      <c r="AB62" s="82"/>
      <c r="AC62" s="118"/>
      <c r="AD62" s="118"/>
      <c r="AE62" s="118"/>
      <c r="AF62" s="486">
        <f t="shared" si="14"/>
        <v>3300</v>
      </c>
    </row>
    <row r="63" spans="1:32" ht="18.75">
      <c r="A63" s="16">
        <v>54302</v>
      </c>
      <c r="B63" s="425" t="s">
        <v>69</v>
      </c>
      <c r="C63" s="118"/>
      <c r="D63" s="118"/>
      <c r="E63" s="118">
        <v>0</v>
      </c>
      <c r="F63" s="118">
        <v>0</v>
      </c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>
        <v>1890</v>
      </c>
      <c r="V63" s="118"/>
      <c r="W63" s="118"/>
      <c r="X63" s="118"/>
      <c r="Y63" s="118"/>
      <c r="Z63" s="118"/>
      <c r="AA63" s="118"/>
      <c r="AB63" s="82"/>
      <c r="AC63" s="118"/>
      <c r="AD63" s="118"/>
      <c r="AE63" s="118"/>
      <c r="AF63" s="486">
        <f t="shared" si="14"/>
        <v>1890</v>
      </c>
    </row>
    <row r="64" spans="1:32" ht="18.75">
      <c r="A64" s="16">
        <v>54303</v>
      </c>
      <c r="B64" s="425" t="s">
        <v>70</v>
      </c>
      <c r="C64" s="118"/>
      <c r="D64" s="118"/>
      <c r="E64" s="118">
        <v>0</v>
      </c>
      <c r="F64" s="118">
        <v>0</v>
      </c>
      <c r="G64" s="118"/>
      <c r="H64" s="118"/>
      <c r="I64" s="118"/>
      <c r="J64" s="118"/>
      <c r="K64" s="118">
        <v>0</v>
      </c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82"/>
      <c r="AC64" s="118"/>
      <c r="AD64" s="118"/>
      <c r="AE64" s="118"/>
      <c r="AF64" s="486">
        <f t="shared" si="14"/>
        <v>0</v>
      </c>
    </row>
    <row r="65" spans="1:32" ht="18.75">
      <c r="A65" s="16">
        <v>54304</v>
      </c>
      <c r="B65" s="425" t="s">
        <v>71</v>
      </c>
      <c r="C65" s="118"/>
      <c r="D65" s="118"/>
      <c r="E65" s="118">
        <v>0</v>
      </c>
      <c r="F65" s="118">
        <v>0</v>
      </c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82"/>
      <c r="AC65" s="118"/>
      <c r="AD65" s="118"/>
      <c r="AE65" s="118"/>
      <c r="AF65" s="486">
        <f t="shared" si="14"/>
        <v>0</v>
      </c>
    </row>
    <row r="66" spans="1:32" ht="18.75">
      <c r="A66" s="16">
        <v>54305</v>
      </c>
      <c r="B66" s="425" t="s">
        <v>72</v>
      </c>
      <c r="C66" s="118"/>
      <c r="D66" s="118"/>
      <c r="E66" s="118">
        <v>0</v>
      </c>
      <c r="F66" s="118">
        <f>+'[1]LT 0102'!D70+'[1]LT 0103'!D70+'[1]LT 0105'!D70+'[1]LT 0106'!D70+'[1]LT 0201'!D70+'[1]LT 0202'!D70+'[1]LT 0203'!D70+'[1]LT 0204'!D70+'[1]LT 0205'!D70+'[1]LT 0301'!D70+'[1]LT 0302'!D70+'[1]LT 0303'!D70+'[1]LT 0304'!D70+'[1]LT 0305'!D70+'[1]LT 0306'!D70+'[1]LT 0307'!D70+'[1]LT 0308'!D70+'[1]LT 0309'!D70+'[1]LT 0310'!D70</f>
        <v>0</v>
      </c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82"/>
      <c r="AC66" s="118"/>
      <c r="AD66" s="118"/>
      <c r="AE66" s="118"/>
      <c r="AF66" s="486">
        <f t="shared" si="14"/>
        <v>0</v>
      </c>
    </row>
    <row r="67" spans="1:32" ht="18.75">
      <c r="A67" s="16">
        <v>54306</v>
      </c>
      <c r="B67" s="425" t="s">
        <v>73</v>
      </c>
      <c r="C67" s="118"/>
      <c r="D67" s="118"/>
      <c r="E67" s="118">
        <v>0</v>
      </c>
      <c r="F67" s="118">
        <f>+'[1]LT 0102'!D71+'[1]LT 0103'!D71+'[1]LT 0105'!D71+'[1]LT 0106'!D71+'[1]LT 0201'!D71+'[1]LT 0202'!D71+'[1]LT 0203'!D71+'[1]LT 0204'!D71+'[1]LT 0205'!D71+'[1]LT 0301'!D71+'[1]LT 0302'!D71+'[1]LT 0303'!D71+'[1]LT 0304'!D71+'[1]LT 0305'!D71+'[1]LT 0306'!D71+'[1]LT 0307'!D71+'[1]LT 0308'!D71+'[1]LT 0309'!D71+'[1]LT 0310'!D71</f>
        <v>0</v>
      </c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82"/>
      <c r="AC67" s="118"/>
      <c r="AD67" s="118"/>
      <c r="AE67" s="118"/>
      <c r="AF67" s="486">
        <f t="shared" si="14"/>
        <v>0</v>
      </c>
    </row>
    <row r="68" spans="1:32" ht="18.75">
      <c r="A68" s="16">
        <v>54307</v>
      </c>
      <c r="B68" s="425" t="s">
        <v>74</v>
      </c>
      <c r="C68" s="118"/>
      <c r="D68" s="118"/>
      <c r="E68" s="118">
        <v>0</v>
      </c>
      <c r="F68" s="118">
        <f>+'[1]LT 0102'!D72+'[1]LT 0103'!D72+'[1]LT 0105'!D72+'[1]LT 0106'!D72+'[1]LT 0201'!D72+'[1]LT 0202'!D72+'[1]LT 0203'!D72+'[1]LT 0204'!D72+'[1]LT 0205'!D72+'[1]LT 0301'!D72+'[1]LT 0302'!D72+'[1]LT 0303'!D72+'[1]LT 0304'!D72+'[1]LT 0305'!D72+'[1]LT 0306'!D72+'[1]LT 0307'!D72+'[1]LT 0308'!D72+'[1]LT 0309'!D72+'[1]LT 0310'!D72</f>
        <v>0</v>
      </c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82"/>
      <c r="AC68" s="118"/>
      <c r="AD68" s="118"/>
      <c r="AE68" s="118"/>
      <c r="AF68" s="486">
        <f t="shared" si="14"/>
        <v>0</v>
      </c>
    </row>
    <row r="69" spans="1:32" ht="18.75">
      <c r="A69" s="16">
        <v>54309</v>
      </c>
      <c r="B69" s="425" t="s">
        <v>75</v>
      </c>
      <c r="C69" s="118"/>
      <c r="D69" s="118"/>
      <c r="E69" s="118">
        <v>0</v>
      </c>
      <c r="F69" s="118">
        <f>+'[1]LT 0102'!D73+'[1]LT 0103'!D73+'[1]LT 0105'!D73+'[1]LT 0106'!D73+'[1]LT 0201'!D73+'[1]LT 0202'!D73+'[1]LT 0203'!D73+'[1]LT 0204'!D73+'[1]LT 0205'!D73+'[1]LT 0301'!D73+'[1]LT 0302'!D73+'[1]LT 0303'!D73+'[1]LT 0304'!D73+'[1]LT 0305'!D73+'[1]LT 0306'!D73+'[1]LT 0307'!D73+'[1]LT 0308'!D73+'[1]LT 0309'!D73+'[1]LT 0310'!D73</f>
        <v>0</v>
      </c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82"/>
      <c r="AC69" s="118"/>
      <c r="AD69" s="118"/>
      <c r="AE69" s="118"/>
      <c r="AF69" s="486">
        <f t="shared" si="14"/>
        <v>0</v>
      </c>
    </row>
    <row r="70" spans="1:32" ht="18.75">
      <c r="A70" s="16">
        <v>54310</v>
      </c>
      <c r="B70" s="425" t="s">
        <v>76</v>
      </c>
      <c r="C70" s="118"/>
      <c r="D70" s="118"/>
      <c r="E70" s="118">
        <v>0</v>
      </c>
      <c r="F70" s="118">
        <f>+'[1]LT 0102'!D74+'[1]LT 0103'!D74+'[1]LT 0105'!D74+'[1]LT 0106'!D74+'[1]LT 0201'!D74+'[1]LT 0202'!D74+'[1]LT 0203'!D74+'[1]LT 0204'!D74+'[1]LT 0205'!D74+'[1]LT 0301'!D74+'[1]LT 0302'!D74+'[1]LT 0303'!D74+'[1]LT 0304'!D74+'[1]LT 0305'!D74+'[1]LT 0306'!D74+'[1]LT 0307'!D74+'[1]LT 0308'!D74+'[1]LT 0309'!D74+'[1]LT 0310'!D74</f>
        <v>0</v>
      </c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82"/>
      <c r="AC70" s="118"/>
      <c r="AD70" s="118"/>
      <c r="AE70" s="118"/>
      <c r="AF70" s="486">
        <f t="shared" si="14"/>
        <v>0</v>
      </c>
    </row>
    <row r="71" spans="1:32" ht="18.75">
      <c r="A71" s="16">
        <v>54311</v>
      </c>
      <c r="B71" s="425" t="s">
        <v>77</v>
      </c>
      <c r="C71" s="118"/>
      <c r="D71" s="118"/>
      <c r="E71" s="118">
        <v>0</v>
      </c>
      <c r="F71" s="118">
        <f>+'[1]LT 0102'!D75+'[1]LT 0103'!D75+'[1]LT 0105'!D75+'[1]LT 0106'!D75+'[1]LT 0201'!D75+'[1]LT 0202'!D75+'[1]LT 0203'!D75+'[1]LT 0204'!D75+'[1]LT 0205'!D75+'[1]LT 0301'!D75+'[1]LT 0302'!D75+'[1]LT 0303'!D75+'[1]LT 0304'!D75+'[1]LT 0305'!D75+'[1]LT 0306'!D75+'[1]LT 0307'!D75+'[1]LT 0308'!D75+'[1]LT 0309'!D75+'[1]LT 0310'!D75</f>
        <v>0</v>
      </c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82"/>
      <c r="AC71" s="118"/>
      <c r="AD71" s="118"/>
      <c r="AE71" s="118"/>
      <c r="AF71" s="486">
        <f t="shared" si="14"/>
        <v>0</v>
      </c>
    </row>
    <row r="72" spans="1:32" ht="18.75">
      <c r="A72" s="16">
        <v>54313</v>
      </c>
      <c r="B72" s="425" t="s">
        <v>78</v>
      </c>
      <c r="C72" s="118"/>
      <c r="D72" s="118"/>
      <c r="E72" s="118">
        <v>302</v>
      </c>
      <c r="F72" s="118">
        <v>0</v>
      </c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>
        <v>800</v>
      </c>
      <c r="T72" s="118"/>
      <c r="U72" s="118"/>
      <c r="V72" s="118"/>
      <c r="W72" s="118"/>
      <c r="X72" s="118"/>
      <c r="Y72" s="118"/>
      <c r="Z72" s="118"/>
      <c r="AA72" s="118"/>
      <c r="AB72" s="82"/>
      <c r="AC72" s="118"/>
      <c r="AD72" s="118"/>
      <c r="AE72" s="118"/>
      <c r="AF72" s="486">
        <f t="shared" si="14"/>
        <v>1102</v>
      </c>
    </row>
    <row r="73" spans="1:32" ht="18.75">
      <c r="A73" s="23">
        <v>54316</v>
      </c>
      <c r="B73" s="425" t="s">
        <v>79</v>
      </c>
      <c r="C73" s="118"/>
      <c r="D73" s="118"/>
      <c r="E73" s="118">
        <v>0</v>
      </c>
      <c r="F73" s="118">
        <f>+'[1]LT 0102'!D77+'[1]LT 0103'!D77+'[1]LT 0105'!D77+'[1]LT 0106'!D77+'[1]LT 0201'!D77+'[1]LT 0202'!D77+'[1]LT 0203'!D77+'[1]LT 0204'!D77+'[1]LT 0205'!D77+'[1]LT 0301'!D77+'[1]LT 0302'!D77+'[1]LT 0303'!D77+'[1]LT 0304'!D77+'[1]LT 0305'!D77+'[1]LT 0306'!D77+'[1]LT 0307'!D77+'[1]LT 0308'!D77+'[1]LT 0309'!D77+'[1]LT 0310'!D77</f>
        <v>0</v>
      </c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82"/>
      <c r="AC73" s="118"/>
      <c r="AD73" s="118"/>
      <c r="AE73" s="118"/>
      <c r="AF73" s="486">
        <f t="shared" si="14"/>
        <v>0</v>
      </c>
    </row>
    <row r="74" spans="1:32" ht="18.75">
      <c r="A74" s="23">
        <v>54317</v>
      </c>
      <c r="B74" s="425" t="s">
        <v>80</v>
      </c>
      <c r="C74" s="118"/>
      <c r="D74" s="118"/>
      <c r="E74" s="118">
        <v>0</v>
      </c>
      <c r="F74" s="118">
        <v>0</v>
      </c>
      <c r="G74" s="118"/>
      <c r="H74" s="118"/>
      <c r="I74" s="118"/>
      <c r="J74" s="118"/>
      <c r="K74" s="118"/>
      <c r="L74" s="118">
        <v>5000</v>
      </c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82"/>
      <c r="AC74" s="118"/>
      <c r="AD74" s="118"/>
      <c r="AE74" s="118"/>
      <c r="AF74" s="486">
        <f t="shared" si="14"/>
        <v>5000</v>
      </c>
    </row>
    <row r="75" spans="1:32" ht="18.75">
      <c r="A75" s="24">
        <v>54314</v>
      </c>
      <c r="B75" s="425" t="s">
        <v>81</v>
      </c>
      <c r="C75" s="118"/>
      <c r="D75" s="118"/>
      <c r="E75" s="118">
        <v>0</v>
      </c>
      <c r="F75" s="118">
        <v>0</v>
      </c>
      <c r="G75" s="118"/>
      <c r="H75" s="118"/>
      <c r="I75" s="118"/>
      <c r="J75" s="118"/>
      <c r="K75" s="118">
        <v>832.5</v>
      </c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82"/>
      <c r="AC75" s="118"/>
      <c r="AD75" s="118"/>
      <c r="AE75" s="118"/>
      <c r="AF75" s="486">
        <f t="shared" si="14"/>
        <v>832.5</v>
      </c>
    </row>
    <row r="76" spans="1:32" ht="18.75">
      <c r="A76" s="24">
        <v>54318</v>
      </c>
      <c r="B76" s="22" t="s">
        <v>82</v>
      </c>
      <c r="C76" s="118"/>
      <c r="D76" s="118"/>
      <c r="E76" s="118">
        <v>0</v>
      </c>
      <c r="F76" s="118">
        <f>+'[1]LT 0102'!D80+'[1]LT 0103'!D80+'[1]LT 0105'!D80+'[1]LT 0106'!D80+'[1]LT 0201'!D80+'[1]LT 0202'!D80+'[1]LT 0203'!D80+'[1]LT 0204'!D80+'[1]LT 0205'!D80+'[1]LT 0301'!D80+'[1]LT 0302'!D80+'[1]LT 0303'!D80+'[1]LT 0304'!D80+'[1]LT 0305'!D80+'[1]LT 0306'!D80+'[1]LT 0307'!D80+'[1]LT 0308'!D80+'[1]LT 0309'!D80+'[1]LT 0310'!D80</f>
        <v>0</v>
      </c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82"/>
      <c r="AC76" s="118"/>
      <c r="AD76" s="118"/>
      <c r="AE76" s="118"/>
      <c r="AF76" s="486">
        <f t="shared" si="14"/>
        <v>0</v>
      </c>
    </row>
    <row r="77" spans="1:32" ht="18.75">
      <c r="A77" s="16">
        <v>54399</v>
      </c>
      <c r="B77" s="22" t="s">
        <v>83</v>
      </c>
      <c r="C77" s="118"/>
      <c r="D77" s="118"/>
      <c r="E77" s="118">
        <v>0</v>
      </c>
      <c r="F77" s="118">
        <v>0</v>
      </c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82"/>
      <c r="AC77" s="118"/>
      <c r="AD77" s="118"/>
      <c r="AE77" s="118"/>
      <c r="AF77" s="486">
        <f t="shared" si="14"/>
        <v>0</v>
      </c>
    </row>
    <row r="78" spans="1:32" ht="18.75">
      <c r="A78" s="6">
        <v>544</v>
      </c>
      <c r="B78" s="429" t="s">
        <v>84</v>
      </c>
      <c r="C78" s="419">
        <f t="shared" ref="C78:Z78" si="16">SUM(C79:C88)</f>
        <v>0</v>
      </c>
      <c r="D78" s="419">
        <f t="shared" si="16"/>
        <v>0</v>
      </c>
      <c r="E78" s="419">
        <f t="shared" si="16"/>
        <v>50</v>
      </c>
      <c r="F78" s="419">
        <f t="shared" si="16"/>
        <v>150</v>
      </c>
      <c r="G78" s="419">
        <f t="shared" si="16"/>
        <v>0</v>
      </c>
      <c r="H78" s="419">
        <f t="shared" si="16"/>
        <v>0</v>
      </c>
      <c r="I78" s="419">
        <f t="shared" si="16"/>
        <v>0</v>
      </c>
      <c r="J78" s="419">
        <f t="shared" si="16"/>
        <v>0</v>
      </c>
      <c r="K78" s="419">
        <f t="shared" si="16"/>
        <v>0</v>
      </c>
      <c r="L78" s="419">
        <f t="shared" si="16"/>
        <v>0</v>
      </c>
      <c r="M78" s="419">
        <f t="shared" si="16"/>
        <v>0</v>
      </c>
      <c r="N78" s="419">
        <f t="shared" si="16"/>
        <v>0</v>
      </c>
      <c r="O78" s="419">
        <f t="shared" si="16"/>
        <v>0</v>
      </c>
      <c r="P78" s="419">
        <f t="shared" si="16"/>
        <v>0</v>
      </c>
      <c r="Q78" s="419"/>
      <c r="R78" s="419">
        <f t="shared" si="16"/>
        <v>0</v>
      </c>
      <c r="S78" s="419">
        <f t="shared" si="16"/>
        <v>0</v>
      </c>
      <c r="T78" s="419">
        <f t="shared" si="16"/>
        <v>100</v>
      </c>
      <c r="U78" s="419">
        <f t="shared" si="16"/>
        <v>0</v>
      </c>
      <c r="V78" s="419">
        <f t="shared" si="16"/>
        <v>0</v>
      </c>
      <c r="W78" s="419">
        <f t="shared" si="16"/>
        <v>0</v>
      </c>
      <c r="X78" s="419">
        <f t="shared" si="16"/>
        <v>0</v>
      </c>
      <c r="Y78" s="419">
        <f t="shared" si="16"/>
        <v>0</v>
      </c>
      <c r="Z78" s="419">
        <f t="shared" si="16"/>
        <v>0</v>
      </c>
      <c r="AA78" s="419"/>
      <c r="AB78" s="82"/>
      <c r="AC78" s="419"/>
      <c r="AD78" s="419"/>
      <c r="AE78" s="419"/>
      <c r="AF78" s="486">
        <f t="shared" si="14"/>
        <v>300</v>
      </c>
    </row>
    <row r="79" spans="1:32" ht="18.75">
      <c r="A79" s="16">
        <v>54401</v>
      </c>
      <c r="B79" s="425" t="s">
        <v>85</v>
      </c>
      <c r="C79" s="118"/>
      <c r="D79" s="118"/>
      <c r="E79" s="118">
        <v>0</v>
      </c>
      <c r="F79" s="118">
        <f>+'[1]LT 0102'!D83+'[1]LT 0103'!D83+'[1]LT 0105'!D83+'[1]LT 0106'!D83+'[1]LT 0201'!D83+'[1]LT 0202'!D83+'[1]LT 0203'!D83+'[1]LT 0204'!D83+'[1]LT 0205'!D83+'[1]LT 0301'!D83+'[1]LT 0302'!D83+'[1]LT 0303'!D83+'[1]LT 0304'!D83+'[1]LT 0305'!D83+'[1]LT 0306'!D83+'[1]LT 0307'!D83+'[1]LT 0308'!D83+'[1]LT 0309'!D83+'[1]LT 0310'!D83</f>
        <v>0</v>
      </c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82"/>
      <c r="AC79" s="118"/>
      <c r="AD79" s="118"/>
      <c r="AE79" s="118"/>
      <c r="AF79" s="486">
        <f t="shared" si="14"/>
        <v>0</v>
      </c>
    </row>
    <row r="80" spans="1:32" ht="18.75">
      <c r="A80" s="16">
        <v>54404</v>
      </c>
      <c r="B80" s="425" t="s">
        <v>86</v>
      </c>
      <c r="C80" s="118"/>
      <c r="D80" s="118"/>
      <c r="E80" s="118">
        <v>0</v>
      </c>
      <c r="F80" s="118">
        <f>+'[1]LT 0102'!D84+'[1]LT 0103'!D84+'[1]LT 0105'!D84+'[1]LT 0106'!D84+'[1]LT 0201'!D84+'[1]LT 0202'!D84+'[1]LT 0203'!D84+'[1]LT 0204'!D84+'[1]LT 0205'!D84+'[1]LT 0301'!D84+'[1]LT 0302'!D84+'[1]LT 0303'!D84+'[1]LT 0304'!D84+'[1]LT 0305'!D84+'[1]LT 0306'!D84+'[1]LT 0307'!D84+'[1]LT 0308'!D84+'[1]LT 0309'!D84+'[1]LT 0310'!D84</f>
        <v>0</v>
      </c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82"/>
      <c r="AC80" s="118"/>
      <c r="AD80" s="118"/>
      <c r="AE80" s="118"/>
      <c r="AF80" s="486">
        <f t="shared" si="14"/>
        <v>0</v>
      </c>
    </row>
    <row r="81" spans="1:32" ht="18.75">
      <c r="A81" s="16">
        <v>54403</v>
      </c>
      <c r="B81" s="425" t="s">
        <v>87</v>
      </c>
      <c r="C81" s="118"/>
      <c r="D81" s="118"/>
      <c r="E81" s="118">
        <v>50</v>
      </c>
      <c r="F81" s="118">
        <v>150</v>
      </c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>
        <v>100</v>
      </c>
      <c r="U81" s="118"/>
      <c r="V81" s="118"/>
      <c r="W81" s="118"/>
      <c r="X81" s="118"/>
      <c r="Y81" s="118"/>
      <c r="Z81" s="118"/>
      <c r="AA81" s="118"/>
      <c r="AB81" s="82"/>
      <c r="AC81" s="118"/>
      <c r="AD81" s="118"/>
      <c r="AE81" s="118"/>
      <c r="AF81" s="486">
        <f t="shared" si="14"/>
        <v>300</v>
      </c>
    </row>
    <row r="82" spans="1:32" ht="18.75">
      <c r="A82" s="16">
        <v>54501</v>
      </c>
      <c r="B82" s="425" t="s">
        <v>88</v>
      </c>
      <c r="C82" s="118"/>
      <c r="D82" s="118"/>
      <c r="E82" s="118">
        <v>0</v>
      </c>
      <c r="F82" s="118">
        <v>0</v>
      </c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82"/>
      <c r="AC82" s="118"/>
      <c r="AD82" s="118"/>
      <c r="AE82" s="118"/>
      <c r="AF82" s="486">
        <f t="shared" si="14"/>
        <v>0</v>
      </c>
    </row>
    <row r="83" spans="1:32" ht="18.75">
      <c r="A83" s="16">
        <v>54503</v>
      </c>
      <c r="B83" s="425" t="s">
        <v>89</v>
      </c>
      <c r="C83" s="118"/>
      <c r="D83" s="118"/>
      <c r="E83" s="118">
        <v>0</v>
      </c>
      <c r="F83" s="118">
        <f>+'[1]LT 0102'!D87+'[1]LT 0103'!D87+'[1]LT 0105'!D87+'[1]LT 0106'!D87+'[1]LT 0201'!D87+'[1]LT 0202'!D87+'[1]LT 0203'!D87+'[1]LT 0204'!D87+'[1]LT 0205'!D87+'[1]LT 0301'!D87+'[1]LT 0302'!D87+'[1]LT 0303'!D87+'[1]LT 0304'!D87+'[1]LT 0305'!D87+'[1]LT 0306'!D87+'[1]LT 0307'!D87+'[1]LT 0308'!D87+'[1]LT 0309'!D87+'[1]LT 0310'!D87</f>
        <v>0</v>
      </c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82"/>
      <c r="AC83" s="118"/>
      <c r="AD83" s="118"/>
      <c r="AE83" s="118"/>
      <c r="AF83" s="486">
        <f t="shared" si="14"/>
        <v>0</v>
      </c>
    </row>
    <row r="84" spans="1:32" ht="18.75">
      <c r="A84" s="16">
        <v>54505</v>
      </c>
      <c r="B84" s="425" t="s">
        <v>90</v>
      </c>
      <c r="C84" s="118"/>
      <c r="D84" s="118"/>
      <c r="E84" s="118">
        <v>0</v>
      </c>
      <c r="F84" s="118">
        <f>+'[1]LT 0102'!D88+'[1]LT 0103'!D88+'[1]LT 0105'!D88+'[1]LT 0106'!D88+'[1]LT 0201'!D88+'[1]LT 0202'!D88+'[1]LT 0203'!D88+'[1]LT 0204'!D88+'[1]LT 0205'!D88+'[1]LT 0301'!D88+'[1]LT 0302'!D88+'[1]LT 0303'!D88+'[1]LT 0304'!D88+'[1]LT 0305'!D88+'[1]LT 0306'!D88+'[1]LT 0307'!D88+'[1]LT 0308'!D88+'[1]LT 0309'!D88+'[1]LT 0310'!D88</f>
        <v>0</v>
      </c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82"/>
      <c r="AC84" s="118"/>
      <c r="AD84" s="118"/>
      <c r="AE84" s="118"/>
      <c r="AF84" s="486">
        <f t="shared" si="14"/>
        <v>0</v>
      </c>
    </row>
    <row r="85" spans="1:32" ht="18.75">
      <c r="A85" s="16">
        <v>54507</v>
      </c>
      <c r="B85" s="425" t="s">
        <v>91</v>
      </c>
      <c r="C85" s="118"/>
      <c r="D85" s="118"/>
      <c r="E85" s="118">
        <v>0</v>
      </c>
      <c r="F85" s="118">
        <f>+'[1]LT 0102'!D89+'[1]LT 0103'!D89+'[1]LT 0105'!D89+'[1]LT 0106'!D89+'[1]LT 0201'!D89+'[1]LT 0202'!D89+'[1]LT 0203'!D89+'[1]LT 0204'!D89+'[1]LT 0205'!D89+'[1]LT 0301'!D89+'[1]LT 0302'!D89+'[1]LT 0303'!D89+'[1]LT 0304'!D89+'[1]LT 0305'!D89+'[1]LT 0306'!D89+'[1]LT 0307'!D89+'[1]LT 0308'!D89+'[1]LT 0309'!D89+'[1]LT 0310'!D89</f>
        <v>0</v>
      </c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82"/>
      <c r="AC85" s="118"/>
      <c r="AD85" s="118"/>
      <c r="AE85" s="118"/>
      <c r="AF85" s="486">
        <f t="shared" si="14"/>
        <v>0</v>
      </c>
    </row>
    <row r="86" spans="1:32" ht="18.75">
      <c r="A86" s="16">
        <v>54599</v>
      </c>
      <c r="B86" s="425" t="s">
        <v>92</v>
      </c>
      <c r="C86" s="118"/>
      <c r="D86" s="118"/>
      <c r="E86" s="118">
        <v>0</v>
      </c>
      <c r="F86" s="118">
        <f>+'[1]LT 0102'!D90+'[1]LT 0103'!D90+'[1]LT 0105'!D90+'[1]LT 0106'!D90+'[1]LT 0201'!D90+'[1]LT 0202'!D90+'[1]LT 0203'!D90+'[1]LT 0204'!D90+'[1]LT 0205'!D90+'[1]LT 0301'!D90+'[1]LT 0302'!D90+'[1]LT 0303'!D90+'[1]LT 0304'!D90+'[1]LT 0305'!D90+'[1]LT 0306'!D90+'[1]LT 0307'!D90+'[1]LT 0308'!D90+'[1]LT 0309'!D90+'[1]LT 0310'!D90</f>
        <v>0</v>
      </c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82"/>
      <c r="AC86" s="118"/>
      <c r="AD86" s="118"/>
      <c r="AE86" s="118"/>
      <c r="AF86" s="486">
        <f t="shared" si="14"/>
        <v>0</v>
      </c>
    </row>
    <row r="87" spans="1:32" ht="18.75">
      <c r="A87" s="16">
        <v>54508</v>
      </c>
      <c r="B87" s="425" t="s">
        <v>93</v>
      </c>
      <c r="C87" s="118"/>
      <c r="D87" s="118"/>
      <c r="E87" s="118">
        <v>0</v>
      </c>
      <c r="F87" s="118">
        <f>+'[1]LT 0102'!D91+'[1]LT 0103'!D91+'[1]LT 0105'!D91+'[1]LT 0106'!D91+'[1]LT 0201'!D91+'[1]LT 0202'!D91+'[1]LT 0203'!D91+'[1]LT 0204'!D91+'[1]LT 0205'!D91+'[1]LT 0301'!D91+'[1]LT 0302'!D91+'[1]LT 0303'!D91+'[1]LT 0304'!D91+'[1]LT 0305'!D91+'[1]LT 0306'!D91+'[1]LT 0307'!D91+'[1]LT 0308'!D91+'[1]LT 0309'!D91+'[1]LT 0310'!D91</f>
        <v>0</v>
      </c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82"/>
      <c r="AC87" s="118"/>
      <c r="AD87" s="118"/>
      <c r="AE87" s="118"/>
      <c r="AF87" s="486">
        <f t="shared" si="14"/>
        <v>0</v>
      </c>
    </row>
    <row r="88" spans="1:32" ht="18.75">
      <c r="A88" s="16">
        <v>54699</v>
      </c>
      <c r="B88" s="425" t="s">
        <v>94</v>
      </c>
      <c r="C88" s="118"/>
      <c r="D88" s="118"/>
      <c r="E88" s="118">
        <v>0</v>
      </c>
      <c r="F88" s="118">
        <f>+'[1]LT 0102'!D92+'[1]LT 0103'!D92+'[1]LT 0105'!D92+'[1]LT 0106'!D92+'[1]LT 0201'!D92+'[1]LT 0202'!D92+'[1]LT 0203'!D92+'[1]LT 0204'!D92+'[1]LT 0205'!D92+'[1]LT 0301'!D92+'[1]LT 0302'!D92+'[1]LT 0303'!D92+'[1]LT 0304'!D92+'[1]LT 0305'!D92+'[1]LT 0306'!D92+'[1]LT 0307'!D92+'[1]LT 0308'!D92+'[1]LT 0309'!D92+'[1]LT 0310'!D92</f>
        <v>0</v>
      </c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82"/>
      <c r="AC88" s="118"/>
      <c r="AD88" s="118"/>
      <c r="AE88" s="118"/>
      <c r="AF88" s="486">
        <f t="shared" si="14"/>
        <v>0</v>
      </c>
    </row>
    <row r="89" spans="1:32" ht="18.75">
      <c r="A89" s="6">
        <v>55</v>
      </c>
      <c r="B89" s="427" t="s">
        <v>95</v>
      </c>
      <c r="C89" s="419">
        <f t="shared" ref="C89:Z89" si="17">SUM(C92,C94,C98,)+C90</f>
        <v>0</v>
      </c>
      <c r="D89" s="419">
        <f t="shared" si="17"/>
        <v>0</v>
      </c>
      <c r="E89" s="419">
        <f t="shared" si="17"/>
        <v>0</v>
      </c>
      <c r="F89" s="419">
        <f t="shared" si="17"/>
        <v>0</v>
      </c>
      <c r="G89" s="419">
        <f t="shared" si="17"/>
        <v>0</v>
      </c>
      <c r="H89" s="419">
        <f t="shared" si="17"/>
        <v>0</v>
      </c>
      <c r="I89" s="419">
        <f t="shared" si="17"/>
        <v>0</v>
      </c>
      <c r="J89" s="419">
        <f t="shared" si="17"/>
        <v>0</v>
      </c>
      <c r="K89" s="419">
        <f t="shared" si="17"/>
        <v>0</v>
      </c>
      <c r="L89" s="419">
        <f t="shared" si="17"/>
        <v>0</v>
      </c>
      <c r="M89" s="419">
        <f t="shared" si="17"/>
        <v>0</v>
      </c>
      <c r="N89" s="419">
        <f t="shared" si="17"/>
        <v>0</v>
      </c>
      <c r="O89" s="419">
        <f t="shared" si="17"/>
        <v>0</v>
      </c>
      <c r="P89" s="419">
        <f t="shared" si="17"/>
        <v>0</v>
      </c>
      <c r="Q89" s="419"/>
      <c r="R89" s="419">
        <f t="shared" si="17"/>
        <v>0</v>
      </c>
      <c r="S89" s="419">
        <f t="shared" si="17"/>
        <v>0</v>
      </c>
      <c r="T89" s="419">
        <f t="shared" si="17"/>
        <v>0</v>
      </c>
      <c r="U89" s="419">
        <f t="shared" si="17"/>
        <v>1000</v>
      </c>
      <c r="V89" s="419">
        <f t="shared" si="17"/>
        <v>0</v>
      </c>
      <c r="W89" s="419">
        <f t="shared" si="17"/>
        <v>0</v>
      </c>
      <c r="X89" s="419">
        <f t="shared" si="17"/>
        <v>0</v>
      </c>
      <c r="Y89" s="419">
        <f t="shared" si="17"/>
        <v>0</v>
      </c>
      <c r="Z89" s="419">
        <f t="shared" si="17"/>
        <v>0</v>
      </c>
      <c r="AA89" s="419"/>
      <c r="AB89" s="82"/>
      <c r="AC89" s="419"/>
      <c r="AD89" s="419"/>
      <c r="AE89" s="419"/>
      <c r="AF89" s="486">
        <f t="shared" si="14"/>
        <v>1000</v>
      </c>
    </row>
    <row r="90" spans="1:32" ht="41.25" customHeight="1">
      <c r="A90" s="6">
        <v>553</v>
      </c>
      <c r="B90" s="426" t="s">
        <v>96</v>
      </c>
      <c r="C90" s="419">
        <f t="shared" ref="C90:Z90" si="18">+C91</f>
        <v>0</v>
      </c>
      <c r="D90" s="419">
        <f t="shared" si="18"/>
        <v>0</v>
      </c>
      <c r="E90" s="419">
        <f t="shared" si="18"/>
        <v>0</v>
      </c>
      <c r="F90" s="419">
        <f t="shared" si="18"/>
        <v>0</v>
      </c>
      <c r="G90" s="419">
        <f t="shared" si="18"/>
        <v>0</v>
      </c>
      <c r="H90" s="419">
        <f t="shared" si="18"/>
        <v>0</v>
      </c>
      <c r="I90" s="419">
        <f t="shared" si="18"/>
        <v>0</v>
      </c>
      <c r="J90" s="419">
        <f t="shared" si="18"/>
        <v>0</v>
      </c>
      <c r="K90" s="419">
        <f t="shared" si="18"/>
        <v>0</v>
      </c>
      <c r="L90" s="419">
        <f t="shared" si="18"/>
        <v>0</v>
      </c>
      <c r="M90" s="419">
        <f t="shared" si="18"/>
        <v>0</v>
      </c>
      <c r="N90" s="419">
        <f t="shared" si="18"/>
        <v>0</v>
      </c>
      <c r="O90" s="419">
        <f t="shared" si="18"/>
        <v>0</v>
      </c>
      <c r="P90" s="419">
        <f t="shared" si="18"/>
        <v>0</v>
      </c>
      <c r="Q90" s="419"/>
      <c r="R90" s="419">
        <f t="shared" si="18"/>
        <v>0</v>
      </c>
      <c r="S90" s="419">
        <f t="shared" si="18"/>
        <v>0</v>
      </c>
      <c r="T90" s="419">
        <f t="shared" si="18"/>
        <v>0</v>
      </c>
      <c r="U90" s="419">
        <f t="shared" si="18"/>
        <v>0</v>
      </c>
      <c r="V90" s="419">
        <f t="shared" si="18"/>
        <v>0</v>
      </c>
      <c r="W90" s="419">
        <f t="shared" si="18"/>
        <v>0</v>
      </c>
      <c r="X90" s="419">
        <f t="shared" si="18"/>
        <v>0</v>
      </c>
      <c r="Y90" s="419">
        <f t="shared" si="18"/>
        <v>0</v>
      </c>
      <c r="Z90" s="419">
        <f t="shared" si="18"/>
        <v>0</v>
      </c>
      <c r="AA90" s="419"/>
      <c r="AB90" s="82"/>
      <c r="AC90" s="419"/>
      <c r="AD90" s="419"/>
      <c r="AE90" s="419"/>
      <c r="AF90" s="486">
        <f t="shared" si="14"/>
        <v>0</v>
      </c>
    </row>
    <row r="91" spans="1:32" ht="18.75">
      <c r="A91" s="16">
        <v>55308</v>
      </c>
      <c r="B91" s="425" t="s">
        <v>97</v>
      </c>
      <c r="C91" s="118"/>
      <c r="D91" s="118"/>
      <c r="E91" s="118">
        <v>0</v>
      </c>
      <c r="F91" s="118">
        <f>+'[1]LT 0102'!D95+'[1]LT 0103'!D95+'[1]LT 0105'!D95+'[1]LT 0106'!D95+'[1]LT 0201'!D95+'[1]LT 0202'!D95+'[1]LT 0203'!D95+'[1]LT 0204'!D95+'[1]LT 0205'!D95+'[1]LT 0301'!D95+'[1]LT 0302'!D95+'[1]LT 0303'!D95+'[1]LT 0304'!D95+'[1]LT 0305'!D95+'[1]LT 0306'!D95+'[1]LT 0307'!D95+'[1]LT 0308'!D95+'[1]LT 0309'!D95+'[1]LT 0310'!D95</f>
        <v>0</v>
      </c>
      <c r="G91" s="118">
        <v>0</v>
      </c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82"/>
      <c r="AC91" s="118"/>
      <c r="AD91" s="118"/>
      <c r="AE91" s="118"/>
      <c r="AF91" s="486">
        <f t="shared" ref="AF91:AF122" si="19">SUM(C91:Z91)</f>
        <v>0</v>
      </c>
    </row>
    <row r="92" spans="1:32" ht="18.75">
      <c r="A92" s="6">
        <v>555</v>
      </c>
      <c r="B92" s="427" t="s">
        <v>98</v>
      </c>
      <c r="C92" s="419">
        <f t="shared" ref="C92:Z92" si="20">SUM(C93)</f>
        <v>0</v>
      </c>
      <c r="D92" s="419">
        <f t="shared" si="20"/>
        <v>0</v>
      </c>
      <c r="E92" s="419">
        <f t="shared" si="20"/>
        <v>0</v>
      </c>
      <c r="F92" s="419">
        <f t="shared" si="20"/>
        <v>0</v>
      </c>
      <c r="G92" s="419">
        <f t="shared" si="20"/>
        <v>0</v>
      </c>
      <c r="H92" s="419">
        <f t="shared" si="20"/>
        <v>0</v>
      </c>
      <c r="I92" s="419">
        <f t="shared" si="20"/>
        <v>0</v>
      </c>
      <c r="J92" s="419">
        <f t="shared" si="20"/>
        <v>0</v>
      </c>
      <c r="K92" s="419">
        <f t="shared" si="20"/>
        <v>0</v>
      </c>
      <c r="L92" s="419">
        <f t="shared" si="20"/>
        <v>0</v>
      </c>
      <c r="M92" s="419">
        <f t="shared" si="20"/>
        <v>0</v>
      </c>
      <c r="N92" s="419">
        <f t="shared" si="20"/>
        <v>0</v>
      </c>
      <c r="O92" s="419">
        <f t="shared" si="20"/>
        <v>0</v>
      </c>
      <c r="P92" s="419">
        <f t="shared" si="20"/>
        <v>0</v>
      </c>
      <c r="Q92" s="419"/>
      <c r="R92" s="419">
        <f t="shared" si="20"/>
        <v>0</v>
      </c>
      <c r="S92" s="419">
        <f t="shared" si="20"/>
        <v>0</v>
      </c>
      <c r="T92" s="419">
        <f t="shared" si="20"/>
        <v>0</v>
      </c>
      <c r="U92" s="419">
        <f t="shared" si="20"/>
        <v>0</v>
      </c>
      <c r="V92" s="419">
        <f t="shared" si="20"/>
        <v>0</v>
      </c>
      <c r="W92" s="419">
        <f t="shared" si="20"/>
        <v>0</v>
      </c>
      <c r="X92" s="419">
        <f t="shared" si="20"/>
        <v>0</v>
      </c>
      <c r="Y92" s="419">
        <f t="shared" si="20"/>
        <v>0</v>
      </c>
      <c r="Z92" s="419">
        <f t="shared" si="20"/>
        <v>0</v>
      </c>
      <c r="AA92" s="419"/>
      <c r="AB92" s="82"/>
      <c r="AC92" s="419"/>
      <c r="AD92" s="419"/>
      <c r="AE92" s="419"/>
      <c r="AF92" s="486">
        <f t="shared" si="19"/>
        <v>0</v>
      </c>
    </row>
    <row r="93" spans="1:32" ht="18.75">
      <c r="A93" s="16">
        <v>55599</v>
      </c>
      <c r="B93" s="425" t="s">
        <v>99</v>
      </c>
      <c r="C93" s="118">
        <v>0</v>
      </c>
      <c r="D93" s="118">
        <v>0</v>
      </c>
      <c r="E93" s="118">
        <v>0</v>
      </c>
      <c r="F93" s="118">
        <f>+'[1]LT 0102'!D97+'[1]LT 0103'!D97+'[1]LT 0105'!D97+'[1]LT 0106'!D97+'[1]LT 0201'!D97+'[1]LT 0202'!D97+'[1]LT 0203'!D97+'[1]LT 0204'!D97+'[1]LT 0205'!D97+'[1]LT 0301'!D97+'[1]LT 0302'!D97+'[1]LT 0303'!D97+'[1]LT 0304'!D97+'[1]LT 0305'!D97+'[1]LT 0306'!D97+'[1]LT 0307'!D97+'[1]LT 0308'!D97+'[1]LT 0309'!D97+'[1]LT 0310'!D97</f>
        <v>0</v>
      </c>
      <c r="G93" s="118">
        <v>0</v>
      </c>
      <c r="H93" s="118">
        <v>0</v>
      </c>
      <c r="I93" s="118">
        <v>0</v>
      </c>
      <c r="J93" s="118">
        <v>0</v>
      </c>
      <c r="K93" s="118">
        <v>0</v>
      </c>
      <c r="L93" s="118">
        <v>0</v>
      </c>
      <c r="M93" s="118">
        <v>0</v>
      </c>
      <c r="N93" s="118">
        <v>0</v>
      </c>
      <c r="O93" s="118">
        <v>0</v>
      </c>
      <c r="P93" s="118">
        <v>0</v>
      </c>
      <c r="Q93" s="118"/>
      <c r="R93" s="118">
        <v>0</v>
      </c>
      <c r="S93" s="118">
        <v>0</v>
      </c>
      <c r="T93" s="118">
        <v>0</v>
      </c>
      <c r="U93" s="118">
        <v>0</v>
      </c>
      <c r="V93" s="118">
        <v>0</v>
      </c>
      <c r="W93" s="118">
        <v>0</v>
      </c>
      <c r="X93" s="118">
        <v>0</v>
      </c>
      <c r="Y93" s="118">
        <v>0</v>
      </c>
      <c r="Z93" s="118">
        <v>0</v>
      </c>
      <c r="AA93" s="118"/>
      <c r="AB93" s="82"/>
      <c r="AC93" s="118"/>
      <c r="AD93" s="118"/>
      <c r="AE93" s="118"/>
      <c r="AF93" s="486">
        <f t="shared" si="19"/>
        <v>0</v>
      </c>
    </row>
    <row r="94" spans="1:32" ht="18.75">
      <c r="A94" s="6">
        <v>556</v>
      </c>
      <c r="B94" s="427" t="s">
        <v>100</v>
      </c>
      <c r="C94" s="419">
        <f t="shared" ref="C94:Z94" si="21">SUM(C95:C97)</f>
        <v>0</v>
      </c>
      <c r="D94" s="419">
        <f t="shared" si="21"/>
        <v>0</v>
      </c>
      <c r="E94" s="419">
        <f t="shared" si="21"/>
        <v>0</v>
      </c>
      <c r="F94" s="419">
        <f t="shared" si="21"/>
        <v>0</v>
      </c>
      <c r="G94" s="419">
        <f t="shared" si="21"/>
        <v>0</v>
      </c>
      <c r="H94" s="419">
        <f t="shared" si="21"/>
        <v>0</v>
      </c>
      <c r="I94" s="419">
        <f t="shared" si="21"/>
        <v>0</v>
      </c>
      <c r="J94" s="419">
        <f t="shared" si="21"/>
        <v>0</v>
      </c>
      <c r="K94" s="419">
        <f t="shared" si="21"/>
        <v>0</v>
      </c>
      <c r="L94" s="419">
        <f t="shared" si="21"/>
        <v>0</v>
      </c>
      <c r="M94" s="419">
        <f t="shared" si="21"/>
        <v>0</v>
      </c>
      <c r="N94" s="419">
        <f t="shared" si="21"/>
        <v>0</v>
      </c>
      <c r="O94" s="419">
        <f t="shared" si="21"/>
        <v>0</v>
      </c>
      <c r="P94" s="419">
        <f t="shared" si="21"/>
        <v>0</v>
      </c>
      <c r="Q94" s="419"/>
      <c r="R94" s="419">
        <f t="shared" si="21"/>
        <v>0</v>
      </c>
      <c r="S94" s="419">
        <f t="shared" si="21"/>
        <v>0</v>
      </c>
      <c r="T94" s="419">
        <f t="shared" si="21"/>
        <v>0</v>
      </c>
      <c r="U94" s="419">
        <f t="shared" si="21"/>
        <v>1000</v>
      </c>
      <c r="V94" s="419">
        <f t="shared" si="21"/>
        <v>0</v>
      </c>
      <c r="W94" s="419">
        <f t="shared" si="21"/>
        <v>0</v>
      </c>
      <c r="X94" s="419">
        <f t="shared" si="21"/>
        <v>0</v>
      </c>
      <c r="Y94" s="419">
        <f t="shared" si="21"/>
        <v>0</v>
      </c>
      <c r="Z94" s="419">
        <f t="shared" si="21"/>
        <v>0</v>
      </c>
      <c r="AA94" s="419"/>
      <c r="AB94" s="82"/>
      <c r="AC94" s="419"/>
      <c r="AD94" s="419"/>
      <c r="AE94" s="419"/>
      <c r="AF94" s="486">
        <f t="shared" si="19"/>
        <v>1000</v>
      </c>
    </row>
    <row r="95" spans="1:32" ht="18.75">
      <c r="A95" s="16">
        <v>55601</v>
      </c>
      <c r="B95" s="425" t="s">
        <v>101</v>
      </c>
      <c r="C95" s="118"/>
      <c r="D95" s="118"/>
      <c r="E95" s="118">
        <v>0</v>
      </c>
      <c r="F95" s="118">
        <v>0</v>
      </c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82"/>
      <c r="AC95" s="118"/>
      <c r="AD95" s="118"/>
      <c r="AE95" s="118"/>
      <c r="AF95" s="486">
        <f t="shared" si="19"/>
        <v>0</v>
      </c>
    </row>
    <row r="96" spans="1:32" ht="18.75">
      <c r="A96" s="16">
        <v>55602</v>
      </c>
      <c r="B96" s="425" t="s">
        <v>102</v>
      </c>
      <c r="C96" s="118"/>
      <c r="D96" s="118"/>
      <c r="E96" s="118">
        <v>0</v>
      </c>
      <c r="F96" s="118">
        <v>0</v>
      </c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>
        <v>1000</v>
      </c>
      <c r="V96" s="118"/>
      <c r="W96" s="118"/>
      <c r="X96" s="118"/>
      <c r="Y96" s="118"/>
      <c r="Z96" s="118"/>
      <c r="AA96" s="118"/>
      <c r="AB96" s="82"/>
      <c r="AC96" s="118"/>
      <c r="AD96" s="118"/>
      <c r="AE96" s="118"/>
      <c r="AF96" s="486">
        <f t="shared" si="19"/>
        <v>1000</v>
      </c>
    </row>
    <row r="97" spans="1:32" ht="18.75">
      <c r="A97" s="16">
        <v>55603</v>
      </c>
      <c r="B97" s="425" t="s">
        <v>103</v>
      </c>
      <c r="C97" s="118"/>
      <c r="D97" s="118"/>
      <c r="E97" s="118">
        <v>0</v>
      </c>
      <c r="F97" s="118">
        <v>0</v>
      </c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82"/>
      <c r="AC97" s="118"/>
      <c r="AD97" s="118"/>
      <c r="AE97" s="118"/>
      <c r="AF97" s="486">
        <f t="shared" si="19"/>
        <v>0</v>
      </c>
    </row>
    <row r="98" spans="1:32" ht="18.75">
      <c r="A98" s="6">
        <v>557</v>
      </c>
      <c r="B98" s="427" t="s">
        <v>104</v>
      </c>
      <c r="C98" s="419">
        <f t="shared" ref="C98:Z98" si="22">SUM(C99:C99)</f>
        <v>0</v>
      </c>
      <c r="D98" s="419">
        <f t="shared" si="22"/>
        <v>0</v>
      </c>
      <c r="E98" s="419">
        <f t="shared" si="22"/>
        <v>0</v>
      </c>
      <c r="F98" s="419">
        <f t="shared" si="22"/>
        <v>0</v>
      </c>
      <c r="G98" s="419">
        <f t="shared" si="22"/>
        <v>0</v>
      </c>
      <c r="H98" s="419">
        <f t="shared" si="22"/>
        <v>0</v>
      </c>
      <c r="I98" s="419">
        <f t="shared" si="22"/>
        <v>0</v>
      </c>
      <c r="J98" s="419">
        <f t="shared" si="22"/>
        <v>0</v>
      </c>
      <c r="K98" s="419">
        <f t="shared" si="22"/>
        <v>0</v>
      </c>
      <c r="L98" s="419">
        <f t="shared" si="22"/>
        <v>0</v>
      </c>
      <c r="M98" s="419">
        <f t="shared" si="22"/>
        <v>0</v>
      </c>
      <c r="N98" s="419">
        <f t="shared" si="22"/>
        <v>0</v>
      </c>
      <c r="O98" s="419">
        <f t="shared" si="22"/>
        <v>0</v>
      </c>
      <c r="P98" s="419">
        <f t="shared" si="22"/>
        <v>0</v>
      </c>
      <c r="Q98" s="419"/>
      <c r="R98" s="419">
        <f t="shared" si="22"/>
        <v>0</v>
      </c>
      <c r="S98" s="419">
        <f t="shared" si="22"/>
        <v>0</v>
      </c>
      <c r="T98" s="419">
        <f t="shared" si="22"/>
        <v>0</v>
      </c>
      <c r="U98" s="419">
        <f t="shared" si="22"/>
        <v>0</v>
      </c>
      <c r="V98" s="419">
        <f t="shared" si="22"/>
        <v>0</v>
      </c>
      <c r="W98" s="419">
        <f t="shared" si="22"/>
        <v>0</v>
      </c>
      <c r="X98" s="419">
        <f t="shared" si="22"/>
        <v>0</v>
      </c>
      <c r="Y98" s="419">
        <f t="shared" si="22"/>
        <v>0</v>
      </c>
      <c r="Z98" s="419">
        <f t="shared" si="22"/>
        <v>0</v>
      </c>
      <c r="AA98" s="419"/>
      <c r="AB98" s="82"/>
      <c r="AC98" s="419"/>
      <c r="AD98" s="419"/>
      <c r="AE98" s="419"/>
      <c r="AF98" s="486">
        <f t="shared" si="19"/>
        <v>0</v>
      </c>
    </row>
    <row r="99" spans="1:32" ht="18.75">
      <c r="A99" s="16">
        <v>55799</v>
      </c>
      <c r="B99" s="425" t="s">
        <v>105</v>
      </c>
      <c r="C99" s="118">
        <v>0</v>
      </c>
      <c r="D99" s="118">
        <v>0</v>
      </c>
      <c r="E99" s="118">
        <v>0</v>
      </c>
      <c r="F99" s="118">
        <f>+'[1]LT 0102'!D103+'[1]LT 0103'!D103+'[1]LT 0105'!D103+'[1]LT 0106'!D103+'[1]LT 0201'!D103+'[1]LT 0202'!D103+'[1]LT 0203'!D103+'[1]LT 0204'!D103+'[1]LT 0205'!D103+'[1]LT 0301'!D103+'[1]LT 0302'!D103+'[1]LT 0303'!D103+'[1]LT 0304'!D103+'[1]LT 0305'!D103+'[1]LT 0306'!D103+'[1]LT 0307'!D103+'[1]LT 0308'!D103+'[1]LT 0309'!D103+'[1]LT 0310'!D103</f>
        <v>0</v>
      </c>
      <c r="G99" s="118">
        <v>0</v>
      </c>
      <c r="H99" s="118">
        <v>0</v>
      </c>
      <c r="I99" s="118">
        <v>0</v>
      </c>
      <c r="J99" s="118">
        <v>0</v>
      </c>
      <c r="K99" s="118">
        <v>0</v>
      </c>
      <c r="L99" s="118">
        <v>0</v>
      </c>
      <c r="M99" s="118">
        <v>0</v>
      </c>
      <c r="N99" s="118">
        <v>0</v>
      </c>
      <c r="O99" s="118">
        <v>0</v>
      </c>
      <c r="P99" s="118">
        <v>0</v>
      </c>
      <c r="Q99" s="118"/>
      <c r="R99" s="118">
        <v>0</v>
      </c>
      <c r="S99" s="118">
        <v>0</v>
      </c>
      <c r="T99" s="118">
        <v>0</v>
      </c>
      <c r="U99" s="118">
        <v>0</v>
      </c>
      <c r="V99" s="118">
        <v>0</v>
      </c>
      <c r="W99" s="118">
        <v>0</v>
      </c>
      <c r="X99" s="118">
        <v>0</v>
      </c>
      <c r="Y99" s="118">
        <v>0</v>
      </c>
      <c r="Z99" s="118">
        <v>0</v>
      </c>
      <c r="AA99" s="118"/>
      <c r="AB99" s="82"/>
      <c r="AC99" s="118"/>
      <c r="AD99" s="118"/>
      <c r="AE99" s="118"/>
      <c r="AF99" s="486">
        <f t="shared" si="19"/>
        <v>0</v>
      </c>
    </row>
    <row r="100" spans="1:32" ht="18.75">
      <c r="A100" s="6">
        <v>56</v>
      </c>
      <c r="B100" s="427" t="s">
        <v>106</v>
      </c>
      <c r="C100" s="419">
        <f t="shared" ref="C100:Z100" si="23">SUM(C101,)</f>
        <v>0</v>
      </c>
      <c r="D100" s="419">
        <f t="shared" si="23"/>
        <v>0</v>
      </c>
      <c r="E100" s="419">
        <f t="shared" si="23"/>
        <v>0</v>
      </c>
      <c r="F100" s="419">
        <f t="shared" si="23"/>
        <v>0</v>
      </c>
      <c r="G100" s="419">
        <f t="shared" si="23"/>
        <v>0</v>
      </c>
      <c r="H100" s="419">
        <f t="shared" si="23"/>
        <v>0</v>
      </c>
      <c r="I100" s="419">
        <f t="shared" si="23"/>
        <v>0</v>
      </c>
      <c r="J100" s="419">
        <f t="shared" si="23"/>
        <v>0</v>
      </c>
      <c r="K100" s="419">
        <f t="shared" si="23"/>
        <v>0</v>
      </c>
      <c r="L100" s="419">
        <f t="shared" si="23"/>
        <v>0</v>
      </c>
      <c r="M100" s="419">
        <f t="shared" si="23"/>
        <v>0</v>
      </c>
      <c r="N100" s="419">
        <f t="shared" si="23"/>
        <v>0</v>
      </c>
      <c r="O100" s="419">
        <f t="shared" si="23"/>
        <v>0</v>
      </c>
      <c r="P100" s="419">
        <f t="shared" si="23"/>
        <v>0</v>
      </c>
      <c r="Q100" s="419"/>
      <c r="R100" s="419">
        <f t="shared" si="23"/>
        <v>0</v>
      </c>
      <c r="S100" s="419">
        <f t="shared" si="23"/>
        <v>0</v>
      </c>
      <c r="T100" s="419">
        <f t="shared" si="23"/>
        <v>0</v>
      </c>
      <c r="U100" s="419">
        <f t="shared" si="23"/>
        <v>0</v>
      </c>
      <c r="V100" s="419">
        <f t="shared" si="23"/>
        <v>0</v>
      </c>
      <c r="W100" s="419">
        <f t="shared" si="23"/>
        <v>0</v>
      </c>
      <c r="X100" s="419">
        <f t="shared" si="23"/>
        <v>0</v>
      </c>
      <c r="Y100" s="419">
        <f t="shared" si="23"/>
        <v>0</v>
      </c>
      <c r="Z100" s="419">
        <f t="shared" si="23"/>
        <v>0</v>
      </c>
      <c r="AA100" s="419"/>
      <c r="AB100" s="82"/>
      <c r="AC100" s="419"/>
      <c r="AD100" s="419"/>
      <c r="AE100" s="419"/>
      <c r="AF100" s="486">
        <f t="shared" si="19"/>
        <v>0</v>
      </c>
    </row>
    <row r="101" spans="1:32" ht="18.75">
      <c r="A101" s="6">
        <v>562</v>
      </c>
      <c r="B101" s="427" t="s">
        <v>107</v>
      </c>
      <c r="C101" s="419">
        <f t="shared" ref="C101:Z101" si="24">SUM(C102:C105)</f>
        <v>0</v>
      </c>
      <c r="D101" s="419">
        <f t="shared" si="24"/>
        <v>0</v>
      </c>
      <c r="E101" s="419">
        <f t="shared" si="24"/>
        <v>0</v>
      </c>
      <c r="F101" s="419">
        <f t="shared" si="24"/>
        <v>0</v>
      </c>
      <c r="G101" s="419">
        <f t="shared" si="24"/>
        <v>0</v>
      </c>
      <c r="H101" s="419">
        <f t="shared" si="24"/>
        <v>0</v>
      </c>
      <c r="I101" s="419">
        <f t="shared" si="24"/>
        <v>0</v>
      </c>
      <c r="J101" s="419">
        <f t="shared" si="24"/>
        <v>0</v>
      </c>
      <c r="K101" s="419">
        <f t="shared" si="24"/>
        <v>0</v>
      </c>
      <c r="L101" s="419">
        <f t="shared" si="24"/>
        <v>0</v>
      </c>
      <c r="M101" s="419">
        <f t="shared" si="24"/>
        <v>0</v>
      </c>
      <c r="N101" s="419">
        <f t="shared" si="24"/>
        <v>0</v>
      </c>
      <c r="O101" s="419">
        <f t="shared" si="24"/>
        <v>0</v>
      </c>
      <c r="P101" s="419">
        <f t="shared" si="24"/>
        <v>0</v>
      </c>
      <c r="Q101" s="419"/>
      <c r="R101" s="419">
        <f t="shared" si="24"/>
        <v>0</v>
      </c>
      <c r="S101" s="419">
        <f t="shared" si="24"/>
        <v>0</v>
      </c>
      <c r="T101" s="419">
        <f t="shared" si="24"/>
        <v>0</v>
      </c>
      <c r="U101" s="419">
        <f t="shared" si="24"/>
        <v>0</v>
      </c>
      <c r="V101" s="419">
        <f t="shared" si="24"/>
        <v>0</v>
      </c>
      <c r="W101" s="419">
        <f t="shared" si="24"/>
        <v>0</v>
      </c>
      <c r="X101" s="419">
        <f t="shared" si="24"/>
        <v>0</v>
      </c>
      <c r="Y101" s="419">
        <f t="shared" si="24"/>
        <v>0</v>
      </c>
      <c r="Z101" s="419">
        <f t="shared" si="24"/>
        <v>0</v>
      </c>
      <c r="AA101" s="419"/>
      <c r="AB101" s="82"/>
      <c r="AC101" s="419"/>
      <c r="AD101" s="419"/>
      <c r="AE101" s="419"/>
      <c r="AF101" s="486">
        <f t="shared" si="19"/>
        <v>0</v>
      </c>
    </row>
    <row r="102" spans="1:32" ht="18.75">
      <c r="A102" s="16">
        <v>56201</v>
      </c>
      <c r="B102" s="425" t="s">
        <v>106</v>
      </c>
      <c r="C102" s="118"/>
      <c r="D102" s="118"/>
      <c r="E102" s="118">
        <v>0</v>
      </c>
      <c r="F102" s="118">
        <f>+'[1]LT 0102'!D106+'[1]LT 0103'!D106+'[1]LT 0105'!D106+'[1]LT 0106'!D106+'[1]LT 0201'!D106+'[1]LT 0202'!D106+'[1]LT 0203'!D106+'[1]LT 0204'!D106+'[1]LT 0205'!D106+'[1]LT 0301'!D106+'[1]LT 0302'!D106+'[1]LT 0303'!D106+'[1]LT 0304'!D106+'[1]LT 0305'!D106+'[1]LT 0306'!D106+'[1]LT 0307'!D106+'[1]LT 0308'!D106+'[1]LT 0309'!D106+'[1]LT 0310'!D106</f>
        <v>0</v>
      </c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82"/>
      <c r="AC102" s="118"/>
      <c r="AD102" s="118"/>
      <c r="AE102" s="118"/>
      <c r="AF102" s="486">
        <f t="shared" si="19"/>
        <v>0</v>
      </c>
    </row>
    <row r="103" spans="1:32" ht="18.75">
      <c r="A103" s="16">
        <v>56303</v>
      </c>
      <c r="B103" s="425" t="s">
        <v>108</v>
      </c>
      <c r="C103" s="118"/>
      <c r="D103" s="118"/>
      <c r="E103" s="118">
        <v>0</v>
      </c>
      <c r="F103" s="118">
        <f>+'[1]LT 0102'!D107+'[1]LT 0103'!D107+'[1]LT 0105'!D107+'[1]LT 0106'!D107+'[1]LT 0201'!D107+'[1]LT 0202'!D107+'[1]LT 0203'!D107+'[1]LT 0204'!D107+'[1]LT 0205'!D107+'[1]LT 0301'!D107+'[1]LT 0302'!D107+'[1]LT 0303'!D107+'[1]LT 0304'!D107+'[1]LT 0305'!D107+'[1]LT 0306'!D107+'[1]LT 0307'!D107+'[1]LT 0308'!D107+'[1]LT 0309'!D107+'[1]LT 0310'!D107</f>
        <v>0</v>
      </c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82"/>
      <c r="AC103" s="118"/>
      <c r="AD103" s="118"/>
      <c r="AE103" s="118"/>
      <c r="AF103" s="486">
        <f t="shared" si="19"/>
        <v>0</v>
      </c>
    </row>
    <row r="104" spans="1:32" ht="18.75">
      <c r="A104" s="16">
        <v>56304</v>
      </c>
      <c r="B104" s="425" t="s">
        <v>109</v>
      </c>
      <c r="C104" s="118"/>
      <c r="D104" s="118"/>
      <c r="E104" s="118">
        <v>0</v>
      </c>
      <c r="F104" s="118">
        <v>0</v>
      </c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82"/>
      <c r="AC104" s="118"/>
      <c r="AD104" s="118"/>
      <c r="AE104" s="118"/>
      <c r="AF104" s="486">
        <f t="shared" si="19"/>
        <v>0</v>
      </c>
    </row>
    <row r="105" spans="1:32" ht="18.75">
      <c r="A105" s="16">
        <v>56305</v>
      </c>
      <c r="B105" s="425" t="s">
        <v>110</v>
      </c>
      <c r="C105" s="118"/>
      <c r="D105" s="118"/>
      <c r="E105" s="118">
        <v>0</v>
      </c>
      <c r="F105" s="118">
        <f>+'[1]LT 0102'!D109+'[1]LT 0103'!D109+'[1]LT 0105'!D109+'[1]LT 0106'!D109+'[1]LT 0201'!D109+'[1]LT 0202'!D109+'[1]LT 0203'!D109+'[1]LT 0204'!D109+'[1]LT 0205'!D109+'[1]LT 0301'!D109+'[1]LT 0302'!D109+'[1]LT 0303'!D109+'[1]LT 0304'!D109+'[1]LT 0305'!D109+'[1]LT 0306'!D109+'[1]LT 0307'!D109+'[1]LT 0308'!D109+'[1]LT 0309'!D109+'[1]LT 0310'!D109</f>
        <v>0</v>
      </c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82"/>
      <c r="AC105" s="118"/>
      <c r="AD105" s="118"/>
      <c r="AE105" s="118"/>
      <c r="AF105" s="486">
        <f t="shared" si="19"/>
        <v>0</v>
      </c>
    </row>
    <row r="106" spans="1:32" ht="18.75">
      <c r="A106" s="6">
        <v>61</v>
      </c>
      <c r="B106" s="427" t="s">
        <v>111</v>
      </c>
      <c r="C106" s="419">
        <f t="shared" ref="C106:Z106" si="25">SUM(C107,C115,C120,)+C113</f>
        <v>1000</v>
      </c>
      <c r="D106" s="419">
        <f t="shared" si="25"/>
        <v>1000</v>
      </c>
      <c r="E106" s="419">
        <f t="shared" si="25"/>
        <v>1360</v>
      </c>
      <c r="F106" s="419">
        <f t="shared" si="25"/>
        <v>1400</v>
      </c>
      <c r="G106" s="419">
        <f t="shared" si="25"/>
        <v>1200</v>
      </c>
      <c r="H106" s="419">
        <f t="shared" si="25"/>
        <v>1200</v>
      </c>
      <c r="I106" s="419">
        <f t="shared" si="25"/>
        <v>200</v>
      </c>
      <c r="J106" s="419">
        <f t="shared" si="25"/>
        <v>1500</v>
      </c>
      <c r="K106" s="419">
        <f t="shared" si="25"/>
        <v>400</v>
      </c>
      <c r="L106" s="419">
        <f t="shared" si="25"/>
        <v>0</v>
      </c>
      <c r="M106" s="419">
        <f t="shared" si="25"/>
        <v>1000</v>
      </c>
      <c r="N106" s="419">
        <f t="shared" si="25"/>
        <v>3160</v>
      </c>
      <c r="O106" s="419">
        <f t="shared" si="25"/>
        <v>0</v>
      </c>
      <c r="P106" s="419">
        <f t="shared" si="25"/>
        <v>1360</v>
      </c>
      <c r="Q106" s="419"/>
      <c r="R106" s="419">
        <f t="shared" si="25"/>
        <v>0</v>
      </c>
      <c r="S106" s="419">
        <f t="shared" si="25"/>
        <v>2000</v>
      </c>
      <c r="T106" s="419">
        <f t="shared" si="25"/>
        <v>800</v>
      </c>
      <c r="U106" s="419">
        <f t="shared" si="25"/>
        <v>660</v>
      </c>
      <c r="V106" s="419">
        <f t="shared" si="25"/>
        <v>0</v>
      </c>
      <c r="W106" s="419">
        <f t="shared" si="25"/>
        <v>0</v>
      </c>
      <c r="X106" s="419">
        <f t="shared" si="25"/>
        <v>0</v>
      </c>
      <c r="Y106" s="419">
        <f t="shared" si="25"/>
        <v>0</v>
      </c>
      <c r="Z106" s="419">
        <f t="shared" si="25"/>
        <v>0</v>
      </c>
      <c r="AA106" s="419"/>
      <c r="AB106" s="82"/>
      <c r="AC106" s="419"/>
      <c r="AD106" s="419"/>
      <c r="AE106" s="419"/>
      <c r="AF106" s="486">
        <f t="shared" si="19"/>
        <v>18240</v>
      </c>
    </row>
    <row r="107" spans="1:32" ht="18.75">
      <c r="A107" s="6">
        <v>611</v>
      </c>
      <c r="B107" s="427" t="s">
        <v>112</v>
      </c>
      <c r="C107" s="419">
        <f t="shared" ref="C107:Z107" si="26">SUM(C108:C112)</f>
        <v>1000</v>
      </c>
      <c r="D107" s="419">
        <f t="shared" si="26"/>
        <v>1000</v>
      </c>
      <c r="E107" s="419">
        <f t="shared" si="26"/>
        <v>1360</v>
      </c>
      <c r="F107" s="419">
        <f t="shared" si="26"/>
        <v>1400</v>
      </c>
      <c r="G107" s="419">
        <f t="shared" si="26"/>
        <v>1200</v>
      </c>
      <c r="H107" s="419">
        <f t="shared" si="26"/>
        <v>1200</v>
      </c>
      <c r="I107" s="419">
        <f t="shared" si="26"/>
        <v>200</v>
      </c>
      <c r="J107" s="419">
        <f t="shared" si="26"/>
        <v>1500</v>
      </c>
      <c r="K107" s="419">
        <f t="shared" si="26"/>
        <v>400</v>
      </c>
      <c r="L107" s="419">
        <f t="shared" si="26"/>
        <v>0</v>
      </c>
      <c r="M107" s="419">
        <f t="shared" si="26"/>
        <v>1000</v>
      </c>
      <c r="N107" s="419">
        <f t="shared" si="26"/>
        <v>3160</v>
      </c>
      <c r="O107" s="419">
        <f t="shared" si="26"/>
        <v>0</v>
      </c>
      <c r="P107" s="419">
        <f t="shared" si="26"/>
        <v>1360</v>
      </c>
      <c r="Q107" s="419"/>
      <c r="R107" s="419">
        <f t="shared" si="26"/>
        <v>0</v>
      </c>
      <c r="S107" s="419">
        <f t="shared" si="26"/>
        <v>2000</v>
      </c>
      <c r="T107" s="419">
        <f t="shared" si="26"/>
        <v>800</v>
      </c>
      <c r="U107" s="419">
        <f t="shared" si="26"/>
        <v>660</v>
      </c>
      <c r="V107" s="419">
        <f t="shared" si="26"/>
        <v>0</v>
      </c>
      <c r="W107" s="419">
        <f t="shared" si="26"/>
        <v>0</v>
      </c>
      <c r="X107" s="419">
        <f t="shared" si="26"/>
        <v>0</v>
      </c>
      <c r="Y107" s="419">
        <f t="shared" si="26"/>
        <v>0</v>
      </c>
      <c r="Z107" s="419">
        <f t="shared" si="26"/>
        <v>0</v>
      </c>
      <c r="AA107" s="419"/>
      <c r="AB107" s="82"/>
      <c r="AC107" s="419"/>
      <c r="AD107" s="419"/>
      <c r="AE107" s="419"/>
      <c r="AF107" s="486">
        <f t="shared" si="19"/>
        <v>18240</v>
      </c>
    </row>
    <row r="108" spans="1:32" ht="18.75">
      <c r="A108" s="16">
        <v>61101</v>
      </c>
      <c r="B108" s="425" t="s">
        <v>113</v>
      </c>
      <c r="C108" s="118">
        <v>0</v>
      </c>
      <c r="D108" s="118">
        <v>1000</v>
      </c>
      <c r="E108" s="118">
        <v>360</v>
      </c>
      <c r="F108" s="118">
        <v>200</v>
      </c>
      <c r="G108" s="118">
        <v>0</v>
      </c>
      <c r="H108" s="118">
        <v>0</v>
      </c>
      <c r="I108" s="118">
        <v>200</v>
      </c>
      <c r="J108" s="118">
        <v>500</v>
      </c>
      <c r="K108" s="118">
        <v>400</v>
      </c>
      <c r="L108" s="118">
        <v>0</v>
      </c>
      <c r="M108" s="118">
        <v>0</v>
      </c>
      <c r="N108" s="118">
        <v>1360</v>
      </c>
      <c r="O108" s="118">
        <v>0</v>
      </c>
      <c r="P108" s="118">
        <v>500</v>
      </c>
      <c r="Q108" s="118">
        <v>315</v>
      </c>
      <c r="R108" s="118">
        <v>0</v>
      </c>
      <c r="S108" s="118">
        <v>300</v>
      </c>
      <c r="T108" s="118">
        <v>300</v>
      </c>
      <c r="U108" s="118">
        <v>0</v>
      </c>
      <c r="V108" s="118">
        <v>0</v>
      </c>
      <c r="W108" s="118">
        <v>0</v>
      </c>
      <c r="X108" s="118">
        <v>0</v>
      </c>
      <c r="Y108" s="118">
        <v>0</v>
      </c>
      <c r="Z108" s="118">
        <v>0</v>
      </c>
      <c r="AA108" s="118"/>
      <c r="AB108" s="82"/>
      <c r="AC108" s="118"/>
      <c r="AD108" s="118"/>
      <c r="AE108" s="118"/>
      <c r="AF108" s="486">
        <f t="shared" si="19"/>
        <v>5435</v>
      </c>
    </row>
    <row r="109" spans="1:32" ht="18.75">
      <c r="A109" s="16">
        <v>61102</v>
      </c>
      <c r="B109" s="425" t="s">
        <v>114</v>
      </c>
      <c r="C109" s="118"/>
      <c r="D109" s="118"/>
      <c r="E109" s="118">
        <v>0</v>
      </c>
      <c r="F109" s="118">
        <v>0</v>
      </c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>
        <v>700</v>
      </c>
      <c r="T109" s="118"/>
      <c r="U109" s="118"/>
      <c r="V109" s="118"/>
      <c r="W109" s="118"/>
      <c r="X109" s="118"/>
      <c r="Y109" s="118"/>
      <c r="Z109" s="118"/>
      <c r="AA109" s="118"/>
      <c r="AB109" s="82"/>
      <c r="AC109" s="118"/>
      <c r="AD109" s="118"/>
      <c r="AE109" s="118"/>
      <c r="AF109" s="486">
        <f t="shared" si="19"/>
        <v>700</v>
      </c>
    </row>
    <row r="110" spans="1:32" ht="18.75">
      <c r="A110" s="16">
        <v>61105</v>
      </c>
      <c r="B110" s="425" t="s">
        <v>115</v>
      </c>
      <c r="C110" s="118"/>
      <c r="D110" s="118"/>
      <c r="E110" s="118">
        <v>0</v>
      </c>
      <c r="F110" s="118">
        <v>0</v>
      </c>
      <c r="G110" s="118"/>
      <c r="H110" s="118"/>
      <c r="I110" s="118"/>
      <c r="J110" s="118"/>
      <c r="K110" s="118"/>
      <c r="L110" s="118"/>
      <c r="M110" s="118"/>
      <c r="N110" s="118">
        <v>0</v>
      </c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82"/>
      <c r="AC110" s="118"/>
      <c r="AD110" s="118"/>
      <c r="AE110" s="118"/>
      <c r="AF110" s="486">
        <f t="shared" si="19"/>
        <v>0</v>
      </c>
    </row>
    <row r="111" spans="1:32" ht="18.75">
      <c r="A111" s="16">
        <v>61104</v>
      </c>
      <c r="B111" s="425" t="s">
        <v>116</v>
      </c>
      <c r="C111" s="118">
        <v>500</v>
      </c>
      <c r="D111" s="118"/>
      <c r="E111" s="118">
        <v>1000</v>
      </c>
      <c r="F111" s="118">
        <v>1200</v>
      </c>
      <c r="G111" s="118">
        <v>1200</v>
      </c>
      <c r="H111" s="118">
        <v>1200</v>
      </c>
      <c r="I111" s="118"/>
      <c r="J111" s="118">
        <v>1000</v>
      </c>
      <c r="K111" s="118">
        <v>0</v>
      </c>
      <c r="L111" s="118"/>
      <c r="M111" s="118">
        <v>1000</v>
      </c>
      <c r="N111" s="118">
        <v>1800</v>
      </c>
      <c r="O111" s="118"/>
      <c r="P111" s="118">
        <v>860</v>
      </c>
      <c r="Q111" s="118">
        <v>1090</v>
      </c>
      <c r="R111" s="118"/>
      <c r="S111" s="118">
        <v>1000</v>
      </c>
      <c r="T111" s="118">
        <v>500</v>
      </c>
      <c r="U111" s="118">
        <v>600</v>
      </c>
      <c r="V111" s="118"/>
      <c r="W111" s="118"/>
      <c r="X111" s="118"/>
      <c r="Y111" s="118"/>
      <c r="Z111" s="118"/>
      <c r="AA111" s="118"/>
      <c r="AB111" s="322">
        <v>1174.75</v>
      </c>
      <c r="AC111" s="118"/>
      <c r="AD111" s="118"/>
      <c r="AE111" s="118"/>
      <c r="AF111" s="486">
        <f t="shared" si="19"/>
        <v>12950</v>
      </c>
    </row>
    <row r="112" spans="1:32" ht="18.75">
      <c r="A112" s="16">
        <v>61199</v>
      </c>
      <c r="B112" s="425" t="s">
        <v>117</v>
      </c>
      <c r="C112" s="118">
        <v>500</v>
      </c>
      <c r="D112" s="118"/>
      <c r="E112" s="118">
        <v>0</v>
      </c>
      <c r="F112" s="118">
        <v>0</v>
      </c>
      <c r="G112" s="118"/>
      <c r="H112" s="118"/>
      <c r="I112" s="118"/>
      <c r="J112" s="118"/>
      <c r="K112" s="118">
        <v>0</v>
      </c>
      <c r="L112" s="118"/>
      <c r="M112" s="118"/>
      <c r="N112" s="118"/>
      <c r="O112" s="118"/>
      <c r="P112" s="118"/>
      <c r="Q112" s="118"/>
      <c r="R112" s="118"/>
      <c r="S112" s="118"/>
      <c r="T112" s="118"/>
      <c r="U112" s="118">
        <v>60</v>
      </c>
      <c r="V112" s="118"/>
      <c r="W112" s="118"/>
      <c r="X112" s="118"/>
      <c r="Y112" s="118"/>
      <c r="Z112" s="118"/>
      <c r="AA112" s="118"/>
      <c r="AB112" s="82"/>
      <c r="AC112" s="118"/>
      <c r="AD112" s="118"/>
      <c r="AE112" s="118"/>
      <c r="AF112" s="486">
        <f t="shared" si="19"/>
        <v>560</v>
      </c>
    </row>
    <row r="113" spans="1:32" ht="18.75">
      <c r="A113" s="6">
        <v>612</v>
      </c>
      <c r="B113" s="427" t="s">
        <v>118</v>
      </c>
      <c r="C113" s="419">
        <f t="shared" ref="C113:Z113" si="27">+C114</f>
        <v>0</v>
      </c>
      <c r="D113" s="419">
        <f t="shared" si="27"/>
        <v>0</v>
      </c>
      <c r="E113" s="419">
        <f t="shared" si="27"/>
        <v>0</v>
      </c>
      <c r="F113" s="419">
        <f t="shared" si="27"/>
        <v>0</v>
      </c>
      <c r="G113" s="419">
        <f t="shared" si="27"/>
        <v>0</v>
      </c>
      <c r="H113" s="419">
        <f t="shared" si="27"/>
        <v>0</v>
      </c>
      <c r="I113" s="419">
        <f t="shared" si="27"/>
        <v>0</v>
      </c>
      <c r="J113" s="419">
        <f t="shared" si="27"/>
        <v>0</v>
      </c>
      <c r="K113" s="419">
        <f t="shared" si="27"/>
        <v>0</v>
      </c>
      <c r="L113" s="419">
        <f t="shared" si="27"/>
        <v>0</v>
      </c>
      <c r="M113" s="419">
        <f t="shared" si="27"/>
        <v>0</v>
      </c>
      <c r="N113" s="419">
        <f t="shared" si="27"/>
        <v>0</v>
      </c>
      <c r="O113" s="419">
        <f t="shared" si="27"/>
        <v>0</v>
      </c>
      <c r="P113" s="419">
        <f t="shared" si="27"/>
        <v>0</v>
      </c>
      <c r="Q113" s="419"/>
      <c r="R113" s="419">
        <f t="shared" si="27"/>
        <v>0</v>
      </c>
      <c r="S113" s="419">
        <f t="shared" si="27"/>
        <v>0</v>
      </c>
      <c r="T113" s="419">
        <f t="shared" si="27"/>
        <v>0</v>
      </c>
      <c r="U113" s="419">
        <f t="shared" si="27"/>
        <v>0</v>
      </c>
      <c r="V113" s="419">
        <f t="shared" si="27"/>
        <v>0</v>
      </c>
      <c r="W113" s="419">
        <f t="shared" si="27"/>
        <v>0</v>
      </c>
      <c r="X113" s="419">
        <f t="shared" si="27"/>
        <v>0</v>
      </c>
      <c r="Y113" s="419">
        <f t="shared" si="27"/>
        <v>0</v>
      </c>
      <c r="Z113" s="419">
        <f t="shared" si="27"/>
        <v>0</v>
      </c>
      <c r="AA113" s="419"/>
      <c r="AB113" s="82"/>
      <c r="AC113" s="419"/>
      <c r="AD113" s="419"/>
      <c r="AE113" s="419"/>
      <c r="AF113" s="486">
        <f t="shared" si="19"/>
        <v>0</v>
      </c>
    </row>
    <row r="114" spans="1:32" ht="18.75">
      <c r="A114" s="16">
        <v>61201</v>
      </c>
      <c r="B114" s="425" t="s">
        <v>119</v>
      </c>
      <c r="C114" s="118"/>
      <c r="D114" s="118"/>
      <c r="E114" s="118">
        <v>0</v>
      </c>
      <c r="F114" s="118">
        <f>+'[1]LT 0102'!D118+'[1]LT 0103'!D118+'[1]LT 0105'!D118+'[1]LT 0106'!D118+'[1]LT 0201'!D118+'[1]LT 0202'!D118+'[1]LT 0203'!D118+'[1]LT 0204'!D118+'[1]LT 0205'!D118+'[1]LT 0301'!D118+'[1]LT 0302'!D118+'[1]LT 0303'!D118+'[1]LT 0304'!D118+'[1]LT 0305'!D118+'[1]LT 0306'!D118+'[1]LT 0307'!D118+'[1]LT 0308'!D118+'[1]LT 0309'!D118+'[1]LT 0310'!D118</f>
        <v>0</v>
      </c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82"/>
      <c r="AC114" s="118"/>
      <c r="AD114" s="118"/>
      <c r="AE114" s="118"/>
      <c r="AF114" s="486">
        <f t="shared" si="19"/>
        <v>0</v>
      </c>
    </row>
    <row r="115" spans="1:32" ht="18.75">
      <c r="A115" s="6">
        <v>615</v>
      </c>
      <c r="B115" s="427" t="s">
        <v>120</v>
      </c>
      <c r="C115" s="419">
        <f t="shared" ref="C115:Z115" si="28">SUM(C116:C119)</f>
        <v>0</v>
      </c>
      <c r="D115" s="419">
        <f t="shared" si="28"/>
        <v>0</v>
      </c>
      <c r="E115" s="419">
        <f t="shared" si="28"/>
        <v>0</v>
      </c>
      <c r="F115" s="419">
        <f t="shared" si="28"/>
        <v>0</v>
      </c>
      <c r="G115" s="419">
        <f t="shared" si="28"/>
        <v>0</v>
      </c>
      <c r="H115" s="419">
        <f t="shared" si="28"/>
        <v>0</v>
      </c>
      <c r="I115" s="419">
        <f t="shared" si="28"/>
        <v>0</v>
      </c>
      <c r="J115" s="419">
        <f t="shared" si="28"/>
        <v>0</v>
      </c>
      <c r="K115" s="419">
        <f t="shared" si="28"/>
        <v>0</v>
      </c>
      <c r="L115" s="419">
        <f t="shared" si="28"/>
        <v>0</v>
      </c>
      <c r="M115" s="419">
        <f t="shared" si="28"/>
        <v>0</v>
      </c>
      <c r="N115" s="419">
        <f t="shared" si="28"/>
        <v>0</v>
      </c>
      <c r="O115" s="419">
        <f t="shared" si="28"/>
        <v>0</v>
      </c>
      <c r="P115" s="419">
        <f t="shared" si="28"/>
        <v>0</v>
      </c>
      <c r="Q115" s="419"/>
      <c r="R115" s="419">
        <f t="shared" si="28"/>
        <v>0</v>
      </c>
      <c r="S115" s="419">
        <f t="shared" si="28"/>
        <v>0</v>
      </c>
      <c r="T115" s="419">
        <f t="shared" si="28"/>
        <v>0</v>
      </c>
      <c r="U115" s="419">
        <f t="shared" si="28"/>
        <v>0</v>
      </c>
      <c r="V115" s="419">
        <f t="shared" si="28"/>
        <v>0</v>
      </c>
      <c r="W115" s="419">
        <f t="shared" si="28"/>
        <v>0</v>
      </c>
      <c r="X115" s="419">
        <f t="shared" si="28"/>
        <v>0</v>
      </c>
      <c r="Y115" s="419">
        <f t="shared" si="28"/>
        <v>0</v>
      </c>
      <c r="Z115" s="419">
        <f t="shared" si="28"/>
        <v>0</v>
      </c>
      <c r="AA115" s="419"/>
      <c r="AB115" s="82"/>
      <c r="AC115" s="419"/>
      <c r="AD115" s="419"/>
      <c r="AE115" s="419"/>
      <c r="AF115" s="486">
        <f t="shared" si="19"/>
        <v>0</v>
      </c>
    </row>
    <row r="116" spans="1:32" ht="18.75">
      <c r="A116" s="16">
        <v>61501</v>
      </c>
      <c r="B116" s="22" t="s">
        <v>121</v>
      </c>
      <c r="C116" s="118"/>
      <c r="D116" s="118"/>
      <c r="E116" s="118">
        <f>+'[1]LT 0101'!E119+'[1]LT 0104'!E121</f>
        <v>0</v>
      </c>
      <c r="F116" s="118">
        <f>+'[1]LT 0102'!D120+'[1]LT 0103'!D120+'[1]LT 0105'!D120+'[1]LT 0106'!D120+'[1]LT 0201'!D120+'[1]LT 0202'!D120+'[1]LT 0203'!D120+'[1]LT 0204'!D120+'[1]LT 0205'!D120+'[1]LT 0301'!D120+'[1]LT 0302'!D120+'[1]LT 0303'!D120+'[1]LT 0304'!D120+'[1]LT 0305'!D120+'[1]LT 0306'!D120+'[1]LT 0307'!D120+'[1]LT 0308'!D120+'[1]LT 0309'!D120+'[1]LT 0310'!D120</f>
        <v>0</v>
      </c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82"/>
      <c r="AC116" s="118"/>
      <c r="AD116" s="118"/>
      <c r="AE116" s="118"/>
      <c r="AF116" s="486">
        <f t="shared" si="19"/>
        <v>0</v>
      </c>
    </row>
    <row r="117" spans="1:32" ht="18.75">
      <c r="A117" s="16">
        <v>61502</v>
      </c>
      <c r="B117" s="22" t="s">
        <v>122</v>
      </c>
      <c r="C117" s="118"/>
      <c r="D117" s="118"/>
      <c r="E117" s="118">
        <f>+'[1]LT 0101'!E120+'[1]LT 0104'!E122</f>
        <v>0</v>
      </c>
      <c r="F117" s="118">
        <f>+'[1]LT 0102'!D121+'[1]LT 0103'!D121+'[1]LT 0105'!D121+'[1]LT 0106'!D121+'[1]LT 0201'!D121+'[1]LT 0202'!D121+'[1]LT 0203'!D121+'[1]LT 0204'!D121+'[1]LT 0205'!D121+'[1]LT 0301'!D121+'[1]LT 0302'!D121+'[1]LT 0303'!D121+'[1]LT 0304'!D121+'[1]LT 0305'!D121+'[1]LT 0306'!D121+'[1]LT 0307'!D121+'[1]LT 0308'!D121+'[1]LT 0309'!D121+'[1]LT 0310'!D121</f>
        <v>0</v>
      </c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82"/>
      <c r="AC117" s="118"/>
      <c r="AD117" s="118"/>
      <c r="AE117" s="118"/>
      <c r="AF117" s="486">
        <f t="shared" si="19"/>
        <v>0</v>
      </c>
    </row>
    <row r="118" spans="1:32" ht="18.75">
      <c r="A118" s="16">
        <v>61503</v>
      </c>
      <c r="B118" s="22" t="s">
        <v>123</v>
      </c>
      <c r="C118" s="118"/>
      <c r="D118" s="118"/>
      <c r="E118" s="118">
        <f>+'[1]LT 0101'!E121+'[1]LT 0104'!E123</f>
        <v>0</v>
      </c>
      <c r="F118" s="118">
        <f>+'[1]LT 0102'!D122+'[1]LT 0103'!D122+'[1]LT 0105'!D122+'[1]LT 0106'!D122+'[1]LT 0201'!D122+'[1]LT 0202'!D122+'[1]LT 0203'!D122+'[1]LT 0204'!D122+'[1]LT 0205'!D122+'[1]LT 0301'!D122+'[1]LT 0302'!D122+'[1]LT 0303'!D122+'[1]LT 0304'!D122+'[1]LT 0305'!D122+'[1]LT 0306'!D122+'[1]LT 0307'!D122+'[1]LT 0308'!D122+'[1]LT 0309'!D122+'[1]LT 0310'!D122</f>
        <v>0</v>
      </c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82"/>
      <c r="AC118" s="118"/>
      <c r="AD118" s="118"/>
      <c r="AE118" s="118"/>
      <c r="AF118" s="486">
        <f t="shared" si="19"/>
        <v>0</v>
      </c>
    </row>
    <row r="119" spans="1:32" ht="42.75" customHeight="1">
      <c r="A119" s="16">
        <v>61599</v>
      </c>
      <c r="B119" s="430" t="s">
        <v>124</v>
      </c>
      <c r="C119" s="118"/>
      <c r="D119" s="118"/>
      <c r="E119" s="118">
        <f>+'[1]LT 0101'!E122+'[1]LT 0104'!E124</f>
        <v>0</v>
      </c>
      <c r="F119" s="118">
        <f>+'[1]LT 0102'!D123+'[1]LT 0103'!D123+'[1]LT 0105'!D123+'[1]LT 0106'!D123+'[1]LT 0201'!D123+'[1]LT 0202'!D123+'[1]LT 0203'!D123+'[1]LT 0204'!D123+'[1]LT 0205'!D123+'[1]LT 0301'!D123+'[1]LT 0302'!D123+'[1]LT 0303'!D123+'[1]LT 0304'!D123+'[1]LT 0305'!D123+'[1]LT 0306'!D123+'[1]LT 0307'!D123+'[1]LT 0308'!D123+'[1]LT 0309'!D123+'[1]LT 0310'!D123</f>
        <v>0</v>
      </c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82"/>
      <c r="AC119" s="118"/>
      <c r="AD119" s="118"/>
      <c r="AE119" s="118"/>
      <c r="AF119" s="486">
        <f t="shared" si="19"/>
        <v>0</v>
      </c>
    </row>
    <row r="120" spans="1:32" ht="18.75">
      <c r="A120" s="6">
        <v>616</v>
      </c>
      <c r="B120" s="427" t="s">
        <v>125</v>
      </c>
      <c r="C120" s="419">
        <f t="shared" ref="C120:Z120" si="29">SUM(C121:C128)</f>
        <v>0</v>
      </c>
      <c r="D120" s="419">
        <f t="shared" si="29"/>
        <v>0</v>
      </c>
      <c r="E120" s="419">
        <f t="shared" si="29"/>
        <v>0</v>
      </c>
      <c r="F120" s="419">
        <f t="shared" si="29"/>
        <v>0</v>
      </c>
      <c r="G120" s="419">
        <f t="shared" si="29"/>
        <v>0</v>
      </c>
      <c r="H120" s="419">
        <f t="shared" si="29"/>
        <v>0</v>
      </c>
      <c r="I120" s="419">
        <f t="shared" si="29"/>
        <v>0</v>
      </c>
      <c r="J120" s="419">
        <f t="shared" si="29"/>
        <v>0</v>
      </c>
      <c r="K120" s="419">
        <f t="shared" si="29"/>
        <v>0</v>
      </c>
      <c r="L120" s="419">
        <f t="shared" si="29"/>
        <v>0</v>
      </c>
      <c r="M120" s="419">
        <f t="shared" si="29"/>
        <v>0</v>
      </c>
      <c r="N120" s="419">
        <f t="shared" si="29"/>
        <v>0</v>
      </c>
      <c r="O120" s="419">
        <f t="shared" si="29"/>
        <v>0</v>
      </c>
      <c r="P120" s="419">
        <f t="shared" si="29"/>
        <v>0</v>
      </c>
      <c r="Q120" s="419"/>
      <c r="R120" s="419">
        <f t="shared" si="29"/>
        <v>0</v>
      </c>
      <c r="S120" s="419">
        <f t="shared" si="29"/>
        <v>0</v>
      </c>
      <c r="T120" s="419">
        <f t="shared" si="29"/>
        <v>0</v>
      </c>
      <c r="U120" s="419">
        <f t="shared" si="29"/>
        <v>0</v>
      </c>
      <c r="V120" s="419">
        <f t="shared" si="29"/>
        <v>0</v>
      </c>
      <c r="W120" s="419">
        <f t="shared" si="29"/>
        <v>0</v>
      </c>
      <c r="X120" s="419">
        <f t="shared" si="29"/>
        <v>0</v>
      </c>
      <c r="Y120" s="419">
        <f t="shared" si="29"/>
        <v>0</v>
      </c>
      <c r="Z120" s="419">
        <f t="shared" si="29"/>
        <v>0</v>
      </c>
      <c r="AA120" s="419"/>
      <c r="AB120" s="82"/>
      <c r="AC120" s="419"/>
      <c r="AD120" s="419"/>
      <c r="AE120" s="419"/>
      <c r="AF120" s="486">
        <f t="shared" si="19"/>
        <v>0</v>
      </c>
    </row>
    <row r="121" spans="1:32" ht="18.75">
      <c r="A121" s="16">
        <v>61601</v>
      </c>
      <c r="B121" s="425" t="s">
        <v>126</v>
      </c>
      <c r="C121" s="118"/>
      <c r="D121" s="118"/>
      <c r="E121" s="118">
        <f>+'[1]LT 0101'!E124+'[1]LT 0104'!E126</f>
        <v>0</v>
      </c>
      <c r="F121" s="118">
        <f>+'[1]LT 0102'!D125+'[1]LT 0103'!D125+'[1]LT 0105'!D125+'[1]LT 0106'!D125+'[1]LT 0201'!D125+'[1]LT 0202'!D125+'[1]LT 0203'!D125+'[1]LT 0204'!D125+'[1]LT 0205'!D125+'[1]LT 0301'!D125+'[1]LT 0302'!D125+'[1]LT 0303'!D125+'[1]LT 0304'!D125+'[1]LT 0305'!D125+'[1]LT 0306'!D125+'[1]LT 0307'!D125+'[1]LT 0308'!D125+'[1]LT 0309'!D125+'[1]LT 0310'!D125</f>
        <v>0</v>
      </c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82"/>
      <c r="AC121" s="118"/>
      <c r="AD121" s="118"/>
      <c r="AE121" s="118"/>
      <c r="AF121" s="486">
        <f t="shared" si="19"/>
        <v>0</v>
      </c>
    </row>
    <row r="122" spans="1:32" ht="18.75">
      <c r="A122" s="16">
        <v>61602</v>
      </c>
      <c r="B122" s="425" t="s">
        <v>127</v>
      </c>
      <c r="C122" s="118"/>
      <c r="D122" s="118"/>
      <c r="E122" s="118">
        <v>0</v>
      </c>
      <c r="F122" s="118">
        <f>+'[1]LT 0102'!D126+'[1]LT 0103'!D126+'[1]LT 0105'!D126+'[1]LT 0106'!D126+'[1]LT 0201'!D126+'[1]LT 0202'!D126+'[1]LT 0203'!D126+'[1]LT 0204'!D126+'[1]LT 0205'!D126+'[1]LT 0301'!D126+'[1]LT 0302'!D126+'[1]LT 0303'!D126+'[1]LT 0304'!D126+'[1]LT 0305'!D126+'[1]LT 0306'!D126+'[1]LT 0307'!D126+'[1]LT 0308'!D126+'[1]LT 0309'!D126+'[1]LT 0310'!D126</f>
        <v>0</v>
      </c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82"/>
      <c r="AC122" s="118"/>
      <c r="AD122" s="118"/>
      <c r="AE122" s="118"/>
      <c r="AF122" s="486">
        <f t="shared" si="19"/>
        <v>0</v>
      </c>
    </row>
    <row r="123" spans="1:32" ht="18.75">
      <c r="A123" s="16">
        <v>61603</v>
      </c>
      <c r="B123" s="425" t="s">
        <v>128</v>
      </c>
      <c r="C123" s="118"/>
      <c r="D123" s="118"/>
      <c r="E123" s="118">
        <f>+'[1]LT 0101'!E126+'[1]LT 0104'!E128</f>
        <v>0</v>
      </c>
      <c r="F123" s="118">
        <f>+'[1]LT 0102'!D127+'[1]LT 0103'!D127+'[1]LT 0105'!D127+'[1]LT 0106'!D127+'[1]LT 0201'!D127+'[1]LT 0202'!D127+'[1]LT 0203'!D127+'[1]LT 0204'!D127+'[1]LT 0205'!D127+'[1]LT 0301'!D127+'[1]LT 0302'!D127+'[1]LT 0303'!D127+'[1]LT 0304'!D127+'[1]LT 0305'!D127+'[1]LT 0306'!D127+'[1]LT 0307'!D127+'[1]LT 0308'!D127+'[1]LT 0309'!D127+'[1]LT 0310'!D127</f>
        <v>0</v>
      </c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82"/>
      <c r="AC123" s="118"/>
      <c r="AD123" s="118"/>
      <c r="AE123" s="118"/>
      <c r="AF123" s="486">
        <f t="shared" ref="AF123:AF138" si="30">SUM(C123:Z123)</f>
        <v>0</v>
      </c>
    </row>
    <row r="124" spans="1:32" ht="18.75">
      <c r="A124" s="16">
        <v>61604</v>
      </c>
      <c r="B124" s="425" t="s">
        <v>129</v>
      </c>
      <c r="C124" s="118"/>
      <c r="D124" s="118"/>
      <c r="E124" s="118">
        <f>+'[1]LT 0101'!E127+'[1]LT 0104'!E129</f>
        <v>0</v>
      </c>
      <c r="F124" s="118">
        <f>+'[1]LT 0102'!D128+'[1]LT 0103'!D128+'[1]LT 0105'!D128+'[1]LT 0106'!D128+'[1]LT 0201'!D128+'[1]LT 0202'!D128+'[1]LT 0203'!D128+'[1]LT 0204'!D128+'[1]LT 0205'!D128+'[1]LT 0301'!D128+'[1]LT 0302'!D128+'[1]LT 0303'!D128+'[1]LT 0304'!D128+'[1]LT 0305'!D128+'[1]LT 0306'!D128+'[1]LT 0307'!D128+'[1]LT 0308'!D128+'[1]LT 0309'!D128+'[1]LT 0310'!D128</f>
        <v>0</v>
      </c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82"/>
      <c r="AC124" s="118"/>
      <c r="AD124" s="118"/>
      <c r="AE124" s="118"/>
      <c r="AF124" s="486">
        <f t="shared" si="30"/>
        <v>0</v>
      </c>
    </row>
    <row r="125" spans="1:32" ht="18.75">
      <c r="A125" s="16">
        <v>61606</v>
      </c>
      <c r="B125" s="425" t="s">
        <v>130</v>
      </c>
      <c r="C125" s="118"/>
      <c r="D125" s="118"/>
      <c r="E125" s="118">
        <f>+'[1]LT 0101'!E128+'[1]LT 0104'!E130</f>
        <v>0</v>
      </c>
      <c r="F125" s="118">
        <f>+'[1]LT 0102'!D129+'[1]LT 0103'!D129+'[1]LT 0105'!D129+'[1]LT 0106'!D129+'[1]LT 0201'!D129+'[1]LT 0202'!D129+'[1]LT 0203'!D129+'[1]LT 0204'!D129+'[1]LT 0205'!D129+'[1]LT 0301'!D129+'[1]LT 0302'!D129+'[1]LT 0303'!D129+'[1]LT 0304'!D129+'[1]LT 0305'!D129+'[1]LT 0306'!D129+'[1]LT 0307'!D129+'[1]LT 0308'!D129+'[1]LT 0309'!D129+'[1]LT 0310'!D129</f>
        <v>0</v>
      </c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82"/>
      <c r="AC125" s="118"/>
      <c r="AD125" s="118"/>
      <c r="AE125" s="118"/>
      <c r="AF125" s="486">
        <f t="shared" si="30"/>
        <v>0</v>
      </c>
    </row>
    <row r="126" spans="1:32" ht="18.75">
      <c r="A126" s="16">
        <v>61607</v>
      </c>
      <c r="B126" s="425" t="s">
        <v>131</v>
      </c>
      <c r="C126" s="118"/>
      <c r="D126" s="118"/>
      <c r="E126" s="118">
        <v>0</v>
      </c>
      <c r="F126" s="118">
        <f>+'[1]LT 0102'!D130+'[1]LT 0103'!D130+'[1]LT 0105'!D130+'[1]LT 0106'!D130+'[1]LT 0201'!D130+'[1]LT 0202'!D130+'[1]LT 0203'!D130+'[1]LT 0204'!D130+'[1]LT 0205'!D130+'[1]LT 0301'!D130+'[1]LT 0302'!D130+'[1]LT 0303'!D130+'[1]LT 0304'!D130+'[1]LT 0305'!D130+'[1]LT 0306'!D130+'[1]LT 0307'!D130+'[1]LT 0308'!D130+'[1]LT 0309'!D130+'[1]LT 0310'!D130</f>
        <v>0</v>
      </c>
      <c r="G126" s="118"/>
      <c r="H126" s="118">
        <v>0</v>
      </c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82"/>
      <c r="AC126" s="118"/>
      <c r="AD126" s="118"/>
      <c r="AE126" s="118"/>
      <c r="AF126" s="486">
        <f t="shared" si="30"/>
        <v>0</v>
      </c>
    </row>
    <row r="127" spans="1:32" ht="18.75">
      <c r="A127" s="16">
        <v>61608</v>
      </c>
      <c r="B127" s="425" t="s">
        <v>132</v>
      </c>
      <c r="C127" s="118"/>
      <c r="D127" s="118"/>
      <c r="E127" s="118">
        <f>+'[1]LT 0101'!E130+'[1]LT 0104'!E132</f>
        <v>0</v>
      </c>
      <c r="F127" s="118">
        <f>+'[1]LT 0102'!D131+'[1]LT 0103'!D131+'[1]LT 0105'!D131+'[1]LT 0106'!D131+'[1]LT 0201'!D131+'[1]LT 0202'!D131+'[1]LT 0203'!D131+'[1]LT 0204'!D131+'[1]LT 0205'!D131+'[1]LT 0301'!D131+'[1]LT 0302'!D131+'[1]LT 0303'!D131+'[1]LT 0304'!D131+'[1]LT 0305'!D131+'[1]LT 0306'!D131+'[1]LT 0307'!D131+'[1]LT 0308'!D131+'[1]LT 0309'!D131+'[1]LT 0310'!D131</f>
        <v>0</v>
      </c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82"/>
      <c r="AC127" s="118"/>
      <c r="AD127" s="118"/>
      <c r="AE127" s="118"/>
      <c r="AF127" s="486">
        <f t="shared" si="30"/>
        <v>0</v>
      </c>
    </row>
    <row r="128" spans="1:32" ht="18.75">
      <c r="A128" s="16">
        <v>61699</v>
      </c>
      <c r="B128" s="425" t="s">
        <v>133</v>
      </c>
      <c r="C128" s="118"/>
      <c r="D128" s="118"/>
      <c r="E128" s="118">
        <f>+'[1]LT 0101'!E131+'[1]LT 0104'!E133</f>
        <v>0</v>
      </c>
      <c r="F128" s="118">
        <f>+'[1]LT 0102'!D132+'[1]LT 0103'!D132+'[1]LT 0105'!D132+'[1]LT 0106'!D132+'[1]LT 0201'!D132+'[1]LT 0202'!D132+'[1]LT 0203'!D132+'[1]LT 0204'!D132+'[1]LT 0205'!D132+'[1]LT 0301'!D132+'[1]LT 0302'!D132+'[1]LT 0303'!D132+'[1]LT 0304'!D132+'[1]LT 0305'!D132+'[1]LT 0306'!D132+'[1]LT 0307'!D132+'[1]LT 0308'!D132+'[1]LT 0309'!D132+'[1]LT 0310'!D132</f>
        <v>0</v>
      </c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82"/>
      <c r="AC128" s="118"/>
      <c r="AD128" s="118"/>
      <c r="AE128" s="118"/>
      <c r="AF128" s="486">
        <f t="shared" si="30"/>
        <v>0</v>
      </c>
    </row>
    <row r="129" spans="1:33" ht="18.75">
      <c r="A129" s="6">
        <v>62</v>
      </c>
      <c r="B129" s="427" t="s">
        <v>134</v>
      </c>
      <c r="C129" s="419">
        <f t="shared" ref="C129:Z129" si="31">SUM(C130,C132,)</f>
        <v>0</v>
      </c>
      <c r="D129" s="419">
        <f t="shared" si="31"/>
        <v>0</v>
      </c>
      <c r="E129" s="419">
        <f t="shared" si="31"/>
        <v>0</v>
      </c>
      <c r="F129" s="419">
        <f t="shared" si="31"/>
        <v>0</v>
      </c>
      <c r="G129" s="419">
        <f t="shared" si="31"/>
        <v>0</v>
      </c>
      <c r="H129" s="419">
        <f t="shared" si="31"/>
        <v>0</v>
      </c>
      <c r="I129" s="419">
        <f t="shared" si="31"/>
        <v>0</v>
      </c>
      <c r="J129" s="419">
        <f t="shared" si="31"/>
        <v>0</v>
      </c>
      <c r="K129" s="419">
        <f t="shared" si="31"/>
        <v>0</v>
      </c>
      <c r="L129" s="419">
        <f t="shared" si="31"/>
        <v>0</v>
      </c>
      <c r="M129" s="419">
        <f t="shared" si="31"/>
        <v>0</v>
      </c>
      <c r="N129" s="419">
        <f t="shared" si="31"/>
        <v>0</v>
      </c>
      <c r="O129" s="419">
        <f t="shared" si="31"/>
        <v>0</v>
      </c>
      <c r="P129" s="419">
        <f t="shared" si="31"/>
        <v>0</v>
      </c>
      <c r="Q129" s="419"/>
      <c r="R129" s="419">
        <f t="shared" si="31"/>
        <v>0</v>
      </c>
      <c r="S129" s="419">
        <f t="shared" si="31"/>
        <v>0</v>
      </c>
      <c r="T129" s="419">
        <f t="shared" si="31"/>
        <v>0</v>
      </c>
      <c r="U129" s="419">
        <f t="shared" si="31"/>
        <v>0</v>
      </c>
      <c r="V129" s="419">
        <f t="shared" si="31"/>
        <v>0</v>
      </c>
      <c r="W129" s="419">
        <f t="shared" si="31"/>
        <v>0</v>
      </c>
      <c r="X129" s="419">
        <f t="shared" si="31"/>
        <v>0</v>
      </c>
      <c r="Y129" s="419">
        <f t="shared" si="31"/>
        <v>0</v>
      </c>
      <c r="Z129" s="419">
        <f t="shared" si="31"/>
        <v>0</v>
      </c>
      <c r="AA129" s="419"/>
      <c r="AB129" s="82"/>
      <c r="AC129" s="419"/>
      <c r="AD129" s="419"/>
      <c r="AE129" s="419"/>
      <c r="AF129" s="486">
        <f t="shared" si="30"/>
        <v>0</v>
      </c>
    </row>
    <row r="130" spans="1:33" ht="32.25" customHeight="1">
      <c r="A130" s="6">
        <v>622</v>
      </c>
      <c r="B130" s="426" t="s">
        <v>135</v>
      </c>
      <c r="C130" s="419">
        <f t="shared" ref="C130:Z130" si="32">SUM(C131)</f>
        <v>0</v>
      </c>
      <c r="D130" s="419">
        <f t="shared" si="32"/>
        <v>0</v>
      </c>
      <c r="E130" s="419">
        <f t="shared" si="32"/>
        <v>0</v>
      </c>
      <c r="F130" s="419">
        <f t="shared" si="32"/>
        <v>0</v>
      </c>
      <c r="G130" s="419">
        <f t="shared" si="32"/>
        <v>0</v>
      </c>
      <c r="H130" s="419">
        <f t="shared" si="32"/>
        <v>0</v>
      </c>
      <c r="I130" s="419">
        <f t="shared" si="32"/>
        <v>0</v>
      </c>
      <c r="J130" s="419">
        <f t="shared" si="32"/>
        <v>0</v>
      </c>
      <c r="K130" s="419">
        <f t="shared" si="32"/>
        <v>0</v>
      </c>
      <c r="L130" s="419">
        <f t="shared" si="32"/>
        <v>0</v>
      </c>
      <c r="M130" s="419">
        <f t="shared" si="32"/>
        <v>0</v>
      </c>
      <c r="N130" s="419">
        <f t="shared" si="32"/>
        <v>0</v>
      </c>
      <c r="O130" s="419">
        <f t="shared" si="32"/>
        <v>0</v>
      </c>
      <c r="P130" s="419">
        <f t="shared" si="32"/>
        <v>0</v>
      </c>
      <c r="Q130" s="419"/>
      <c r="R130" s="419">
        <f t="shared" si="32"/>
        <v>0</v>
      </c>
      <c r="S130" s="419">
        <f t="shared" si="32"/>
        <v>0</v>
      </c>
      <c r="T130" s="419">
        <f t="shared" si="32"/>
        <v>0</v>
      </c>
      <c r="U130" s="419">
        <f t="shared" si="32"/>
        <v>0</v>
      </c>
      <c r="V130" s="419">
        <f t="shared" si="32"/>
        <v>0</v>
      </c>
      <c r="W130" s="419">
        <f t="shared" si="32"/>
        <v>0</v>
      </c>
      <c r="X130" s="419">
        <f t="shared" si="32"/>
        <v>0</v>
      </c>
      <c r="Y130" s="419">
        <f t="shared" si="32"/>
        <v>0</v>
      </c>
      <c r="Z130" s="419">
        <f t="shared" si="32"/>
        <v>0</v>
      </c>
      <c r="AA130" s="419"/>
      <c r="AB130" s="82"/>
      <c r="AC130" s="419"/>
      <c r="AD130" s="419"/>
      <c r="AE130" s="419"/>
      <c r="AF130" s="486">
        <f t="shared" si="30"/>
        <v>0</v>
      </c>
    </row>
    <row r="131" spans="1:33" ht="37.5" customHeight="1">
      <c r="A131" s="16">
        <v>62201</v>
      </c>
      <c r="B131" s="428" t="s">
        <v>136</v>
      </c>
      <c r="C131" s="118"/>
      <c r="D131" s="118"/>
      <c r="E131" s="118">
        <v>0</v>
      </c>
      <c r="F131" s="118">
        <f>+'[1]LT 0102'!D135+'[1]LT 0103'!D135+'[1]LT 0105'!D135+'[1]LT 0106'!D135+'[1]LT 0201'!D135+'[1]LT 0202'!D135+'[1]LT 0203'!D135+'[1]LT 0204'!D135+'[1]LT 0205'!D135+'[1]LT 0301'!D135+'[1]LT 0302'!D135+'[1]LT 0303'!D135+'[1]LT 0304'!D135+'[1]LT 0305'!D135+'[1]LT 0306'!D135+'[1]LT 0307'!D135+'[1]LT 0308'!D135+'[1]LT 0309'!D135+'[1]LT 0310'!D135</f>
        <v>0</v>
      </c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82"/>
      <c r="AC131" s="118"/>
      <c r="AD131" s="118"/>
      <c r="AE131" s="118"/>
      <c r="AF131" s="486">
        <f t="shared" si="30"/>
        <v>0</v>
      </c>
    </row>
    <row r="132" spans="1:33" ht="29.25" customHeight="1">
      <c r="A132" s="6">
        <v>623</v>
      </c>
      <c r="B132" s="426" t="s">
        <v>137</v>
      </c>
      <c r="C132" s="419">
        <f t="shared" ref="C132:Z132" si="33">SUM(C133)</f>
        <v>0</v>
      </c>
      <c r="D132" s="419">
        <f t="shared" si="33"/>
        <v>0</v>
      </c>
      <c r="E132" s="419">
        <f t="shared" si="33"/>
        <v>0</v>
      </c>
      <c r="F132" s="419">
        <f t="shared" si="33"/>
        <v>0</v>
      </c>
      <c r="G132" s="419">
        <f t="shared" si="33"/>
        <v>0</v>
      </c>
      <c r="H132" s="419">
        <f t="shared" si="33"/>
        <v>0</v>
      </c>
      <c r="I132" s="419">
        <f t="shared" si="33"/>
        <v>0</v>
      </c>
      <c r="J132" s="419">
        <f t="shared" si="33"/>
        <v>0</v>
      </c>
      <c r="K132" s="419">
        <f t="shared" si="33"/>
        <v>0</v>
      </c>
      <c r="L132" s="419">
        <f t="shared" si="33"/>
        <v>0</v>
      </c>
      <c r="M132" s="419">
        <f t="shared" si="33"/>
        <v>0</v>
      </c>
      <c r="N132" s="419">
        <f t="shared" si="33"/>
        <v>0</v>
      </c>
      <c r="O132" s="419">
        <f t="shared" si="33"/>
        <v>0</v>
      </c>
      <c r="P132" s="419">
        <f t="shared" si="33"/>
        <v>0</v>
      </c>
      <c r="Q132" s="419"/>
      <c r="R132" s="419">
        <f t="shared" si="33"/>
        <v>0</v>
      </c>
      <c r="S132" s="419">
        <f t="shared" si="33"/>
        <v>0</v>
      </c>
      <c r="T132" s="419">
        <f t="shared" si="33"/>
        <v>0</v>
      </c>
      <c r="U132" s="419">
        <f t="shared" si="33"/>
        <v>0</v>
      </c>
      <c r="V132" s="419">
        <f t="shared" si="33"/>
        <v>0</v>
      </c>
      <c r="W132" s="419">
        <f t="shared" si="33"/>
        <v>0</v>
      </c>
      <c r="X132" s="419">
        <f t="shared" si="33"/>
        <v>0</v>
      </c>
      <c r="Y132" s="419">
        <f t="shared" si="33"/>
        <v>0</v>
      </c>
      <c r="Z132" s="419">
        <f t="shared" si="33"/>
        <v>0</v>
      </c>
      <c r="AA132" s="419"/>
      <c r="AB132" s="82"/>
      <c r="AC132" s="419"/>
      <c r="AD132" s="419"/>
      <c r="AE132" s="419"/>
      <c r="AF132" s="486">
        <f t="shared" si="30"/>
        <v>0</v>
      </c>
    </row>
    <row r="133" spans="1:33" ht="18.75">
      <c r="A133" s="16">
        <v>62303</v>
      </c>
      <c r="B133" s="425" t="s">
        <v>108</v>
      </c>
      <c r="C133" s="118"/>
      <c r="D133" s="118"/>
      <c r="E133" s="118">
        <v>0</v>
      </c>
      <c r="F133" s="118">
        <f>+'[1]LT 0102'!D137+'[1]LT 0103'!D137+'[1]LT 0105'!D137+'[1]LT 0106'!D137+'[1]LT 0201'!D137+'[1]LT 0202'!D137+'[1]LT 0203'!D137+'[1]LT 0204'!D137+'[1]LT 0205'!D137+'[1]LT 0301'!D137+'[1]LT 0302'!D137+'[1]LT 0303'!D137+'[1]LT 0304'!D137+'[1]LT 0305'!D137+'[1]LT 0306'!D137+'[1]LT 0307'!D137+'[1]LT 0308'!D137+'[1]LT 0309'!D137+'[1]LT 0310'!D137</f>
        <v>0</v>
      </c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82"/>
      <c r="AC133" s="118"/>
      <c r="AD133" s="118"/>
      <c r="AE133" s="118"/>
      <c r="AF133" s="486">
        <f t="shared" si="30"/>
        <v>0</v>
      </c>
    </row>
    <row r="134" spans="1:33" ht="18.75">
      <c r="A134" s="6">
        <v>71</v>
      </c>
      <c r="B134" s="427" t="s">
        <v>138</v>
      </c>
      <c r="C134" s="420">
        <f t="shared" ref="C134:Z134" si="34">+C135</f>
        <v>0</v>
      </c>
      <c r="D134" s="420">
        <f t="shared" si="34"/>
        <v>0</v>
      </c>
      <c r="E134" s="420">
        <f t="shared" si="34"/>
        <v>0</v>
      </c>
      <c r="F134" s="420">
        <f t="shared" si="34"/>
        <v>0</v>
      </c>
      <c r="G134" s="420">
        <f t="shared" si="34"/>
        <v>0</v>
      </c>
      <c r="H134" s="420">
        <f t="shared" si="34"/>
        <v>0</v>
      </c>
      <c r="I134" s="420">
        <f t="shared" si="34"/>
        <v>0</v>
      </c>
      <c r="J134" s="420">
        <f t="shared" si="34"/>
        <v>0</v>
      </c>
      <c r="K134" s="420">
        <f t="shared" si="34"/>
        <v>0</v>
      </c>
      <c r="L134" s="420">
        <f t="shared" si="34"/>
        <v>0</v>
      </c>
      <c r="M134" s="420">
        <f t="shared" si="34"/>
        <v>0</v>
      </c>
      <c r="N134" s="420">
        <f t="shared" si="34"/>
        <v>0</v>
      </c>
      <c r="O134" s="420">
        <f t="shared" si="34"/>
        <v>0</v>
      </c>
      <c r="P134" s="420">
        <f t="shared" si="34"/>
        <v>0</v>
      </c>
      <c r="Q134" s="420"/>
      <c r="R134" s="420">
        <f t="shared" si="34"/>
        <v>0</v>
      </c>
      <c r="S134" s="420">
        <f t="shared" si="34"/>
        <v>0</v>
      </c>
      <c r="T134" s="420">
        <f t="shared" si="34"/>
        <v>0</v>
      </c>
      <c r="U134" s="420">
        <f t="shared" si="34"/>
        <v>0</v>
      </c>
      <c r="V134" s="420">
        <f t="shared" si="34"/>
        <v>0</v>
      </c>
      <c r="W134" s="420">
        <f t="shared" si="34"/>
        <v>0</v>
      </c>
      <c r="X134" s="420">
        <f t="shared" si="34"/>
        <v>0</v>
      </c>
      <c r="Y134" s="420">
        <f t="shared" si="34"/>
        <v>0</v>
      </c>
      <c r="Z134" s="420">
        <f t="shared" si="34"/>
        <v>0</v>
      </c>
      <c r="AA134" s="420"/>
      <c r="AB134" s="82"/>
      <c r="AC134" s="420"/>
      <c r="AD134" s="420"/>
      <c r="AE134" s="420"/>
      <c r="AF134" s="486">
        <f t="shared" si="30"/>
        <v>0</v>
      </c>
    </row>
    <row r="135" spans="1:33" ht="58.5" customHeight="1">
      <c r="A135" s="16">
        <v>71308</v>
      </c>
      <c r="B135" s="428" t="s">
        <v>139</v>
      </c>
      <c r="C135" s="118"/>
      <c r="D135" s="118"/>
      <c r="E135" s="118"/>
      <c r="F135" s="118"/>
      <c r="G135" s="118">
        <v>0</v>
      </c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82"/>
      <c r="AC135" s="118"/>
      <c r="AD135" s="118"/>
      <c r="AE135" s="118"/>
      <c r="AF135" s="486">
        <f t="shared" si="30"/>
        <v>0</v>
      </c>
    </row>
    <row r="136" spans="1:33" ht="18.75">
      <c r="A136" s="6">
        <v>72</v>
      </c>
      <c r="B136" s="427" t="s">
        <v>140</v>
      </c>
      <c r="C136" s="419">
        <f t="shared" ref="C136:N137" si="35">SUM(C137)</f>
        <v>0</v>
      </c>
      <c r="D136" s="419">
        <f t="shared" si="35"/>
        <v>0</v>
      </c>
      <c r="E136" s="419">
        <f t="shared" si="35"/>
        <v>0</v>
      </c>
      <c r="F136" s="419">
        <f t="shared" si="35"/>
        <v>0</v>
      </c>
      <c r="G136" s="419">
        <f t="shared" si="35"/>
        <v>0</v>
      </c>
      <c r="H136" s="419">
        <f t="shared" si="35"/>
        <v>0</v>
      </c>
      <c r="I136" s="419">
        <f t="shared" si="35"/>
        <v>0</v>
      </c>
      <c r="J136" s="419">
        <f t="shared" si="35"/>
        <v>0</v>
      </c>
      <c r="K136" s="419">
        <f t="shared" si="35"/>
        <v>0</v>
      </c>
      <c r="L136" s="419">
        <f t="shared" si="35"/>
        <v>0</v>
      </c>
      <c r="M136" s="419">
        <f t="shared" si="35"/>
        <v>0</v>
      </c>
      <c r="N136" s="419">
        <f t="shared" si="35"/>
        <v>0</v>
      </c>
      <c r="O136" s="419">
        <f t="shared" ref="O136:Z137" si="36">SUM(O137)</f>
        <v>0</v>
      </c>
      <c r="P136" s="419">
        <f t="shared" si="36"/>
        <v>0</v>
      </c>
      <c r="Q136" s="419"/>
      <c r="R136" s="419">
        <f t="shared" si="36"/>
        <v>0</v>
      </c>
      <c r="S136" s="419">
        <f t="shared" si="36"/>
        <v>0</v>
      </c>
      <c r="T136" s="419">
        <f t="shared" si="36"/>
        <v>0</v>
      </c>
      <c r="U136" s="419">
        <f t="shared" si="36"/>
        <v>0</v>
      </c>
      <c r="V136" s="419">
        <f t="shared" si="36"/>
        <v>0</v>
      </c>
      <c r="W136" s="419">
        <f t="shared" si="36"/>
        <v>0</v>
      </c>
      <c r="X136" s="419">
        <f t="shared" si="36"/>
        <v>0</v>
      </c>
      <c r="Y136" s="419">
        <f t="shared" si="36"/>
        <v>0</v>
      </c>
      <c r="Z136" s="419">
        <f t="shared" si="36"/>
        <v>0</v>
      </c>
      <c r="AA136" s="419"/>
      <c r="AB136" s="82"/>
      <c r="AC136" s="419"/>
      <c r="AD136" s="419"/>
      <c r="AE136" s="419"/>
      <c r="AF136" s="486">
        <f t="shared" si="30"/>
        <v>0</v>
      </c>
    </row>
    <row r="137" spans="1:33" ht="18.75">
      <c r="A137" s="6">
        <v>721</v>
      </c>
      <c r="B137" s="427" t="s">
        <v>141</v>
      </c>
      <c r="C137" s="419">
        <f t="shared" si="35"/>
        <v>0</v>
      </c>
      <c r="D137" s="419">
        <f t="shared" si="35"/>
        <v>0</v>
      </c>
      <c r="E137" s="419">
        <f t="shared" si="35"/>
        <v>0</v>
      </c>
      <c r="F137" s="419">
        <f t="shared" si="35"/>
        <v>0</v>
      </c>
      <c r="G137" s="419">
        <f t="shared" si="35"/>
        <v>0</v>
      </c>
      <c r="H137" s="419">
        <f t="shared" si="35"/>
        <v>0</v>
      </c>
      <c r="I137" s="419">
        <f t="shared" si="35"/>
        <v>0</v>
      </c>
      <c r="J137" s="419">
        <f t="shared" si="35"/>
        <v>0</v>
      </c>
      <c r="K137" s="419">
        <f t="shared" si="35"/>
        <v>0</v>
      </c>
      <c r="L137" s="419">
        <f t="shared" si="35"/>
        <v>0</v>
      </c>
      <c r="M137" s="419">
        <f t="shared" si="35"/>
        <v>0</v>
      </c>
      <c r="N137" s="419">
        <f t="shared" si="35"/>
        <v>0</v>
      </c>
      <c r="O137" s="419">
        <f t="shared" si="36"/>
        <v>0</v>
      </c>
      <c r="P137" s="419">
        <f t="shared" si="36"/>
        <v>0</v>
      </c>
      <c r="Q137" s="419"/>
      <c r="R137" s="419">
        <f t="shared" si="36"/>
        <v>0</v>
      </c>
      <c r="S137" s="419">
        <f t="shared" si="36"/>
        <v>0</v>
      </c>
      <c r="T137" s="419">
        <f t="shared" si="36"/>
        <v>0</v>
      </c>
      <c r="U137" s="419">
        <f t="shared" si="36"/>
        <v>0</v>
      </c>
      <c r="V137" s="419">
        <f t="shared" si="36"/>
        <v>0</v>
      </c>
      <c r="W137" s="419">
        <f t="shared" si="36"/>
        <v>0</v>
      </c>
      <c r="X137" s="419">
        <f t="shared" si="36"/>
        <v>0</v>
      </c>
      <c r="Y137" s="419">
        <f t="shared" si="36"/>
        <v>0</v>
      </c>
      <c r="Z137" s="419">
        <f t="shared" si="36"/>
        <v>0</v>
      </c>
      <c r="AA137" s="419"/>
      <c r="AB137" s="82"/>
      <c r="AC137" s="419"/>
      <c r="AD137" s="419"/>
      <c r="AE137" s="419"/>
      <c r="AF137" s="486">
        <f t="shared" si="30"/>
        <v>0</v>
      </c>
    </row>
    <row r="138" spans="1:33" ht="19.5" thickBot="1">
      <c r="A138" s="28">
        <v>72101</v>
      </c>
      <c r="B138" s="431" t="s">
        <v>141</v>
      </c>
      <c r="C138" s="118"/>
      <c r="D138" s="118"/>
      <c r="E138" s="118">
        <v>0</v>
      </c>
      <c r="F138" s="118">
        <f>+'[1]LT 0102'!D140+'[1]LT 0103'!D140+'[1]LT 0105'!D140+'[1]LT 0106'!D140+'[1]LT 0201'!D140+'[1]LT 0202'!D140+'[1]LT 0203'!D140+'[1]LT 0204'!D140+'[1]LT 0205'!D140+'[1]LT 0301'!D140+'[1]LT 0302'!D140+'[1]LT 0303'!D140+'[1]LT 0304'!D140+'[1]LT 0305'!D140+'[1]LT 0306'!D140+'[1]LT 0307'!D140+'[1]LT 0308'!D140+'[1]LT 0309'!D140+'[1]LT 0310'!D140</f>
        <v>0</v>
      </c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82"/>
      <c r="AC138" s="118"/>
      <c r="AD138" s="118"/>
      <c r="AE138" s="118"/>
      <c r="AF138" s="486">
        <f t="shared" si="30"/>
        <v>0</v>
      </c>
    </row>
    <row r="139" spans="1:33" ht="18">
      <c r="A139" s="30"/>
      <c r="B139" s="31" t="s">
        <v>5</v>
      </c>
      <c r="C139" s="415">
        <f t="shared" ref="C139:Z139" si="37">+C8+C34+C89+C100+C106+C129+C134+C136</f>
        <v>8597.2000000000007</v>
      </c>
      <c r="D139" s="415">
        <f t="shared" si="37"/>
        <v>3000</v>
      </c>
      <c r="E139" s="415">
        <f t="shared" si="37"/>
        <v>5118.2</v>
      </c>
      <c r="F139" s="415">
        <f t="shared" si="37"/>
        <v>4260</v>
      </c>
      <c r="G139" s="415">
        <f t="shared" si="37"/>
        <v>3624.75</v>
      </c>
      <c r="H139" s="415">
        <f t="shared" si="37"/>
        <v>1550.5</v>
      </c>
      <c r="I139" s="415">
        <f t="shared" si="37"/>
        <v>1883.7</v>
      </c>
      <c r="J139" s="415">
        <f t="shared" si="37"/>
        <v>1700</v>
      </c>
      <c r="K139" s="415">
        <f t="shared" si="37"/>
        <v>2316.3000000000002</v>
      </c>
      <c r="L139" s="415">
        <f t="shared" si="37"/>
        <v>5699.2</v>
      </c>
      <c r="M139" s="415">
        <f t="shared" si="37"/>
        <v>3218.05</v>
      </c>
      <c r="N139" s="415">
        <f t="shared" si="37"/>
        <v>5509.0599999999995</v>
      </c>
      <c r="O139" s="415">
        <f t="shared" si="37"/>
        <v>3151.95</v>
      </c>
      <c r="P139" s="415">
        <f t="shared" si="37"/>
        <v>3604.8</v>
      </c>
      <c r="Q139" s="415">
        <f>SUM(Q8:Q138)</f>
        <v>1800</v>
      </c>
      <c r="R139" s="415">
        <f t="shared" si="37"/>
        <v>12200</v>
      </c>
      <c r="S139" s="415">
        <f t="shared" si="37"/>
        <v>6308.5</v>
      </c>
      <c r="T139" s="415">
        <f t="shared" si="37"/>
        <v>1783.5</v>
      </c>
      <c r="U139" s="415">
        <f t="shared" si="37"/>
        <v>32423.75</v>
      </c>
      <c r="V139" s="415">
        <f t="shared" si="37"/>
        <v>1272.75</v>
      </c>
      <c r="W139" s="415">
        <f t="shared" si="37"/>
        <v>2258.5</v>
      </c>
      <c r="X139" s="415">
        <f t="shared" si="37"/>
        <v>1540</v>
      </c>
      <c r="Y139" s="415">
        <f t="shared" si="37"/>
        <v>2112.8500000000004</v>
      </c>
      <c r="Z139" s="415">
        <f t="shared" si="37"/>
        <v>5179.8999999999996</v>
      </c>
      <c r="AA139" s="415">
        <v>1800</v>
      </c>
      <c r="AB139" s="316">
        <f>SUM(AB8:AB138)</f>
        <v>1557.25</v>
      </c>
      <c r="AC139" s="415">
        <v>1000</v>
      </c>
      <c r="AD139" s="415">
        <v>1800</v>
      </c>
      <c r="AE139" s="415">
        <v>3000</v>
      </c>
      <c r="AF139" s="415">
        <f>SUM(AF34:AF138)</f>
        <v>302960.53000000003</v>
      </c>
      <c r="AG139" s="99">
        <f>SUM(C139:AE139)</f>
        <v>129270.70999999999</v>
      </c>
    </row>
    <row r="140" spans="1:33">
      <c r="AF140" s="99"/>
    </row>
    <row r="141" spans="1:33" ht="31.5">
      <c r="C141" s="169">
        <v>2000</v>
      </c>
      <c r="D141" s="169">
        <v>3000</v>
      </c>
      <c r="E141" s="169">
        <v>4500</v>
      </c>
      <c r="F141" s="169">
        <v>4500</v>
      </c>
      <c r="G141" s="169">
        <v>1963.55</v>
      </c>
      <c r="H141" s="169">
        <v>1000</v>
      </c>
      <c r="I141" s="169">
        <v>1800</v>
      </c>
      <c r="J141" s="169">
        <v>1800</v>
      </c>
      <c r="K141" s="169">
        <v>832.8</v>
      </c>
      <c r="L141" s="169">
        <v>1500</v>
      </c>
      <c r="M141" s="169">
        <v>2165</v>
      </c>
      <c r="N141" s="169">
        <v>3500</v>
      </c>
      <c r="O141" s="169">
        <v>2000</v>
      </c>
      <c r="P141" s="169">
        <v>1200</v>
      </c>
      <c r="Q141" s="169">
        <v>1800</v>
      </c>
      <c r="R141" s="169">
        <v>9000</v>
      </c>
      <c r="S141" s="169">
        <v>5200</v>
      </c>
      <c r="T141" s="169">
        <v>1800</v>
      </c>
      <c r="U141" s="169">
        <v>7000</v>
      </c>
      <c r="V141" s="169">
        <v>5000</v>
      </c>
      <c r="W141" s="169">
        <v>0</v>
      </c>
      <c r="X141" s="169">
        <v>1800</v>
      </c>
      <c r="Y141" s="169">
        <v>1000</v>
      </c>
      <c r="Z141" s="169">
        <v>5000</v>
      </c>
      <c r="AA141" s="169">
        <v>1800</v>
      </c>
      <c r="AB141" s="169">
        <v>1569</v>
      </c>
      <c r="AC141" s="169">
        <v>1000</v>
      </c>
      <c r="AD141" s="169">
        <v>1800</v>
      </c>
      <c r="AE141" s="169">
        <v>3000</v>
      </c>
      <c r="AF141" s="169">
        <f>SUM(C141:AE141)</f>
        <v>78530.350000000006</v>
      </c>
      <c r="AG141" s="315">
        <f>SUM(C141:AF141)</f>
        <v>157060.70000000001</v>
      </c>
    </row>
    <row r="142" spans="1:33" ht="23.25">
      <c r="N142" s="169"/>
    </row>
    <row r="143" spans="1:33" ht="23.25">
      <c r="N143" s="169"/>
      <c r="U143" t="s">
        <v>159</v>
      </c>
      <c r="AF143" s="133"/>
    </row>
    <row r="144" spans="1:33">
      <c r="N144" s="171"/>
      <c r="U144" s="168">
        <v>8000</v>
      </c>
      <c r="V144" t="s">
        <v>522</v>
      </c>
    </row>
    <row r="145" spans="21:22">
      <c r="U145" s="168">
        <v>2000</v>
      </c>
      <c r="V145" t="s">
        <v>523</v>
      </c>
    </row>
    <row r="146" spans="21:22">
      <c r="U146" s="168">
        <v>8000</v>
      </c>
      <c r="V146" t="s">
        <v>524</v>
      </c>
    </row>
    <row r="147" spans="21:22">
      <c r="U147" s="168">
        <v>2000</v>
      </c>
      <c r="V147" t="s">
        <v>525</v>
      </c>
    </row>
    <row r="148" spans="21:22">
      <c r="U148" s="168">
        <v>3000</v>
      </c>
      <c r="V148" t="s">
        <v>526</v>
      </c>
    </row>
    <row r="149" spans="21:22">
      <c r="U149" s="168"/>
    </row>
    <row r="150" spans="21:22">
      <c r="U150" s="168"/>
    </row>
    <row r="151" spans="21:22">
      <c r="U151" s="168"/>
    </row>
    <row r="152" spans="21:22">
      <c r="U152" s="168"/>
    </row>
    <row r="153" spans="21:22">
      <c r="U153" s="168"/>
    </row>
    <row r="154" spans="21:22">
      <c r="U154" s="168"/>
    </row>
    <row r="155" spans="21:22">
      <c r="U155" s="168"/>
    </row>
  </sheetData>
  <mergeCells count="8">
    <mergeCell ref="A6:B6"/>
    <mergeCell ref="C6:F6"/>
    <mergeCell ref="AF6:AF7"/>
    <mergeCell ref="A1:AF1"/>
    <mergeCell ref="A2:AF2"/>
    <mergeCell ref="A3:AF3"/>
    <mergeCell ref="A4:AF4"/>
    <mergeCell ref="A5:AF5"/>
  </mergeCells>
  <pageMargins left="0.23622047244094491" right="0.23622047244094491" top="0.74803149606299213" bottom="0.74803149606299213" header="0.31496062992125984" footer="0.31496062992125984"/>
  <pageSetup paperSize="3" scale="45" orientation="landscape" horizontalDpi="120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AD61"/>
  <sheetViews>
    <sheetView workbookViewId="0">
      <pane xSplit="2" ySplit="8" topLeftCell="O9" activePane="bottomRight" state="frozen"/>
      <selection pane="topRight" activeCell="C1" sqref="C1"/>
      <selection pane="bottomLeft" activeCell="A6" sqref="A6"/>
      <selection pane="bottomRight" activeCell="AH24" sqref="AH24"/>
    </sheetView>
  </sheetViews>
  <sheetFormatPr baseColWidth="10" defaultRowHeight="15"/>
  <cols>
    <col min="1" max="1" width="9.42578125" customWidth="1"/>
    <col min="2" max="2" width="37.140625" customWidth="1"/>
    <col min="3" max="3" width="12.28515625" customWidth="1"/>
    <col min="4" max="4" width="11.28515625" customWidth="1"/>
    <col min="5" max="5" width="10.7109375" customWidth="1"/>
    <col min="6" max="6" width="10.5703125" customWidth="1"/>
    <col min="7" max="7" width="10.28515625" customWidth="1"/>
    <col min="8" max="8" width="10.5703125" customWidth="1"/>
    <col min="9" max="9" width="10.7109375" customWidth="1"/>
    <col min="10" max="10" width="10.42578125" customWidth="1"/>
    <col min="11" max="11" width="9.7109375" customWidth="1"/>
    <col min="12" max="12" width="11" customWidth="1"/>
    <col min="13" max="13" width="10.5703125" customWidth="1"/>
    <col min="14" max="14" width="11" customWidth="1"/>
    <col min="15" max="15" width="10" customWidth="1"/>
    <col min="16" max="16" width="10.28515625" customWidth="1"/>
    <col min="17" max="17" width="4.5703125" customWidth="1"/>
    <col min="18" max="18" width="10.140625" customWidth="1"/>
    <col min="19" max="19" width="10.42578125" customWidth="1"/>
    <col min="20" max="20" width="12" customWidth="1"/>
    <col min="21" max="22" width="10.7109375" customWidth="1"/>
    <col min="23" max="23" width="9.85546875" customWidth="1"/>
    <col min="24" max="24" width="10.42578125" customWidth="1"/>
    <col min="25" max="25" width="9.85546875" customWidth="1"/>
    <col min="26" max="26" width="10.7109375" customWidth="1"/>
    <col min="27" max="27" width="10.5703125" customWidth="1"/>
    <col min="28" max="28" width="15" customWidth="1"/>
    <col min="30" max="30" width="12.140625" customWidth="1"/>
  </cols>
  <sheetData>
    <row r="3" spans="1:30" ht="28.5">
      <c r="A3" s="714" t="s">
        <v>791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4"/>
      <c r="R3" s="714"/>
      <c r="S3" s="714"/>
      <c r="T3" s="714"/>
      <c r="U3" s="714"/>
      <c r="V3" s="714"/>
      <c r="W3" s="714"/>
      <c r="X3" s="714"/>
      <c r="Y3" s="714"/>
      <c r="Z3" s="714"/>
      <c r="AA3" s="714"/>
      <c r="AB3" s="714"/>
    </row>
    <row r="4" spans="1:30" ht="24" thickBot="1">
      <c r="C4" t="s">
        <v>781</v>
      </c>
      <c r="D4" t="s">
        <v>766</v>
      </c>
      <c r="E4" t="s">
        <v>767</v>
      </c>
      <c r="F4" t="s">
        <v>768</v>
      </c>
      <c r="G4" t="s">
        <v>769</v>
      </c>
      <c r="H4" t="s">
        <v>770</v>
      </c>
      <c r="I4" t="s">
        <v>782</v>
      </c>
      <c r="J4" t="s">
        <v>771</v>
      </c>
      <c r="K4" t="s">
        <v>772</v>
      </c>
      <c r="L4" t="s">
        <v>784</v>
      </c>
      <c r="M4" t="s">
        <v>783</v>
      </c>
      <c r="N4" t="s">
        <v>773</v>
      </c>
      <c r="O4" t="s">
        <v>774</v>
      </c>
      <c r="P4" t="s">
        <v>775</v>
      </c>
      <c r="Q4" t="s">
        <v>776</v>
      </c>
      <c r="R4" t="s">
        <v>777</v>
      </c>
      <c r="S4" t="s">
        <v>778</v>
      </c>
      <c r="T4" t="s">
        <v>779</v>
      </c>
      <c r="U4" t="s">
        <v>524</v>
      </c>
      <c r="V4" t="s">
        <v>786</v>
      </c>
      <c r="W4" t="s">
        <v>787</v>
      </c>
      <c r="X4" t="s">
        <v>523</v>
      </c>
      <c r="Y4" t="s">
        <v>522</v>
      </c>
      <c r="Z4" t="s">
        <v>649</v>
      </c>
      <c r="AA4" t="s">
        <v>780</v>
      </c>
      <c r="AB4" s="170" t="s">
        <v>790</v>
      </c>
    </row>
    <row r="5" spans="1:30" ht="15.75">
      <c r="A5" s="62" t="s">
        <v>10</v>
      </c>
      <c r="B5" s="318" t="s">
        <v>369</v>
      </c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>
        <f t="shared" ref="AB5:AB52" si="0">SUM(C5:AA5)</f>
        <v>0</v>
      </c>
    </row>
    <row r="6" spans="1:30" ht="15.75">
      <c r="A6" s="66">
        <v>51103</v>
      </c>
      <c r="B6" s="319" t="s">
        <v>370</v>
      </c>
      <c r="C6" s="405"/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>
        <f t="shared" si="0"/>
        <v>0</v>
      </c>
      <c r="AD6" s="99">
        <f>SUM(AB7:AB13)</f>
        <v>17409.95</v>
      </c>
    </row>
    <row r="7" spans="1:30" ht="15.75">
      <c r="A7" s="66">
        <v>51107</v>
      </c>
      <c r="B7" s="319" t="s">
        <v>785</v>
      </c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5">
        <v>49.95</v>
      </c>
      <c r="U7" s="405"/>
      <c r="V7" s="405"/>
      <c r="W7" s="405"/>
      <c r="X7" s="405"/>
      <c r="Y7" s="405"/>
      <c r="Z7" s="405"/>
      <c r="AA7" s="405"/>
      <c r="AB7" s="405">
        <f t="shared" si="0"/>
        <v>49.95</v>
      </c>
    </row>
    <row r="8" spans="1:30" ht="15.75">
      <c r="A8" s="66">
        <v>51201</v>
      </c>
      <c r="B8" s="319" t="s">
        <v>446</v>
      </c>
      <c r="C8" s="405"/>
      <c r="D8" s="405"/>
      <c r="E8" s="405"/>
      <c r="F8" s="405"/>
      <c r="G8" s="405">
        <v>1210</v>
      </c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5"/>
      <c r="S8" s="405"/>
      <c r="T8" s="405">
        <v>10000</v>
      </c>
      <c r="U8" s="405"/>
      <c r="V8" s="405"/>
      <c r="W8" s="405"/>
      <c r="X8" s="405"/>
      <c r="Y8" s="405"/>
      <c r="Z8" s="405"/>
      <c r="AA8" s="405"/>
      <c r="AB8" s="405">
        <f t="shared" si="0"/>
        <v>11210</v>
      </c>
    </row>
    <row r="9" spans="1:30" ht="15.75">
      <c r="A9" s="66">
        <v>51301</v>
      </c>
      <c r="B9" s="319" t="s">
        <v>371</v>
      </c>
      <c r="C9" s="405"/>
      <c r="D9" s="405"/>
      <c r="E9" s="405">
        <v>500</v>
      </c>
      <c r="F9" s="405">
        <v>500</v>
      </c>
      <c r="G9" s="405">
        <v>300</v>
      </c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>
        <v>300</v>
      </c>
      <c r="S9" s="405"/>
      <c r="T9" s="405">
        <v>1000</v>
      </c>
      <c r="U9" s="405"/>
      <c r="V9" s="405"/>
      <c r="W9" s="405"/>
      <c r="X9" s="405"/>
      <c r="Y9" s="405"/>
      <c r="Z9" s="405"/>
      <c r="AA9" s="405"/>
      <c r="AB9" s="405">
        <f t="shared" si="0"/>
        <v>2600</v>
      </c>
    </row>
    <row r="10" spans="1:30" ht="15.75">
      <c r="A10" s="126">
        <v>51401</v>
      </c>
      <c r="B10" s="320" t="s">
        <v>29</v>
      </c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5"/>
      <c r="AA10" s="405"/>
      <c r="AB10" s="405">
        <f t="shared" si="0"/>
        <v>0</v>
      </c>
    </row>
    <row r="11" spans="1:30" ht="15.75">
      <c r="A11" s="126">
        <v>51501</v>
      </c>
      <c r="B11" s="320" t="s">
        <v>32</v>
      </c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>
        <f t="shared" si="0"/>
        <v>0</v>
      </c>
    </row>
    <row r="12" spans="1:30" ht="15.75">
      <c r="A12" s="311">
        <v>51701</v>
      </c>
      <c r="B12" s="312" t="s">
        <v>743</v>
      </c>
      <c r="C12" s="405">
        <v>3500</v>
      </c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5"/>
      <c r="O12" s="405"/>
      <c r="P12" s="405"/>
      <c r="Q12" s="405"/>
      <c r="R12" s="405"/>
      <c r="S12" s="405"/>
      <c r="T12" s="405"/>
      <c r="U12" s="405"/>
      <c r="V12" s="405"/>
      <c r="W12" s="405"/>
      <c r="X12" s="405"/>
      <c r="Y12" s="405"/>
      <c r="Z12" s="405"/>
      <c r="AA12" s="405"/>
      <c r="AB12" s="405">
        <f t="shared" si="0"/>
        <v>3500</v>
      </c>
    </row>
    <row r="13" spans="1:30" ht="15.75">
      <c r="A13" s="311">
        <v>51901</v>
      </c>
      <c r="B13" s="312" t="s">
        <v>788</v>
      </c>
      <c r="C13" s="405"/>
      <c r="D13" s="405"/>
      <c r="E13" s="405"/>
      <c r="F13" s="405"/>
      <c r="G13" s="405"/>
      <c r="H13" s="405"/>
      <c r="I13" s="405"/>
      <c r="J13" s="405"/>
      <c r="K13" s="405"/>
      <c r="L13" s="405"/>
      <c r="M13" s="405"/>
      <c r="N13" s="405"/>
      <c r="O13" s="405"/>
      <c r="P13" s="405"/>
      <c r="Q13" s="405"/>
      <c r="R13" s="405"/>
      <c r="S13" s="405"/>
      <c r="T13" s="405"/>
      <c r="U13" s="405"/>
      <c r="V13" s="405"/>
      <c r="W13" s="405"/>
      <c r="X13" s="405"/>
      <c r="Y13" s="405"/>
      <c r="Z13" s="405">
        <v>50</v>
      </c>
      <c r="AA13" s="405"/>
      <c r="AB13" s="405">
        <f t="shared" si="0"/>
        <v>50</v>
      </c>
    </row>
    <row r="14" spans="1:30" ht="15.75">
      <c r="A14" s="66">
        <v>54101</v>
      </c>
      <c r="B14" s="319" t="s">
        <v>372</v>
      </c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5"/>
      <c r="R14" s="405"/>
      <c r="S14" s="405"/>
      <c r="T14" s="405"/>
      <c r="U14" s="405"/>
      <c r="V14" s="405"/>
      <c r="W14" s="405"/>
      <c r="X14" s="405"/>
      <c r="Y14" s="405"/>
      <c r="Z14" s="405">
        <v>1237.5</v>
      </c>
      <c r="AA14" s="405"/>
      <c r="AB14" s="405">
        <f t="shared" si="0"/>
        <v>1237.5</v>
      </c>
    </row>
    <row r="15" spans="1:30" ht="15.75">
      <c r="A15" s="66">
        <v>54104</v>
      </c>
      <c r="B15" s="319" t="s">
        <v>589</v>
      </c>
      <c r="C15" s="405">
        <v>5000</v>
      </c>
      <c r="D15" s="405"/>
      <c r="E15" s="405"/>
      <c r="F15" s="405"/>
      <c r="G15" s="405"/>
      <c r="H15" s="405"/>
      <c r="I15" s="405"/>
      <c r="J15" s="405"/>
      <c r="K15" s="405"/>
      <c r="L15" s="405"/>
      <c r="M15" s="405"/>
      <c r="N15" s="405"/>
      <c r="O15" s="405"/>
      <c r="P15" s="405"/>
      <c r="Q15" s="405"/>
      <c r="R15" s="405"/>
      <c r="S15" s="405"/>
      <c r="T15" s="405"/>
      <c r="U15" s="405"/>
      <c r="V15" s="405"/>
      <c r="W15" s="405"/>
      <c r="X15" s="405"/>
      <c r="Y15" s="405"/>
      <c r="Z15" s="405"/>
      <c r="AA15" s="405"/>
      <c r="AB15" s="405">
        <f t="shared" si="0"/>
        <v>5000</v>
      </c>
    </row>
    <row r="16" spans="1:30" ht="15.75">
      <c r="A16" s="66">
        <v>54105</v>
      </c>
      <c r="B16" s="319" t="s">
        <v>373</v>
      </c>
      <c r="C16" s="405">
        <v>75</v>
      </c>
      <c r="D16" s="405">
        <v>1700</v>
      </c>
      <c r="E16" s="405">
        <v>256.2</v>
      </c>
      <c r="F16" s="405">
        <v>1000</v>
      </c>
      <c r="G16" s="405">
        <v>96.25</v>
      </c>
      <c r="H16" s="405">
        <v>159.1</v>
      </c>
      <c r="I16" s="405">
        <v>75</v>
      </c>
      <c r="J16" s="405">
        <v>150</v>
      </c>
      <c r="K16" s="405">
        <v>224.1</v>
      </c>
      <c r="L16" s="405">
        <v>1262.0999999999999</v>
      </c>
      <c r="M16" s="405">
        <v>460.3</v>
      </c>
      <c r="N16" s="405">
        <v>566.1</v>
      </c>
      <c r="O16" s="405">
        <v>94.95</v>
      </c>
      <c r="P16" s="405"/>
      <c r="Q16" s="405"/>
      <c r="R16" s="405">
        <v>613.5</v>
      </c>
      <c r="S16" s="405">
        <v>52</v>
      </c>
      <c r="T16" s="405">
        <v>24</v>
      </c>
      <c r="U16" s="405">
        <v>12</v>
      </c>
      <c r="V16" s="405"/>
      <c r="W16" s="405"/>
      <c r="X16" s="405">
        <v>15</v>
      </c>
      <c r="Y16" s="405">
        <v>76.3</v>
      </c>
      <c r="Z16" s="405"/>
      <c r="AA16" s="405"/>
      <c r="AB16" s="405">
        <f t="shared" si="0"/>
        <v>6911.9000000000005</v>
      </c>
    </row>
    <row r="17" spans="1:28" ht="15.75">
      <c r="A17" s="66">
        <v>54106</v>
      </c>
      <c r="B17" s="319" t="s">
        <v>430</v>
      </c>
      <c r="C17" s="405"/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5">
        <v>350</v>
      </c>
      <c r="P17" s="405"/>
      <c r="Q17" s="405"/>
      <c r="R17" s="405"/>
      <c r="S17" s="405"/>
      <c r="T17" s="405">
        <v>1872</v>
      </c>
      <c r="U17" s="405"/>
      <c r="V17" s="405"/>
      <c r="W17" s="405">
        <v>30</v>
      </c>
      <c r="X17" s="405"/>
      <c r="Y17" s="405"/>
      <c r="Z17" s="405"/>
      <c r="AA17" s="405"/>
      <c r="AB17" s="405">
        <f t="shared" si="0"/>
        <v>2252</v>
      </c>
    </row>
    <row r="18" spans="1:28" ht="15.75">
      <c r="A18" s="66">
        <v>54104</v>
      </c>
      <c r="B18" s="319" t="s">
        <v>589</v>
      </c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  <c r="X18" s="405"/>
      <c r="Y18" s="405"/>
      <c r="Z18" s="405">
        <v>100</v>
      </c>
      <c r="AA18" s="405"/>
      <c r="AB18" s="405">
        <f t="shared" si="0"/>
        <v>100</v>
      </c>
    </row>
    <row r="19" spans="1:28" ht="15.75">
      <c r="A19" s="66">
        <v>54107</v>
      </c>
      <c r="B19" s="319" t="s">
        <v>431</v>
      </c>
      <c r="C19" s="405"/>
      <c r="D19" s="405"/>
      <c r="E19" s="405"/>
      <c r="F19" s="405"/>
      <c r="G19" s="405"/>
      <c r="H19" s="405"/>
      <c r="I19" s="405"/>
      <c r="J19" s="405">
        <v>380.5</v>
      </c>
      <c r="K19" s="405">
        <v>14</v>
      </c>
      <c r="L19" s="405">
        <v>7.5</v>
      </c>
      <c r="M19" s="405"/>
      <c r="N19" s="405">
        <v>169.99</v>
      </c>
      <c r="O19" s="405">
        <v>500</v>
      </c>
      <c r="P19" s="405"/>
      <c r="Q19" s="405"/>
      <c r="R19" s="405"/>
      <c r="S19" s="405"/>
      <c r="T19" s="405">
        <v>4531.1000000000004</v>
      </c>
      <c r="U19" s="405">
        <v>781</v>
      </c>
      <c r="V19" s="405">
        <v>716</v>
      </c>
      <c r="W19" s="405">
        <v>1020.4</v>
      </c>
      <c r="X19" s="405">
        <v>706.65</v>
      </c>
      <c r="Y19" s="405">
        <v>1500</v>
      </c>
      <c r="Z19" s="405"/>
      <c r="AA19" s="405">
        <v>130</v>
      </c>
      <c r="AB19" s="405">
        <f t="shared" si="0"/>
        <v>10457.14</v>
      </c>
    </row>
    <row r="20" spans="1:28" ht="15.75">
      <c r="A20" s="66">
        <v>54109</v>
      </c>
      <c r="B20" s="319" t="s">
        <v>432</v>
      </c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  <c r="Q20" s="405"/>
      <c r="R20" s="405"/>
      <c r="S20" s="405"/>
      <c r="T20" s="405">
        <v>1475</v>
      </c>
      <c r="U20" s="405"/>
      <c r="V20" s="405"/>
      <c r="W20" s="405"/>
      <c r="X20" s="405"/>
      <c r="Y20" s="405"/>
      <c r="Z20" s="405"/>
      <c r="AA20" s="405"/>
      <c r="AB20" s="405">
        <f t="shared" si="0"/>
        <v>1475</v>
      </c>
    </row>
    <row r="21" spans="1:28" ht="15.75">
      <c r="A21" s="66">
        <v>54110</v>
      </c>
      <c r="B21" s="319" t="s">
        <v>374</v>
      </c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405"/>
      <c r="N21" s="405"/>
      <c r="O21" s="405"/>
      <c r="P21" s="405"/>
      <c r="Q21" s="405"/>
      <c r="R21" s="405"/>
      <c r="S21" s="405"/>
      <c r="T21" s="405">
        <v>3500</v>
      </c>
      <c r="U21" s="405"/>
      <c r="V21" s="405"/>
      <c r="W21" s="405">
        <v>140.5</v>
      </c>
      <c r="X21" s="405"/>
      <c r="Y21" s="405"/>
      <c r="Z21" s="405"/>
      <c r="AA21" s="405"/>
      <c r="AB21" s="405">
        <f t="shared" si="0"/>
        <v>3640.5</v>
      </c>
    </row>
    <row r="22" spans="1:28" ht="15.75">
      <c r="A22" s="66">
        <v>54111</v>
      </c>
      <c r="B22" s="319" t="s">
        <v>389</v>
      </c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Q22" s="405"/>
      <c r="R22" s="405"/>
      <c r="S22" s="405"/>
      <c r="T22" s="405"/>
      <c r="U22" s="405">
        <v>89</v>
      </c>
      <c r="V22" s="405"/>
      <c r="W22" s="405"/>
      <c r="X22" s="405"/>
      <c r="Y22" s="405"/>
      <c r="Z22" s="405"/>
      <c r="AA22" s="405"/>
      <c r="AB22" s="405">
        <f t="shared" si="0"/>
        <v>89</v>
      </c>
    </row>
    <row r="23" spans="1:28" ht="15.75">
      <c r="A23" s="66">
        <v>54112</v>
      </c>
      <c r="B23" s="319" t="s">
        <v>390</v>
      </c>
      <c r="C23" s="405"/>
      <c r="D23" s="405"/>
      <c r="E23" s="405"/>
      <c r="F23" s="405"/>
      <c r="G23" s="405"/>
      <c r="H23" s="405"/>
      <c r="I23" s="405"/>
      <c r="J23" s="405"/>
      <c r="K23" s="405"/>
      <c r="L23" s="405"/>
      <c r="M23" s="405"/>
      <c r="N23" s="405"/>
      <c r="O23" s="405"/>
      <c r="P23" s="405"/>
      <c r="Q23" s="405"/>
      <c r="R23" s="405"/>
      <c r="S23" s="405"/>
      <c r="T23" s="405"/>
      <c r="U23" s="405">
        <v>40</v>
      </c>
      <c r="V23" s="405"/>
      <c r="W23" s="405"/>
      <c r="X23" s="405">
        <v>300</v>
      </c>
      <c r="Y23" s="405"/>
      <c r="Z23" s="405"/>
      <c r="AA23" s="405"/>
      <c r="AB23" s="405">
        <f t="shared" si="0"/>
        <v>340</v>
      </c>
    </row>
    <row r="24" spans="1:28" ht="15.75">
      <c r="A24" s="66">
        <v>54114</v>
      </c>
      <c r="B24" s="319" t="s">
        <v>375</v>
      </c>
      <c r="C24" s="405"/>
      <c r="D24" s="405">
        <v>100</v>
      </c>
      <c r="E24" s="405">
        <v>1100</v>
      </c>
      <c r="F24" s="405">
        <v>400</v>
      </c>
      <c r="G24" s="405">
        <v>382.5</v>
      </c>
      <c r="H24" s="405">
        <v>319.60000000000002</v>
      </c>
      <c r="I24" s="405">
        <v>75</v>
      </c>
      <c r="J24" s="405">
        <v>322.3</v>
      </c>
      <c r="K24" s="405">
        <v>65</v>
      </c>
      <c r="L24" s="405">
        <v>228.45</v>
      </c>
      <c r="M24" s="405">
        <v>188.78</v>
      </c>
      <c r="N24" s="405">
        <v>390.62</v>
      </c>
      <c r="O24" s="405">
        <v>302.85000000000002</v>
      </c>
      <c r="P24" s="405"/>
      <c r="Q24" s="405"/>
      <c r="R24" s="405">
        <v>395</v>
      </c>
      <c r="S24" s="405">
        <v>371.5</v>
      </c>
      <c r="T24" s="405">
        <v>203.5</v>
      </c>
      <c r="U24" s="405">
        <v>38</v>
      </c>
      <c r="V24" s="405"/>
      <c r="W24" s="405"/>
      <c r="X24" s="405">
        <v>20.5</v>
      </c>
      <c r="Y24" s="405">
        <v>37.1</v>
      </c>
      <c r="Z24" s="405"/>
      <c r="AA24" s="405"/>
      <c r="AB24" s="405">
        <f t="shared" si="0"/>
        <v>4940.7000000000007</v>
      </c>
    </row>
    <row r="25" spans="1:28" ht="15.75">
      <c r="A25" s="66">
        <v>54115</v>
      </c>
      <c r="B25" s="319" t="s">
        <v>433</v>
      </c>
      <c r="C25" s="405">
        <v>500</v>
      </c>
      <c r="D25" s="405">
        <v>200</v>
      </c>
      <c r="E25" s="405">
        <v>1300</v>
      </c>
      <c r="F25" s="405">
        <v>750</v>
      </c>
      <c r="G25" s="405">
        <v>276</v>
      </c>
      <c r="H25" s="405">
        <v>1361.5</v>
      </c>
      <c r="I25" s="405">
        <v>50</v>
      </c>
      <c r="J25" s="405">
        <v>216</v>
      </c>
      <c r="K25" s="405">
        <v>396.1</v>
      </c>
      <c r="L25" s="405">
        <v>420</v>
      </c>
      <c r="M25" s="405">
        <v>1700</v>
      </c>
      <c r="N25" s="405">
        <v>1498.24</v>
      </c>
      <c r="O25" s="405">
        <v>500</v>
      </c>
      <c r="P25" s="405">
        <v>80</v>
      </c>
      <c r="Q25" s="405"/>
      <c r="R25" s="405">
        <v>1800</v>
      </c>
      <c r="S25" s="405">
        <v>300</v>
      </c>
      <c r="T25" s="405"/>
      <c r="U25" s="405"/>
      <c r="V25" s="405"/>
      <c r="W25" s="405"/>
      <c r="X25" s="405"/>
      <c r="Y25" s="405">
        <v>187</v>
      </c>
      <c r="Z25" s="405"/>
      <c r="AA25" s="405">
        <v>252.5</v>
      </c>
      <c r="AB25" s="405">
        <f t="shared" si="0"/>
        <v>11787.34</v>
      </c>
    </row>
    <row r="26" spans="1:28" ht="15.75">
      <c r="A26" s="66">
        <v>54116</v>
      </c>
      <c r="B26" s="319" t="s">
        <v>745</v>
      </c>
      <c r="C26" s="405">
        <v>1000</v>
      </c>
      <c r="D26" s="405"/>
      <c r="E26" s="405"/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5"/>
      <c r="AA26" s="405"/>
      <c r="AB26" s="405">
        <f t="shared" si="0"/>
        <v>1000</v>
      </c>
    </row>
    <row r="27" spans="1:28" ht="15.75">
      <c r="A27" s="66">
        <v>54118</v>
      </c>
      <c r="B27" s="319" t="s">
        <v>376</v>
      </c>
      <c r="C27" s="405"/>
      <c r="D27" s="405"/>
      <c r="E27" s="405"/>
      <c r="F27" s="405"/>
      <c r="G27" s="405"/>
      <c r="H27" s="405">
        <v>34</v>
      </c>
      <c r="I27" s="405"/>
      <c r="J27" s="405"/>
      <c r="K27" s="405"/>
      <c r="L27" s="405"/>
      <c r="M27" s="405"/>
      <c r="N27" s="405"/>
      <c r="O27" s="405"/>
      <c r="P27" s="405"/>
      <c r="Q27" s="405"/>
      <c r="R27" s="405"/>
      <c r="S27" s="405"/>
      <c r="T27" s="405">
        <v>2918.2</v>
      </c>
      <c r="U27" s="405">
        <v>118.75</v>
      </c>
      <c r="V27" s="405">
        <v>1235</v>
      </c>
      <c r="W27" s="405">
        <v>303.35000000000002</v>
      </c>
      <c r="X27" s="405">
        <v>251</v>
      </c>
      <c r="Y27" s="405">
        <v>379.5</v>
      </c>
      <c r="Z27" s="405"/>
      <c r="AA27" s="405"/>
      <c r="AB27" s="405">
        <f t="shared" si="0"/>
        <v>5239.8</v>
      </c>
    </row>
    <row r="28" spans="1:28" ht="15.75">
      <c r="A28" s="66">
        <v>54119</v>
      </c>
      <c r="B28" s="319" t="s">
        <v>434</v>
      </c>
      <c r="C28" s="405"/>
      <c r="D28" s="405"/>
      <c r="E28" s="405"/>
      <c r="F28" s="405"/>
      <c r="G28" s="405"/>
      <c r="H28" s="405"/>
      <c r="I28" s="405"/>
      <c r="J28" s="405"/>
      <c r="K28" s="405"/>
      <c r="L28" s="405"/>
      <c r="M28" s="405"/>
      <c r="N28" s="405"/>
      <c r="O28" s="405"/>
      <c r="P28" s="405">
        <v>315</v>
      </c>
      <c r="Q28" s="405"/>
      <c r="R28" s="405"/>
      <c r="S28" s="405"/>
      <c r="T28" s="405"/>
      <c r="U28" s="405"/>
      <c r="V28" s="405"/>
      <c r="W28" s="405">
        <v>36</v>
      </c>
      <c r="X28" s="405"/>
      <c r="Y28" s="405"/>
      <c r="Z28" s="405"/>
      <c r="AA28" s="405"/>
      <c r="AB28" s="405">
        <f t="shared" si="0"/>
        <v>351</v>
      </c>
    </row>
    <row r="29" spans="1:28" ht="15.75">
      <c r="A29" s="66">
        <v>54199</v>
      </c>
      <c r="B29" s="319" t="s">
        <v>435</v>
      </c>
      <c r="C29" s="405">
        <v>1000</v>
      </c>
      <c r="D29" s="405"/>
      <c r="E29" s="405"/>
      <c r="F29" s="405"/>
      <c r="G29" s="405"/>
      <c r="H29" s="405"/>
      <c r="I29" s="405"/>
      <c r="J29" s="405">
        <v>100</v>
      </c>
      <c r="K29" s="405"/>
      <c r="L29" s="405">
        <v>478.5</v>
      </c>
      <c r="M29" s="405"/>
      <c r="N29" s="405">
        <v>27</v>
      </c>
      <c r="O29" s="405">
        <v>97</v>
      </c>
      <c r="P29" s="405"/>
      <c r="Q29" s="405"/>
      <c r="R29" s="405"/>
      <c r="S29" s="405"/>
      <c r="T29" s="405">
        <v>3000</v>
      </c>
      <c r="U29" s="405">
        <v>194</v>
      </c>
      <c r="V29" s="405">
        <v>307.5</v>
      </c>
      <c r="W29" s="405">
        <v>9.75</v>
      </c>
      <c r="X29" s="405">
        <v>119.7</v>
      </c>
      <c r="Y29" s="405">
        <v>3000</v>
      </c>
      <c r="Z29" s="405"/>
      <c r="AA29" s="405"/>
      <c r="AB29" s="405">
        <f t="shared" si="0"/>
        <v>8333.4500000000007</v>
      </c>
    </row>
    <row r="30" spans="1:28" ht="15.75">
      <c r="A30" s="66">
        <v>54201</v>
      </c>
      <c r="B30" s="319" t="s">
        <v>377</v>
      </c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5"/>
      <c r="Q30" s="405"/>
      <c r="R30" s="405"/>
      <c r="S30" s="405"/>
      <c r="T30" s="405"/>
      <c r="U30" s="405"/>
      <c r="V30" s="405"/>
      <c r="W30" s="405"/>
      <c r="X30" s="405"/>
      <c r="Y30" s="405"/>
      <c r="Z30" s="405"/>
      <c r="AA30" s="405"/>
      <c r="AB30" s="405">
        <f t="shared" si="0"/>
        <v>0</v>
      </c>
    </row>
    <row r="31" spans="1:28" ht="15.75">
      <c r="A31" s="66">
        <v>54202</v>
      </c>
      <c r="B31" s="319" t="s">
        <v>378</v>
      </c>
      <c r="C31" s="405">
        <v>792</v>
      </c>
      <c r="D31" s="405"/>
      <c r="E31" s="405"/>
      <c r="F31" s="405"/>
      <c r="G31" s="405"/>
      <c r="H31" s="405"/>
      <c r="I31" s="405"/>
      <c r="J31" s="405"/>
      <c r="K31" s="405"/>
      <c r="L31" s="405"/>
      <c r="M31" s="405"/>
      <c r="N31" s="405"/>
      <c r="O31" s="405">
        <v>400</v>
      </c>
      <c r="P31" s="405"/>
      <c r="Q31" s="405"/>
      <c r="R31" s="405"/>
      <c r="S31" s="405"/>
      <c r="T31" s="405"/>
      <c r="U31" s="405"/>
      <c r="V31" s="405"/>
      <c r="W31" s="405"/>
      <c r="X31" s="405"/>
      <c r="Y31" s="405"/>
      <c r="Z31" s="405"/>
      <c r="AA31" s="405"/>
      <c r="AB31" s="405">
        <f t="shared" si="0"/>
        <v>1192</v>
      </c>
    </row>
    <row r="32" spans="1:28" ht="15.75">
      <c r="A32" s="66">
        <v>54203</v>
      </c>
      <c r="B32" s="319" t="s">
        <v>379</v>
      </c>
      <c r="C32" s="405">
        <v>0</v>
      </c>
      <c r="D32" s="405"/>
      <c r="E32" s="405"/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5"/>
      <c r="AA32" s="405"/>
      <c r="AB32" s="405">
        <f t="shared" si="0"/>
        <v>0</v>
      </c>
    </row>
    <row r="33" spans="1:29" ht="15.75">
      <c r="A33" s="66">
        <v>54301</v>
      </c>
      <c r="B33" s="319" t="s">
        <v>391</v>
      </c>
      <c r="C33" s="405">
        <v>160</v>
      </c>
      <c r="D33" s="405"/>
      <c r="E33" s="405">
        <v>300</v>
      </c>
      <c r="F33" s="405">
        <v>300</v>
      </c>
      <c r="G33" s="405">
        <v>160</v>
      </c>
      <c r="H33" s="405">
        <v>160</v>
      </c>
      <c r="I33" s="405"/>
      <c r="J33" s="405">
        <v>160</v>
      </c>
      <c r="K33" s="405"/>
      <c r="L33" s="405"/>
      <c r="M33" s="405"/>
      <c r="N33" s="405">
        <v>500</v>
      </c>
      <c r="O33" s="405"/>
      <c r="P33" s="405"/>
      <c r="Q33" s="405"/>
      <c r="R33" s="405">
        <v>400</v>
      </c>
      <c r="S33" s="405">
        <v>160</v>
      </c>
      <c r="T33" s="405">
        <v>300</v>
      </c>
      <c r="U33" s="405"/>
      <c r="V33" s="405"/>
      <c r="W33" s="405"/>
      <c r="X33" s="405">
        <v>700</v>
      </c>
      <c r="Y33" s="405"/>
      <c r="Z33" s="405"/>
      <c r="AA33" s="405"/>
      <c r="AB33" s="405">
        <f t="shared" si="0"/>
        <v>3300</v>
      </c>
    </row>
    <row r="34" spans="1:29" ht="15.75">
      <c r="A34" s="66">
        <v>54302</v>
      </c>
      <c r="B34" s="319" t="s">
        <v>380</v>
      </c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>
        <v>1890</v>
      </c>
      <c r="U34" s="405"/>
      <c r="V34" s="405"/>
      <c r="W34" s="405"/>
      <c r="X34" s="405"/>
      <c r="Y34" s="405"/>
      <c r="Z34" s="405"/>
      <c r="AA34" s="405"/>
      <c r="AB34" s="405">
        <f t="shared" si="0"/>
        <v>1890</v>
      </c>
    </row>
    <row r="35" spans="1:29" ht="15.75">
      <c r="A35" s="66">
        <v>54303</v>
      </c>
      <c r="B35" s="319" t="s">
        <v>436</v>
      </c>
      <c r="C35" s="405"/>
      <c r="D35" s="405"/>
      <c r="E35" s="405"/>
      <c r="F35" s="405"/>
      <c r="G35" s="405"/>
      <c r="H35" s="405"/>
      <c r="I35" s="405"/>
      <c r="J35" s="405"/>
      <c r="K35" s="405"/>
      <c r="L35" s="405"/>
      <c r="M35" s="405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5"/>
      <c r="AA35" s="405"/>
      <c r="AB35" s="405">
        <f t="shared" si="0"/>
        <v>0</v>
      </c>
    </row>
    <row r="36" spans="1:29" ht="15.75">
      <c r="A36" s="66">
        <v>54304</v>
      </c>
      <c r="B36" s="319" t="s">
        <v>789</v>
      </c>
      <c r="C36" s="405"/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  <c r="R36" s="405"/>
      <c r="S36" s="405"/>
      <c r="T36" s="405"/>
      <c r="U36" s="405"/>
      <c r="V36" s="405"/>
      <c r="W36" s="405"/>
      <c r="X36" s="405"/>
      <c r="Y36" s="405"/>
      <c r="Z36" s="405">
        <v>250</v>
      </c>
      <c r="AA36" s="405"/>
      <c r="AB36" s="405">
        <f t="shared" si="0"/>
        <v>250</v>
      </c>
    </row>
    <row r="37" spans="1:29" ht="15.75">
      <c r="A37" s="66">
        <v>54307</v>
      </c>
      <c r="B37" s="319" t="s">
        <v>381</v>
      </c>
      <c r="C37" s="405"/>
      <c r="D37" s="405"/>
      <c r="E37" s="405"/>
      <c r="F37" s="405"/>
      <c r="G37" s="405"/>
      <c r="H37" s="405"/>
      <c r="I37" s="405"/>
      <c r="J37" s="405"/>
      <c r="K37" s="405"/>
      <c r="L37" s="405"/>
      <c r="M37" s="405"/>
      <c r="N37" s="405"/>
      <c r="O37" s="405"/>
      <c r="P37" s="405"/>
      <c r="Q37" s="405"/>
      <c r="R37" s="405"/>
      <c r="S37" s="405"/>
      <c r="T37" s="405"/>
      <c r="U37" s="405">
        <v>1000</v>
      </c>
      <c r="V37" s="405"/>
      <c r="W37" s="405"/>
      <c r="X37" s="405"/>
      <c r="Y37" s="405"/>
      <c r="Z37" s="405"/>
      <c r="AA37" s="405"/>
      <c r="AB37" s="405">
        <f t="shared" si="0"/>
        <v>1000</v>
      </c>
    </row>
    <row r="38" spans="1:29" ht="15.75">
      <c r="A38" s="66">
        <v>54310</v>
      </c>
      <c r="B38" s="319" t="s">
        <v>382</v>
      </c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5"/>
      <c r="O38" s="405"/>
      <c r="P38" s="405"/>
      <c r="Q38" s="405"/>
      <c r="R38" s="405"/>
      <c r="S38" s="405"/>
      <c r="T38" s="405"/>
      <c r="U38" s="405"/>
      <c r="V38" s="405"/>
      <c r="W38" s="405"/>
      <c r="X38" s="405"/>
      <c r="Y38" s="405"/>
      <c r="Z38" s="405"/>
      <c r="AA38" s="405"/>
      <c r="AB38" s="405">
        <f t="shared" si="0"/>
        <v>0</v>
      </c>
    </row>
    <row r="39" spans="1:29" ht="15.75">
      <c r="A39" s="66">
        <v>54313</v>
      </c>
      <c r="B39" s="319" t="s">
        <v>437</v>
      </c>
      <c r="C39" s="405"/>
      <c r="D39" s="405"/>
      <c r="E39" s="405">
        <v>302</v>
      </c>
      <c r="F39" s="405"/>
      <c r="G39" s="405"/>
      <c r="H39" s="405"/>
      <c r="I39" s="405"/>
      <c r="J39" s="405"/>
      <c r="K39" s="405"/>
      <c r="L39" s="405"/>
      <c r="M39" s="405"/>
      <c r="N39" s="405"/>
      <c r="O39" s="405"/>
      <c r="P39" s="405"/>
      <c r="Q39" s="405"/>
      <c r="R39" s="405">
        <v>800</v>
      </c>
      <c r="S39" s="405"/>
      <c r="T39" s="405"/>
      <c r="U39" s="405"/>
      <c r="V39" s="405"/>
      <c r="W39" s="405"/>
      <c r="X39" s="405"/>
      <c r="Y39" s="405"/>
      <c r="Z39" s="405">
        <v>65</v>
      </c>
      <c r="AA39" s="405"/>
      <c r="AB39" s="405">
        <f t="shared" si="0"/>
        <v>1167</v>
      </c>
    </row>
    <row r="40" spans="1:29" ht="15.75">
      <c r="A40" s="66">
        <v>54314</v>
      </c>
      <c r="B40" s="319" t="s">
        <v>438</v>
      </c>
      <c r="C40" s="405"/>
      <c r="D40" s="405"/>
      <c r="E40" s="405"/>
      <c r="F40" s="405"/>
      <c r="G40" s="405"/>
      <c r="H40" s="405"/>
      <c r="I40" s="405"/>
      <c r="J40" s="405">
        <v>832.5</v>
      </c>
      <c r="K40" s="405"/>
      <c r="L40" s="405"/>
      <c r="M40" s="405"/>
      <c r="N40" s="405"/>
      <c r="O40" s="405"/>
      <c r="P40" s="405"/>
      <c r="Q40" s="405"/>
      <c r="R40" s="405"/>
      <c r="S40" s="405"/>
      <c r="T40" s="405"/>
      <c r="U40" s="405"/>
      <c r="V40" s="405"/>
      <c r="W40" s="405"/>
      <c r="X40" s="405"/>
      <c r="Y40" s="405"/>
      <c r="Z40" s="405"/>
      <c r="AA40" s="405"/>
      <c r="AB40" s="405">
        <f t="shared" si="0"/>
        <v>832.5</v>
      </c>
    </row>
    <row r="41" spans="1:29" ht="15.75">
      <c r="A41" s="66">
        <v>54317</v>
      </c>
      <c r="B41" s="319" t="s">
        <v>590</v>
      </c>
      <c r="C41" s="405"/>
      <c r="D41" s="405"/>
      <c r="E41" s="405"/>
      <c r="F41" s="405"/>
      <c r="G41" s="405"/>
      <c r="H41" s="405"/>
      <c r="I41" s="405"/>
      <c r="J41" s="405"/>
      <c r="K41" s="405">
        <v>4800</v>
      </c>
      <c r="L41" s="405"/>
      <c r="M41" s="405"/>
      <c r="N41" s="405"/>
      <c r="O41" s="405"/>
      <c r="P41" s="405"/>
      <c r="Q41" s="405"/>
      <c r="R41" s="405"/>
      <c r="S41" s="405"/>
      <c r="T41" s="405"/>
      <c r="U41" s="405"/>
      <c r="V41" s="405"/>
      <c r="W41" s="405"/>
      <c r="X41" s="405"/>
      <c r="Y41" s="405"/>
      <c r="Z41" s="405"/>
      <c r="AA41" s="405"/>
      <c r="AB41" s="405">
        <f t="shared" si="0"/>
        <v>4800</v>
      </c>
    </row>
    <row r="42" spans="1:29" ht="15.75">
      <c r="A42" s="66">
        <v>54403</v>
      </c>
      <c r="B42" s="319" t="s">
        <v>439</v>
      </c>
      <c r="C42" s="405"/>
      <c r="D42" s="405"/>
      <c r="E42" s="405">
        <v>50</v>
      </c>
      <c r="F42" s="405">
        <v>150</v>
      </c>
      <c r="G42" s="405"/>
      <c r="H42" s="405"/>
      <c r="I42" s="405"/>
      <c r="J42" s="405"/>
      <c r="K42" s="405"/>
      <c r="L42" s="405"/>
      <c r="M42" s="405"/>
      <c r="N42" s="405"/>
      <c r="O42" s="405"/>
      <c r="P42" s="405"/>
      <c r="Q42" s="405"/>
      <c r="R42" s="405"/>
      <c r="S42" s="405">
        <v>100</v>
      </c>
      <c r="T42" s="405"/>
      <c r="U42" s="405"/>
      <c r="V42" s="405"/>
      <c r="W42" s="405"/>
      <c r="X42" s="405"/>
      <c r="Y42" s="405"/>
      <c r="Z42" s="405"/>
      <c r="AA42" s="405"/>
      <c r="AB42" s="405">
        <f t="shared" si="0"/>
        <v>300</v>
      </c>
      <c r="AC42" s="99">
        <f>SUM(AB14:AB42)</f>
        <v>77886.83</v>
      </c>
    </row>
    <row r="43" spans="1:29" ht="15.75">
      <c r="A43" s="66">
        <v>55599</v>
      </c>
      <c r="B43" s="319" t="s">
        <v>383</v>
      </c>
      <c r="C43" s="405"/>
      <c r="D43" s="405"/>
      <c r="E43" s="405"/>
      <c r="F43" s="405"/>
      <c r="G43" s="405"/>
      <c r="H43" s="405"/>
      <c r="I43" s="405"/>
      <c r="J43" s="405"/>
      <c r="K43" s="405"/>
      <c r="L43" s="405"/>
      <c r="M43" s="405"/>
      <c r="N43" s="405"/>
      <c r="O43" s="405"/>
      <c r="P43" s="405"/>
      <c r="Q43" s="405"/>
      <c r="R43" s="405"/>
      <c r="S43" s="405"/>
      <c r="T43" s="405"/>
      <c r="U43" s="405"/>
      <c r="V43" s="405"/>
      <c r="W43" s="405"/>
      <c r="X43" s="405"/>
      <c r="Y43" s="405"/>
      <c r="Z43" s="405"/>
      <c r="AA43" s="405"/>
      <c r="AB43" s="405">
        <f t="shared" si="0"/>
        <v>0</v>
      </c>
    </row>
    <row r="44" spans="1:29" ht="15.75">
      <c r="A44" s="66">
        <v>55601</v>
      </c>
      <c r="B44" s="319" t="s">
        <v>793</v>
      </c>
      <c r="C44" s="405">
        <v>500</v>
      </c>
      <c r="D44" s="405"/>
      <c r="E44" s="405"/>
      <c r="F44" s="405"/>
      <c r="G44" s="405"/>
      <c r="H44" s="405"/>
      <c r="I44" s="405"/>
      <c r="J44" s="405"/>
      <c r="K44" s="405"/>
      <c r="L44" s="405"/>
      <c r="M44" s="405"/>
      <c r="N44" s="405"/>
      <c r="O44" s="405"/>
      <c r="P44" s="405"/>
      <c r="Q44" s="405"/>
      <c r="R44" s="405"/>
      <c r="S44" s="405"/>
      <c r="T44" s="405"/>
      <c r="U44" s="405"/>
      <c r="V44" s="405"/>
      <c r="W44" s="405"/>
      <c r="X44" s="405"/>
      <c r="Y44" s="405"/>
      <c r="Z44" s="405"/>
      <c r="AA44" s="405"/>
      <c r="AB44" s="405">
        <f t="shared" si="0"/>
        <v>500</v>
      </c>
    </row>
    <row r="45" spans="1:29" ht="15.75">
      <c r="A45" s="66">
        <v>55602</v>
      </c>
      <c r="B45" s="319" t="s">
        <v>440</v>
      </c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5"/>
      <c r="O45" s="405"/>
      <c r="P45" s="405"/>
      <c r="Q45" s="405"/>
      <c r="R45" s="405"/>
      <c r="S45" s="405"/>
      <c r="T45" s="405">
        <v>1000</v>
      </c>
      <c r="U45" s="405"/>
      <c r="V45" s="405"/>
      <c r="W45" s="405"/>
      <c r="X45" s="405"/>
      <c r="Y45" s="405"/>
      <c r="Z45" s="405"/>
      <c r="AA45" s="405"/>
      <c r="AB45" s="405">
        <f t="shared" si="0"/>
        <v>1000</v>
      </c>
    </row>
    <row r="46" spans="1:29" ht="15.75">
      <c r="A46" s="66">
        <v>55603</v>
      </c>
      <c r="B46" s="319" t="s">
        <v>792</v>
      </c>
      <c r="C46" s="405">
        <v>500</v>
      </c>
      <c r="D46" s="405"/>
      <c r="E46" s="405"/>
      <c r="F46" s="405"/>
      <c r="G46" s="405"/>
      <c r="H46" s="405"/>
      <c r="I46" s="405"/>
      <c r="J46" s="405"/>
      <c r="K46" s="405"/>
      <c r="L46" s="405"/>
      <c r="M46" s="405"/>
      <c r="N46" s="405"/>
      <c r="O46" s="405"/>
      <c r="P46" s="405"/>
      <c r="Q46" s="405"/>
      <c r="R46" s="405"/>
      <c r="S46" s="405"/>
      <c r="T46" s="405"/>
      <c r="U46" s="405"/>
      <c r="V46" s="405"/>
      <c r="W46" s="405"/>
      <c r="X46" s="405"/>
      <c r="Y46" s="405"/>
      <c r="Z46" s="405"/>
      <c r="AA46" s="405"/>
      <c r="AB46" s="405">
        <f t="shared" si="0"/>
        <v>500</v>
      </c>
    </row>
    <row r="47" spans="1:29" ht="15.75">
      <c r="A47" s="66">
        <v>56304</v>
      </c>
      <c r="B47" s="319" t="s">
        <v>746</v>
      </c>
      <c r="C47" s="405">
        <v>3000</v>
      </c>
      <c r="D47" s="405"/>
      <c r="E47" s="405"/>
      <c r="F47" s="405"/>
      <c r="G47" s="405"/>
      <c r="H47" s="405"/>
      <c r="I47" s="405"/>
      <c r="J47" s="405"/>
      <c r="K47" s="405"/>
      <c r="L47" s="405"/>
      <c r="M47" s="405"/>
      <c r="N47" s="405"/>
      <c r="O47" s="405"/>
      <c r="P47" s="405"/>
      <c r="Q47" s="405"/>
      <c r="R47" s="405"/>
      <c r="S47" s="405"/>
      <c r="T47" s="405"/>
      <c r="U47" s="405"/>
      <c r="V47" s="405"/>
      <c r="W47" s="405"/>
      <c r="X47" s="405"/>
      <c r="Y47" s="405"/>
      <c r="Z47" s="405"/>
      <c r="AA47" s="405"/>
      <c r="AB47" s="405">
        <f t="shared" si="0"/>
        <v>3000</v>
      </c>
    </row>
    <row r="48" spans="1:29" ht="15.75">
      <c r="A48" s="66">
        <v>61101</v>
      </c>
      <c r="B48" s="319" t="s">
        <v>384</v>
      </c>
      <c r="C48" s="405"/>
      <c r="D48" s="405">
        <v>1000</v>
      </c>
      <c r="E48" s="405">
        <v>360</v>
      </c>
      <c r="F48" s="405">
        <v>200</v>
      </c>
      <c r="G48" s="405"/>
      <c r="H48" s="405">
        <v>200</v>
      </c>
      <c r="I48" s="405">
        <v>500</v>
      </c>
      <c r="J48" s="405">
        <v>400</v>
      </c>
      <c r="K48" s="405"/>
      <c r="L48" s="405">
        <v>1000</v>
      </c>
      <c r="M48" s="405">
        <v>1360</v>
      </c>
      <c r="N48" s="405"/>
      <c r="O48" s="405">
        <v>500</v>
      </c>
      <c r="P48" s="405">
        <v>315</v>
      </c>
      <c r="Q48" s="405"/>
      <c r="R48" s="405">
        <v>300</v>
      </c>
      <c r="S48" s="405">
        <v>300</v>
      </c>
      <c r="T48" s="405"/>
      <c r="U48" s="405"/>
      <c r="V48" s="405"/>
      <c r="W48" s="405"/>
      <c r="X48" s="405"/>
      <c r="Y48" s="405"/>
      <c r="Z48" s="405"/>
      <c r="AA48" s="405"/>
      <c r="AB48" s="405">
        <f t="shared" si="0"/>
        <v>6435</v>
      </c>
    </row>
    <row r="49" spans="1:28" ht="15.75">
      <c r="A49" s="66">
        <v>61102</v>
      </c>
      <c r="B49" s="319" t="s">
        <v>441</v>
      </c>
      <c r="C49" s="405"/>
      <c r="D49" s="405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5"/>
      <c r="Q49" s="405"/>
      <c r="R49" s="405">
        <v>700</v>
      </c>
      <c r="S49" s="405"/>
      <c r="T49" s="405"/>
      <c r="U49" s="405"/>
      <c r="V49" s="405"/>
      <c r="W49" s="405"/>
      <c r="X49" s="405"/>
      <c r="Y49" s="405"/>
      <c r="Z49" s="405"/>
      <c r="AA49" s="405"/>
      <c r="AB49" s="405">
        <f t="shared" si="0"/>
        <v>700</v>
      </c>
    </row>
    <row r="50" spans="1:28" ht="15.75">
      <c r="A50" s="66">
        <v>61104</v>
      </c>
      <c r="B50" s="319" t="s">
        <v>442</v>
      </c>
      <c r="C50" s="405">
        <v>500</v>
      </c>
      <c r="D50" s="405"/>
      <c r="E50" s="405">
        <v>1000</v>
      </c>
      <c r="F50" s="405">
        <v>1200</v>
      </c>
      <c r="G50" s="405">
        <v>1200</v>
      </c>
      <c r="H50" s="405">
        <v>1200</v>
      </c>
      <c r="I50" s="405">
        <v>1000</v>
      </c>
      <c r="J50" s="405"/>
      <c r="K50" s="405"/>
      <c r="L50" s="405"/>
      <c r="M50" s="405">
        <v>1800</v>
      </c>
      <c r="N50" s="405"/>
      <c r="O50" s="405">
        <v>860</v>
      </c>
      <c r="P50" s="405">
        <v>1090</v>
      </c>
      <c r="Q50" s="405"/>
      <c r="R50" s="405">
        <v>1000</v>
      </c>
      <c r="S50" s="405">
        <v>500</v>
      </c>
      <c r="T50" s="405">
        <v>600</v>
      </c>
      <c r="U50" s="405"/>
      <c r="V50" s="405"/>
      <c r="W50" s="405"/>
      <c r="X50" s="405"/>
      <c r="Y50" s="405"/>
      <c r="Z50" s="405"/>
      <c r="AA50" s="405">
        <v>1174.75</v>
      </c>
      <c r="AB50" s="405">
        <f t="shared" si="0"/>
        <v>13124.75</v>
      </c>
    </row>
    <row r="51" spans="1:28" ht="15.75">
      <c r="A51" s="69" t="s">
        <v>385</v>
      </c>
      <c r="B51" s="319" t="s">
        <v>386</v>
      </c>
      <c r="C51" s="405"/>
      <c r="D51" s="405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5"/>
      <c r="Q51" s="405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>
        <f t="shared" si="0"/>
        <v>0</v>
      </c>
    </row>
    <row r="52" spans="1:28" ht="15.75">
      <c r="A52" s="72" t="s">
        <v>443</v>
      </c>
      <c r="B52" s="321" t="s">
        <v>444</v>
      </c>
      <c r="C52" s="405">
        <v>500</v>
      </c>
      <c r="D52" s="405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5"/>
      <c r="Q52" s="405"/>
      <c r="R52" s="405"/>
      <c r="S52" s="405"/>
      <c r="T52" s="405">
        <v>60</v>
      </c>
      <c r="U52" s="405"/>
      <c r="V52" s="405"/>
      <c r="W52" s="405"/>
      <c r="X52" s="405"/>
      <c r="Y52" s="405"/>
      <c r="Z52" s="405"/>
      <c r="AA52" s="405"/>
      <c r="AB52" s="405">
        <f t="shared" si="0"/>
        <v>560</v>
      </c>
    </row>
    <row r="53" spans="1:28" ht="16.5" thickBot="1">
      <c r="A53" s="76"/>
      <c r="B53" s="70" t="s">
        <v>387</v>
      </c>
      <c r="C53" s="405">
        <f t="shared" ref="C53:L53" si="1">SUM(C5:C52)</f>
        <v>17027</v>
      </c>
      <c r="D53" s="405">
        <f t="shared" si="1"/>
        <v>3000</v>
      </c>
      <c r="E53" s="405">
        <f t="shared" si="1"/>
        <v>5168.2</v>
      </c>
      <c r="F53" s="405">
        <f t="shared" si="1"/>
        <v>4500</v>
      </c>
      <c r="G53" s="405">
        <f t="shared" si="1"/>
        <v>3624.75</v>
      </c>
      <c r="H53" s="405">
        <f t="shared" si="1"/>
        <v>3434.2</v>
      </c>
      <c r="I53" s="405">
        <f t="shared" si="1"/>
        <v>1700</v>
      </c>
      <c r="J53" s="405">
        <f t="shared" si="1"/>
        <v>2561.3000000000002</v>
      </c>
      <c r="K53" s="405">
        <f t="shared" si="1"/>
        <v>5499.2</v>
      </c>
      <c r="L53" s="405">
        <f t="shared" si="1"/>
        <v>3396.55</v>
      </c>
      <c r="M53" s="405">
        <f>SUM(M5:M52)</f>
        <v>5509.08</v>
      </c>
      <c r="N53" s="405">
        <f>SUM(N5:N52)</f>
        <v>3151.95</v>
      </c>
      <c r="O53" s="405">
        <f>SUM(O5:O52)</f>
        <v>3604.8</v>
      </c>
      <c r="P53" s="405">
        <f>SUM(P5:P52)</f>
        <v>1800</v>
      </c>
      <c r="Q53" s="405"/>
      <c r="R53" s="405">
        <f t="shared" ref="R53:AB53" si="2">SUM(R5:R52)</f>
        <v>6308.5</v>
      </c>
      <c r="S53" s="405">
        <f t="shared" si="2"/>
        <v>1783.5</v>
      </c>
      <c r="T53" s="405">
        <f t="shared" si="2"/>
        <v>32423.750000000004</v>
      </c>
      <c r="U53" s="405">
        <f t="shared" si="2"/>
        <v>2272.75</v>
      </c>
      <c r="V53" s="405">
        <f t="shared" si="2"/>
        <v>2258.5</v>
      </c>
      <c r="W53" s="405">
        <f t="shared" si="2"/>
        <v>1540</v>
      </c>
      <c r="X53" s="405">
        <f t="shared" si="2"/>
        <v>2112.8500000000004</v>
      </c>
      <c r="Y53" s="405">
        <f t="shared" si="2"/>
        <v>5179.8999999999996</v>
      </c>
      <c r="Z53" s="405">
        <f t="shared" si="2"/>
        <v>1702.5</v>
      </c>
      <c r="AA53" s="405">
        <f t="shared" si="2"/>
        <v>1557.25</v>
      </c>
      <c r="AB53" s="405">
        <f t="shared" si="2"/>
        <v>121116.53</v>
      </c>
    </row>
    <row r="54" spans="1:28"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AB54" s="99">
        <f>+AB53-AD6</f>
        <v>103706.58</v>
      </c>
    </row>
    <row r="56" spans="1:28">
      <c r="Q56" s="441">
        <f>+AB53-Q53</f>
        <v>121116.53</v>
      </c>
    </row>
    <row r="57" spans="1:28" ht="21">
      <c r="C57" s="269" t="s">
        <v>710</v>
      </c>
      <c r="D57" s="269"/>
      <c r="E57" s="269"/>
      <c r="F57" s="269"/>
      <c r="G57" s="269"/>
      <c r="H57" s="406">
        <f>+'PROYECCION INGRESOS PROPIOS    '!F49</f>
        <v>580563.34</v>
      </c>
    </row>
    <row r="58" spans="1:28" ht="21">
      <c r="C58" s="269" t="s">
        <v>711</v>
      </c>
      <c r="D58" s="269"/>
      <c r="E58" s="269"/>
      <c r="F58" s="269"/>
      <c r="G58" s="269"/>
      <c r="H58" s="407">
        <v>9148.7199999999993</v>
      </c>
    </row>
    <row r="59" spans="1:28" ht="21">
      <c r="C59" s="269" t="s">
        <v>863</v>
      </c>
      <c r="D59" s="269"/>
      <c r="E59" s="269"/>
      <c r="F59" s="269"/>
      <c r="G59" s="269"/>
      <c r="H59" s="408">
        <f>SUM(H57:H58)</f>
        <v>589712.05999999994</v>
      </c>
    </row>
    <row r="60" spans="1:28" ht="21">
      <c r="C60" s="269" t="s">
        <v>795</v>
      </c>
      <c r="H60" s="409">
        <f>+'PROYECCION INGRESOS PROPIOS    '!F73</f>
        <v>20629.689999999999</v>
      </c>
    </row>
    <row r="61" spans="1:28" ht="21">
      <c r="C61" s="269" t="s">
        <v>864</v>
      </c>
      <c r="H61" s="410">
        <f>+H59+H60</f>
        <v>610341.74999999988</v>
      </c>
    </row>
  </sheetData>
  <mergeCells count="1">
    <mergeCell ref="A3:AB3"/>
  </mergeCells>
  <pageMargins left="0.23622047244094491" right="0.23622047244094491" top="0.74803149606299213" bottom="0.74803149606299213" header="0.31496062992125984" footer="0.31496062992125984"/>
  <pageSetup paperSize="3" scale="70" orientation="landscape" horizontalDpi="120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2"/>
  <sheetViews>
    <sheetView workbookViewId="0">
      <selection activeCell="F20" sqref="F20"/>
    </sheetView>
  </sheetViews>
  <sheetFormatPr baseColWidth="10" defaultRowHeight="15"/>
  <cols>
    <col min="2" max="2" width="57.7109375" customWidth="1"/>
    <col min="3" max="3" width="47.7109375" customWidth="1"/>
  </cols>
  <sheetData>
    <row r="1" spans="1:4" ht="33">
      <c r="A1" s="715" t="s">
        <v>822</v>
      </c>
      <c r="B1" s="715"/>
      <c r="C1" s="715"/>
      <c r="D1" s="715"/>
    </row>
    <row r="2" spans="1:4" ht="33">
      <c r="A2" s="715" t="s">
        <v>815</v>
      </c>
      <c r="B2" s="715"/>
      <c r="C2" s="715"/>
      <c r="D2" s="715"/>
    </row>
    <row r="3" spans="1:4" ht="33.75" thickBot="1">
      <c r="A3" s="715" t="s">
        <v>392</v>
      </c>
      <c r="B3" s="715"/>
      <c r="C3" s="715"/>
      <c r="D3" s="715"/>
    </row>
    <row r="4" spans="1:4" ht="16.5" thickBot="1">
      <c r="A4" s="347"/>
      <c r="B4" s="348"/>
      <c r="C4" s="348"/>
      <c r="D4" s="349"/>
    </row>
    <row r="5" spans="1:4" ht="25.5" thickBot="1">
      <c r="A5" s="350"/>
      <c r="B5" s="716" t="s">
        <v>816</v>
      </c>
      <c r="C5" s="716"/>
      <c r="D5" s="351"/>
    </row>
    <row r="6" spans="1:4" ht="24">
      <c r="A6" s="350"/>
      <c r="B6" s="335"/>
      <c r="C6" s="335"/>
      <c r="D6" s="351"/>
    </row>
    <row r="7" spans="1:4" ht="24.75">
      <c r="A7" s="350"/>
      <c r="B7" s="336" t="s">
        <v>817</v>
      </c>
      <c r="C7" s="337">
        <v>2269937.62</v>
      </c>
      <c r="D7" s="351"/>
    </row>
    <row r="8" spans="1:4" ht="24.75">
      <c r="A8" s="350"/>
      <c r="B8" s="336"/>
      <c r="C8" s="337"/>
      <c r="D8" s="351"/>
    </row>
    <row r="9" spans="1:4" ht="24.75">
      <c r="A9" s="350"/>
      <c r="B9" s="336" t="s">
        <v>818</v>
      </c>
      <c r="C9" s="337">
        <v>610341.75</v>
      </c>
      <c r="D9" s="351"/>
    </row>
    <row r="10" spans="1:4" ht="24.75" thickBot="1">
      <c r="A10" s="350"/>
      <c r="B10" s="338"/>
      <c r="C10" s="339"/>
      <c r="D10" s="351"/>
    </row>
    <row r="11" spans="1:4" ht="25.5" thickBot="1">
      <c r="A11" s="350"/>
      <c r="B11" s="340" t="s">
        <v>5</v>
      </c>
      <c r="C11" s="341">
        <f>SUM(C7:C9)</f>
        <v>2880279.37</v>
      </c>
      <c r="D11" s="351"/>
    </row>
    <row r="12" spans="1:4" ht="24.75">
      <c r="A12" s="350"/>
      <c r="B12" s="342"/>
      <c r="C12" s="343"/>
      <c r="D12" s="351"/>
    </row>
    <row r="13" spans="1:4" ht="24.75" thickBot="1">
      <c r="A13" s="350"/>
      <c r="B13" s="353"/>
      <c r="C13" s="353"/>
      <c r="D13" s="351"/>
    </row>
    <row r="14" spans="1:4" ht="25.5" thickBot="1">
      <c r="A14" s="350"/>
      <c r="B14" s="716" t="s">
        <v>819</v>
      </c>
      <c r="C14" s="716"/>
      <c r="D14" s="351"/>
    </row>
    <row r="15" spans="1:4" ht="24">
      <c r="A15" s="350"/>
      <c r="B15" s="335"/>
      <c r="C15" s="335"/>
      <c r="D15" s="351"/>
    </row>
    <row r="16" spans="1:4" ht="24.75">
      <c r="A16" s="350"/>
      <c r="B16" s="336" t="s">
        <v>820</v>
      </c>
      <c r="C16" s="344">
        <v>2269937.62</v>
      </c>
      <c r="D16" s="351"/>
    </row>
    <row r="17" spans="1:4" ht="24.75">
      <c r="A17" s="350"/>
      <c r="B17" s="336"/>
      <c r="C17" s="337"/>
      <c r="D17" s="351"/>
    </row>
    <row r="18" spans="1:4" ht="24.75">
      <c r="A18" s="350"/>
      <c r="B18" s="336" t="s">
        <v>821</v>
      </c>
      <c r="C18" s="344">
        <v>610341.75</v>
      </c>
      <c r="D18" s="351"/>
    </row>
    <row r="19" spans="1:4" ht="24.75" thickBot="1">
      <c r="A19" s="350"/>
      <c r="B19" s="345"/>
      <c r="C19" s="346"/>
      <c r="D19" s="351"/>
    </row>
    <row r="20" spans="1:4" ht="24.75" thickBot="1">
      <c r="A20" s="350"/>
      <c r="B20" s="345"/>
      <c r="C20" s="346"/>
      <c r="D20" s="351"/>
    </row>
    <row r="21" spans="1:4" ht="25.5" thickBot="1">
      <c r="A21" s="350"/>
      <c r="B21" s="340" t="s">
        <v>5</v>
      </c>
      <c r="C21" s="341">
        <f>SUM(C16:C18)</f>
        <v>2880279.37</v>
      </c>
      <c r="D21" s="351"/>
    </row>
    <row r="22" spans="1:4" ht="21" thickBot="1">
      <c r="A22" s="352"/>
      <c r="B22" s="355"/>
      <c r="C22" s="355"/>
      <c r="D22" s="354"/>
    </row>
  </sheetData>
  <mergeCells count="5">
    <mergeCell ref="A1:D1"/>
    <mergeCell ref="A2:D2"/>
    <mergeCell ref="A3:D3"/>
    <mergeCell ref="B5:C5"/>
    <mergeCell ref="B14:C14"/>
  </mergeCells>
  <pageMargins left="0.62992125984251968" right="0.23622047244094491" top="0.35433070866141736" bottom="0.74803149606299213" header="0.31496062992125984" footer="0.31496062992125984"/>
  <pageSetup scale="95" orientation="landscape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D30"/>
  <sheetViews>
    <sheetView topLeftCell="A7" workbookViewId="0">
      <selection activeCell="E24" sqref="E24"/>
    </sheetView>
  </sheetViews>
  <sheetFormatPr baseColWidth="10" defaultRowHeight="15"/>
  <cols>
    <col min="2" max="2" width="59.7109375" customWidth="1"/>
    <col min="3" max="3" width="36.140625" customWidth="1"/>
    <col min="4" max="4" width="39.85546875" customWidth="1"/>
  </cols>
  <sheetData>
    <row r="2" spans="1:4" ht="22.5">
      <c r="A2" s="723" t="s">
        <v>823</v>
      </c>
      <c r="B2" s="723"/>
      <c r="C2" s="723"/>
      <c r="D2" s="723"/>
    </row>
    <row r="3" spans="1:4" ht="22.5">
      <c r="A3" s="723" t="s">
        <v>824</v>
      </c>
      <c r="B3" s="723"/>
      <c r="C3" s="723"/>
      <c r="D3" s="723"/>
    </row>
    <row r="4" spans="1:4" ht="23.25" thickBot="1">
      <c r="A4" s="723" t="s">
        <v>839</v>
      </c>
      <c r="B4" s="723"/>
      <c r="C4" s="723"/>
      <c r="D4" s="723"/>
    </row>
    <row r="5" spans="1:4" ht="22.5">
      <c r="A5" s="724" t="s">
        <v>825</v>
      </c>
      <c r="B5" s="724"/>
      <c r="C5" s="724"/>
      <c r="D5" s="724"/>
    </row>
    <row r="6" spans="1:4" ht="22.5">
      <c r="A6" s="725" t="s">
        <v>826</v>
      </c>
      <c r="B6" s="725"/>
      <c r="C6" s="725"/>
      <c r="D6" s="725"/>
    </row>
    <row r="7" spans="1:4" ht="22.5">
      <c r="A7" s="726" t="s">
        <v>827</v>
      </c>
      <c r="B7" s="726"/>
      <c r="C7" s="726"/>
      <c r="D7" s="726"/>
    </row>
    <row r="8" spans="1:4" ht="23.25" thickBot="1">
      <c r="A8" s="727" t="s">
        <v>1</v>
      </c>
      <c r="B8" s="727"/>
      <c r="C8" s="727"/>
      <c r="D8" s="727"/>
    </row>
    <row r="9" spans="1:4" ht="21">
      <c r="A9" s="356"/>
      <c r="B9" s="728"/>
      <c r="C9" s="728"/>
      <c r="D9" s="356"/>
    </row>
    <row r="10" spans="1:4" ht="22.5">
      <c r="A10" s="357" t="s">
        <v>828</v>
      </c>
      <c r="B10" s="717" t="s">
        <v>821</v>
      </c>
      <c r="C10" s="717"/>
      <c r="D10" s="358">
        <v>610341.75</v>
      </c>
    </row>
    <row r="11" spans="1:4" ht="22.5">
      <c r="A11" s="357"/>
      <c r="B11" s="722"/>
      <c r="C11" s="722"/>
      <c r="D11" s="356"/>
    </row>
    <row r="12" spans="1:4" ht="22.5">
      <c r="A12" s="357" t="s">
        <v>829</v>
      </c>
      <c r="B12" s="717" t="s">
        <v>820</v>
      </c>
      <c r="C12" s="717"/>
      <c r="D12" s="358">
        <v>2269937.62</v>
      </c>
    </row>
    <row r="13" spans="1:4" ht="22.5">
      <c r="A13" s="357"/>
      <c r="B13" s="722"/>
      <c r="C13" s="722"/>
      <c r="D13" s="356"/>
    </row>
    <row r="14" spans="1:4" ht="22.5">
      <c r="A14" s="357" t="s">
        <v>830</v>
      </c>
      <c r="B14" s="717" t="s">
        <v>831</v>
      </c>
      <c r="C14" s="717"/>
      <c r="D14" s="358">
        <v>0</v>
      </c>
    </row>
    <row r="15" spans="1:4" ht="21.75" thickBot="1">
      <c r="A15" s="356"/>
      <c r="B15" s="718"/>
      <c r="C15" s="718"/>
      <c r="D15" s="356"/>
    </row>
    <row r="16" spans="1:4" ht="23.25" thickBot="1">
      <c r="A16" s="368"/>
      <c r="B16" s="719" t="s">
        <v>5</v>
      </c>
      <c r="C16" s="719"/>
      <c r="D16" s="369">
        <f>SUM(D9:D15)</f>
        <v>2880279.37</v>
      </c>
    </row>
    <row r="17" spans="1:4" ht="23.25" thickBot="1">
      <c r="A17" s="359"/>
      <c r="B17" s="360"/>
      <c r="C17" s="360"/>
      <c r="D17" s="361"/>
    </row>
    <row r="18" spans="1:4" ht="22.5">
      <c r="A18" s="720" t="s">
        <v>832</v>
      </c>
      <c r="B18" s="720"/>
      <c r="C18" s="720"/>
      <c r="D18" s="720"/>
    </row>
    <row r="19" spans="1:4" ht="23.25" thickBot="1">
      <c r="A19" s="721" t="s">
        <v>1</v>
      </c>
      <c r="B19" s="721"/>
      <c r="C19" s="721"/>
      <c r="D19" s="721"/>
    </row>
    <row r="20" spans="1:4" ht="23.25" thickBot="1">
      <c r="A20" s="370" t="s">
        <v>833</v>
      </c>
      <c r="B20" s="371" t="s">
        <v>834</v>
      </c>
      <c r="C20" s="372" t="s">
        <v>816</v>
      </c>
      <c r="D20" s="372" t="s">
        <v>819</v>
      </c>
    </row>
    <row r="21" spans="1:4" ht="21">
      <c r="A21" s="362"/>
      <c r="B21" s="359"/>
      <c r="C21" s="363"/>
      <c r="D21" s="363"/>
    </row>
    <row r="22" spans="1:4" ht="22.5">
      <c r="A22" s="364">
        <v>1</v>
      </c>
      <c r="B22" s="365" t="s">
        <v>835</v>
      </c>
      <c r="C22" s="358">
        <v>2251876.13</v>
      </c>
      <c r="D22" s="358">
        <v>2251876.13</v>
      </c>
    </row>
    <row r="23" spans="1:4" ht="22.5">
      <c r="A23" s="364"/>
      <c r="B23" s="365"/>
      <c r="C23" s="366"/>
      <c r="D23" s="363"/>
    </row>
    <row r="24" spans="1:4" ht="22.5">
      <c r="A24" s="364">
        <v>2</v>
      </c>
      <c r="B24" s="365" t="s">
        <v>836</v>
      </c>
      <c r="C24" s="358">
        <f>+'PROYECCION INGRESOS PROPIOS    '!F52</f>
        <v>610341.74999999988</v>
      </c>
      <c r="D24" s="358">
        <v>610341.75</v>
      </c>
    </row>
    <row r="25" spans="1:4" ht="22.5">
      <c r="A25" s="364"/>
      <c r="B25" s="365"/>
      <c r="C25" s="366"/>
      <c r="D25" s="363"/>
    </row>
    <row r="26" spans="1:4" ht="22.5">
      <c r="A26" s="364">
        <v>3</v>
      </c>
      <c r="B26" s="365" t="s">
        <v>837</v>
      </c>
      <c r="C26" s="358">
        <v>18061.490000000002</v>
      </c>
      <c r="D26" s="358">
        <v>18061.490000000002</v>
      </c>
    </row>
    <row r="27" spans="1:4" ht="22.5">
      <c r="A27" s="364"/>
      <c r="B27" s="365"/>
      <c r="C27" s="366"/>
      <c r="D27" s="363"/>
    </row>
    <row r="28" spans="1:4" ht="22.5">
      <c r="A28" s="364">
        <v>4</v>
      </c>
      <c r="B28" s="365" t="s">
        <v>838</v>
      </c>
      <c r="C28" s="358">
        <v>0</v>
      </c>
      <c r="D28" s="358">
        <v>0</v>
      </c>
    </row>
    <row r="29" spans="1:4" ht="23.25" thickBot="1">
      <c r="A29" s="367"/>
      <c r="B29" s="359"/>
      <c r="C29" s="366"/>
      <c r="D29" s="363"/>
    </row>
    <row r="30" spans="1:4" ht="23.25" thickBot="1">
      <c r="A30" s="373"/>
      <c r="B30" s="371" t="s">
        <v>790</v>
      </c>
      <c r="C30" s="374">
        <f>SUM(C21:C29)</f>
        <v>2880279.37</v>
      </c>
      <c r="D30" s="374">
        <f>SUM(D21:D29)</f>
        <v>2880279.37</v>
      </c>
    </row>
  </sheetData>
  <mergeCells count="17">
    <mergeCell ref="B13:C13"/>
    <mergeCell ref="A2:D2"/>
    <mergeCell ref="A3:D3"/>
    <mergeCell ref="A4:D4"/>
    <mergeCell ref="A5:D5"/>
    <mergeCell ref="A6:D6"/>
    <mergeCell ref="A7:D7"/>
    <mergeCell ref="A8:D8"/>
    <mergeCell ref="B9:C9"/>
    <mergeCell ref="B10:C10"/>
    <mergeCell ref="B11:C11"/>
    <mergeCell ref="B12:C12"/>
    <mergeCell ref="B14:C14"/>
    <mergeCell ref="B15:C15"/>
    <mergeCell ref="B16:C16"/>
    <mergeCell ref="A18:D18"/>
    <mergeCell ref="A19:D19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4"/>
  <sheetViews>
    <sheetView topLeftCell="A12" workbookViewId="0">
      <selection activeCell="C29" sqref="C29"/>
    </sheetView>
  </sheetViews>
  <sheetFormatPr baseColWidth="10" defaultRowHeight="15"/>
  <cols>
    <col min="2" max="2" width="73.85546875" customWidth="1"/>
    <col min="3" max="3" width="45.140625" customWidth="1"/>
    <col min="6" max="6" width="13.5703125" bestFit="1" customWidth="1"/>
    <col min="8" max="8" width="13.5703125" bestFit="1" customWidth="1"/>
    <col min="11" max="11" width="12.5703125" bestFit="1" customWidth="1"/>
  </cols>
  <sheetData>
    <row r="2" spans="1:11" ht="24.75">
      <c r="A2" s="729" t="s">
        <v>823</v>
      </c>
      <c r="B2" s="729"/>
      <c r="C2" s="729"/>
    </row>
    <row r="3" spans="1:11" ht="24.75">
      <c r="A3" s="729" t="s">
        <v>393</v>
      </c>
      <c r="B3" s="729"/>
      <c r="C3" s="729"/>
    </row>
    <row r="4" spans="1:11" ht="24.75">
      <c r="A4" s="729" t="s">
        <v>392</v>
      </c>
      <c r="B4" s="729"/>
      <c r="C4" s="729"/>
    </row>
    <row r="5" spans="1:11" ht="25.5" thickBot="1">
      <c r="A5" s="729" t="s">
        <v>839</v>
      </c>
      <c r="B5" s="729"/>
      <c r="C5" s="729"/>
    </row>
    <row r="6" spans="1:11" ht="22.5">
      <c r="A6" s="720" t="s">
        <v>825</v>
      </c>
      <c r="B6" s="720"/>
      <c r="C6" s="720"/>
    </row>
    <row r="7" spans="1:11" ht="22.5">
      <c r="A7" s="730" t="s">
        <v>840</v>
      </c>
      <c r="B7" s="730"/>
      <c r="C7" s="730"/>
    </row>
    <row r="8" spans="1:11" ht="22.5">
      <c r="A8" s="731" t="s">
        <v>841</v>
      </c>
      <c r="B8" s="731"/>
      <c r="C8" s="731"/>
    </row>
    <row r="9" spans="1:11" ht="23.25" thickBot="1">
      <c r="A9" s="721" t="s">
        <v>1</v>
      </c>
      <c r="B9" s="721"/>
      <c r="C9" s="721"/>
    </row>
    <row r="10" spans="1:11" ht="22.5">
      <c r="A10" s="364">
        <v>11</v>
      </c>
      <c r="B10" s="375" t="s">
        <v>842</v>
      </c>
      <c r="C10" s="376">
        <v>148355.32999999999</v>
      </c>
      <c r="F10" s="99">
        <f>+C10+C11+C12+C13+C16</f>
        <v>600835.68000000005</v>
      </c>
      <c r="G10">
        <v>589712.06000000006</v>
      </c>
      <c r="H10" s="99">
        <f>+F10+G10</f>
        <v>1190547.7400000002</v>
      </c>
    </row>
    <row r="11" spans="1:11" ht="22.5">
      <c r="A11" s="364">
        <v>12</v>
      </c>
      <c r="B11" s="377" t="s">
        <v>843</v>
      </c>
      <c r="C11" s="378">
        <v>360227.09</v>
      </c>
    </row>
    <row r="12" spans="1:11" ht="22.5">
      <c r="A12" s="364">
        <v>14</v>
      </c>
      <c r="B12" s="377" t="s">
        <v>696</v>
      </c>
      <c r="C12" s="358">
        <v>5388.6</v>
      </c>
    </row>
    <row r="13" spans="1:11" ht="22.5">
      <c r="A13" s="364">
        <v>15</v>
      </c>
      <c r="B13" s="377" t="s">
        <v>844</v>
      </c>
      <c r="C13" s="358">
        <v>49404.79</v>
      </c>
      <c r="F13" s="99"/>
    </row>
    <row r="14" spans="1:11" ht="22.5">
      <c r="A14" s="364">
        <v>16</v>
      </c>
      <c r="B14" s="377" t="s">
        <v>845</v>
      </c>
      <c r="C14" s="358">
        <v>407920.68</v>
      </c>
    </row>
    <row r="15" spans="1:11" ht="22.5">
      <c r="A15" s="364">
        <v>21</v>
      </c>
      <c r="B15" s="377" t="s">
        <v>846</v>
      </c>
      <c r="C15" s="358">
        <v>357.24</v>
      </c>
      <c r="F15" s="99">
        <f>SUM(C10:C16)-C14</f>
        <v>601192.91999999993</v>
      </c>
      <c r="K15" s="99">
        <f>SUM(C10:C16)</f>
        <v>1009113.6</v>
      </c>
    </row>
    <row r="16" spans="1:11" ht="22.5">
      <c r="A16" s="364">
        <v>22</v>
      </c>
      <c r="B16" s="377" t="s">
        <v>847</v>
      </c>
      <c r="C16" s="358">
        <v>37459.870000000003</v>
      </c>
    </row>
    <row r="17" spans="1:6" ht="33.75" customHeight="1">
      <c r="A17" s="364">
        <v>22</v>
      </c>
      <c r="B17" s="379" t="s">
        <v>848</v>
      </c>
      <c r="C17" s="358">
        <v>1223762.1399999999</v>
      </c>
    </row>
    <row r="18" spans="1:6" ht="22.5">
      <c r="A18" s="364">
        <v>32</v>
      </c>
      <c r="B18" s="377" t="s">
        <v>140</v>
      </c>
      <c r="C18" s="358">
        <v>647403.63</v>
      </c>
    </row>
    <row r="19" spans="1:6" ht="21.75" thickBot="1">
      <c r="A19" s="380"/>
      <c r="B19" s="381"/>
      <c r="C19" s="381"/>
    </row>
    <row r="20" spans="1:6" ht="23.25" thickBot="1">
      <c r="A20" s="387"/>
      <c r="B20" s="372" t="s">
        <v>5</v>
      </c>
      <c r="C20" s="388">
        <f>SUM(C10:C19)</f>
        <v>2880279.3699999996</v>
      </c>
    </row>
    <row r="21" spans="1:6" ht="23.25" thickBot="1">
      <c r="A21" s="359"/>
      <c r="B21" s="382"/>
      <c r="C21" s="383"/>
    </row>
    <row r="22" spans="1:6" ht="22.5">
      <c r="A22" s="720" t="s">
        <v>825</v>
      </c>
      <c r="B22" s="720"/>
      <c r="C22" s="720"/>
    </row>
    <row r="23" spans="1:6" ht="22.5">
      <c r="A23" s="730" t="s">
        <v>849</v>
      </c>
      <c r="B23" s="730"/>
      <c r="C23" s="730"/>
    </row>
    <row r="24" spans="1:6" ht="22.5">
      <c r="A24" s="731" t="s">
        <v>850</v>
      </c>
      <c r="B24" s="731"/>
      <c r="C24" s="731"/>
    </row>
    <row r="25" spans="1:6" ht="23.25" thickBot="1">
      <c r="A25" s="721" t="s">
        <v>1</v>
      </c>
      <c r="B25" s="721"/>
      <c r="C25" s="721"/>
    </row>
    <row r="26" spans="1:6" ht="22.5">
      <c r="A26" s="384">
        <v>51</v>
      </c>
      <c r="B26" s="377" t="s">
        <v>8</v>
      </c>
      <c r="C26" s="358">
        <v>684600.6</v>
      </c>
    </row>
    <row r="27" spans="1:6" ht="22.5">
      <c r="A27" s="384">
        <v>54</v>
      </c>
      <c r="B27" s="377" t="s">
        <v>41</v>
      </c>
      <c r="C27" s="358">
        <v>297784.83</v>
      </c>
      <c r="F27" s="99">
        <f>+C26+C27+C28+C29</f>
        <v>1043045.24</v>
      </c>
    </row>
    <row r="28" spans="1:6" ht="22.5">
      <c r="A28" s="384">
        <v>55</v>
      </c>
      <c r="B28" s="377" t="s">
        <v>95</v>
      </c>
      <c r="C28" s="358">
        <v>45579.81</v>
      </c>
    </row>
    <row r="29" spans="1:6" ht="22.5">
      <c r="A29" s="384">
        <v>56</v>
      </c>
      <c r="B29" s="377" t="s">
        <v>106</v>
      </c>
      <c r="C29" s="358">
        <v>15080</v>
      </c>
    </row>
    <row r="30" spans="1:6" ht="22.5">
      <c r="A30" s="384">
        <v>72</v>
      </c>
      <c r="B30" s="377" t="s">
        <v>140</v>
      </c>
      <c r="C30" s="358">
        <v>647403.63</v>
      </c>
    </row>
    <row r="31" spans="1:6" ht="22.5">
      <c r="A31" s="384" t="s">
        <v>851</v>
      </c>
      <c r="B31" s="377" t="s">
        <v>111</v>
      </c>
      <c r="C31" s="358">
        <v>1189830.5</v>
      </c>
    </row>
    <row r="32" spans="1:6" ht="22.5">
      <c r="A32" s="384">
        <v>99</v>
      </c>
      <c r="B32" s="377" t="s">
        <v>852</v>
      </c>
      <c r="C32" s="358">
        <v>0</v>
      </c>
    </row>
    <row r="33" spans="1:3" ht="23.25" thickBot="1">
      <c r="A33" s="385"/>
      <c r="B33" s="386"/>
      <c r="C33" s="386"/>
    </row>
    <row r="34" spans="1:3" ht="23.25" thickBot="1">
      <c r="A34" s="387"/>
      <c r="B34" s="389" t="s">
        <v>5</v>
      </c>
      <c r="C34" s="390">
        <f>SUM(C26:C32)</f>
        <v>2880279.37</v>
      </c>
    </row>
  </sheetData>
  <mergeCells count="12">
    <mergeCell ref="A25:C25"/>
    <mergeCell ref="A2:C2"/>
    <mergeCell ref="A3:C3"/>
    <mergeCell ref="A4:C4"/>
    <mergeCell ref="A5:C5"/>
    <mergeCell ref="A6:C6"/>
    <mergeCell ref="A7:C7"/>
    <mergeCell ref="A8:C8"/>
    <mergeCell ref="A9:C9"/>
    <mergeCell ref="A22:C22"/>
    <mergeCell ref="A23:C23"/>
    <mergeCell ref="A24:C24"/>
  </mergeCells>
  <pageMargins left="0.62992125984251968" right="0.23622047244094491" top="0.74803149606299213" bottom="0.74803149606299213" header="0.31496062992125984" footer="0.31496062992125984"/>
  <pageSetup scale="75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K149"/>
  <sheetViews>
    <sheetView topLeftCell="A67" workbookViewId="0">
      <selection activeCell="E141" sqref="E141"/>
    </sheetView>
  </sheetViews>
  <sheetFormatPr baseColWidth="10" defaultRowHeight="15"/>
  <cols>
    <col min="2" max="2" width="55.42578125" customWidth="1"/>
    <col min="3" max="3" width="22.140625" customWidth="1"/>
    <col min="4" max="4" width="20" customWidth="1"/>
    <col min="5" max="5" width="21.85546875" customWidth="1"/>
    <col min="6" max="6" width="23.42578125" customWidth="1"/>
    <col min="7" max="7" width="21.7109375" customWidth="1"/>
    <col min="8" max="8" width="21" customWidth="1"/>
    <col min="9" max="9" width="21.7109375" customWidth="1"/>
    <col min="11" max="11" width="13.5703125" bestFit="1" customWidth="1"/>
  </cols>
  <sheetData>
    <row r="2" spans="1:9" ht="30">
      <c r="A2" s="624" t="s">
        <v>0</v>
      </c>
      <c r="B2" s="624"/>
      <c r="C2" s="624"/>
      <c r="D2" s="624"/>
      <c r="E2" s="624"/>
      <c r="F2" s="624"/>
      <c r="G2" s="624"/>
      <c r="H2" s="624"/>
      <c r="I2" s="624"/>
    </row>
    <row r="3" spans="1:9" ht="30">
      <c r="A3" s="625" t="s">
        <v>1</v>
      </c>
      <c r="B3" s="625"/>
      <c r="C3" s="625"/>
      <c r="D3" s="625"/>
      <c r="E3" s="625"/>
      <c r="F3" s="625"/>
      <c r="G3" s="625"/>
      <c r="H3" s="625"/>
      <c r="I3" s="625"/>
    </row>
    <row r="4" spans="1:9" ht="30">
      <c r="A4" s="626" t="s">
        <v>2</v>
      </c>
      <c r="B4" s="626"/>
      <c r="C4" s="626"/>
      <c r="D4" s="626"/>
      <c r="E4" s="626"/>
      <c r="F4" s="626"/>
      <c r="G4" s="626"/>
      <c r="H4" s="626"/>
      <c r="I4" s="626"/>
    </row>
    <row r="5" spans="1:9" ht="30">
      <c r="A5" s="625" t="s">
        <v>142</v>
      </c>
      <c r="B5" s="625"/>
      <c r="C5" s="625"/>
      <c r="D5" s="625"/>
      <c r="E5" s="625"/>
      <c r="F5" s="625"/>
      <c r="G5" s="625"/>
      <c r="H5" s="625"/>
      <c r="I5" s="625"/>
    </row>
    <row r="6" spans="1:9" ht="30">
      <c r="A6" s="627" t="s">
        <v>3</v>
      </c>
      <c r="B6" s="627"/>
      <c r="C6" s="627"/>
      <c r="D6" s="627"/>
      <c r="E6" s="627"/>
      <c r="F6" s="627"/>
      <c r="G6" s="627"/>
      <c r="H6" s="627"/>
      <c r="I6" s="627"/>
    </row>
    <row r="7" spans="1:9" ht="18">
      <c r="A7" s="734"/>
      <c r="B7" s="734"/>
      <c r="C7" s="734"/>
      <c r="D7" s="734"/>
      <c r="E7" s="734"/>
      <c r="F7" s="734"/>
      <c r="G7" s="734"/>
      <c r="H7" s="734"/>
      <c r="I7" s="734"/>
    </row>
    <row r="8" spans="1:9" ht="18">
      <c r="A8" s="732" t="s">
        <v>4</v>
      </c>
      <c r="B8" s="732"/>
      <c r="C8" s="732" t="s">
        <v>853</v>
      </c>
      <c r="D8" s="732"/>
      <c r="E8" s="732"/>
      <c r="F8" s="732"/>
      <c r="G8" s="396"/>
      <c r="H8" s="396"/>
      <c r="I8" s="733" t="s">
        <v>5</v>
      </c>
    </row>
    <row r="9" spans="1:9" ht="81" customHeight="1">
      <c r="A9" s="397" t="s">
        <v>6</v>
      </c>
      <c r="B9" s="397" t="s">
        <v>7</v>
      </c>
      <c r="C9" s="398" t="s">
        <v>854</v>
      </c>
      <c r="D9" s="398" t="s">
        <v>855</v>
      </c>
      <c r="E9" s="398" t="s">
        <v>856</v>
      </c>
      <c r="F9" s="398" t="s">
        <v>857</v>
      </c>
      <c r="G9" s="398" t="s">
        <v>858</v>
      </c>
      <c r="H9" s="398" t="s">
        <v>859</v>
      </c>
      <c r="I9" s="733"/>
    </row>
    <row r="10" spans="1:9" ht="18">
      <c r="A10" s="3">
        <v>51</v>
      </c>
      <c r="B10" s="4" t="s">
        <v>8</v>
      </c>
      <c r="C10" s="5">
        <f>SUM(C11,C16,C20,C23,C25,C27,C33)</f>
        <v>216410</v>
      </c>
      <c r="D10" s="5">
        <f>SUM(D11,D16,D20,D23,D25,D27,D33)</f>
        <v>0</v>
      </c>
      <c r="E10" s="5">
        <f>SUM(E11,E16,E20,E23,E25,E27,E33)</f>
        <v>0</v>
      </c>
      <c r="F10" s="5">
        <f>SUM(F11,F16,F20,F23,F25,F27,F33)+F30</f>
        <v>467890.6</v>
      </c>
      <c r="G10" s="391">
        <f>SUM(G11,G16,G20,G23,G25,G27,G33)+G30</f>
        <v>0</v>
      </c>
      <c r="H10" s="5">
        <f>SUM(H11,H16,H20,H23,H25,H27,H33)+H30</f>
        <v>0</v>
      </c>
      <c r="I10" s="5">
        <f>SUM(C10:F10)</f>
        <v>684300.6</v>
      </c>
    </row>
    <row r="11" spans="1:9" ht="18">
      <c r="A11" s="6">
        <v>511</v>
      </c>
      <c r="B11" s="7" t="s">
        <v>9</v>
      </c>
      <c r="C11" s="8">
        <f>SUM(C12:C15)</f>
        <v>177110</v>
      </c>
      <c r="D11" s="8">
        <f>SUM(D12:D15)</f>
        <v>0</v>
      </c>
      <c r="E11" s="8">
        <f>SUM(E12:E15)</f>
        <v>0</v>
      </c>
      <c r="F11" s="8">
        <f>SUM(F12:F15)</f>
        <v>394554</v>
      </c>
      <c r="G11" s="9">
        <f>SUM(G12:G15)</f>
        <v>0</v>
      </c>
      <c r="H11" s="8"/>
      <c r="I11" s="5"/>
    </row>
    <row r="12" spans="1:9" ht="18">
      <c r="A12" s="10" t="s">
        <v>10</v>
      </c>
      <c r="B12" s="11" t="s">
        <v>11</v>
      </c>
      <c r="C12" s="12">
        <v>167400</v>
      </c>
      <c r="D12" s="12">
        <v>0</v>
      </c>
      <c r="E12" s="12">
        <v>0</v>
      </c>
      <c r="F12" s="12">
        <f>59484+302920</f>
        <v>362404</v>
      </c>
      <c r="G12" s="12"/>
      <c r="H12" s="12"/>
      <c r="I12" s="392"/>
    </row>
    <row r="13" spans="1:9" ht="18">
      <c r="A13" s="10" t="s">
        <v>12</v>
      </c>
      <c r="B13" s="11" t="s">
        <v>13</v>
      </c>
      <c r="C13" s="12">
        <v>7710</v>
      </c>
      <c r="D13" s="12">
        <v>0</v>
      </c>
      <c r="E13" s="12">
        <v>0</v>
      </c>
      <c r="F13" s="12">
        <f>4942+27108</f>
        <v>32050</v>
      </c>
      <c r="G13" s="12"/>
      <c r="H13" s="12"/>
      <c r="I13" s="392"/>
    </row>
    <row r="14" spans="1:9" ht="18">
      <c r="A14" s="10" t="s">
        <v>14</v>
      </c>
      <c r="B14" s="11" t="s">
        <v>15</v>
      </c>
      <c r="C14" s="12">
        <f>+K14+O14</f>
        <v>0</v>
      </c>
      <c r="D14" s="12">
        <v>0</v>
      </c>
      <c r="E14" s="12">
        <v>0</v>
      </c>
      <c r="F14" s="12">
        <v>0</v>
      </c>
      <c r="G14" s="12"/>
      <c r="H14" s="12"/>
      <c r="I14" s="392"/>
    </row>
    <row r="15" spans="1:9" ht="18">
      <c r="A15" s="10" t="s">
        <v>16</v>
      </c>
      <c r="B15" s="11" t="s">
        <v>17</v>
      </c>
      <c r="C15" s="12">
        <v>2000</v>
      </c>
      <c r="D15" s="12">
        <v>0</v>
      </c>
      <c r="E15" s="12">
        <v>0</v>
      </c>
      <c r="F15" s="12">
        <v>100</v>
      </c>
      <c r="G15" s="12"/>
      <c r="H15" s="12"/>
      <c r="I15" s="392"/>
    </row>
    <row r="16" spans="1:9" ht="18">
      <c r="A16" s="13" t="s">
        <v>18</v>
      </c>
      <c r="B16" s="14" t="s">
        <v>19</v>
      </c>
      <c r="C16" s="15">
        <f t="shared" ref="C16:H16" si="0">SUM(C17:C19)</f>
        <v>10000</v>
      </c>
      <c r="D16" s="15">
        <f t="shared" si="0"/>
        <v>0</v>
      </c>
      <c r="E16" s="15">
        <f t="shared" si="0"/>
        <v>0</v>
      </c>
      <c r="F16" s="15">
        <f>SUM(F17:F19)</f>
        <v>14210</v>
      </c>
      <c r="G16" s="9">
        <f t="shared" si="0"/>
        <v>0</v>
      </c>
      <c r="H16" s="15">
        <f t="shared" si="0"/>
        <v>0</v>
      </c>
      <c r="I16" s="392"/>
    </row>
    <row r="17" spans="1:9" ht="18">
      <c r="A17" s="10" t="s">
        <v>20</v>
      </c>
      <c r="B17" s="11" t="s">
        <v>11</v>
      </c>
      <c r="C17" s="12">
        <v>10000</v>
      </c>
      <c r="D17" s="12">
        <v>0</v>
      </c>
      <c r="E17" s="12">
        <v>0</v>
      </c>
      <c r="F17" s="12">
        <f>3000+11210</f>
        <v>14210</v>
      </c>
      <c r="G17" s="12"/>
      <c r="H17" s="12"/>
      <c r="I17" s="392"/>
    </row>
    <row r="18" spans="1:9" ht="18">
      <c r="A18" s="16">
        <v>51202</v>
      </c>
      <c r="B18" s="17" t="s">
        <v>21</v>
      </c>
      <c r="C18" s="12">
        <f>+K18+O18</f>
        <v>0</v>
      </c>
      <c r="D18" s="12">
        <v>0</v>
      </c>
      <c r="E18" s="12">
        <v>0</v>
      </c>
      <c r="F18" s="12">
        <v>0</v>
      </c>
      <c r="G18" s="12"/>
      <c r="H18" s="12"/>
      <c r="I18" s="392"/>
    </row>
    <row r="19" spans="1:9" ht="18">
      <c r="A19" s="10" t="s">
        <v>22</v>
      </c>
      <c r="B19" s="11" t="s">
        <v>13</v>
      </c>
      <c r="C19" s="12">
        <f>+K19+O19</f>
        <v>0</v>
      </c>
      <c r="D19" s="12">
        <v>0</v>
      </c>
      <c r="E19" s="12">
        <v>0</v>
      </c>
      <c r="F19" s="12">
        <v>0</v>
      </c>
      <c r="G19" s="12"/>
      <c r="H19" s="12"/>
      <c r="I19" s="392"/>
    </row>
    <row r="20" spans="1:9" ht="18">
      <c r="A20" s="13" t="s">
        <v>23</v>
      </c>
      <c r="B20" s="14" t="s">
        <v>24</v>
      </c>
      <c r="C20" s="15">
        <f t="shared" ref="C20:H20" si="1">SUM(C21:C22)</f>
        <v>0</v>
      </c>
      <c r="D20" s="15">
        <f t="shared" si="1"/>
        <v>0</v>
      </c>
      <c r="E20" s="15">
        <f t="shared" si="1"/>
        <v>0</v>
      </c>
      <c r="F20" s="15">
        <f>SUM(F21:F22)</f>
        <v>3000</v>
      </c>
      <c r="G20" s="15">
        <f t="shared" si="1"/>
        <v>0</v>
      </c>
      <c r="H20" s="15">
        <f t="shared" si="1"/>
        <v>0</v>
      </c>
      <c r="I20" s="392"/>
    </row>
    <row r="21" spans="1:9" ht="18">
      <c r="A21" s="16">
        <v>51301</v>
      </c>
      <c r="B21" s="17" t="s">
        <v>25</v>
      </c>
      <c r="C21" s="12">
        <f>+K21+O21</f>
        <v>0</v>
      </c>
      <c r="D21" s="12">
        <v>0</v>
      </c>
      <c r="E21" s="12">
        <v>0</v>
      </c>
      <c r="F21" s="12">
        <v>3000</v>
      </c>
      <c r="G21" s="12"/>
      <c r="H21" s="12"/>
      <c r="I21" s="392"/>
    </row>
    <row r="22" spans="1:9" ht="18">
      <c r="A22" s="16">
        <v>51302</v>
      </c>
      <c r="B22" s="17" t="s">
        <v>26</v>
      </c>
      <c r="C22" s="12">
        <f>+K22+O22</f>
        <v>0</v>
      </c>
      <c r="D22" s="12">
        <v>0</v>
      </c>
      <c r="E22" s="12">
        <v>0</v>
      </c>
      <c r="F22" s="12">
        <v>0</v>
      </c>
      <c r="G22" s="12"/>
      <c r="H22" s="12"/>
      <c r="I22" s="392"/>
    </row>
    <row r="23" spans="1:9" ht="34.5" customHeight="1">
      <c r="A23" s="6">
        <v>514</v>
      </c>
      <c r="B23" s="18" t="s">
        <v>27</v>
      </c>
      <c r="C23" s="19">
        <f t="shared" ref="C23:H23" si="2">SUM(C24)</f>
        <v>11000</v>
      </c>
      <c r="D23" s="19">
        <f t="shared" si="2"/>
        <v>0</v>
      </c>
      <c r="E23" s="19">
        <f t="shared" si="2"/>
        <v>0</v>
      </c>
      <c r="F23" s="19">
        <f>SUM(F24)</f>
        <v>27873.16</v>
      </c>
      <c r="G23" s="19">
        <f t="shared" si="2"/>
        <v>0</v>
      </c>
      <c r="H23" s="19">
        <f t="shared" si="2"/>
        <v>0</v>
      </c>
      <c r="I23" s="392"/>
    </row>
    <row r="24" spans="1:9" ht="18">
      <c r="A24" s="10" t="s">
        <v>28</v>
      </c>
      <c r="B24" s="11" t="s">
        <v>29</v>
      </c>
      <c r="C24" s="12">
        <v>11000</v>
      </c>
      <c r="D24" s="12">
        <v>0</v>
      </c>
      <c r="E24" s="12">
        <v>0</v>
      </c>
      <c r="F24" s="12">
        <f>3688.2+24184.96</f>
        <v>27873.16</v>
      </c>
      <c r="G24" s="12"/>
      <c r="H24" s="12"/>
      <c r="I24" s="392"/>
    </row>
    <row r="25" spans="1:9" ht="39.75" customHeight="1">
      <c r="A25" s="6">
        <v>515</v>
      </c>
      <c r="B25" s="18" t="s">
        <v>30</v>
      </c>
      <c r="C25" s="15">
        <f t="shared" ref="C25:H25" si="3">SUM(C26)</f>
        <v>10500</v>
      </c>
      <c r="D25" s="15">
        <f t="shared" si="3"/>
        <v>0</v>
      </c>
      <c r="E25" s="15">
        <f t="shared" si="3"/>
        <v>0</v>
      </c>
      <c r="F25" s="15">
        <f>SUM(F26)</f>
        <v>24103.440000000002</v>
      </c>
      <c r="G25" s="15">
        <f t="shared" si="3"/>
        <v>0</v>
      </c>
      <c r="H25" s="15">
        <f t="shared" si="3"/>
        <v>0</v>
      </c>
      <c r="I25" s="392"/>
    </row>
    <row r="26" spans="1:9" ht="18">
      <c r="A26" s="10" t="s">
        <v>31</v>
      </c>
      <c r="B26" s="11" t="s">
        <v>32</v>
      </c>
      <c r="C26" s="12">
        <v>10500</v>
      </c>
      <c r="D26" s="12">
        <v>0</v>
      </c>
      <c r="E26" s="12">
        <v>0</v>
      </c>
      <c r="F26" s="12">
        <f>3481.38+20622.06</f>
        <v>24103.440000000002</v>
      </c>
      <c r="G26" s="12"/>
      <c r="H26" s="12"/>
      <c r="I26" s="392"/>
    </row>
    <row r="27" spans="1:9" ht="18">
      <c r="A27" s="13" t="s">
        <v>33</v>
      </c>
      <c r="B27" s="14" t="s">
        <v>34</v>
      </c>
      <c r="C27" s="15">
        <f>+C28+C29</f>
        <v>7800</v>
      </c>
      <c r="D27" s="15" t="s">
        <v>860</v>
      </c>
      <c r="E27" s="15" t="s">
        <v>860</v>
      </c>
      <c r="F27" s="15">
        <f>SUM(F28:F29)</f>
        <v>0</v>
      </c>
      <c r="G27" s="15">
        <f>SUM(G28:G29)</f>
        <v>0</v>
      </c>
      <c r="H27" s="15">
        <f>SUM(H28:H29)</f>
        <v>0</v>
      </c>
      <c r="I27" s="392"/>
    </row>
    <row r="28" spans="1:9" ht="18">
      <c r="A28" s="16">
        <v>51601</v>
      </c>
      <c r="B28" s="17" t="s">
        <v>34</v>
      </c>
      <c r="C28" s="12">
        <v>7800</v>
      </c>
      <c r="D28" s="12">
        <v>0</v>
      </c>
      <c r="E28" s="12">
        <v>0</v>
      </c>
      <c r="F28" s="12">
        <f>+'[1]LT 0102'!D29+'[1]LT 0103'!D29+'[1]LT 0105'!D29+'[1]LT 0106'!D29+'[1]LT 0201'!D29+'[1]LT 0202'!D29+'[1]LT 0203'!D29+'[1]LT 0204'!D29+'[1]LT 0205'!D29+'[1]LT 0301'!D29+'[1]LT 0302'!D29+'[1]LT 0303'!D29+'[1]LT 0304'!D29+'[1]LT 0305'!D29+'[1]LT 0306'!D29+'[1]LT 0307'!D29+'[1]LT 0308'!D29+'[1]LT 0309'!D29+'[1]LT 0310'!D29</f>
        <v>0</v>
      </c>
      <c r="G28" s="12"/>
      <c r="H28" s="12"/>
      <c r="I28" s="392"/>
    </row>
    <row r="29" spans="1:9" ht="18">
      <c r="A29" s="16">
        <v>51602</v>
      </c>
      <c r="B29" s="17" t="s">
        <v>35</v>
      </c>
      <c r="C29" s="12">
        <f>+K29+O29</f>
        <v>0</v>
      </c>
      <c r="D29" s="12">
        <v>0</v>
      </c>
      <c r="E29" s="12">
        <v>0</v>
      </c>
      <c r="F29" s="12">
        <f>+'[1]LT 0102'!D30+'[1]LT 0103'!D30+'[1]LT 0105'!D30+'[1]LT 0106'!D30+'[1]LT 0201'!D30+'[1]LT 0202'!D30+'[1]LT 0203'!D30+'[1]LT 0204'!D30+'[1]LT 0205'!D30+'[1]LT 0301'!D30+'[1]LT 0302'!D30+'[1]LT 0303'!D30+'[1]LT 0304'!D30+'[1]LT 0305'!D30+'[1]LT 0306'!D30+'[1]LT 0307'!D30+'[1]LT 0308'!D30+'[1]LT 0309'!D30+'[1]LT 0310'!D30</f>
        <v>0</v>
      </c>
      <c r="G29" s="12"/>
      <c r="H29" s="12"/>
      <c r="I29" s="392"/>
    </row>
    <row r="30" spans="1:9" ht="18">
      <c r="A30" s="6">
        <v>517</v>
      </c>
      <c r="B30" s="20" t="s">
        <v>36</v>
      </c>
      <c r="C30" s="19">
        <f t="shared" ref="C30:H30" si="4">SUM(C31:C32)</f>
        <v>0</v>
      </c>
      <c r="D30" s="19">
        <f t="shared" si="4"/>
        <v>0</v>
      </c>
      <c r="E30" s="19">
        <f t="shared" si="4"/>
        <v>0</v>
      </c>
      <c r="F30" s="19">
        <f>SUM(F31:F32)</f>
        <v>3500</v>
      </c>
      <c r="G30" s="19">
        <f t="shared" si="4"/>
        <v>0</v>
      </c>
      <c r="H30" s="19">
        <f t="shared" si="4"/>
        <v>0</v>
      </c>
      <c r="I30" s="392"/>
    </row>
    <row r="31" spans="1:9" ht="18">
      <c r="A31" s="16">
        <v>51701</v>
      </c>
      <c r="B31" s="17" t="s">
        <v>37</v>
      </c>
      <c r="C31" s="12">
        <f>+K31+O31</f>
        <v>0</v>
      </c>
      <c r="D31" s="19">
        <f>SUM(D32:D33)</f>
        <v>0</v>
      </c>
      <c r="E31" s="19">
        <f>SUM(E32:E33)</f>
        <v>0</v>
      </c>
      <c r="F31" s="12">
        <v>3500</v>
      </c>
      <c r="G31" s="12"/>
      <c r="H31" s="12"/>
      <c r="I31" s="392"/>
    </row>
    <row r="32" spans="1:9" ht="18">
      <c r="A32" s="16">
        <v>51702</v>
      </c>
      <c r="B32" s="17" t="s">
        <v>38</v>
      </c>
      <c r="C32" s="12">
        <f>+K32+O32</f>
        <v>0</v>
      </c>
      <c r="D32" s="12">
        <v>0</v>
      </c>
      <c r="E32" s="12">
        <v>0</v>
      </c>
      <c r="F32" s="12">
        <v>0</v>
      </c>
      <c r="G32" s="12"/>
      <c r="H32" s="12"/>
      <c r="I32" s="392"/>
    </row>
    <row r="33" spans="1:9" ht="18">
      <c r="A33" s="6">
        <v>519</v>
      </c>
      <c r="B33" s="20" t="s">
        <v>39</v>
      </c>
      <c r="C33" s="19">
        <f t="shared" ref="C33:H33" si="5">SUM(C34:C35)</f>
        <v>0</v>
      </c>
      <c r="D33" s="19">
        <f t="shared" si="5"/>
        <v>0</v>
      </c>
      <c r="E33" s="19">
        <f t="shared" si="5"/>
        <v>0</v>
      </c>
      <c r="F33" s="19">
        <f>SUM(F34:F35)</f>
        <v>650</v>
      </c>
      <c r="G33" s="19">
        <f t="shared" si="5"/>
        <v>0</v>
      </c>
      <c r="H33" s="19">
        <f t="shared" si="5"/>
        <v>0</v>
      </c>
      <c r="I33" s="392"/>
    </row>
    <row r="34" spans="1:9" ht="18">
      <c r="A34" s="16">
        <v>51901</v>
      </c>
      <c r="B34" s="17" t="s">
        <v>40</v>
      </c>
      <c r="C34" s="12">
        <f>+K34+O34</f>
        <v>0</v>
      </c>
      <c r="D34" s="12">
        <v>0</v>
      </c>
      <c r="E34" s="12">
        <v>0</v>
      </c>
      <c r="F34" s="12">
        <v>150</v>
      </c>
      <c r="G34" s="12"/>
      <c r="H34" s="12"/>
      <c r="I34" s="392"/>
    </row>
    <row r="35" spans="1:9" ht="18">
      <c r="A35" s="16">
        <v>51999</v>
      </c>
      <c r="B35" s="17" t="s">
        <v>39</v>
      </c>
      <c r="C35" s="12">
        <f>+K35+O35</f>
        <v>0</v>
      </c>
      <c r="D35" s="12">
        <v>0</v>
      </c>
      <c r="E35" s="12">
        <v>0</v>
      </c>
      <c r="F35" s="12">
        <v>500</v>
      </c>
      <c r="G35" s="12"/>
      <c r="H35" s="12"/>
      <c r="I35" s="392"/>
    </row>
    <row r="36" spans="1:9" ht="18">
      <c r="A36" s="6">
        <v>54</v>
      </c>
      <c r="B36" s="20" t="s">
        <v>41</v>
      </c>
      <c r="C36" s="15">
        <f t="shared" ref="C36:H36" si="6">SUM(C37,C57,C63,C80,)</f>
        <v>196060</v>
      </c>
      <c r="D36" s="15" t="e">
        <f>SUM(D37,D57,D63,D80,)</f>
        <v>#REF!</v>
      </c>
      <c r="E36" s="15">
        <f t="shared" si="6"/>
        <v>0</v>
      </c>
      <c r="F36" s="15">
        <f>SUM(F37,F57,F63,F80,)</f>
        <v>101724.83</v>
      </c>
      <c r="G36" s="15">
        <f t="shared" si="6"/>
        <v>0</v>
      </c>
      <c r="H36" s="15">
        <f t="shared" si="6"/>
        <v>0</v>
      </c>
      <c r="I36" s="5" t="e">
        <f>SUM(C36:F36)</f>
        <v>#REF!</v>
      </c>
    </row>
    <row r="37" spans="1:9" ht="18">
      <c r="A37" s="6">
        <v>541</v>
      </c>
      <c r="B37" s="20" t="s">
        <v>42</v>
      </c>
      <c r="C37" s="19">
        <f t="shared" ref="C37:H37" si="7">SUM(C38:C56)</f>
        <v>55300</v>
      </c>
      <c r="D37" s="19">
        <f>SUM(D38:D56)</f>
        <v>0</v>
      </c>
      <c r="E37" s="19">
        <f t="shared" si="7"/>
        <v>0</v>
      </c>
      <c r="F37" s="19">
        <f>SUM(F38:F56)</f>
        <v>71475.33</v>
      </c>
      <c r="G37" s="19">
        <f t="shared" si="7"/>
        <v>0</v>
      </c>
      <c r="H37" s="19">
        <f t="shared" si="7"/>
        <v>0</v>
      </c>
      <c r="I37" s="392"/>
    </row>
    <row r="38" spans="1:9" ht="18">
      <c r="A38" s="16">
        <v>54101</v>
      </c>
      <c r="B38" s="17" t="s">
        <v>43</v>
      </c>
      <c r="C38" s="12">
        <v>600</v>
      </c>
      <c r="D38" s="12">
        <v>0</v>
      </c>
      <c r="E38" s="12">
        <v>0</v>
      </c>
      <c r="F38" s="12">
        <v>1237.5</v>
      </c>
      <c r="G38" s="12"/>
      <c r="H38" s="12"/>
      <c r="I38" s="392"/>
    </row>
    <row r="39" spans="1:9" ht="18">
      <c r="A39" s="16">
        <v>54103</v>
      </c>
      <c r="B39" s="17" t="s">
        <v>44</v>
      </c>
      <c r="C39" s="12">
        <f t="shared" ref="C39:C90" si="8">+K39+O39</f>
        <v>0</v>
      </c>
      <c r="D39" s="12">
        <v>0</v>
      </c>
      <c r="E39" s="12">
        <v>0</v>
      </c>
      <c r="F39" s="12">
        <f>+'[1]LT 0102'!D40+'[1]LT 0103'!D40+'[1]LT 0105'!D40+'[1]LT 0106'!D40+'[1]LT 0201'!D40+'[1]LT 0202'!D40+'[1]LT 0203'!D40+'[1]LT 0204'!D40+'[1]LT 0205'!D40+'[1]LT 0301'!D40+'[1]LT 0302'!D40+'[1]LT 0303'!D40+'[1]LT 0304'!D40+'[1]LT 0305'!D40+'[1]LT 0306'!D40+'[1]LT 0307'!D40+'[1]LT 0308'!D40+'[1]LT 0309'!D40+'[1]LT 0310'!D40</f>
        <v>0</v>
      </c>
      <c r="G39" s="12"/>
      <c r="H39" s="12"/>
      <c r="I39" s="392"/>
    </row>
    <row r="40" spans="1:9" ht="18">
      <c r="A40" s="16">
        <v>54104</v>
      </c>
      <c r="B40" s="17" t="s">
        <v>861</v>
      </c>
      <c r="C40" s="12">
        <f t="shared" si="8"/>
        <v>0</v>
      </c>
      <c r="D40" s="12">
        <v>0</v>
      </c>
      <c r="E40" s="12">
        <v>0</v>
      </c>
      <c r="F40" s="12">
        <v>5100</v>
      </c>
      <c r="G40" s="12"/>
      <c r="H40" s="12"/>
      <c r="I40" s="392"/>
    </row>
    <row r="41" spans="1:9" ht="18">
      <c r="A41" s="16">
        <v>54105</v>
      </c>
      <c r="B41" s="17" t="s">
        <v>45</v>
      </c>
      <c r="C41" s="12">
        <v>12500</v>
      </c>
      <c r="D41" s="12">
        <v>0</v>
      </c>
      <c r="E41" s="12">
        <v>0</v>
      </c>
      <c r="F41" s="12">
        <f>300+6911.9</f>
        <v>7211.9</v>
      </c>
      <c r="G41" s="12"/>
      <c r="H41" s="12"/>
      <c r="I41" s="392"/>
    </row>
    <row r="42" spans="1:9" ht="18">
      <c r="A42" s="16">
        <v>54106</v>
      </c>
      <c r="B42" s="17" t="s">
        <v>46</v>
      </c>
      <c r="C42" s="12">
        <f t="shared" si="8"/>
        <v>0</v>
      </c>
      <c r="D42" s="12">
        <v>0</v>
      </c>
      <c r="E42" s="12">
        <v>0</v>
      </c>
      <c r="F42" s="12">
        <v>2252</v>
      </c>
      <c r="G42" s="12"/>
      <c r="H42" s="12"/>
      <c r="I42" s="392"/>
    </row>
    <row r="43" spans="1:9" ht="18">
      <c r="A43" s="16">
        <v>54107</v>
      </c>
      <c r="B43" s="17" t="s">
        <v>47</v>
      </c>
      <c r="C43" s="12">
        <f t="shared" si="8"/>
        <v>0</v>
      </c>
      <c r="D43" s="12">
        <v>0</v>
      </c>
      <c r="E43" s="12">
        <v>0</v>
      </c>
      <c r="F43" s="12">
        <f>7000+10457.14</f>
        <v>17457.14</v>
      </c>
      <c r="G43" s="12"/>
      <c r="H43" s="12"/>
      <c r="I43" s="392"/>
    </row>
    <row r="44" spans="1:9" ht="18">
      <c r="A44" s="16">
        <v>54108</v>
      </c>
      <c r="B44" s="17" t="s">
        <v>48</v>
      </c>
      <c r="C44" s="12">
        <f t="shared" si="8"/>
        <v>0</v>
      </c>
      <c r="D44" s="12">
        <v>0</v>
      </c>
      <c r="E44" s="12">
        <v>0</v>
      </c>
      <c r="F44" s="12">
        <v>0</v>
      </c>
      <c r="G44" s="12"/>
      <c r="H44" s="12"/>
      <c r="I44" s="392"/>
    </row>
    <row r="45" spans="1:9" ht="18">
      <c r="A45" s="16">
        <v>54109</v>
      </c>
      <c r="B45" s="17" t="s">
        <v>49</v>
      </c>
      <c r="C45" s="12">
        <v>5000</v>
      </c>
      <c r="D45" s="12">
        <v>0</v>
      </c>
      <c r="E45" s="12">
        <v>0</v>
      </c>
      <c r="F45" s="12">
        <v>1475</v>
      </c>
      <c r="G45" s="12"/>
      <c r="H45" s="12"/>
      <c r="I45" s="392"/>
    </row>
    <row r="46" spans="1:9" ht="18">
      <c r="A46" s="16">
        <v>54110</v>
      </c>
      <c r="B46" s="17" t="s">
        <v>50</v>
      </c>
      <c r="C46" s="12">
        <v>13400</v>
      </c>
      <c r="D46" s="12">
        <v>0</v>
      </c>
      <c r="E46" s="12">
        <v>0</v>
      </c>
      <c r="F46" s="12">
        <v>3640.5</v>
      </c>
      <c r="G46" s="12"/>
      <c r="H46" s="12"/>
      <c r="I46" s="392"/>
    </row>
    <row r="47" spans="1:9" ht="43.5" customHeight="1">
      <c r="A47" s="16">
        <v>54111</v>
      </c>
      <c r="B47" s="21" t="s">
        <v>51</v>
      </c>
      <c r="C47" s="12">
        <f t="shared" si="8"/>
        <v>0</v>
      </c>
      <c r="D47" s="12">
        <v>0</v>
      </c>
      <c r="E47" s="12">
        <v>0</v>
      </c>
      <c r="F47" s="12">
        <v>300</v>
      </c>
      <c r="G47" s="12"/>
      <c r="H47" s="12"/>
      <c r="I47" s="392"/>
    </row>
    <row r="48" spans="1:9" ht="40.5" customHeight="1">
      <c r="A48" s="16">
        <v>54112</v>
      </c>
      <c r="B48" s="21" t="s">
        <v>52</v>
      </c>
      <c r="C48" s="12">
        <f t="shared" si="8"/>
        <v>0</v>
      </c>
      <c r="D48" s="12">
        <v>0</v>
      </c>
      <c r="E48" s="12">
        <v>0</v>
      </c>
      <c r="F48" s="12">
        <v>400</v>
      </c>
      <c r="G48" s="12"/>
      <c r="H48" s="12"/>
      <c r="I48" s="392"/>
    </row>
    <row r="49" spans="1:9" ht="18">
      <c r="A49" s="16">
        <v>54114</v>
      </c>
      <c r="B49" s="17" t="s">
        <v>53</v>
      </c>
      <c r="C49" s="12">
        <v>6400</v>
      </c>
      <c r="D49" s="12">
        <v>0</v>
      </c>
      <c r="E49" s="12">
        <v>0</v>
      </c>
      <c r="F49" s="12">
        <f>300+4940.7</f>
        <v>5240.7</v>
      </c>
      <c r="G49" s="12"/>
      <c r="H49" s="12"/>
      <c r="I49" s="392"/>
    </row>
    <row r="50" spans="1:9" ht="18">
      <c r="A50" s="16">
        <v>54115</v>
      </c>
      <c r="B50" s="17" t="s">
        <v>54</v>
      </c>
      <c r="C50" s="12">
        <v>3000</v>
      </c>
      <c r="D50" s="12">
        <v>0</v>
      </c>
      <c r="E50" s="12">
        <v>0</v>
      </c>
      <c r="F50" s="12">
        <v>11787.34</v>
      </c>
      <c r="G50" s="12"/>
      <c r="H50" s="12"/>
      <c r="I50" s="392"/>
    </row>
    <row r="51" spans="1:9" ht="42" customHeight="1">
      <c r="A51" s="16">
        <v>54116</v>
      </c>
      <c r="B51" s="21" t="s">
        <v>55</v>
      </c>
      <c r="C51" s="12">
        <f t="shared" si="8"/>
        <v>0</v>
      </c>
      <c r="D51" s="12">
        <v>0</v>
      </c>
      <c r="E51" s="12">
        <v>0</v>
      </c>
      <c r="F51" s="12">
        <v>1000</v>
      </c>
      <c r="G51" s="12"/>
      <c r="H51" s="12"/>
      <c r="I51" s="392"/>
    </row>
    <row r="52" spans="1:9" ht="45" customHeight="1">
      <c r="A52" s="16">
        <v>54117</v>
      </c>
      <c r="B52" s="21" t="s">
        <v>56</v>
      </c>
      <c r="C52" s="12">
        <f t="shared" si="8"/>
        <v>0</v>
      </c>
      <c r="D52" s="12">
        <v>0</v>
      </c>
      <c r="E52" s="12">
        <v>0</v>
      </c>
      <c r="F52" s="12">
        <v>0</v>
      </c>
      <c r="G52" s="12"/>
      <c r="H52" s="12"/>
      <c r="I52" s="392"/>
    </row>
    <row r="53" spans="1:9" ht="18">
      <c r="A53" s="16">
        <v>54118</v>
      </c>
      <c r="B53" s="17" t="s">
        <v>57</v>
      </c>
      <c r="C53" s="12">
        <v>3000</v>
      </c>
      <c r="D53" s="12">
        <v>0</v>
      </c>
      <c r="E53" s="12">
        <v>0</v>
      </c>
      <c r="F53" s="12">
        <f>300+5239.8</f>
        <v>5539.8</v>
      </c>
      <c r="G53" s="12"/>
      <c r="H53" s="12"/>
      <c r="I53" s="392"/>
    </row>
    <row r="54" spans="1:9" ht="18">
      <c r="A54" s="16">
        <v>54119</v>
      </c>
      <c r="B54" s="17" t="s">
        <v>58</v>
      </c>
      <c r="C54" s="12">
        <f t="shared" si="8"/>
        <v>0</v>
      </c>
      <c r="D54" s="12">
        <v>0</v>
      </c>
      <c r="E54" s="12">
        <v>0</v>
      </c>
      <c r="F54" s="12">
        <v>500</v>
      </c>
      <c r="G54" s="12"/>
      <c r="H54" s="12"/>
      <c r="I54" s="392"/>
    </row>
    <row r="55" spans="1:9" ht="18">
      <c r="A55" s="16">
        <v>54121</v>
      </c>
      <c r="B55" s="17" t="s">
        <v>59</v>
      </c>
      <c r="C55" s="12">
        <v>11400</v>
      </c>
      <c r="D55" s="12">
        <v>0</v>
      </c>
      <c r="E55" s="12">
        <v>0</v>
      </c>
      <c r="F55" s="12">
        <v>0</v>
      </c>
      <c r="G55" s="12"/>
      <c r="H55" s="12"/>
      <c r="I55" s="392"/>
    </row>
    <row r="56" spans="1:9" ht="18">
      <c r="A56" s="16">
        <v>54199</v>
      </c>
      <c r="B56" s="17" t="s">
        <v>60</v>
      </c>
      <c r="C56" s="12">
        <f t="shared" si="8"/>
        <v>0</v>
      </c>
      <c r="D56" s="12">
        <v>0</v>
      </c>
      <c r="E56" s="12">
        <v>0</v>
      </c>
      <c r="F56" s="12">
        <v>8333.4500000000007</v>
      </c>
      <c r="G56" s="12"/>
      <c r="H56" s="12"/>
      <c r="I56" s="392"/>
    </row>
    <row r="57" spans="1:9" ht="18">
      <c r="A57" s="6">
        <v>542</v>
      </c>
      <c r="B57" s="20" t="s">
        <v>61</v>
      </c>
      <c r="C57" s="19">
        <f t="shared" ref="C57:H57" si="9">SUM(C58:C62)</f>
        <v>121260</v>
      </c>
      <c r="D57" s="19">
        <f>SUM(D58:D62)</f>
        <v>0</v>
      </c>
      <c r="E57" s="19">
        <f t="shared" si="9"/>
        <v>0</v>
      </c>
      <c r="F57" s="19">
        <f>SUM(F58:F62)</f>
        <v>10700</v>
      </c>
      <c r="G57" s="19">
        <f t="shared" si="9"/>
        <v>0</v>
      </c>
      <c r="H57" s="19">
        <f t="shared" si="9"/>
        <v>0</v>
      </c>
      <c r="I57" s="392"/>
    </row>
    <row r="58" spans="1:9" ht="18">
      <c r="A58" s="16">
        <v>54205</v>
      </c>
      <c r="B58" s="17" t="s">
        <v>62</v>
      </c>
      <c r="C58" s="12">
        <v>47700</v>
      </c>
      <c r="D58" s="12">
        <v>0</v>
      </c>
      <c r="E58" s="12">
        <v>0</v>
      </c>
      <c r="F58" s="12">
        <v>0</v>
      </c>
      <c r="G58" s="12"/>
      <c r="H58" s="12"/>
      <c r="I58" s="392"/>
    </row>
    <row r="59" spans="1:9" ht="18">
      <c r="A59" s="16">
        <v>54201</v>
      </c>
      <c r="B59" s="17" t="s">
        <v>63</v>
      </c>
      <c r="C59" s="12">
        <v>26700</v>
      </c>
      <c r="D59" s="12">
        <v>0</v>
      </c>
      <c r="E59" s="12">
        <v>0</v>
      </c>
      <c r="F59" s="12">
        <f>4000+1000</f>
        <v>5000</v>
      </c>
      <c r="G59" s="12"/>
      <c r="H59" s="12"/>
      <c r="I59" s="392"/>
    </row>
    <row r="60" spans="1:9" ht="18">
      <c r="A60" s="16">
        <v>54202</v>
      </c>
      <c r="B60" s="17" t="s">
        <v>64</v>
      </c>
      <c r="C60" s="12">
        <v>20160</v>
      </c>
      <c r="D60" s="12">
        <v>0</v>
      </c>
      <c r="E60" s="12">
        <v>0</v>
      </c>
      <c r="F60" s="12">
        <f>1200+2000</f>
        <v>3200</v>
      </c>
      <c r="G60" s="12"/>
      <c r="H60" s="12"/>
      <c r="I60" s="392"/>
    </row>
    <row r="61" spans="1:9" ht="18">
      <c r="A61" s="16">
        <v>54203</v>
      </c>
      <c r="B61" s="17" t="s">
        <v>65</v>
      </c>
      <c r="C61" s="12">
        <v>26700</v>
      </c>
      <c r="D61" s="12">
        <v>0</v>
      </c>
      <c r="E61" s="12">
        <v>0</v>
      </c>
      <c r="F61" s="12">
        <f>500+2000</f>
        <v>2500</v>
      </c>
      <c r="G61" s="12"/>
      <c r="H61" s="12"/>
      <c r="I61" s="392"/>
    </row>
    <row r="62" spans="1:9" ht="18">
      <c r="A62" s="16">
        <v>54204</v>
      </c>
      <c r="B62" s="22" t="s">
        <v>66</v>
      </c>
      <c r="C62" s="12">
        <f t="shared" si="8"/>
        <v>0</v>
      </c>
      <c r="D62" s="12">
        <v>0</v>
      </c>
      <c r="E62" s="12">
        <v>0</v>
      </c>
      <c r="F62" s="12">
        <v>0</v>
      </c>
      <c r="G62" s="12"/>
      <c r="H62" s="12"/>
      <c r="I62" s="392"/>
    </row>
    <row r="63" spans="1:9" ht="18">
      <c r="A63" s="6">
        <v>543</v>
      </c>
      <c r="B63" s="20" t="s">
        <v>67</v>
      </c>
      <c r="C63" s="19">
        <f t="shared" ref="C63:H63" si="10">SUM(C64:C79)</f>
        <v>15400</v>
      </c>
      <c r="D63" s="19">
        <f>SUM(D64:D79)</f>
        <v>0</v>
      </c>
      <c r="E63" s="19">
        <f t="shared" si="10"/>
        <v>0</v>
      </c>
      <c r="F63" s="19">
        <f>SUM(F64:F79)</f>
        <v>19199.5</v>
      </c>
      <c r="G63" s="19">
        <f t="shared" si="10"/>
        <v>0</v>
      </c>
      <c r="H63" s="19">
        <f t="shared" si="10"/>
        <v>0</v>
      </c>
      <c r="I63" s="392"/>
    </row>
    <row r="64" spans="1:9" ht="18">
      <c r="A64" s="16">
        <v>54301</v>
      </c>
      <c r="B64" s="17" t="s">
        <v>68</v>
      </c>
      <c r="C64" s="12">
        <f t="shared" si="8"/>
        <v>0</v>
      </c>
      <c r="D64" s="12">
        <v>0</v>
      </c>
      <c r="E64" s="12">
        <v>0</v>
      </c>
      <c r="F64" s="12">
        <v>3300</v>
      </c>
      <c r="G64" s="12"/>
      <c r="H64" s="12"/>
      <c r="I64" s="392"/>
    </row>
    <row r="65" spans="1:9" ht="18">
      <c r="A65" s="16">
        <v>54302</v>
      </c>
      <c r="B65" s="17" t="s">
        <v>69</v>
      </c>
      <c r="C65" s="12">
        <v>15000</v>
      </c>
      <c r="D65" s="12">
        <v>0</v>
      </c>
      <c r="E65" s="12">
        <v>0</v>
      </c>
      <c r="F65" s="12">
        <v>2000</v>
      </c>
      <c r="G65" s="12"/>
      <c r="H65" s="12"/>
      <c r="I65" s="392"/>
    </row>
    <row r="66" spans="1:9" ht="18">
      <c r="A66" s="16">
        <v>54303</v>
      </c>
      <c r="B66" s="17" t="s">
        <v>70</v>
      </c>
      <c r="C66" s="12">
        <f t="shared" si="8"/>
        <v>0</v>
      </c>
      <c r="D66" s="12">
        <v>0</v>
      </c>
      <c r="E66" s="12">
        <v>0</v>
      </c>
      <c r="F66" s="12">
        <v>0</v>
      </c>
      <c r="G66" s="12"/>
      <c r="H66" s="12"/>
      <c r="I66" s="392"/>
    </row>
    <row r="67" spans="1:9" ht="18">
      <c r="A67" s="16">
        <v>54304</v>
      </c>
      <c r="B67" s="17" t="s">
        <v>71</v>
      </c>
      <c r="C67" s="12">
        <f t="shared" si="8"/>
        <v>0</v>
      </c>
      <c r="D67" s="12">
        <v>0</v>
      </c>
      <c r="E67" s="12">
        <v>0</v>
      </c>
      <c r="F67" s="12">
        <v>1500</v>
      </c>
      <c r="G67" s="12"/>
      <c r="H67" s="12"/>
      <c r="I67" s="392"/>
    </row>
    <row r="68" spans="1:9" ht="18">
      <c r="A68" s="16">
        <v>54305</v>
      </c>
      <c r="B68" s="17" t="s">
        <v>72</v>
      </c>
      <c r="C68" s="12">
        <v>400</v>
      </c>
      <c r="D68" s="12">
        <v>0</v>
      </c>
      <c r="E68" s="12">
        <v>0</v>
      </c>
      <c r="F68" s="12">
        <v>0</v>
      </c>
      <c r="G68" s="12"/>
      <c r="H68" s="12"/>
      <c r="I68" s="392"/>
    </row>
    <row r="69" spans="1:9" ht="18">
      <c r="A69" s="16">
        <v>54306</v>
      </c>
      <c r="B69" s="17" t="s">
        <v>73</v>
      </c>
      <c r="C69" s="12">
        <f t="shared" si="8"/>
        <v>0</v>
      </c>
      <c r="D69" s="12">
        <v>0</v>
      </c>
      <c r="E69" s="12">
        <v>0</v>
      </c>
      <c r="F69" s="12">
        <f>+'[1]LT 0102'!D70+'[1]LT 0103'!D70+'[1]LT 0105'!D70+'[1]LT 0106'!D70+'[1]LT 0201'!D70+'[1]LT 0202'!D70+'[1]LT 0203'!D70+'[1]LT 0204'!D70+'[1]LT 0205'!D70+'[1]LT 0301'!D70+'[1]LT 0302'!D70+'[1]LT 0303'!D70+'[1]LT 0304'!D70+'[1]LT 0305'!D70+'[1]LT 0306'!D70+'[1]LT 0307'!D70+'[1]LT 0308'!D70+'[1]LT 0309'!D70+'[1]LT 0310'!D70</f>
        <v>0</v>
      </c>
      <c r="G69" s="12"/>
      <c r="H69" s="12"/>
      <c r="I69" s="392"/>
    </row>
    <row r="70" spans="1:9" ht="18">
      <c r="A70" s="16">
        <v>54307</v>
      </c>
      <c r="B70" s="17" t="s">
        <v>74</v>
      </c>
      <c r="C70" s="12">
        <f t="shared" si="8"/>
        <v>0</v>
      </c>
      <c r="D70" s="12">
        <v>0</v>
      </c>
      <c r="E70" s="12">
        <v>0</v>
      </c>
      <c r="F70" s="12">
        <f>600+1000</f>
        <v>1600</v>
      </c>
      <c r="G70" s="12"/>
      <c r="H70" s="12"/>
      <c r="I70" s="392"/>
    </row>
    <row r="71" spans="1:9" ht="18">
      <c r="A71" s="16">
        <v>54309</v>
      </c>
      <c r="B71" s="17" t="s">
        <v>75</v>
      </c>
      <c r="C71" s="12">
        <f t="shared" si="8"/>
        <v>0</v>
      </c>
      <c r="D71" s="12">
        <v>0</v>
      </c>
      <c r="E71" s="12">
        <v>0</v>
      </c>
      <c r="F71" s="12">
        <f>+'[1]LT 0102'!D72+'[1]LT 0103'!D72+'[1]LT 0105'!D72+'[1]LT 0106'!D72+'[1]LT 0201'!D72+'[1]LT 0202'!D72+'[1]LT 0203'!D72+'[1]LT 0204'!D72+'[1]LT 0205'!D72+'[1]LT 0301'!D72+'[1]LT 0302'!D72+'[1]LT 0303'!D72+'[1]LT 0304'!D72+'[1]LT 0305'!D72+'[1]LT 0306'!D72+'[1]LT 0307'!D72+'[1]LT 0308'!D72+'[1]LT 0309'!D72+'[1]LT 0310'!D72</f>
        <v>0</v>
      </c>
      <c r="G71" s="12"/>
      <c r="H71" s="12"/>
      <c r="I71" s="392"/>
    </row>
    <row r="72" spans="1:9" ht="18">
      <c r="A72" s="16">
        <v>54310</v>
      </c>
      <c r="B72" s="17" t="s">
        <v>76</v>
      </c>
      <c r="C72" s="12">
        <f t="shared" si="8"/>
        <v>0</v>
      </c>
      <c r="D72" s="12">
        <v>0</v>
      </c>
      <c r="E72" s="12">
        <v>0</v>
      </c>
      <c r="F72" s="12">
        <f>+'[1]LT 0102'!D73+'[1]LT 0103'!D73+'[1]LT 0105'!D73+'[1]LT 0106'!D73+'[1]LT 0201'!D73+'[1]LT 0202'!D73+'[1]LT 0203'!D73+'[1]LT 0204'!D73+'[1]LT 0205'!D73+'[1]LT 0301'!D73+'[1]LT 0302'!D73+'[1]LT 0303'!D73+'[1]LT 0304'!D73+'[1]LT 0305'!D73+'[1]LT 0306'!D73+'[1]LT 0307'!D73+'[1]LT 0308'!D73+'[1]LT 0309'!D73+'[1]LT 0310'!D73</f>
        <v>0</v>
      </c>
      <c r="G72" s="12"/>
      <c r="H72" s="12"/>
      <c r="I72" s="392"/>
    </row>
    <row r="73" spans="1:9" ht="18">
      <c r="A73" s="16">
        <v>54311</v>
      </c>
      <c r="B73" s="17" t="s">
        <v>77</v>
      </c>
      <c r="C73" s="12">
        <f t="shared" si="8"/>
        <v>0</v>
      </c>
      <c r="D73" s="12">
        <v>0</v>
      </c>
      <c r="E73" s="12">
        <v>0</v>
      </c>
      <c r="F73" s="12">
        <f>+'[1]LT 0102'!D74+'[1]LT 0103'!D74+'[1]LT 0105'!D74+'[1]LT 0106'!D74+'[1]LT 0201'!D74+'[1]LT 0202'!D74+'[1]LT 0203'!D74+'[1]LT 0204'!D74+'[1]LT 0205'!D74+'[1]LT 0301'!D74+'[1]LT 0302'!D74+'[1]LT 0303'!D74+'[1]LT 0304'!D74+'[1]LT 0305'!D74+'[1]LT 0306'!D74+'[1]LT 0307'!D74+'[1]LT 0308'!D74+'[1]LT 0309'!D74+'[1]LT 0310'!D74</f>
        <v>0</v>
      </c>
      <c r="G73" s="12"/>
      <c r="H73" s="12"/>
      <c r="I73" s="392"/>
    </row>
    <row r="74" spans="1:9" ht="18">
      <c r="A74" s="16">
        <v>54313</v>
      </c>
      <c r="B74" s="17" t="s">
        <v>78</v>
      </c>
      <c r="C74" s="12">
        <f t="shared" si="8"/>
        <v>0</v>
      </c>
      <c r="D74" s="12">
        <v>0</v>
      </c>
      <c r="E74" s="12">
        <v>0</v>
      </c>
      <c r="F74" s="12">
        <v>1167</v>
      </c>
      <c r="G74" s="12"/>
      <c r="H74" s="12"/>
      <c r="I74" s="392"/>
    </row>
    <row r="75" spans="1:9" ht="18">
      <c r="A75" s="23">
        <v>54316</v>
      </c>
      <c r="B75" s="17" t="s">
        <v>79</v>
      </c>
      <c r="C75" s="12">
        <f t="shared" si="8"/>
        <v>0</v>
      </c>
      <c r="D75" s="12">
        <v>0</v>
      </c>
      <c r="E75" s="12">
        <v>0</v>
      </c>
      <c r="F75" s="12">
        <v>0</v>
      </c>
      <c r="G75" s="12"/>
      <c r="H75" s="12"/>
      <c r="I75" s="392"/>
    </row>
    <row r="76" spans="1:9" ht="18">
      <c r="A76" s="23">
        <v>54317</v>
      </c>
      <c r="B76" s="17" t="s">
        <v>80</v>
      </c>
      <c r="C76" s="12">
        <f t="shared" si="8"/>
        <v>0</v>
      </c>
      <c r="D76" s="12">
        <v>0</v>
      </c>
      <c r="E76" s="12">
        <v>0</v>
      </c>
      <c r="F76" s="12">
        <v>0</v>
      </c>
      <c r="G76" s="12"/>
      <c r="H76" s="12"/>
      <c r="I76" s="392"/>
    </row>
    <row r="77" spans="1:9" ht="18">
      <c r="A77" s="24">
        <v>54314</v>
      </c>
      <c r="B77" s="17" t="s">
        <v>81</v>
      </c>
      <c r="C77" s="12">
        <f t="shared" si="8"/>
        <v>0</v>
      </c>
      <c r="D77" s="12">
        <v>0</v>
      </c>
      <c r="E77" s="12">
        <v>0</v>
      </c>
      <c r="F77" s="12">
        <v>4832.5</v>
      </c>
      <c r="G77" s="12"/>
      <c r="H77" s="12"/>
      <c r="I77" s="392"/>
    </row>
    <row r="78" spans="1:9" ht="18">
      <c r="A78" s="24">
        <v>54318</v>
      </c>
      <c r="B78" s="25" t="s">
        <v>82</v>
      </c>
      <c r="C78" s="12">
        <f t="shared" si="8"/>
        <v>0</v>
      </c>
      <c r="D78" s="12">
        <v>0</v>
      </c>
      <c r="E78" s="12">
        <v>0</v>
      </c>
      <c r="F78" s="12">
        <v>4800</v>
      </c>
      <c r="G78" s="12"/>
      <c r="H78" s="12"/>
      <c r="I78" s="392"/>
    </row>
    <row r="79" spans="1:9" ht="18">
      <c r="A79" s="16">
        <v>54399</v>
      </c>
      <c r="B79" s="25" t="s">
        <v>83</v>
      </c>
      <c r="C79" s="12">
        <f t="shared" si="8"/>
        <v>0</v>
      </c>
      <c r="D79" s="12">
        <v>0</v>
      </c>
      <c r="E79" s="12">
        <v>0</v>
      </c>
      <c r="F79" s="12">
        <v>0</v>
      </c>
      <c r="G79" s="12"/>
      <c r="H79" s="12"/>
      <c r="I79" s="392"/>
    </row>
    <row r="80" spans="1:9" ht="18">
      <c r="A80" s="6">
        <v>544</v>
      </c>
      <c r="B80" s="26" t="s">
        <v>84</v>
      </c>
      <c r="C80" s="19">
        <f t="shared" ref="C80:H80" si="11">SUM(C81:C90)</f>
        <v>4100</v>
      </c>
      <c r="D80" s="19" t="e">
        <f>SUM(D81:D90)</f>
        <v>#REF!</v>
      </c>
      <c r="E80" s="19">
        <f t="shared" si="11"/>
        <v>0</v>
      </c>
      <c r="F80" s="19">
        <f>SUM(F81:F90)</f>
        <v>350</v>
      </c>
      <c r="G80" s="19">
        <f t="shared" si="11"/>
        <v>0</v>
      </c>
      <c r="H80" s="19">
        <f t="shared" si="11"/>
        <v>0</v>
      </c>
      <c r="I80" s="392"/>
    </row>
    <row r="81" spans="1:9" ht="18">
      <c r="A81" s="16">
        <v>54401</v>
      </c>
      <c r="B81" s="17" t="s">
        <v>85</v>
      </c>
      <c r="C81" s="12">
        <f t="shared" si="8"/>
        <v>0</v>
      </c>
      <c r="D81" s="12">
        <v>0</v>
      </c>
      <c r="E81" s="12">
        <v>0</v>
      </c>
      <c r="F81" s="12">
        <v>0</v>
      </c>
      <c r="G81" s="12"/>
      <c r="H81" s="12"/>
      <c r="I81" s="392"/>
    </row>
    <row r="82" spans="1:9" ht="18">
      <c r="A82" s="16">
        <v>54404</v>
      </c>
      <c r="B82" s="17" t="s">
        <v>86</v>
      </c>
      <c r="C82" s="12">
        <v>4100</v>
      </c>
      <c r="D82" s="12">
        <v>0</v>
      </c>
      <c r="E82" s="12">
        <v>0</v>
      </c>
      <c r="F82" s="12">
        <f>+'[1]LT 0102'!D83+'[1]LT 0103'!D83+'[1]LT 0105'!D83+'[1]LT 0106'!D83+'[1]LT 0201'!D83+'[1]LT 0202'!D83+'[1]LT 0203'!D83+'[1]LT 0204'!D83+'[1]LT 0205'!D83+'[1]LT 0301'!D83+'[1]LT 0302'!D83+'[1]LT 0303'!D83+'[1]LT 0304'!D83+'[1]LT 0305'!D83+'[1]LT 0306'!D83+'[1]LT 0307'!D83+'[1]LT 0308'!D83+'[1]LT 0309'!D83+'[1]LT 0310'!D83</f>
        <v>0</v>
      </c>
      <c r="G82" s="12"/>
      <c r="H82" s="12"/>
      <c r="I82" s="392"/>
    </row>
    <row r="83" spans="1:9" ht="18">
      <c r="A83" s="16">
        <v>54403</v>
      </c>
      <c r="B83" s="17" t="s">
        <v>87</v>
      </c>
      <c r="C83" s="12">
        <f t="shared" si="8"/>
        <v>0</v>
      </c>
      <c r="D83" s="12">
        <v>0</v>
      </c>
      <c r="E83" s="12">
        <v>0</v>
      </c>
      <c r="F83" s="12">
        <v>350</v>
      </c>
      <c r="G83" s="12"/>
      <c r="H83" s="12"/>
      <c r="I83" s="392"/>
    </row>
    <row r="84" spans="1:9" ht="18">
      <c r="A84" s="16">
        <v>54501</v>
      </c>
      <c r="B84" s="17" t="s">
        <v>88</v>
      </c>
      <c r="C84" s="12">
        <f t="shared" si="8"/>
        <v>0</v>
      </c>
      <c r="D84" s="12">
        <v>0</v>
      </c>
      <c r="E84" s="12">
        <v>0</v>
      </c>
      <c r="F84" s="12">
        <v>0</v>
      </c>
      <c r="G84" s="12"/>
      <c r="H84" s="12"/>
      <c r="I84" s="392"/>
    </row>
    <row r="85" spans="1:9" ht="18">
      <c r="A85" s="16">
        <v>54503</v>
      </c>
      <c r="B85" s="17" t="s">
        <v>89</v>
      </c>
      <c r="C85" s="12">
        <f t="shared" si="8"/>
        <v>0</v>
      </c>
      <c r="D85" s="12">
        <v>0</v>
      </c>
      <c r="E85" s="12">
        <v>0</v>
      </c>
      <c r="F85" s="12">
        <v>0</v>
      </c>
      <c r="G85" s="12"/>
      <c r="H85" s="12"/>
      <c r="I85" s="392"/>
    </row>
    <row r="86" spans="1:9" ht="18">
      <c r="A86" s="16">
        <v>54505</v>
      </c>
      <c r="B86" s="17" t="s">
        <v>90</v>
      </c>
      <c r="C86" s="12">
        <f t="shared" si="8"/>
        <v>0</v>
      </c>
      <c r="D86" s="12">
        <v>0</v>
      </c>
      <c r="E86" s="12">
        <v>0</v>
      </c>
      <c r="F86" s="12">
        <f>+'[1]LT 0102'!D87+'[1]LT 0103'!D87+'[1]LT 0105'!D87+'[1]LT 0106'!D87+'[1]LT 0201'!D87+'[1]LT 0202'!D87+'[1]LT 0203'!D87+'[1]LT 0204'!D87+'[1]LT 0205'!D87+'[1]LT 0301'!D87+'[1]LT 0302'!D87+'[1]LT 0303'!D87+'[1]LT 0304'!D87+'[1]LT 0305'!D87+'[1]LT 0306'!D87+'[1]LT 0307'!D87+'[1]LT 0308'!D87+'[1]LT 0309'!D87+'[1]LT 0310'!D87</f>
        <v>0</v>
      </c>
      <c r="G86" s="12"/>
      <c r="H86" s="12"/>
      <c r="I86" s="392"/>
    </row>
    <row r="87" spans="1:9" ht="18">
      <c r="A87" s="16">
        <v>54507</v>
      </c>
      <c r="B87" s="17" t="s">
        <v>91</v>
      </c>
      <c r="C87" s="12">
        <f t="shared" si="8"/>
        <v>0</v>
      </c>
      <c r="D87" s="12">
        <v>0</v>
      </c>
      <c r="E87" s="12">
        <v>0</v>
      </c>
      <c r="F87" s="12">
        <f>+'[1]LT 0102'!D88+'[1]LT 0103'!D88+'[1]LT 0105'!D88+'[1]LT 0106'!D88+'[1]LT 0201'!D88+'[1]LT 0202'!D88+'[1]LT 0203'!D88+'[1]LT 0204'!D88+'[1]LT 0205'!D88+'[1]LT 0301'!D88+'[1]LT 0302'!D88+'[1]LT 0303'!D88+'[1]LT 0304'!D88+'[1]LT 0305'!D88+'[1]LT 0306'!D88+'[1]LT 0307'!D88+'[1]LT 0308'!D88+'[1]LT 0309'!D88+'[1]LT 0310'!D88</f>
        <v>0</v>
      </c>
      <c r="G87" s="12"/>
      <c r="H87" s="12"/>
      <c r="I87" s="392"/>
    </row>
    <row r="88" spans="1:9" ht="18">
      <c r="A88" s="16">
        <v>54599</v>
      </c>
      <c r="B88" s="17" t="s">
        <v>92</v>
      </c>
      <c r="C88" s="12">
        <f t="shared" si="8"/>
        <v>0</v>
      </c>
      <c r="D88" s="457" t="e">
        <f>+'PROYECTOS 2016'!#REF!</f>
        <v>#REF!</v>
      </c>
      <c r="E88" s="12">
        <v>0</v>
      </c>
      <c r="F88" s="12">
        <f>+'[1]LT 0102'!D89+'[1]LT 0103'!D89+'[1]LT 0105'!D89+'[1]LT 0106'!D89+'[1]LT 0201'!D89+'[1]LT 0202'!D89+'[1]LT 0203'!D89+'[1]LT 0204'!D89+'[1]LT 0205'!D89+'[1]LT 0301'!D89+'[1]LT 0302'!D89+'[1]LT 0303'!D89+'[1]LT 0304'!D89+'[1]LT 0305'!D89+'[1]LT 0306'!D89+'[1]LT 0307'!D89+'[1]LT 0308'!D89+'[1]LT 0309'!D89+'[1]LT 0310'!D89</f>
        <v>0</v>
      </c>
      <c r="G88" s="12"/>
      <c r="H88" s="12"/>
      <c r="I88" s="392"/>
    </row>
    <row r="89" spans="1:9" ht="18">
      <c r="A89" s="16">
        <v>54508</v>
      </c>
      <c r="B89" s="17" t="s">
        <v>93</v>
      </c>
      <c r="C89" s="12">
        <f t="shared" si="8"/>
        <v>0</v>
      </c>
      <c r="D89" s="12">
        <v>0</v>
      </c>
      <c r="E89" s="12">
        <v>0</v>
      </c>
      <c r="F89" s="12">
        <f>+'[1]LT 0102'!D90+'[1]LT 0103'!D90+'[1]LT 0105'!D90+'[1]LT 0106'!D90+'[1]LT 0201'!D90+'[1]LT 0202'!D90+'[1]LT 0203'!D90+'[1]LT 0204'!D90+'[1]LT 0205'!D90+'[1]LT 0301'!D90+'[1]LT 0302'!D90+'[1]LT 0303'!D90+'[1]LT 0304'!D90+'[1]LT 0305'!D90+'[1]LT 0306'!D90+'[1]LT 0307'!D90+'[1]LT 0308'!D90+'[1]LT 0309'!D90+'[1]LT 0310'!D90</f>
        <v>0</v>
      </c>
      <c r="G89" s="12"/>
      <c r="H89" s="12"/>
      <c r="I89" s="392"/>
    </row>
    <row r="90" spans="1:9" ht="18">
      <c r="A90" s="16">
        <v>54699</v>
      </c>
      <c r="B90" s="17" t="s">
        <v>94</v>
      </c>
      <c r="C90" s="12">
        <f t="shared" si="8"/>
        <v>0</v>
      </c>
      <c r="D90" s="12">
        <v>0</v>
      </c>
      <c r="E90" s="12">
        <v>0</v>
      </c>
      <c r="F90" s="12">
        <f>+'[1]LT 0102'!D91+'[1]LT 0103'!D91+'[1]LT 0105'!D91+'[1]LT 0106'!D91+'[1]LT 0201'!D91+'[1]LT 0202'!D91+'[1]LT 0203'!D91+'[1]LT 0204'!D91+'[1]LT 0205'!D91+'[1]LT 0301'!D91+'[1]LT 0302'!D91+'[1]LT 0303'!D91+'[1]LT 0304'!D91+'[1]LT 0305'!D91+'[1]LT 0306'!D91+'[1]LT 0307'!D91+'[1]LT 0308'!D91+'[1]LT 0309'!D91+'[1]LT 0310'!D91</f>
        <v>0</v>
      </c>
      <c r="G90" s="12"/>
      <c r="H90" s="12"/>
      <c r="I90" s="392"/>
    </row>
    <row r="91" spans="1:9" ht="18">
      <c r="A91" s="6">
        <v>55</v>
      </c>
      <c r="B91" s="20" t="s">
        <v>95</v>
      </c>
      <c r="C91" s="19">
        <f t="shared" ref="C91:H91" si="12">SUM(C94,C96,C100,)+C92</f>
        <v>4495.8100000000004</v>
      </c>
      <c r="D91" s="19">
        <f>SUM(D94,D96,D100,)+D92</f>
        <v>0</v>
      </c>
      <c r="E91" s="19">
        <f t="shared" si="12"/>
        <v>0</v>
      </c>
      <c r="F91" s="19">
        <f>SUM(F94,F96,F100,)+F92</f>
        <v>8500</v>
      </c>
      <c r="G91" s="19">
        <f t="shared" si="12"/>
        <v>32584</v>
      </c>
      <c r="H91" s="19">
        <f t="shared" si="12"/>
        <v>0</v>
      </c>
      <c r="I91" s="5">
        <f>SUM(C91:G91)</f>
        <v>45579.81</v>
      </c>
    </row>
    <row r="92" spans="1:9" ht="46.5" customHeight="1">
      <c r="A92" s="6">
        <v>553</v>
      </c>
      <c r="B92" s="18" t="s">
        <v>96</v>
      </c>
      <c r="C92" s="19">
        <f t="shared" ref="C92:H92" si="13">+C93</f>
        <v>0</v>
      </c>
      <c r="D92" s="19">
        <f t="shared" si="13"/>
        <v>0</v>
      </c>
      <c r="E92" s="19">
        <f t="shared" si="13"/>
        <v>0</v>
      </c>
      <c r="F92" s="19">
        <f t="shared" si="13"/>
        <v>0</v>
      </c>
      <c r="G92" s="19">
        <f t="shared" si="13"/>
        <v>32584</v>
      </c>
      <c r="H92" s="19">
        <f t="shared" si="13"/>
        <v>0</v>
      </c>
      <c r="I92" s="392"/>
    </row>
    <row r="93" spans="1:9" ht="18">
      <c r="A93" s="16">
        <v>55308</v>
      </c>
      <c r="B93" s="17" t="s">
        <v>97</v>
      </c>
      <c r="C93" s="12">
        <f t="shared" ref="C93:C101" si="14">+K93+O93</f>
        <v>0</v>
      </c>
      <c r="D93" s="12">
        <v>0</v>
      </c>
      <c r="E93" s="12">
        <v>0</v>
      </c>
      <c r="F93" s="12">
        <v>0</v>
      </c>
      <c r="G93" s="12">
        <v>32584</v>
      </c>
      <c r="H93" s="12"/>
      <c r="I93" s="392"/>
    </row>
    <row r="94" spans="1:9" ht="18">
      <c r="A94" s="6">
        <v>555</v>
      </c>
      <c r="B94" s="20" t="s">
        <v>98</v>
      </c>
      <c r="C94" s="19">
        <f>SUM(C95)</f>
        <v>0</v>
      </c>
      <c r="D94" s="19">
        <f>SUM(D95)</f>
        <v>0</v>
      </c>
      <c r="E94" s="19">
        <f>SUM(E95)</f>
        <v>0</v>
      </c>
      <c r="F94" s="19">
        <f>SUM(F95)</f>
        <v>0</v>
      </c>
      <c r="G94" s="393"/>
      <c r="H94" s="19">
        <f>SUM(H95)</f>
        <v>0</v>
      </c>
      <c r="I94" s="392"/>
    </row>
    <row r="95" spans="1:9" ht="18">
      <c r="A95" s="16">
        <v>55599</v>
      </c>
      <c r="B95" s="17" t="s">
        <v>99</v>
      </c>
      <c r="C95" s="12">
        <f t="shared" si="14"/>
        <v>0</v>
      </c>
      <c r="D95" s="12">
        <v>0</v>
      </c>
      <c r="E95" s="12">
        <v>0</v>
      </c>
      <c r="F95" s="12">
        <f>+'[1]LT 0102'!D96+'[1]LT 0103'!D96+'[1]LT 0105'!D96+'[1]LT 0106'!D96+'[1]LT 0201'!D96+'[1]LT 0202'!D96+'[1]LT 0203'!D96+'[1]LT 0204'!D96+'[1]LT 0205'!D96+'[1]LT 0301'!D96+'[1]LT 0302'!D96+'[1]LT 0303'!D96+'[1]LT 0304'!D96+'[1]LT 0305'!D96+'[1]LT 0306'!D96+'[1]LT 0307'!D96+'[1]LT 0308'!D96+'[1]LT 0309'!D96+'[1]LT 0310'!D96</f>
        <v>0</v>
      </c>
      <c r="G95" s="12"/>
      <c r="H95" s="12"/>
      <c r="I95" s="392"/>
    </row>
    <row r="96" spans="1:9" ht="18">
      <c r="A96" s="6">
        <v>556</v>
      </c>
      <c r="B96" s="20" t="s">
        <v>100</v>
      </c>
      <c r="C96" s="19">
        <f t="shared" ref="C96:I96" si="15">SUM(C97:C99)</f>
        <v>4495.8100000000004</v>
      </c>
      <c r="D96" s="19">
        <f t="shared" si="15"/>
        <v>0</v>
      </c>
      <c r="E96" s="19">
        <f t="shared" si="15"/>
        <v>0</v>
      </c>
      <c r="F96" s="19">
        <f>SUM(F97:F99)</f>
        <v>8500</v>
      </c>
      <c r="G96" s="19">
        <f t="shared" si="15"/>
        <v>0</v>
      </c>
      <c r="H96" s="19">
        <f t="shared" si="15"/>
        <v>0</v>
      </c>
      <c r="I96" s="19">
        <f t="shared" si="15"/>
        <v>0</v>
      </c>
    </row>
    <row r="97" spans="1:9" ht="18">
      <c r="A97" s="16">
        <v>55601</v>
      </c>
      <c r="B97" s="17" t="s">
        <v>101</v>
      </c>
      <c r="C97" s="12">
        <f t="shared" si="14"/>
        <v>0</v>
      </c>
      <c r="D97" s="12">
        <v>0</v>
      </c>
      <c r="E97" s="12">
        <v>0</v>
      </c>
      <c r="F97" s="12">
        <v>5000</v>
      </c>
      <c r="G97" s="12">
        <v>0</v>
      </c>
      <c r="H97" s="12"/>
      <c r="I97" s="394">
        <v>0</v>
      </c>
    </row>
    <row r="98" spans="1:9" ht="18">
      <c r="A98" s="16">
        <v>55602</v>
      </c>
      <c r="B98" s="17" t="s">
        <v>102</v>
      </c>
      <c r="C98" s="12">
        <v>4495.8100000000004</v>
      </c>
      <c r="D98" s="12">
        <v>0</v>
      </c>
      <c r="E98" s="12">
        <v>0</v>
      </c>
      <c r="F98" s="12">
        <v>3000</v>
      </c>
      <c r="G98" s="12">
        <v>0</v>
      </c>
      <c r="H98" s="12"/>
      <c r="I98" s="392"/>
    </row>
    <row r="99" spans="1:9" ht="18">
      <c r="A99" s="16">
        <v>55603</v>
      </c>
      <c r="B99" s="17" t="s">
        <v>103</v>
      </c>
      <c r="C99" s="12">
        <f t="shared" si="14"/>
        <v>0</v>
      </c>
      <c r="D99" s="12">
        <v>0</v>
      </c>
      <c r="E99" s="12">
        <v>0</v>
      </c>
      <c r="F99" s="12">
        <v>500</v>
      </c>
      <c r="G99" s="12">
        <v>0</v>
      </c>
      <c r="H99" s="12"/>
      <c r="I99" s="392"/>
    </row>
    <row r="100" spans="1:9" ht="18">
      <c r="A100" s="6">
        <v>557</v>
      </c>
      <c r="B100" s="20" t="s">
        <v>104</v>
      </c>
      <c r="C100" s="19">
        <f t="shared" ref="C100:H100" si="16">SUM(C101:C101)</f>
        <v>0</v>
      </c>
      <c r="D100" s="19">
        <f t="shared" si="16"/>
        <v>0</v>
      </c>
      <c r="E100" s="19">
        <f t="shared" si="16"/>
        <v>0</v>
      </c>
      <c r="F100" s="19">
        <f t="shared" si="16"/>
        <v>0</v>
      </c>
      <c r="G100" s="19">
        <f t="shared" si="16"/>
        <v>0</v>
      </c>
      <c r="H100" s="19">
        <f t="shared" si="16"/>
        <v>0</v>
      </c>
      <c r="I100" s="392"/>
    </row>
    <row r="101" spans="1:9" ht="18">
      <c r="A101" s="16">
        <v>55799</v>
      </c>
      <c r="B101" s="17" t="s">
        <v>105</v>
      </c>
      <c r="C101" s="12">
        <f t="shared" si="14"/>
        <v>0</v>
      </c>
      <c r="D101" s="12">
        <v>0</v>
      </c>
      <c r="E101" s="12">
        <v>0</v>
      </c>
      <c r="F101" s="12">
        <f>+'[1]LT 0102'!D102+'[1]LT 0103'!D102+'[1]LT 0105'!D102+'[1]LT 0106'!D102+'[1]LT 0201'!D102+'[1]LT 0202'!D102+'[1]LT 0203'!D102+'[1]LT 0204'!D102+'[1]LT 0205'!D102+'[1]LT 0301'!D102+'[1]LT 0302'!D102+'[1]LT 0303'!D102+'[1]LT 0304'!D102+'[1]LT 0305'!D102+'[1]LT 0306'!D102+'[1]LT 0307'!D102+'[1]LT 0308'!D102+'[1]LT 0309'!D102+'[1]LT 0310'!D102</f>
        <v>0</v>
      </c>
      <c r="G101" s="12"/>
      <c r="H101" s="12"/>
      <c r="I101" s="392"/>
    </row>
    <row r="102" spans="1:9" ht="18">
      <c r="A102" s="6">
        <v>56</v>
      </c>
      <c r="B102" s="20" t="s">
        <v>106</v>
      </c>
      <c r="C102" s="19">
        <f t="shared" ref="C102:H102" si="17">SUM(C103,)</f>
        <v>3580</v>
      </c>
      <c r="D102" s="19">
        <f>SUM(D103,)</f>
        <v>6500</v>
      </c>
      <c r="E102" s="19">
        <f t="shared" si="17"/>
        <v>0</v>
      </c>
      <c r="F102" s="19">
        <f t="shared" si="17"/>
        <v>5000</v>
      </c>
      <c r="G102" s="19">
        <f t="shared" si="17"/>
        <v>0</v>
      </c>
      <c r="H102" s="19">
        <f t="shared" si="17"/>
        <v>0</v>
      </c>
      <c r="I102" s="5">
        <f>SUM(C102:H102)</f>
        <v>15080</v>
      </c>
    </row>
    <row r="103" spans="1:9" ht="18">
      <c r="A103" s="6">
        <v>562</v>
      </c>
      <c r="B103" s="20" t="s">
        <v>107</v>
      </c>
      <c r="C103" s="19">
        <f t="shared" ref="C103:H103" si="18">SUM(C104:C107)</f>
        <v>3580</v>
      </c>
      <c r="D103" s="19">
        <f>SUM(D104:D107)</f>
        <v>6500</v>
      </c>
      <c r="E103" s="19">
        <f t="shared" si="18"/>
        <v>0</v>
      </c>
      <c r="F103" s="19">
        <f>SUM(F104:F107)</f>
        <v>5000</v>
      </c>
      <c r="G103" s="19">
        <f t="shared" si="18"/>
        <v>0</v>
      </c>
      <c r="H103" s="19">
        <f t="shared" si="18"/>
        <v>0</v>
      </c>
      <c r="I103" s="392"/>
    </row>
    <row r="104" spans="1:9" ht="18">
      <c r="A104" s="16">
        <v>56201</v>
      </c>
      <c r="B104" s="17" t="s">
        <v>106</v>
      </c>
      <c r="C104" s="12">
        <v>3580</v>
      </c>
      <c r="D104" s="12">
        <v>6500</v>
      </c>
      <c r="E104" s="12">
        <v>0</v>
      </c>
      <c r="F104" s="12">
        <f>+'[1]LT 0102'!D105+'[1]LT 0103'!D105+'[1]LT 0105'!D105+'[1]LT 0106'!D105+'[1]LT 0201'!D105+'[1]LT 0202'!D105+'[1]LT 0203'!D105+'[1]LT 0204'!D105+'[1]LT 0205'!D105+'[1]LT 0301'!D105+'[1]LT 0302'!D105+'[1]LT 0303'!D105+'[1]LT 0304'!D105+'[1]LT 0305'!D105+'[1]LT 0306'!D105+'[1]LT 0307'!D105+'[1]LT 0308'!D105+'[1]LT 0309'!D105+'[1]LT 0310'!D105</f>
        <v>0</v>
      </c>
      <c r="G104" s="12"/>
      <c r="H104" s="12"/>
      <c r="I104" s="392"/>
    </row>
    <row r="105" spans="1:9" ht="18">
      <c r="A105" s="16">
        <v>56303</v>
      </c>
      <c r="B105" s="17" t="s">
        <v>108</v>
      </c>
      <c r="C105" s="12">
        <f>+K105+O105</f>
        <v>0</v>
      </c>
      <c r="D105" s="12">
        <v>0</v>
      </c>
      <c r="E105" s="12">
        <v>0</v>
      </c>
      <c r="F105" s="12">
        <f>+'[1]LT 0102'!D106+'[1]LT 0103'!D106+'[1]LT 0105'!D106+'[1]LT 0106'!D106+'[1]LT 0201'!D106+'[1]LT 0202'!D106+'[1]LT 0203'!D106+'[1]LT 0204'!D106+'[1]LT 0205'!D106+'[1]LT 0301'!D106+'[1]LT 0302'!D106+'[1]LT 0303'!D106+'[1]LT 0304'!D106+'[1]LT 0305'!D106+'[1]LT 0306'!D106+'[1]LT 0307'!D106+'[1]LT 0308'!D106+'[1]LT 0309'!D106+'[1]LT 0310'!D106</f>
        <v>0</v>
      </c>
      <c r="G105" s="12"/>
      <c r="H105" s="12"/>
      <c r="I105" s="392"/>
    </row>
    <row r="106" spans="1:9" ht="18">
      <c r="A106" s="16">
        <v>56304</v>
      </c>
      <c r="B106" s="17" t="s">
        <v>109</v>
      </c>
      <c r="C106" s="12">
        <f>+K106+O106</f>
        <v>0</v>
      </c>
      <c r="D106" s="12">
        <v>0</v>
      </c>
      <c r="E106" s="12">
        <v>0</v>
      </c>
      <c r="F106" s="12">
        <v>5000</v>
      </c>
      <c r="G106" s="12">
        <v>0</v>
      </c>
      <c r="H106" s="12"/>
      <c r="I106" s="392"/>
    </row>
    <row r="107" spans="1:9" ht="18">
      <c r="A107" s="16">
        <v>56305</v>
      </c>
      <c r="B107" s="17" t="s">
        <v>110</v>
      </c>
      <c r="C107" s="12">
        <f>+K107+O107</f>
        <v>0</v>
      </c>
      <c r="D107" s="12">
        <v>0</v>
      </c>
      <c r="E107" s="12">
        <v>0</v>
      </c>
      <c r="F107" s="12">
        <f>+'[1]LT 0102'!D108+'[1]LT 0103'!D108+'[1]LT 0105'!D108+'[1]LT 0106'!D108+'[1]LT 0201'!D108+'[1]LT 0202'!D108+'[1]LT 0203'!D108+'[1]LT 0204'!D108+'[1]LT 0205'!D108+'[1]LT 0301'!D108+'[1]LT 0302'!D108+'[1]LT 0303'!D108+'[1]LT 0304'!D108+'[1]LT 0305'!D108+'[1]LT 0306'!D108+'[1]LT 0307'!D108+'[1]LT 0308'!D108+'[1]LT 0309'!D108+'[1]LT 0310'!D108</f>
        <v>0</v>
      </c>
      <c r="G107" s="12"/>
      <c r="H107" s="12"/>
      <c r="I107" s="392"/>
    </row>
    <row r="108" spans="1:9" ht="18">
      <c r="A108" s="6">
        <v>61</v>
      </c>
      <c r="B108" s="20" t="s">
        <v>111</v>
      </c>
      <c r="C108" s="19">
        <f>SUM(C109,C117,C122,)+C115</f>
        <v>4200</v>
      </c>
      <c r="D108" s="19">
        <f>SUM(D109,D117,D122,)+D115</f>
        <v>1491791.9000000001</v>
      </c>
      <c r="E108" s="19">
        <f>SUM(E109,E117,E122,)+E115</f>
        <v>149102.34</v>
      </c>
      <c r="F108" s="19">
        <f>SUM(F109,F117,F122,)</f>
        <v>27226.32</v>
      </c>
      <c r="G108" s="19">
        <f>SUM(G109,G117,G122,)</f>
        <v>0</v>
      </c>
      <c r="H108" s="19">
        <f>SUM(H109,H117,H122,)</f>
        <v>18061.490000000002</v>
      </c>
      <c r="I108" s="5">
        <f>SUM(C108:H108)</f>
        <v>1690382.0500000003</v>
      </c>
    </row>
    <row r="109" spans="1:9" ht="18">
      <c r="A109" s="6">
        <v>611</v>
      </c>
      <c r="B109" s="20" t="s">
        <v>112</v>
      </c>
      <c r="C109" s="19">
        <f t="shared" ref="C109:H109" si="19">SUM(C110:C114)</f>
        <v>4200</v>
      </c>
      <c r="D109" s="19">
        <f>SUM(D110:D114)</f>
        <v>0</v>
      </c>
      <c r="E109" s="19">
        <f t="shared" si="19"/>
        <v>0</v>
      </c>
      <c r="F109" s="19">
        <f>SUM(F110:F114)</f>
        <v>27226.32</v>
      </c>
      <c r="G109" s="19">
        <f t="shared" si="19"/>
        <v>0</v>
      </c>
      <c r="H109" s="19">
        <f t="shared" si="19"/>
        <v>0</v>
      </c>
      <c r="I109" s="392"/>
    </row>
    <row r="110" spans="1:9" ht="18">
      <c r="A110" s="16">
        <v>61101</v>
      </c>
      <c r="B110" s="17" t="s">
        <v>113</v>
      </c>
      <c r="C110" s="12">
        <v>4200</v>
      </c>
      <c r="D110" s="12">
        <v>0</v>
      </c>
      <c r="E110" s="12">
        <v>0</v>
      </c>
      <c r="F110" s="12">
        <f>666.32+7000</f>
        <v>7666.32</v>
      </c>
      <c r="G110" s="12">
        <v>0</v>
      </c>
      <c r="H110" s="12"/>
      <c r="I110" s="392"/>
    </row>
    <row r="111" spans="1:9" ht="18">
      <c r="A111" s="16">
        <v>61102</v>
      </c>
      <c r="B111" s="17" t="s">
        <v>114</v>
      </c>
      <c r="C111" s="12">
        <f t="shared" ref="C111:C130" si="20">+K111+O111</f>
        <v>0</v>
      </c>
      <c r="D111" s="12">
        <v>0</v>
      </c>
      <c r="E111" s="12">
        <v>0</v>
      </c>
      <c r="F111" s="12">
        <v>1000</v>
      </c>
      <c r="G111" s="12">
        <v>0</v>
      </c>
      <c r="H111" s="12"/>
      <c r="I111" s="392"/>
    </row>
    <row r="112" spans="1:9" ht="18">
      <c r="A112" s="16">
        <v>61105</v>
      </c>
      <c r="B112" s="17" t="s">
        <v>115</v>
      </c>
      <c r="C112" s="12">
        <f t="shared" si="20"/>
        <v>0</v>
      </c>
      <c r="D112" s="12">
        <v>0</v>
      </c>
      <c r="E112" s="12">
        <v>0</v>
      </c>
      <c r="F112" s="12">
        <v>0</v>
      </c>
      <c r="G112" s="12"/>
      <c r="H112" s="12"/>
      <c r="I112" s="392"/>
    </row>
    <row r="113" spans="1:9" ht="18">
      <c r="A113" s="16">
        <v>61104</v>
      </c>
      <c r="B113" s="17" t="s">
        <v>116</v>
      </c>
      <c r="C113" s="12">
        <f t="shared" si="20"/>
        <v>0</v>
      </c>
      <c r="D113" s="12">
        <v>0</v>
      </c>
      <c r="E113" s="12">
        <v>0</v>
      </c>
      <c r="F113" s="12">
        <v>18000</v>
      </c>
      <c r="G113" s="12">
        <v>0</v>
      </c>
      <c r="H113" s="12"/>
      <c r="I113" s="392"/>
    </row>
    <row r="114" spans="1:9" ht="18">
      <c r="A114" s="16">
        <v>61199</v>
      </c>
      <c r="B114" s="17" t="s">
        <v>117</v>
      </c>
      <c r="C114" s="12">
        <f t="shared" si="20"/>
        <v>0</v>
      </c>
      <c r="D114" s="12">
        <v>0</v>
      </c>
      <c r="E114" s="12">
        <v>0</v>
      </c>
      <c r="F114" s="12">
        <v>560</v>
      </c>
      <c r="G114" s="12">
        <v>0</v>
      </c>
      <c r="H114" s="12"/>
      <c r="I114" s="392"/>
    </row>
    <row r="115" spans="1:9" ht="18">
      <c r="A115" s="6">
        <v>612</v>
      </c>
      <c r="B115" s="20" t="s">
        <v>118</v>
      </c>
      <c r="C115" s="19">
        <f t="shared" ref="C115:H115" si="21">+C116</f>
        <v>0</v>
      </c>
      <c r="D115" s="19">
        <f>+D116</f>
        <v>69000</v>
      </c>
      <c r="E115" s="19">
        <f t="shared" si="21"/>
        <v>0</v>
      </c>
      <c r="F115" s="19">
        <f t="shared" si="21"/>
        <v>0</v>
      </c>
      <c r="G115" s="19">
        <f t="shared" si="21"/>
        <v>0</v>
      </c>
      <c r="H115" s="19">
        <f t="shared" si="21"/>
        <v>0</v>
      </c>
      <c r="I115" s="392"/>
    </row>
    <row r="116" spans="1:9" ht="18">
      <c r="A116" s="16">
        <v>61201</v>
      </c>
      <c r="B116" s="17" t="s">
        <v>119</v>
      </c>
      <c r="C116" s="12">
        <f t="shared" si="20"/>
        <v>0</v>
      </c>
      <c r="D116" s="12">
        <v>69000</v>
      </c>
      <c r="E116" s="12">
        <v>0</v>
      </c>
      <c r="F116" s="12">
        <f>+'[1]LT 0102'!D117+'[1]LT 0103'!D117+'[1]LT 0105'!D117+'[1]LT 0106'!D117+'[1]LT 0201'!D117+'[1]LT 0202'!D117+'[1]LT 0203'!D117+'[1]LT 0204'!D117+'[1]LT 0205'!D117+'[1]LT 0301'!D117+'[1]LT 0302'!D117+'[1]LT 0303'!D117+'[1]LT 0304'!D117+'[1]LT 0305'!D117+'[1]LT 0306'!D117+'[1]LT 0307'!D117+'[1]LT 0308'!D117+'[1]LT 0309'!D117+'[1]LT 0310'!D117</f>
        <v>0</v>
      </c>
      <c r="G116" s="12"/>
      <c r="H116" s="12"/>
      <c r="I116" s="392"/>
    </row>
    <row r="117" spans="1:9" ht="18">
      <c r="A117" s="6">
        <v>615</v>
      </c>
      <c r="B117" s="20" t="s">
        <v>120</v>
      </c>
      <c r="C117" s="19">
        <f t="shared" ref="C117:H117" si="22">SUM(C118:C121)</f>
        <v>0</v>
      </c>
      <c r="D117" s="19">
        <f>SUM(D118:D121)</f>
        <v>61188</v>
      </c>
      <c r="E117" s="19">
        <f t="shared" si="22"/>
        <v>0</v>
      </c>
      <c r="F117" s="19">
        <f t="shared" si="22"/>
        <v>0</v>
      </c>
      <c r="G117" s="19">
        <f t="shared" si="22"/>
        <v>0</v>
      </c>
      <c r="H117" s="19">
        <f t="shared" si="22"/>
        <v>0</v>
      </c>
      <c r="I117" s="392"/>
    </row>
    <row r="118" spans="1:9" ht="18">
      <c r="A118" s="16">
        <v>61501</v>
      </c>
      <c r="B118" s="25" t="s">
        <v>121</v>
      </c>
      <c r="C118" s="12">
        <f t="shared" si="20"/>
        <v>0</v>
      </c>
      <c r="D118" s="100">
        <v>32188</v>
      </c>
      <c r="E118" s="12">
        <f>+'[1]LT 0101'!E118+'[1]LT 0104'!E120</f>
        <v>0</v>
      </c>
      <c r="F118" s="12">
        <f>+'[1]LT 0102'!D119+'[1]LT 0103'!D119+'[1]LT 0105'!D119+'[1]LT 0106'!D119+'[1]LT 0201'!D119+'[1]LT 0202'!D119+'[1]LT 0203'!D119+'[1]LT 0204'!D119+'[1]LT 0205'!D119+'[1]LT 0301'!D119+'[1]LT 0302'!D119+'[1]LT 0303'!D119+'[1]LT 0304'!D119+'[1]LT 0305'!D119+'[1]LT 0306'!D119+'[1]LT 0307'!D119+'[1]LT 0308'!D119+'[1]LT 0309'!D119+'[1]LT 0310'!D119</f>
        <v>0</v>
      </c>
      <c r="G118" s="12"/>
      <c r="H118" s="12"/>
      <c r="I118" s="392"/>
    </row>
    <row r="119" spans="1:9" ht="18">
      <c r="A119" s="16">
        <v>61502</v>
      </c>
      <c r="B119" s="25" t="s">
        <v>122</v>
      </c>
      <c r="C119" s="12">
        <f t="shared" si="20"/>
        <v>0</v>
      </c>
      <c r="D119" s="100">
        <v>16000</v>
      </c>
      <c r="E119" s="12">
        <f>+'[1]LT 0101'!E119+'[1]LT 0104'!E121</f>
        <v>0</v>
      </c>
      <c r="F119" s="12">
        <f>+'[1]LT 0102'!D120+'[1]LT 0103'!D120+'[1]LT 0105'!D120+'[1]LT 0106'!D120+'[1]LT 0201'!D120+'[1]LT 0202'!D120+'[1]LT 0203'!D120+'[1]LT 0204'!D120+'[1]LT 0205'!D120+'[1]LT 0301'!D120+'[1]LT 0302'!D120+'[1]LT 0303'!D120+'[1]LT 0304'!D120+'[1]LT 0305'!D120+'[1]LT 0306'!D120+'[1]LT 0307'!D120+'[1]LT 0308'!D120+'[1]LT 0309'!D120+'[1]LT 0310'!D120</f>
        <v>0</v>
      </c>
      <c r="G119" s="12"/>
      <c r="H119" s="12"/>
      <c r="I119" s="392"/>
    </row>
    <row r="120" spans="1:9" ht="18">
      <c r="A120" s="16">
        <v>61503</v>
      </c>
      <c r="B120" s="25" t="s">
        <v>123</v>
      </c>
      <c r="C120" s="12">
        <f t="shared" si="20"/>
        <v>0</v>
      </c>
      <c r="D120" s="100">
        <v>7000</v>
      </c>
      <c r="E120" s="12">
        <f>+'[1]LT 0101'!E120+'[1]LT 0104'!E122</f>
        <v>0</v>
      </c>
      <c r="F120" s="12">
        <f>+'[1]LT 0102'!D121+'[1]LT 0103'!D121+'[1]LT 0105'!D121+'[1]LT 0106'!D121+'[1]LT 0201'!D121+'[1]LT 0202'!D121+'[1]LT 0203'!D121+'[1]LT 0204'!D121+'[1]LT 0205'!D121+'[1]LT 0301'!D121+'[1]LT 0302'!D121+'[1]LT 0303'!D121+'[1]LT 0304'!D121+'[1]LT 0305'!D121+'[1]LT 0306'!D121+'[1]LT 0307'!D121+'[1]LT 0308'!D121+'[1]LT 0309'!D121+'[1]LT 0310'!D121</f>
        <v>0</v>
      </c>
      <c r="G120" s="12"/>
      <c r="H120" s="12"/>
      <c r="I120" s="392"/>
    </row>
    <row r="121" spans="1:9" ht="40.5" customHeight="1">
      <c r="A121" s="16">
        <v>61599</v>
      </c>
      <c r="B121" s="27" t="s">
        <v>124</v>
      </c>
      <c r="C121" s="12">
        <f t="shared" si="20"/>
        <v>0</v>
      </c>
      <c r="D121" s="100">
        <v>6000</v>
      </c>
      <c r="E121" s="12">
        <f>+'[1]LT 0101'!E121+'[1]LT 0104'!E123</f>
        <v>0</v>
      </c>
      <c r="F121" s="12">
        <f>+'[1]LT 0102'!D122+'[1]LT 0103'!D122+'[1]LT 0105'!D122+'[1]LT 0106'!D122+'[1]LT 0201'!D122+'[1]LT 0202'!D122+'[1]LT 0203'!D122+'[1]LT 0204'!D122+'[1]LT 0205'!D122+'[1]LT 0301'!D122+'[1]LT 0302'!D122+'[1]LT 0303'!D122+'[1]LT 0304'!D122+'[1]LT 0305'!D122+'[1]LT 0306'!D122+'[1]LT 0307'!D122+'[1]LT 0308'!D122+'[1]LT 0309'!D122+'[1]LT 0310'!D122</f>
        <v>0</v>
      </c>
      <c r="G121" s="12"/>
      <c r="H121" s="12"/>
      <c r="I121" s="392"/>
    </row>
    <row r="122" spans="1:9" ht="18">
      <c r="A122" s="6">
        <v>616</v>
      </c>
      <c r="B122" s="20" t="s">
        <v>125</v>
      </c>
      <c r="C122" s="19">
        <f t="shared" ref="C122:H122" si="23">SUM(C123:C130)</f>
        <v>0</v>
      </c>
      <c r="D122" s="19">
        <f>SUM(D123:D130)</f>
        <v>1361603.9000000001</v>
      </c>
      <c r="E122" s="19">
        <f t="shared" si="23"/>
        <v>149102.34</v>
      </c>
      <c r="F122" s="19">
        <f t="shared" si="23"/>
        <v>0</v>
      </c>
      <c r="G122" s="19">
        <f t="shared" si="23"/>
        <v>0</v>
      </c>
      <c r="H122" s="19">
        <f t="shared" si="23"/>
        <v>18061.490000000002</v>
      </c>
      <c r="I122" s="19">
        <f>SUM(I123:I130)</f>
        <v>0</v>
      </c>
    </row>
    <row r="123" spans="1:9" ht="18">
      <c r="A123" s="16">
        <v>61601</v>
      </c>
      <c r="B123" s="17" t="s">
        <v>126</v>
      </c>
      <c r="C123" s="12">
        <f t="shared" si="20"/>
        <v>0</v>
      </c>
      <c r="D123" s="12">
        <v>545741.02</v>
      </c>
      <c r="E123" s="12">
        <f>+'[1]LT 0101'!E123+'[1]LT 0104'!E125</f>
        <v>0</v>
      </c>
      <c r="F123" s="12">
        <f>+'[1]LT 0102'!D124+'[1]LT 0103'!D124+'[1]LT 0105'!D124+'[1]LT 0106'!D124+'[1]LT 0201'!D124+'[1]LT 0202'!D124+'[1]LT 0203'!D124+'[1]LT 0204'!D124+'[1]LT 0205'!D124+'[1]LT 0301'!D124+'[1]LT 0302'!D124+'[1]LT 0303'!D124+'[1]LT 0304'!D124+'[1]LT 0305'!D124+'[1]LT 0306'!D124+'[1]LT 0307'!D124+'[1]LT 0308'!D124+'[1]LT 0309'!D124+'[1]LT 0310'!D124</f>
        <v>0</v>
      </c>
      <c r="G123" s="12"/>
      <c r="H123" s="12"/>
      <c r="I123" s="392"/>
    </row>
    <row r="124" spans="1:9" ht="18">
      <c r="A124" s="16">
        <v>61602</v>
      </c>
      <c r="B124" s="17" t="s">
        <v>127</v>
      </c>
      <c r="C124" s="12">
        <f t="shared" si="20"/>
        <v>0</v>
      </c>
      <c r="D124" s="12">
        <v>276821.62</v>
      </c>
      <c r="E124" s="12">
        <v>121.89</v>
      </c>
      <c r="F124" s="12">
        <f>+'[1]LT 0102'!D125+'[1]LT 0103'!D125+'[1]LT 0105'!D125+'[1]LT 0106'!D125+'[1]LT 0201'!D125+'[1]LT 0202'!D125+'[1]LT 0203'!D125+'[1]LT 0204'!D125+'[1]LT 0205'!D125+'[1]LT 0301'!D125+'[1]LT 0302'!D125+'[1]LT 0303'!D125+'[1]LT 0304'!D125+'[1]LT 0305'!D125+'[1]LT 0306'!D125+'[1]LT 0307'!D125+'[1]LT 0308'!D125+'[1]LT 0309'!D125+'[1]LT 0310'!D125</f>
        <v>0</v>
      </c>
      <c r="G124" s="12"/>
      <c r="H124" s="12"/>
      <c r="I124" s="392"/>
    </row>
    <row r="125" spans="1:9" ht="18">
      <c r="A125" s="16">
        <v>61603</v>
      </c>
      <c r="B125" s="17" t="s">
        <v>128</v>
      </c>
      <c r="C125" s="12">
        <f t="shared" si="20"/>
        <v>0</v>
      </c>
      <c r="D125" s="12">
        <v>207903.63</v>
      </c>
      <c r="E125" s="12">
        <f>+'[1]LT 0101'!E125+'[1]LT 0104'!E127</f>
        <v>0</v>
      </c>
      <c r="F125" s="12">
        <f>+'[1]LT 0102'!D126+'[1]LT 0103'!D126+'[1]LT 0105'!D126+'[1]LT 0106'!D126+'[1]LT 0201'!D126+'[1]LT 0202'!D126+'[1]LT 0203'!D126+'[1]LT 0204'!D126+'[1]LT 0205'!D126+'[1]LT 0301'!D126+'[1]LT 0302'!D126+'[1]LT 0303'!D126+'[1]LT 0304'!D126+'[1]LT 0305'!D126+'[1]LT 0306'!D126+'[1]LT 0307'!D126+'[1]LT 0308'!D126+'[1]LT 0309'!D126+'[1]LT 0310'!D126</f>
        <v>0</v>
      </c>
      <c r="G125" s="12"/>
      <c r="H125" s="12"/>
      <c r="I125" s="392"/>
    </row>
    <row r="126" spans="1:9" ht="18">
      <c r="A126" s="16">
        <v>61604</v>
      </c>
      <c r="B126" s="17" t="s">
        <v>129</v>
      </c>
      <c r="C126" s="12">
        <f t="shared" si="20"/>
        <v>0</v>
      </c>
      <c r="D126" s="12">
        <v>130707.91</v>
      </c>
      <c r="E126" s="12">
        <f>+'[1]LT 0101'!E126+'[1]LT 0104'!E128</f>
        <v>0</v>
      </c>
      <c r="F126" s="12">
        <f>+'[1]LT 0102'!D127+'[1]LT 0103'!D127+'[1]LT 0105'!D127+'[1]LT 0106'!D127+'[1]LT 0201'!D127+'[1]LT 0202'!D127+'[1]LT 0203'!D127+'[1]LT 0204'!D127+'[1]LT 0205'!D127+'[1]LT 0301'!D127+'[1]LT 0302'!D127+'[1]LT 0303'!D127+'[1]LT 0304'!D127+'[1]LT 0305'!D127+'[1]LT 0306'!D127+'[1]LT 0307'!D127+'[1]LT 0308'!D127+'[1]LT 0309'!D127+'[1]LT 0310'!D127</f>
        <v>0</v>
      </c>
      <c r="G126" s="12"/>
      <c r="H126" s="12"/>
      <c r="I126" s="392"/>
    </row>
    <row r="127" spans="1:9" ht="18">
      <c r="A127" s="16">
        <v>61606</v>
      </c>
      <c r="B127" s="17" t="s">
        <v>130</v>
      </c>
      <c r="C127" s="12">
        <f t="shared" si="20"/>
        <v>0</v>
      </c>
      <c r="D127" s="12">
        <v>56000</v>
      </c>
      <c r="E127" s="12">
        <f>+'[1]LT 0101'!E127+'[1]LT 0104'!E129</f>
        <v>0</v>
      </c>
      <c r="F127" s="12">
        <f>+'[1]LT 0102'!D128+'[1]LT 0103'!D128+'[1]LT 0105'!D128+'[1]LT 0106'!D128+'[1]LT 0201'!D128+'[1]LT 0202'!D128+'[1]LT 0203'!D128+'[1]LT 0204'!D128+'[1]LT 0205'!D128+'[1]LT 0301'!D128+'[1]LT 0302'!D128+'[1]LT 0303'!D128+'[1]LT 0304'!D128+'[1]LT 0305'!D128+'[1]LT 0306'!D128+'[1]LT 0307'!D128+'[1]LT 0308'!D128+'[1]LT 0309'!D128+'[1]LT 0310'!D128</f>
        <v>0</v>
      </c>
      <c r="G127" s="12"/>
      <c r="H127" s="12"/>
      <c r="I127" s="392"/>
    </row>
    <row r="128" spans="1:9" ht="18">
      <c r="A128" s="16">
        <v>61607</v>
      </c>
      <c r="B128" s="17" t="s">
        <v>131</v>
      </c>
      <c r="C128" s="12">
        <f t="shared" si="20"/>
        <v>0</v>
      </c>
      <c r="D128" s="12">
        <v>11766.62</v>
      </c>
      <c r="E128" s="12">
        <v>2160.44</v>
      </c>
      <c r="F128" s="12">
        <f>+'[1]LT 0102'!D129+'[1]LT 0103'!D129+'[1]LT 0105'!D129+'[1]LT 0106'!D129+'[1]LT 0201'!D129+'[1]LT 0202'!D129+'[1]LT 0203'!D129+'[1]LT 0204'!D129+'[1]LT 0205'!D129+'[1]LT 0301'!D129+'[1]LT 0302'!D129+'[1]LT 0303'!D129+'[1]LT 0304'!D129+'[1]LT 0305'!D129+'[1]LT 0306'!D129+'[1]LT 0307'!D129+'[1]LT 0308'!D129+'[1]LT 0309'!D129+'[1]LT 0310'!D129</f>
        <v>0</v>
      </c>
      <c r="G128" s="12"/>
      <c r="H128" s="12">
        <v>18061.490000000002</v>
      </c>
      <c r="I128" s="392"/>
    </row>
    <row r="129" spans="1:11" ht="18">
      <c r="A129" s="16">
        <v>61608</v>
      </c>
      <c r="B129" s="17" t="s">
        <v>132</v>
      </c>
      <c r="C129" s="12">
        <f t="shared" si="20"/>
        <v>0</v>
      </c>
      <c r="D129" s="12">
        <v>15000</v>
      </c>
      <c r="E129" s="12">
        <f>+'[1]LT 0101'!E129+'[1]LT 0104'!E131</f>
        <v>0</v>
      </c>
      <c r="F129" s="12">
        <f>+'[1]LT 0102'!D130+'[1]LT 0103'!D130+'[1]LT 0105'!D130+'[1]LT 0106'!D130+'[1]LT 0201'!D130+'[1]LT 0202'!D130+'[1]LT 0203'!D130+'[1]LT 0204'!D130+'[1]LT 0205'!D130+'[1]LT 0301'!D130+'[1]LT 0302'!D130+'[1]LT 0303'!D130+'[1]LT 0304'!D130+'[1]LT 0305'!D130+'[1]LT 0306'!D130+'[1]LT 0307'!D130+'[1]LT 0308'!D130+'[1]LT 0309'!D130+'[1]LT 0310'!D130</f>
        <v>0</v>
      </c>
      <c r="G129" s="12"/>
      <c r="H129" s="12"/>
      <c r="I129" s="392"/>
    </row>
    <row r="130" spans="1:11" ht="18">
      <c r="A130" s="16">
        <v>61699</v>
      </c>
      <c r="B130" s="17" t="s">
        <v>133</v>
      </c>
      <c r="C130" s="12">
        <f t="shared" si="20"/>
        <v>0</v>
      </c>
      <c r="D130" s="12">
        <v>117663.1</v>
      </c>
      <c r="E130" s="12">
        <v>146820.01</v>
      </c>
      <c r="F130" s="12">
        <f>+'[1]LT 0102'!D131+'[1]LT 0103'!D131+'[1]LT 0105'!D131+'[1]LT 0106'!D131+'[1]LT 0201'!D131+'[1]LT 0202'!D131+'[1]LT 0203'!D131+'[1]LT 0204'!D131+'[1]LT 0205'!D131+'[1]LT 0301'!D131+'[1]LT 0302'!D131+'[1]LT 0303'!D131+'[1]LT 0304'!D131+'[1]LT 0305'!D131+'[1]LT 0306'!D131+'[1]LT 0307'!D131+'[1]LT 0308'!D131+'[1]LT 0309'!D131+'[1]LT 0310'!D131</f>
        <v>0</v>
      </c>
      <c r="G130" s="12"/>
      <c r="H130" s="12"/>
      <c r="I130" s="392"/>
    </row>
    <row r="131" spans="1:11" ht="18">
      <c r="A131" s="6">
        <v>62</v>
      </c>
      <c r="B131" s="20" t="s">
        <v>134</v>
      </c>
      <c r="C131" s="19">
        <f t="shared" ref="C131:H131" si="24">SUM(C132,C134,)</f>
        <v>0</v>
      </c>
      <c r="D131" s="19">
        <f>SUM(D132,D134,)</f>
        <v>0</v>
      </c>
      <c r="E131" s="19">
        <f t="shared" si="24"/>
        <v>0</v>
      </c>
      <c r="F131" s="19">
        <f t="shared" si="24"/>
        <v>0</v>
      </c>
      <c r="G131" s="19">
        <f t="shared" si="24"/>
        <v>0</v>
      </c>
      <c r="H131" s="19">
        <f t="shared" si="24"/>
        <v>0</v>
      </c>
      <c r="I131" s="5">
        <f>SUM(C131:F131)</f>
        <v>0</v>
      </c>
    </row>
    <row r="132" spans="1:11" ht="36.75" customHeight="1">
      <c r="A132" s="6">
        <v>622</v>
      </c>
      <c r="B132" s="18" t="s">
        <v>135</v>
      </c>
      <c r="C132" s="19">
        <f t="shared" ref="C132:H132" si="25">SUM(C133)</f>
        <v>0</v>
      </c>
      <c r="D132" s="19">
        <f t="shared" si="25"/>
        <v>0</v>
      </c>
      <c r="E132" s="19">
        <f t="shared" si="25"/>
        <v>0</v>
      </c>
      <c r="F132" s="19">
        <f t="shared" si="25"/>
        <v>0</v>
      </c>
      <c r="G132" s="19">
        <f t="shared" si="25"/>
        <v>0</v>
      </c>
      <c r="H132" s="19">
        <f t="shared" si="25"/>
        <v>0</v>
      </c>
      <c r="I132" s="392"/>
    </row>
    <row r="133" spans="1:11" ht="39.75" customHeight="1">
      <c r="A133" s="16">
        <v>62201</v>
      </c>
      <c r="B133" s="21" t="s">
        <v>136</v>
      </c>
      <c r="C133" s="12">
        <f>+K133+O133</f>
        <v>0</v>
      </c>
      <c r="D133" s="12">
        <v>0</v>
      </c>
      <c r="E133" s="12">
        <v>0</v>
      </c>
      <c r="F133" s="12">
        <f>+'[1]LT 0102'!D134+'[1]LT 0103'!D134+'[1]LT 0105'!D134+'[1]LT 0106'!D134+'[1]LT 0201'!D134+'[1]LT 0202'!D134+'[1]LT 0203'!D134+'[1]LT 0204'!D134+'[1]LT 0205'!D134+'[1]LT 0301'!D134+'[1]LT 0302'!D134+'[1]LT 0303'!D134+'[1]LT 0304'!D134+'[1]LT 0305'!D134+'[1]LT 0306'!D134+'[1]LT 0307'!D134+'[1]LT 0308'!D134+'[1]LT 0309'!D134+'[1]LT 0310'!D134</f>
        <v>0</v>
      </c>
      <c r="G133" s="12"/>
      <c r="H133" s="12"/>
      <c r="I133" s="392"/>
    </row>
    <row r="134" spans="1:11" ht="45" customHeight="1">
      <c r="A134" s="6">
        <v>623</v>
      </c>
      <c r="B134" s="18" t="s">
        <v>137</v>
      </c>
      <c r="C134" s="19">
        <f t="shared" ref="C134:H134" si="26">SUM(C135)</f>
        <v>0</v>
      </c>
      <c r="D134" s="19">
        <f t="shared" si="26"/>
        <v>0</v>
      </c>
      <c r="E134" s="19">
        <f t="shared" si="26"/>
        <v>0</v>
      </c>
      <c r="F134" s="19">
        <f t="shared" si="26"/>
        <v>0</v>
      </c>
      <c r="G134" s="19">
        <f t="shared" si="26"/>
        <v>0</v>
      </c>
      <c r="H134" s="19">
        <f t="shared" si="26"/>
        <v>0</v>
      </c>
      <c r="I134" s="392"/>
    </row>
    <row r="135" spans="1:11" ht="18">
      <c r="A135" s="16">
        <v>62303</v>
      </c>
      <c r="B135" s="17" t="s">
        <v>108</v>
      </c>
      <c r="C135" s="12">
        <f>+K135+O135</f>
        <v>0</v>
      </c>
      <c r="D135" s="12">
        <v>0</v>
      </c>
      <c r="E135" s="12">
        <v>0</v>
      </c>
      <c r="F135" s="12">
        <f>+'[1]LT 0102'!D136+'[1]LT 0103'!D136+'[1]LT 0105'!D136+'[1]LT 0106'!D136+'[1]LT 0201'!D136+'[1]LT 0202'!D136+'[1]LT 0203'!D136+'[1]LT 0204'!D136+'[1]LT 0205'!D136+'[1]LT 0301'!D136+'[1]LT 0302'!D136+'[1]LT 0303'!D136+'[1]LT 0304'!D136+'[1]LT 0305'!D136+'[1]LT 0306'!D136+'[1]LT 0307'!D136+'[1]LT 0308'!D136+'[1]LT 0309'!D136+'[1]LT 0310'!D136</f>
        <v>0</v>
      </c>
      <c r="G135" s="12"/>
      <c r="H135" s="12"/>
      <c r="I135" s="392"/>
    </row>
    <row r="136" spans="1:11" ht="18">
      <c r="A136" s="6">
        <v>71</v>
      </c>
      <c r="B136" s="20" t="s">
        <v>138</v>
      </c>
      <c r="C136" s="9">
        <f t="shared" ref="C136:H136" si="27">+C137</f>
        <v>0</v>
      </c>
      <c r="D136" s="9">
        <f t="shared" si="27"/>
        <v>0</v>
      </c>
      <c r="E136" s="9">
        <f t="shared" si="27"/>
        <v>0</v>
      </c>
      <c r="F136" s="9">
        <f t="shared" si="27"/>
        <v>0</v>
      </c>
      <c r="G136" s="9">
        <f t="shared" si="27"/>
        <v>120000</v>
      </c>
      <c r="H136" s="9">
        <f t="shared" si="27"/>
        <v>0</v>
      </c>
      <c r="I136" s="5">
        <f>SUM(C136:H136)</f>
        <v>120000</v>
      </c>
    </row>
    <row r="137" spans="1:11" ht="45.75" customHeight="1">
      <c r="A137" s="16">
        <v>71308</v>
      </c>
      <c r="B137" s="21" t="s">
        <v>139</v>
      </c>
      <c r="C137" s="12">
        <v>0</v>
      </c>
      <c r="D137" s="12">
        <v>0</v>
      </c>
      <c r="E137" s="12"/>
      <c r="F137" s="12"/>
      <c r="G137" s="12">
        <v>120000</v>
      </c>
      <c r="H137" s="12"/>
      <c r="I137" s="392"/>
    </row>
    <row r="138" spans="1:11" ht="18">
      <c r="A138" s="6">
        <v>72</v>
      </c>
      <c r="B138" s="20" t="s">
        <v>140</v>
      </c>
      <c r="C138" s="19">
        <f t="shared" ref="C138:H139" si="28">SUM(C139)</f>
        <v>0</v>
      </c>
      <c r="D138" s="19">
        <f t="shared" si="28"/>
        <v>0</v>
      </c>
      <c r="E138" s="19">
        <f t="shared" si="28"/>
        <v>0</v>
      </c>
      <c r="F138" s="19">
        <f t="shared" si="28"/>
        <v>0</v>
      </c>
      <c r="G138" s="19">
        <f t="shared" si="28"/>
        <v>0</v>
      </c>
      <c r="H138" s="19">
        <f t="shared" si="28"/>
        <v>0</v>
      </c>
      <c r="I138" s="5">
        <f>SUM(C138:F138)</f>
        <v>0</v>
      </c>
    </row>
    <row r="139" spans="1:11" ht="18">
      <c r="A139" s="6">
        <v>721</v>
      </c>
      <c r="B139" s="20" t="s">
        <v>141</v>
      </c>
      <c r="C139" s="19">
        <f t="shared" si="28"/>
        <v>0</v>
      </c>
      <c r="D139" s="19">
        <f t="shared" si="28"/>
        <v>0</v>
      </c>
      <c r="E139" s="19">
        <f t="shared" si="28"/>
        <v>0</v>
      </c>
      <c r="F139" s="19">
        <f t="shared" si="28"/>
        <v>0</v>
      </c>
      <c r="G139" s="19">
        <f t="shared" si="28"/>
        <v>0</v>
      </c>
      <c r="H139" s="19">
        <f t="shared" si="28"/>
        <v>0</v>
      </c>
      <c r="I139" s="392"/>
    </row>
    <row r="140" spans="1:11" ht="18.75" thickBot="1">
      <c r="A140" s="28">
        <v>72101</v>
      </c>
      <c r="B140" s="29" t="s">
        <v>141</v>
      </c>
      <c r="C140" s="12">
        <f>+K140+O140</f>
        <v>0</v>
      </c>
      <c r="D140" s="12">
        <v>0</v>
      </c>
      <c r="E140" s="12">
        <v>0</v>
      </c>
      <c r="F140" s="12">
        <f>+'[1]LT 0102'!D139+'[1]LT 0103'!D139+'[1]LT 0105'!D139+'[1]LT 0106'!D139+'[1]LT 0201'!D139+'[1]LT 0202'!D139+'[1]LT 0203'!D139+'[1]LT 0204'!D139+'[1]LT 0205'!D139+'[1]LT 0301'!D139+'[1]LT 0302'!D139+'[1]LT 0303'!D139+'[1]LT 0304'!D139+'[1]LT 0305'!D139+'[1]LT 0306'!D139+'[1]LT 0307'!D139+'[1]LT 0308'!D139+'[1]LT 0309'!D139+'[1]LT 0310'!D139</f>
        <v>0</v>
      </c>
      <c r="G140" s="12"/>
      <c r="H140" s="12"/>
      <c r="I140" s="395"/>
    </row>
    <row r="141" spans="1:11" ht="18">
      <c r="A141" s="399"/>
      <c r="B141" s="400" t="s">
        <v>5</v>
      </c>
      <c r="C141" s="401">
        <f>SUM(C36+C91+C102+C108+C131+C138)+C10</f>
        <v>424745.81</v>
      </c>
      <c r="D141" s="401" t="e">
        <f>SUM(D36+D91+D102+D108+D131+D138)+D10+D136</f>
        <v>#REF!</v>
      </c>
      <c r="E141" s="401">
        <f>SUM(E36+E91+E102+E108+E131+E138)+E10</f>
        <v>149102.34</v>
      </c>
      <c r="F141" s="401">
        <f>SUM(F36+F91+F102+F108+F131+F138)+F10</f>
        <v>610341.75</v>
      </c>
      <c r="G141" s="401">
        <f>SUM(G36+G91+G102+G108+G131+G138)+G10+G136</f>
        <v>152584</v>
      </c>
      <c r="H141" s="401">
        <f>SUM(H36+H91+H102+H108+H131+H138)+H10</f>
        <v>18061.490000000002</v>
      </c>
      <c r="I141" s="401" t="e">
        <f>SUM(C141:H141)</f>
        <v>#REF!</v>
      </c>
      <c r="K141" s="168">
        <v>2880279.37</v>
      </c>
    </row>
    <row r="142" spans="1:11">
      <c r="K142" s="168" t="e">
        <f>+I141</f>
        <v>#REF!</v>
      </c>
    </row>
    <row r="143" spans="1:11">
      <c r="D143" s="168">
        <f>61188+27152.08</f>
        <v>88340.08</v>
      </c>
      <c r="F143" s="168">
        <v>610341.75</v>
      </c>
      <c r="K143" s="168" t="e">
        <f>+K142-K141</f>
        <v>#REF!</v>
      </c>
    </row>
    <row r="144" spans="1:11">
      <c r="D144" s="168">
        <v>254621.56</v>
      </c>
    </row>
    <row r="145" spans="4:9">
      <c r="D145" s="168">
        <v>1162574.03</v>
      </c>
    </row>
    <row r="146" spans="4:9">
      <c r="D146" s="168">
        <v>169495.42</v>
      </c>
    </row>
    <row r="147" spans="4:9">
      <c r="D147" s="168">
        <f>SUM(D143:D146)</f>
        <v>1675031.0899999999</v>
      </c>
      <c r="I147" s="168">
        <v>2880279.37</v>
      </c>
    </row>
    <row r="148" spans="4:9">
      <c r="I148" s="99" t="e">
        <f>+I141</f>
        <v>#REF!</v>
      </c>
    </row>
    <row r="149" spans="4:9">
      <c r="D149" s="99" t="e">
        <f>+D141-D147</f>
        <v>#REF!</v>
      </c>
      <c r="I149" s="99" t="e">
        <f>+I148-I147</f>
        <v>#REF!</v>
      </c>
    </row>
  </sheetData>
  <mergeCells count="9">
    <mergeCell ref="A8:B8"/>
    <mergeCell ref="C8:F8"/>
    <mergeCell ref="I8:I9"/>
    <mergeCell ref="A2:I2"/>
    <mergeCell ref="A3:I3"/>
    <mergeCell ref="A4:I4"/>
    <mergeCell ref="A5:I5"/>
    <mergeCell ref="A6:I6"/>
    <mergeCell ref="A7:I7"/>
  </mergeCells>
  <pageMargins left="0.23622047244094491" right="0.23622047244094491" top="0.74803149606299213" bottom="0.35433070866141736" header="0.31496062992125984" footer="0.31496062992125984"/>
  <pageSetup scale="6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H11"/>
  <sheetViews>
    <sheetView workbookViewId="0">
      <selection activeCell="H23" sqref="H23"/>
    </sheetView>
  </sheetViews>
  <sheetFormatPr baseColWidth="10" defaultRowHeight="15"/>
  <cols>
    <col min="7" max="7" width="50.7109375" customWidth="1"/>
    <col min="8" max="8" width="22.85546875" customWidth="1"/>
  </cols>
  <sheetData>
    <row r="2" spans="1:8" ht="27.75">
      <c r="A2" s="643" t="s">
        <v>353</v>
      </c>
      <c r="B2" s="644"/>
      <c r="C2" s="644"/>
      <c r="D2" s="644"/>
      <c r="E2" s="644"/>
      <c r="F2" s="644"/>
      <c r="G2" s="644"/>
      <c r="H2" s="644"/>
    </row>
    <row r="3" spans="1:8" ht="27.75">
      <c r="A3" s="643" t="s">
        <v>394</v>
      </c>
      <c r="B3" s="644"/>
      <c r="C3" s="644"/>
      <c r="D3" s="644"/>
      <c r="E3" s="644"/>
      <c r="F3" s="644"/>
      <c r="G3" s="644"/>
      <c r="H3" s="644"/>
    </row>
    <row r="4" spans="1:8" ht="27.75">
      <c r="A4" s="643" t="s">
        <v>354</v>
      </c>
      <c r="B4" s="644"/>
      <c r="C4" s="644"/>
      <c r="D4" s="644"/>
      <c r="E4" s="644"/>
      <c r="F4" s="644"/>
      <c r="G4" s="644"/>
      <c r="H4" s="644"/>
    </row>
    <row r="5" spans="1:8" ht="27.75">
      <c r="A5" s="645" t="s">
        <v>355</v>
      </c>
      <c r="B5" s="645"/>
      <c r="C5" s="645"/>
      <c r="D5" s="645"/>
      <c r="E5" s="645"/>
      <c r="F5" s="645"/>
      <c r="G5" s="645"/>
      <c r="H5" s="645"/>
    </row>
    <row r="6" spans="1:8" ht="28.5" thickBot="1">
      <c r="A6" s="646" t="s">
        <v>910</v>
      </c>
      <c r="B6" s="646"/>
      <c r="C6" s="646"/>
      <c r="D6" s="646"/>
      <c r="E6" s="646"/>
      <c r="F6" s="646"/>
      <c r="G6" s="646"/>
      <c r="H6" s="646"/>
    </row>
    <row r="7" spans="1:8" ht="16.5" thickBot="1">
      <c r="A7" s="647" t="s">
        <v>357</v>
      </c>
      <c r="B7" s="648"/>
      <c r="C7" s="648"/>
      <c r="D7" s="648"/>
      <c r="E7" s="648"/>
      <c r="F7" s="648"/>
      <c r="G7" s="649" t="s">
        <v>358</v>
      </c>
      <c r="H7" s="651" t="s">
        <v>359</v>
      </c>
    </row>
    <row r="8" spans="1:8" ht="95.25">
      <c r="A8" s="56" t="s">
        <v>360</v>
      </c>
      <c r="B8" s="57" t="s">
        <v>361</v>
      </c>
      <c r="C8" s="57" t="s">
        <v>362</v>
      </c>
      <c r="D8" s="57" t="s">
        <v>363</v>
      </c>
      <c r="E8" s="58" t="s">
        <v>364</v>
      </c>
      <c r="F8" s="59" t="s">
        <v>365</v>
      </c>
      <c r="G8" s="650"/>
      <c r="H8" s="652"/>
    </row>
    <row r="9" spans="1:8" ht="18">
      <c r="A9" s="449"/>
      <c r="B9" s="449"/>
      <c r="C9" s="449"/>
      <c r="D9" s="449"/>
      <c r="E9" s="449"/>
      <c r="F9" s="449"/>
      <c r="G9" s="450"/>
      <c r="H9" s="451"/>
    </row>
    <row r="10" spans="1:8" ht="35.25" customHeight="1">
      <c r="A10" s="119">
        <v>3</v>
      </c>
      <c r="B10" s="101" t="s">
        <v>867</v>
      </c>
      <c r="C10" s="101" t="s">
        <v>867</v>
      </c>
      <c r="D10" s="101" t="s">
        <v>423</v>
      </c>
      <c r="E10" s="101" t="s">
        <v>596</v>
      </c>
      <c r="F10" s="122">
        <v>61607</v>
      </c>
      <c r="G10" s="102" t="s">
        <v>131</v>
      </c>
      <c r="H10" s="121">
        <v>18061.490000000002</v>
      </c>
    </row>
    <row r="11" spans="1:8" ht="29.25" customHeight="1">
      <c r="A11" s="82"/>
      <c r="B11" s="96"/>
      <c r="C11" s="96"/>
      <c r="D11" s="96"/>
      <c r="E11" s="96"/>
      <c r="F11" s="96"/>
      <c r="G11" s="124" t="s">
        <v>387</v>
      </c>
      <c r="H11" s="125">
        <f>+H10</f>
        <v>18061.490000000002</v>
      </c>
    </row>
  </sheetData>
  <mergeCells count="8">
    <mergeCell ref="A7:F7"/>
    <mergeCell ref="G7:G8"/>
    <mergeCell ref="H7:H8"/>
    <mergeCell ref="A2:H2"/>
    <mergeCell ref="A3:H3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K21"/>
  <sheetViews>
    <sheetView topLeftCell="A4" workbookViewId="0">
      <selection activeCell="H25" sqref="H25"/>
    </sheetView>
  </sheetViews>
  <sheetFormatPr baseColWidth="10" defaultRowHeight="15"/>
  <cols>
    <col min="7" max="7" width="69.85546875" customWidth="1"/>
    <col min="8" max="8" width="20.140625" customWidth="1"/>
    <col min="9" max="9" width="12.5703125" bestFit="1" customWidth="1"/>
    <col min="11" max="11" width="20.7109375" customWidth="1"/>
  </cols>
  <sheetData>
    <row r="3" spans="1:11" ht="27.75">
      <c r="A3" s="643" t="s">
        <v>353</v>
      </c>
      <c r="B3" s="644"/>
      <c r="C3" s="644"/>
      <c r="D3" s="644"/>
      <c r="E3" s="644"/>
      <c r="F3" s="644"/>
      <c r="G3" s="644"/>
      <c r="H3" s="644"/>
    </row>
    <row r="4" spans="1:11" ht="27.75">
      <c r="A4" s="643" t="s">
        <v>394</v>
      </c>
      <c r="B4" s="644"/>
      <c r="C4" s="644"/>
      <c r="D4" s="644"/>
      <c r="E4" s="644"/>
      <c r="F4" s="644"/>
      <c r="G4" s="644"/>
      <c r="H4" s="644"/>
    </row>
    <row r="5" spans="1:11" ht="27.75">
      <c r="A5" s="643" t="s">
        <v>354</v>
      </c>
      <c r="B5" s="644"/>
      <c r="C5" s="644"/>
      <c r="D5" s="644"/>
      <c r="E5" s="644"/>
      <c r="F5" s="644"/>
      <c r="G5" s="644"/>
      <c r="H5" s="644"/>
    </row>
    <row r="6" spans="1:11" ht="27.75">
      <c r="A6" s="645" t="s">
        <v>355</v>
      </c>
      <c r="B6" s="645"/>
      <c r="C6" s="645"/>
      <c r="D6" s="645"/>
      <c r="E6" s="645"/>
      <c r="F6" s="645"/>
      <c r="G6" s="645"/>
      <c r="H6" s="645"/>
    </row>
    <row r="7" spans="1:11" ht="28.5" thickBot="1">
      <c r="A7" s="646" t="s">
        <v>874</v>
      </c>
      <c r="B7" s="646"/>
      <c r="C7" s="646"/>
      <c r="D7" s="646"/>
      <c r="E7" s="646"/>
      <c r="F7" s="646"/>
      <c r="G7" s="646"/>
      <c r="H7" s="646"/>
    </row>
    <row r="8" spans="1:11" ht="16.5" thickBot="1">
      <c r="A8" s="647" t="s">
        <v>357</v>
      </c>
      <c r="B8" s="648"/>
      <c r="C8" s="648"/>
      <c r="D8" s="648"/>
      <c r="E8" s="648"/>
      <c r="F8" s="648"/>
      <c r="G8" s="649" t="s">
        <v>358</v>
      </c>
      <c r="H8" s="651" t="s">
        <v>359</v>
      </c>
    </row>
    <row r="9" spans="1:11" ht="95.25">
      <c r="A9" s="56" t="s">
        <v>360</v>
      </c>
      <c r="B9" s="57" t="s">
        <v>361</v>
      </c>
      <c r="C9" s="57" t="s">
        <v>362</v>
      </c>
      <c r="D9" s="57" t="s">
        <v>363</v>
      </c>
      <c r="E9" s="58" t="s">
        <v>364</v>
      </c>
      <c r="F9" s="59" t="s">
        <v>365</v>
      </c>
      <c r="G9" s="650"/>
      <c r="H9" s="652"/>
    </row>
    <row r="10" spans="1:11" ht="18">
      <c r="A10" s="449"/>
      <c r="B10" s="449"/>
      <c r="C10" s="449"/>
      <c r="D10" s="449"/>
      <c r="E10" s="449"/>
      <c r="F10" s="449"/>
      <c r="G10" s="450"/>
      <c r="H10" s="451"/>
    </row>
    <row r="11" spans="1:11" ht="18">
      <c r="A11" s="442">
        <v>3</v>
      </c>
      <c r="B11" s="443" t="s">
        <v>867</v>
      </c>
      <c r="C11" s="443" t="s">
        <v>388</v>
      </c>
      <c r="D11" s="443" t="s">
        <v>423</v>
      </c>
      <c r="E11" s="443" t="s">
        <v>596</v>
      </c>
      <c r="F11" s="447">
        <v>56201</v>
      </c>
      <c r="G11" s="96" t="s">
        <v>106</v>
      </c>
      <c r="H11" s="100">
        <v>6500</v>
      </c>
      <c r="I11" s="446"/>
      <c r="J11" s="168"/>
      <c r="K11" s="168"/>
    </row>
    <row r="12" spans="1:11" ht="18">
      <c r="A12" s="442">
        <v>3</v>
      </c>
      <c r="B12" s="443" t="s">
        <v>867</v>
      </c>
      <c r="C12" s="443" t="s">
        <v>388</v>
      </c>
      <c r="D12" s="443" t="s">
        <v>423</v>
      </c>
      <c r="E12" s="443" t="s">
        <v>596</v>
      </c>
      <c r="F12" s="101" t="s">
        <v>875</v>
      </c>
      <c r="G12" s="445" t="s">
        <v>119</v>
      </c>
      <c r="H12" s="118">
        <v>69000</v>
      </c>
      <c r="I12" s="446"/>
      <c r="J12" s="168"/>
      <c r="K12" s="168"/>
    </row>
    <row r="13" spans="1:11" ht="18.75">
      <c r="A13" s="442">
        <v>3</v>
      </c>
      <c r="B13" s="443" t="s">
        <v>867</v>
      </c>
      <c r="C13" s="443" t="s">
        <v>388</v>
      </c>
      <c r="D13" s="443" t="s">
        <v>423</v>
      </c>
      <c r="E13" s="443" t="s">
        <v>596</v>
      </c>
      <c r="F13" s="443" t="s">
        <v>868</v>
      </c>
      <c r="G13" s="444" t="s">
        <v>870</v>
      </c>
      <c r="H13" s="12">
        <v>559741.02</v>
      </c>
      <c r="I13" s="168"/>
      <c r="J13" s="168"/>
      <c r="K13" s="317"/>
    </row>
    <row r="14" spans="1:11" ht="18.75">
      <c r="A14" s="119">
        <v>3</v>
      </c>
      <c r="B14" s="101" t="s">
        <v>867</v>
      </c>
      <c r="C14" s="443" t="s">
        <v>388</v>
      </c>
      <c r="D14" s="101" t="s">
        <v>423</v>
      </c>
      <c r="E14" s="101" t="s">
        <v>596</v>
      </c>
      <c r="F14" s="101" t="s">
        <v>869</v>
      </c>
      <c r="G14" s="96" t="s">
        <v>127</v>
      </c>
      <c r="H14" s="12">
        <v>276821.62</v>
      </c>
      <c r="I14" s="168"/>
      <c r="J14" s="168"/>
      <c r="K14" s="317"/>
    </row>
    <row r="15" spans="1:11" ht="18.75">
      <c r="A15" s="119">
        <v>3</v>
      </c>
      <c r="B15" s="101" t="s">
        <v>867</v>
      </c>
      <c r="C15" s="443" t="s">
        <v>388</v>
      </c>
      <c r="D15" s="101" t="s">
        <v>423</v>
      </c>
      <c r="E15" s="101" t="s">
        <v>596</v>
      </c>
      <c r="F15" s="122">
        <v>61603</v>
      </c>
      <c r="G15" s="120" t="s">
        <v>128</v>
      </c>
      <c r="H15" s="12">
        <v>193903.63</v>
      </c>
      <c r="I15" s="168"/>
      <c r="J15" s="168"/>
      <c r="K15" s="317"/>
    </row>
    <row r="16" spans="1:11" ht="18.75">
      <c r="A16" s="119">
        <v>3</v>
      </c>
      <c r="B16" s="101" t="s">
        <v>867</v>
      </c>
      <c r="C16" s="443" t="s">
        <v>388</v>
      </c>
      <c r="D16" s="101" t="s">
        <v>423</v>
      </c>
      <c r="E16" s="101" t="s">
        <v>596</v>
      </c>
      <c r="F16" s="122">
        <v>61604</v>
      </c>
      <c r="G16" s="120" t="s">
        <v>129</v>
      </c>
      <c r="H16" s="12">
        <v>130707.91</v>
      </c>
      <c r="I16" s="168"/>
      <c r="J16" s="168"/>
      <c r="K16" s="317"/>
    </row>
    <row r="17" spans="1:11" ht="18.75">
      <c r="A17" s="119">
        <v>3</v>
      </c>
      <c r="B17" s="101" t="s">
        <v>867</v>
      </c>
      <c r="C17" s="443" t="s">
        <v>388</v>
      </c>
      <c r="D17" s="101" t="s">
        <v>423</v>
      </c>
      <c r="E17" s="101" t="s">
        <v>596</v>
      </c>
      <c r="F17" s="122">
        <v>6166</v>
      </c>
      <c r="G17" s="120" t="s">
        <v>871</v>
      </c>
      <c r="H17" s="12">
        <v>56000</v>
      </c>
      <c r="I17" s="168"/>
      <c r="J17" s="168"/>
      <c r="K17" s="317"/>
    </row>
    <row r="18" spans="1:11" ht="18.75">
      <c r="A18" s="119">
        <v>3</v>
      </c>
      <c r="B18" s="101" t="s">
        <v>867</v>
      </c>
      <c r="C18" s="443" t="s">
        <v>388</v>
      </c>
      <c r="D18" s="101" t="s">
        <v>423</v>
      </c>
      <c r="E18" s="101" t="s">
        <v>596</v>
      </c>
      <c r="F18" s="122">
        <v>61607</v>
      </c>
      <c r="G18" s="102" t="s">
        <v>131</v>
      </c>
      <c r="H18" s="12">
        <v>11766.62</v>
      </c>
      <c r="I18" s="168"/>
      <c r="J18" s="168"/>
      <c r="K18" s="317"/>
    </row>
    <row r="19" spans="1:11" ht="18.75">
      <c r="A19" s="119">
        <v>3</v>
      </c>
      <c r="B19" s="101" t="s">
        <v>867</v>
      </c>
      <c r="C19" s="443" t="s">
        <v>388</v>
      </c>
      <c r="D19" s="101" t="s">
        <v>423</v>
      </c>
      <c r="E19" s="101" t="s">
        <v>596</v>
      </c>
      <c r="F19" s="122">
        <v>61608</v>
      </c>
      <c r="G19" s="102" t="s">
        <v>872</v>
      </c>
      <c r="H19" s="12">
        <v>17000</v>
      </c>
      <c r="I19" s="168"/>
      <c r="J19" s="168"/>
      <c r="K19" s="317"/>
    </row>
    <row r="20" spans="1:11" ht="18.75">
      <c r="A20" s="119">
        <v>3</v>
      </c>
      <c r="B20" s="101" t="s">
        <v>867</v>
      </c>
      <c r="C20" s="443" t="s">
        <v>388</v>
      </c>
      <c r="D20" s="101" t="s">
        <v>423</v>
      </c>
      <c r="E20" s="101" t="s">
        <v>596</v>
      </c>
      <c r="F20" s="123">
        <v>61699</v>
      </c>
      <c r="G20" s="117" t="s">
        <v>873</v>
      </c>
      <c r="H20" s="12">
        <v>115663.1</v>
      </c>
      <c r="I20" s="168"/>
      <c r="J20" s="168"/>
      <c r="K20" s="317"/>
    </row>
    <row r="21" spans="1:11" ht="18.75">
      <c r="A21" s="82"/>
      <c r="B21" s="96"/>
      <c r="C21" s="96"/>
      <c r="D21" s="96"/>
      <c r="E21" s="96"/>
      <c r="F21" s="96"/>
      <c r="G21" s="124" t="s">
        <v>387</v>
      </c>
      <c r="H21" s="125">
        <f>SUM(H11:H20)</f>
        <v>1437103.9000000001</v>
      </c>
    </row>
  </sheetData>
  <mergeCells count="8">
    <mergeCell ref="A8:F8"/>
    <mergeCell ref="G8:G9"/>
    <mergeCell ref="H8:H9"/>
    <mergeCell ref="A3:H3"/>
    <mergeCell ref="A4:H4"/>
    <mergeCell ref="A5:H5"/>
    <mergeCell ref="A6:H6"/>
    <mergeCell ref="A7:H7"/>
  </mergeCells>
  <pageMargins left="0.23622047244094491" right="0.23622047244094491" top="0.55118110236220474" bottom="0.35433070866141736" header="0.31496062992125984" footer="0.31496062992125984"/>
  <pageSetup scale="85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H26"/>
  <sheetViews>
    <sheetView topLeftCell="A4" workbookViewId="0">
      <selection activeCell="J23" sqref="J23"/>
    </sheetView>
  </sheetViews>
  <sheetFormatPr baseColWidth="10" defaultRowHeight="15"/>
  <cols>
    <col min="1" max="1" width="14.5703125" customWidth="1"/>
    <col min="2" max="2" width="15.140625" customWidth="1"/>
    <col min="3" max="3" width="17.7109375" customWidth="1"/>
    <col min="4" max="4" width="15.5703125" customWidth="1"/>
    <col min="5" max="5" width="47" customWidth="1"/>
    <col min="6" max="6" width="24.140625" customWidth="1"/>
    <col min="7" max="7" width="25.85546875" customWidth="1"/>
    <col min="8" max="8" width="26" customWidth="1"/>
  </cols>
  <sheetData>
    <row r="2" spans="1:8" ht="33">
      <c r="A2" s="487"/>
    </row>
    <row r="3" spans="1:8">
      <c r="A3" s="488"/>
    </row>
    <row r="4" spans="1:8" ht="23.25">
      <c r="A4" s="700" t="s">
        <v>823</v>
      </c>
      <c r="B4" s="700"/>
      <c r="C4" s="700"/>
      <c r="D4" s="700"/>
      <c r="E4" s="700"/>
      <c r="F4" s="700"/>
      <c r="G4" s="700"/>
      <c r="H4" s="700"/>
    </row>
    <row r="5" spans="1:8" ht="23.25">
      <c r="A5" s="738" t="s">
        <v>887</v>
      </c>
      <c r="B5" s="738"/>
      <c r="C5" s="738"/>
      <c r="D5" s="738"/>
      <c r="E5" s="738"/>
      <c r="F5" s="738"/>
      <c r="G5" s="738"/>
      <c r="H5" s="738"/>
    </row>
    <row r="6" spans="1:8" ht="33.75">
      <c r="A6" s="739" t="s">
        <v>839</v>
      </c>
      <c r="B6" s="739"/>
      <c r="C6" s="739"/>
      <c r="D6" s="739"/>
      <c r="E6" s="739"/>
      <c r="F6" s="739"/>
      <c r="G6" s="739"/>
      <c r="H6" s="739"/>
    </row>
    <row r="7" spans="1:8" ht="23.25">
      <c r="A7" s="700" t="s">
        <v>825</v>
      </c>
      <c r="B7" s="700"/>
      <c r="C7" s="700"/>
      <c r="D7" s="700"/>
      <c r="E7" s="700"/>
      <c r="F7" s="700"/>
      <c r="G7" s="700"/>
      <c r="H7" s="700"/>
    </row>
    <row r="8" spans="1:8" ht="24" thickBot="1">
      <c r="A8" s="740" t="s">
        <v>888</v>
      </c>
      <c r="B8" s="740"/>
      <c r="C8" s="740"/>
      <c r="D8" s="740"/>
      <c r="E8" s="740"/>
      <c r="F8" s="740"/>
      <c r="G8" s="740"/>
      <c r="H8" s="740"/>
    </row>
    <row r="9" spans="1:8" ht="21" thickBot="1">
      <c r="A9" s="741" t="s">
        <v>889</v>
      </c>
      <c r="B9" s="741" t="s">
        <v>890</v>
      </c>
      <c r="C9" s="741" t="s">
        <v>891</v>
      </c>
      <c r="D9" s="572" t="s">
        <v>892</v>
      </c>
      <c r="E9" s="735" t="s">
        <v>893</v>
      </c>
      <c r="F9" s="735" t="s">
        <v>894</v>
      </c>
      <c r="G9" s="735" t="s">
        <v>894</v>
      </c>
      <c r="H9" s="735" t="s">
        <v>5</v>
      </c>
    </row>
    <row r="10" spans="1:8" ht="21" thickBot="1">
      <c r="A10" s="742"/>
      <c r="B10" s="742"/>
      <c r="C10" s="742"/>
      <c r="D10" s="573" t="s">
        <v>895</v>
      </c>
      <c r="E10" s="735"/>
      <c r="F10" s="735"/>
      <c r="G10" s="735"/>
      <c r="H10" s="735"/>
    </row>
    <row r="11" spans="1:8" ht="23.25">
      <c r="A11" s="489"/>
      <c r="B11" s="489"/>
      <c r="C11" s="489"/>
      <c r="D11" s="490"/>
      <c r="E11" s="491"/>
      <c r="F11" s="492"/>
      <c r="G11" s="493"/>
      <c r="H11" s="533">
        <f>+G12+G14+G17+G22+G24</f>
        <v>2880279.37</v>
      </c>
    </row>
    <row r="12" spans="1:8" ht="42" customHeight="1">
      <c r="A12" s="501" t="s">
        <v>366</v>
      </c>
      <c r="B12" s="82"/>
      <c r="C12" s="82"/>
      <c r="D12" s="502"/>
      <c r="E12" s="504" t="s">
        <v>901</v>
      </c>
      <c r="F12" s="505"/>
      <c r="G12" s="506">
        <f>SUM(F13:F13)</f>
        <v>424745.81</v>
      </c>
      <c r="H12" s="494"/>
    </row>
    <row r="13" spans="1:8" ht="66.75" customHeight="1">
      <c r="A13" s="508"/>
      <c r="B13" s="509" t="s">
        <v>366</v>
      </c>
      <c r="C13" s="509" t="s">
        <v>366</v>
      </c>
      <c r="D13" s="510" t="s">
        <v>191</v>
      </c>
      <c r="E13" s="511" t="s">
        <v>902</v>
      </c>
      <c r="F13" s="512">
        <v>424745.81</v>
      </c>
      <c r="G13" s="513"/>
      <c r="H13" s="494"/>
    </row>
    <row r="14" spans="1:8" ht="23.25">
      <c r="A14" s="501" t="s">
        <v>366</v>
      </c>
      <c r="B14" s="82"/>
      <c r="C14" s="82"/>
      <c r="D14" s="515"/>
      <c r="E14" s="516" t="s">
        <v>903</v>
      </c>
      <c r="F14" s="517"/>
      <c r="G14" s="506">
        <f>SUM(F15:F16)</f>
        <v>610341.75</v>
      </c>
      <c r="H14" s="517"/>
    </row>
    <row r="15" spans="1:8" ht="61.5">
      <c r="A15" s="514"/>
      <c r="B15" s="501" t="s">
        <v>388</v>
      </c>
      <c r="C15" s="518" t="s">
        <v>388</v>
      </c>
      <c r="D15" s="503" t="s">
        <v>232</v>
      </c>
      <c r="E15" s="519" t="s">
        <v>907</v>
      </c>
      <c r="F15" s="520">
        <v>520379.85</v>
      </c>
      <c r="G15" s="506"/>
      <c r="H15" s="517"/>
    </row>
    <row r="16" spans="1:8" ht="41.25">
      <c r="A16" s="497"/>
      <c r="B16" s="501" t="s">
        <v>388</v>
      </c>
      <c r="C16" s="518" t="s">
        <v>388</v>
      </c>
      <c r="D16" s="503" t="s">
        <v>241</v>
      </c>
      <c r="E16" s="500" t="s">
        <v>908</v>
      </c>
      <c r="F16" s="496">
        <v>89961.9</v>
      </c>
      <c r="G16" s="495"/>
      <c r="H16" s="495"/>
    </row>
    <row r="17" spans="1:8" ht="41.25">
      <c r="A17" s="514">
        <v>3</v>
      </c>
      <c r="B17" s="82"/>
      <c r="C17" s="82"/>
      <c r="D17" s="503"/>
      <c r="E17" s="504" t="s">
        <v>904</v>
      </c>
      <c r="F17" s="505"/>
      <c r="G17" s="506">
        <f>SUM(F18:F21)</f>
        <v>1543505.47</v>
      </c>
      <c r="H17" s="505"/>
    </row>
    <row r="18" spans="1:8" ht="23.25">
      <c r="A18" s="528"/>
      <c r="B18" s="528"/>
      <c r="C18" s="571" t="s">
        <v>366</v>
      </c>
      <c r="D18" s="503" t="s">
        <v>256</v>
      </c>
      <c r="E18" s="529" t="s">
        <v>896</v>
      </c>
      <c r="F18" s="507">
        <v>88340.08</v>
      </c>
      <c r="G18" s="505"/>
      <c r="H18" s="494"/>
    </row>
    <row r="19" spans="1:8" ht="23.25">
      <c r="A19" s="522"/>
      <c r="B19" s="522"/>
      <c r="C19" s="571" t="s">
        <v>366</v>
      </c>
      <c r="D19" s="503" t="s">
        <v>259</v>
      </c>
      <c r="E19" s="529" t="s">
        <v>906</v>
      </c>
      <c r="F19" s="524">
        <v>1437103.9</v>
      </c>
      <c r="G19" s="525"/>
      <c r="H19" s="494"/>
    </row>
    <row r="20" spans="1:8" ht="23.25">
      <c r="A20" s="522"/>
      <c r="B20" s="522"/>
      <c r="C20" s="503"/>
      <c r="D20" s="503"/>
      <c r="E20" s="532" t="s">
        <v>905</v>
      </c>
      <c r="F20" s="524"/>
      <c r="G20" s="506">
        <v>18061.490000000002</v>
      </c>
      <c r="H20" s="494"/>
    </row>
    <row r="21" spans="1:8" ht="23.25">
      <c r="A21" s="522"/>
      <c r="B21" s="501" t="s">
        <v>867</v>
      </c>
      <c r="C21" s="501" t="s">
        <v>912</v>
      </c>
      <c r="D21" s="503" t="s">
        <v>265</v>
      </c>
      <c r="E21" s="529" t="s">
        <v>905</v>
      </c>
      <c r="F21" s="524">
        <v>18061.490000000002</v>
      </c>
      <c r="G21" s="525"/>
      <c r="H21" s="494"/>
    </row>
    <row r="22" spans="1:8" ht="23.25">
      <c r="A22" s="522"/>
      <c r="B22" s="522"/>
      <c r="C22" s="503"/>
      <c r="D22" s="503"/>
      <c r="E22" s="523" t="s">
        <v>909</v>
      </c>
      <c r="F22" s="526"/>
      <c r="G22" s="506">
        <v>152584</v>
      </c>
      <c r="H22" s="527"/>
    </row>
    <row r="23" spans="1:8" ht="23.25">
      <c r="A23" s="521">
        <v>5</v>
      </c>
      <c r="B23" s="498" t="s">
        <v>595</v>
      </c>
      <c r="C23" s="570" t="s">
        <v>912</v>
      </c>
      <c r="D23" s="562" t="s">
        <v>897</v>
      </c>
      <c r="E23" s="563" t="s">
        <v>898</v>
      </c>
      <c r="F23" s="564">
        <v>152584</v>
      </c>
      <c r="G23" s="565"/>
      <c r="H23" s="566"/>
    </row>
    <row r="24" spans="1:8" ht="65.25" customHeight="1">
      <c r="A24" s="499">
        <v>3</v>
      </c>
      <c r="B24" s="514"/>
      <c r="C24" s="567"/>
      <c r="D24" s="503"/>
      <c r="E24" s="504" t="s">
        <v>899</v>
      </c>
      <c r="F24" s="505"/>
      <c r="G24" s="506">
        <f>SUM(F25)</f>
        <v>149102.34</v>
      </c>
      <c r="H24" s="568"/>
    </row>
    <row r="25" spans="1:8" ht="62.25" customHeight="1" thickBot="1">
      <c r="A25" s="499"/>
      <c r="B25" s="501" t="s">
        <v>867</v>
      </c>
      <c r="C25" s="567"/>
      <c r="D25" s="503" t="s">
        <v>900</v>
      </c>
      <c r="E25" s="569" t="s">
        <v>899</v>
      </c>
      <c r="F25" s="507">
        <v>149102.34</v>
      </c>
      <c r="G25" s="505"/>
      <c r="H25" s="568"/>
    </row>
    <row r="26" spans="1:8" ht="24" thickBot="1">
      <c r="A26" s="736"/>
      <c r="B26" s="737"/>
      <c r="C26" s="737"/>
      <c r="D26" s="737"/>
      <c r="E26" s="737"/>
      <c r="F26" s="574">
        <f>SUM(F12:F25)</f>
        <v>2880279.37</v>
      </c>
      <c r="G26" s="575">
        <f>+G24+G22+G17+G14+G12</f>
        <v>2880279.37</v>
      </c>
      <c r="H26" s="574"/>
    </row>
  </sheetData>
  <mergeCells count="13">
    <mergeCell ref="G9:G10"/>
    <mergeCell ref="H9:H10"/>
    <mergeCell ref="A26:E26"/>
    <mergeCell ref="A4:H4"/>
    <mergeCell ref="A5:H5"/>
    <mergeCell ref="A6:H6"/>
    <mergeCell ref="A7:H7"/>
    <mergeCell ref="A8:H8"/>
    <mergeCell ref="A9:A10"/>
    <mergeCell ref="B9:B10"/>
    <mergeCell ref="C9:C10"/>
    <mergeCell ref="E9:E10"/>
    <mergeCell ref="F9:F10"/>
  </mergeCells>
  <pageMargins left="0.23622047244094491" right="0.23622047244094491" top="0.55118110236220474" bottom="0" header="0.31496062992125984" footer="0.31496062992125984"/>
  <pageSetup scale="70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4"/>
  <sheetViews>
    <sheetView workbookViewId="0">
      <selection activeCell="K21" sqref="K21"/>
    </sheetView>
  </sheetViews>
  <sheetFormatPr baseColWidth="10" defaultRowHeight="15"/>
  <cols>
    <col min="7" max="7" width="54.85546875" customWidth="1"/>
    <col min="8" max="8" width="31.7109375" customWidth="1"/>
  </cols>
  <sheetData>
    <row r="1" spans="1:8" ht="27.75">
      <c r="A1" s="643" t="s">
        <v>353</v>
      </c>
      <c r="B1" s="644"/>
      <c r="C1" s="644"/>
      <c r="D1" s="644"/>
      <c r="E1" s="644"/>
      <c r="F1" s="644"/>
      <c r="G1" s="644"/>
      <c r="H1" s="644"/>
    </row>
    <row r="2" spans="1:8" ht="27.75">
      <c r="A2" s="643" t="s">
        <v>394</v>
      </c>
      <c r="B2" s="644"/>
      <c r="C2" s="644"/>
      <c r="D2" s="644"/>
      <c r="E2" s="644"/>
      <c r="F2" s="644"/>
      <c r="G2" s="644"/>
      <c r="H2" s="644"/>
    </row>
    <row r="3" spans="1:8" ht="27.75">
      <c r="A3" s="643" t="s">
        <v>354</v>
      </c>
      <c r="B3" s="644"/>
      <c r="C3" s="644"/>
      <c r="D3" s="644"/>
      <c r="E3" s="644"/>
      <c r="F3" s="644"/>
      <c r="G3" s="644"/>
      <c r="H3" s="644"/>
    </row>
    <row r="4" spans="1:8" ht="27.75">
      <c r="A4" s="645" t="s">
        <v>355</v>
      </c>
      <c r="B4" s="645"/>
      <c r="C4" s="645"/>
      <c r="D4" s="645"/>
      <c r="E4" s="645"/>
      <c r="F4" s="645"/>
      <c r="G4" s="645"/>
      <c r="H4" s="645"/>
    </row>
    <row r="5" spans="1:8" ht="28.5" thickBot="1">
      <c r="A5" s="646" t="s">
        <v>911</v>
      </c>
      <c r="B5" s="646"/>
      <c r="C5" s="646"/>
      <c r="D5" s="646"/>
      <c r="E5" s="646"/>
      <c r="F5" s="646"/>
      <c r="G5" s="646"/>
      <c r="H5" s="646"/>
    </row>
    <row r="6" spans="1:8" ht="16.5" thickBot="1">
      <c r="A6" s="647" t="s">
        <v>357</v>
      </c>
      <c r="B6" s="648"/>
      <c r="C6" s="648"/>
      <c r="D6" s="648"/>
      <c r="E6" s="648"/>
      <c r="F6" s="648"/>
      <c r="G6" s="649" t="s">
        <v>358</v>
      </c>
      <c r="H6" s="651" t="s">
        <v>359</v>
      </c>
    </row>
    <row r="7" spans="1:8" ht="95.25">
      <c r="A7" s="56" t="s">
        <v>360</v>
      </c>
      <c r="B7" s="57" t="s">
        <v>361</v>
      </c>
      <c r="C7" s="57" t="s">
        <v>362</v>
      </c>
      <c r="D7" s="57" t="s">
        <v>363</v>
      </c>
      <c r="E7" s="58" t="s">
        <v>364</v>
      </c>
      <c r="F7" s="59" t="s">
        <v>365</v>
      </c>
      <c r="G7" s="650"/>
      <c r="H7" s="652"/>
    </row>
    <row r="8" spans="1:8" ht="18">
      <c r="A8" s="449"/>
      <c r="B8" s="449"/>
      <c r="C8" s="449"/>
      <c r="D8" s="449"/>
      <c r="E8" s="449"/>
      <c r="F8" s="449"/>
      <c r="G8" s="450"/>
      <c r="H8" s="451"/>
    </row>
    <row r="9" spans="1:8" ht="48.75" customHeight="1">
      <c r="A9" s="442">
        <v>3</v>
      </c>
      <c r="B9" s="443" t="s">
        <v>867</v>
      </c>
      <c r="C9" s="443" t="s">
        <v>366</v>
      </c>
      <c r="D9" s="443" t="s">
        <v>423</v>
      </c>
      <c r="E9" s="443" t="s">
        <v>596</v>
      </c>
      <c r="F9" s="447">
        <v>54599</v>
      </c>
      <c r="G9" s="445" t="s">
        <v>92</v>
      </c>
      <c r="H9" s="100">
        <v>27152.080000000002</v>
      </c>
    </row>
    <row r="10" spans="1:8" ht="18">
      <c r="A10" s="442">
        <v>3</v>
      </c>
      <c r="B10" s="443" t="s">
        <v>867</v>
      </c>
      <c r="C10" s="443" t="s">
        <v>366</v>
      </c>
      <c r="D10" s="443" t="s">
        <v>423</v>
      </c>
      <c r="E10" s="443" t="s">
        <v>596</v>
      </c>
      <c r="F10" s="443" t="s">
        <v>876</v>
      </c>
      <c r="G10" s="448" t="s">
        <v>880</v>
      </c>
      <c r="H10" s="100">
        <v>32188</v>
      </c>
    </row>
    <row r="11" spans="1:8" ht="18">
      <c r="A11" s="442">
        <v>3</v>
      </c>
      <c r="B11" s="443" t="s">
        <v>867</v>
      </c>
      <c r="C11" s="443" t="s">
        <v>366</v>
      </c>
      <c r="D11" s="443" t="s">
        <v>423</v>
      </c>
      <c r="E11" s="443" t="s">
        <v>596</v>
      </c>
      <c r="F11" s="443" t="s">
        <v>877</v>
      </c>
      <c r="G11" s="448" t="s">
        <v>881</v>
      </c>
      <c r="H11" s="100">
        <v>16000</v>
      </c>
    </row>
    <row r="12" spans="1:8" ht="18">
      <c r="A12" s="442">
        <v>3</v>
      </c>
      <c r="B12" s="443" t="s">
        <v>867</v>
      </c>
      <c r="C12" s="443" t="s">
        <v>366</v>
      </c>
      <c r="D12" s="443" t="s">
        <v>423</v>
      </c>
      <c r="E12" s="443" t="s">
        <v>596</v>
      </c>
      <c r="F12" s="443" t="s">
        <v>878</v>
      </c>
      <c r="G12" s="448" t="s">
        <v>882</v>
      </c>
      <c r="H12" s="100">
        <v>7000</v>
      </c>
    </row>
    <row r="13" spans="1:8" ht="18">
      <c r="A13" s="442">
        <v>3</v>
      </c>
      <c r="B13" s="443" t="s">
        <v>867</v>
      </c>
      <c r="C13" s="443" t="s">
        <v>366</v>
      </c>
      <c r="D13" s="443" t="s">
        <v>423</v>
      </c>
      <c r="E13" s="443" t="s">
        <v>596</v>
      </c>
      <c r="F13" s="443" t="s">
        <v>879</v>
      </c>
      <c r="G13" s="448" t="s">
        <v>883</v>
      </c>
      <c r="H13" s="100">
        <v>6000</v>
      </c>
    </row>
    <row r="14" spans="1:8" ht="18.75">
      <c r="A14" s="82"/>
      <c r="B14" s="96"/>
      <c r="C14" s="96"/>
      <c r="D14" s="96"/>
      <c r="E14" s="96"/>
      <c r="F14" s="96"/>
      <c r="G14" s="124" t="s">
        <v>387</v>
      </c>
      <c r="H14" s="125">
        <f>SUM(H9:H13)</f>
        <v>88340.08</v>
      </c>
    </row>
  </sheetData>
  <mergeCells count="8">
    <mergeCell ref="A6:F6"/>
    <mergeCell ref="G6:G7"/>
    <mergeCell ref="H6:H7"/>
    <mergeCell ref="A1:H1"/>
    <mergeCell ref="A2:H2"/>
    <mergeCell ref="A3:H3"/>
    <mergeCell ref="A4:H4"/>
    <mergeCell ref="A5:H5"/>
  </mergeCells>
  <pageMargins left="0.23622047244094491" right="0.23622047244094491" top="0.74803149606299213" bottom="0.74803149606299213" header="0.31496062992125984" footer="0.31496062992125984"/>
  <pageSetup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G122"/>
  <sheetViews>
    <sheetView topLeftCell="A82" workbookViewId="0">
      <selection activeCell="M19" sqref="M19"/>
    </sheetView>
  </sheetViews>
  <sheetFormatPr baseColWidth="10" defaultRowHeight="15"/>
  <cols>
    <col min="1" max="1" width="4.140625" bestFit="1" customWidth="1"/>
    <col min="2" max="2" width="41.140625" customWidth="1"/>
    <col min="3" max="3" width="21.5703125" customWidth="1"/>
    <col min="4" max="4" width="19" customWidth="1"/>
    <col min="5" max="5" width="11.42578125" customWidth="1"/>
    <col min="6" max="6" width="16.28515625" customWidth="1"/>
    <col min="7" max="7" width="15.28515625" customWidth="1"/>
    <col min="8" max="8" width="19.42578125" customWidth="1"/>
    <col min="9" max="9" width="18" customWidth="1"/>
    <col min="10" max="10" width="17" customWidth="1"/>
    <col min="11" max="11" width="16.28515625" customWidth="1"/>
    <col min="12" max="12" width="14.85546875" customWidth="1"/>
    <col min="13" max="13" width="18.5703125" customWidth="1"/>
    <col min="14" max="14" width="18.7109375" customWidth="1"/>
    <col min="15" max="15" width="18.140625" customWidth="1"/>
    <col min="17" max="17" width="10" customWidth="1"/>
    <col min="19" max="19" width="45.5703125" customWidth="1"/>
    <col min="26" max="26" width="18.85546875" customWidth="1"/>
    <col min="27" max="27" width="16.5703125" customWidth="1"/>
    <col min="28" max="28" width="21.7109375" customWidth="1"/>
    <col min="29" max="29" width="15.7109375" customWidth="1"/>
    <col min="30" max="30" width="20.140625" customWidth="1"/>
    <col min="31" max="31" width="17.5703125" customWidth="1"/>
  </cols>
  <sheetData>
    <row r="2" spans="1:33" ht="29.25">
      <c r="A2" s="631" t="s">
        <v>168</v>
      </c>
      <c r="B2" s="631"/>
      <c r="C2" s="631"/>
      <c r="D2" s="631"/>
      <c r="E2" s="631"/>
      <c r="F2" s="631"/>
      <c r="G2" s="631"/>
      <c r="H2" s="631"/>
      <c r="I2" s="631"/>
      <c r="J2" s="631"/>
      <c r="K2" s="631"/>
      <c r="L2" s="631"/>
      <c r="M2" s="631"/>
      <c r="N2" s="631"/>
      <c r="O2" s="32"/>
    </row>
    <row r="3" spans="1:33" ht="33">
      <c r="A3" s="632" t="s">
        <v>169</v>
      </c>
      <c r="B3" s="632"/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  <c r="N3" s="632"/>
      <c r="O3" s="33"/>
    </row>
    <row r="4" spans="1:33" ht="24.75">
      <c r="A4" s="633" t="s">
        <v>884</v>
      </c>
      <c r="B4" s="633"/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633"/>
      <c r="O4" s="33"/>
    </row>
    <row r="5" spans="1:33" ht="27">
      <c r="A5" s="629" t="s">
        <v>170</v>
      </c>
      <c r="B5" s="629" t="s">
        <v>171</v>
      </c>
      <c r="C5" s="634" t="s">
        <v>172</v>
      </c>
      <c r="D5" s="629" t="s">
        <v>173</v>
      </c>
      <c r="E5" s="634" t="s">
        <v>174</v>
      </c>
      <c r="F5" s="634" t="s">
        <v>175</v>
      </c>
      <c r="G5" s="634"/>
      <c r="H5" s="634"/>
      <c r="I5" s="634"/>
      <c r="J5" s="634" t="s">
        <v>176</v>
      </c>
      <c r="K5" s="628" t="s">
        <v>177</v>
      </c>
      <c r="L5" s="628"/>
      <c r="M5" s="628"/>
      <c r="N5" s="628"/>
      <c r="O5" s="629" t="s">
        <v>5</v>
      </c>
      <c r="Q5" s="206" t="s">
        <v>613</v>
      </c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8"/>
    </row>
    <row r="6" spans="1:33" ht="27">
      <c r="A6" s="629"/>
      <c r="B6" s="629"/>
      <c r="C6" s="634"/>
      <c r="D6" s="629"/>
      <c r="E6" s="634"/>
      <c r="F6" s="634"/>
      <c r="G6" s="634"/>
      <c r="H6" s="634"/>
      <c r="I6" s="634"/>
      <c r="J6" s="634"/>
      <c r="K6" s="558" t="s">
        <v>178</v>
      </c>
      <c r="L6" s="630" t="s">
        <v>179</v>
      </c>
      <c r="M6" s="630"/>
      <c r="N6" s="630"/>
      <c r="O6" s="629"/>
      <c r="Q6" s="209" t="s">
        <v>393</v>
      </c>
      <c r="R6" s="210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10"/>
      <c r="AD6" s="210"/>
      <c r="AE6" s="210"/>
      <c r="AF6" s="210"/>
      <c r="AG6" s="211"/>
    </row>
    <row r="7" spans="1:33" ht="31.5">
      <c r="A7" s="629"/>
      <c r="B7" s="629"/>
      <c r="C7" s="634"/>
      <c r="D7" s="629"/>
      <c r="E7" s="634"/>
      <c r="F7" s="559" t="s">
        <v>180</v>
      </c>
      <c r="G7" s="559" t="s">
        <v>181</v>
      </c>
      <c r="H7" s="559" t="s">
        <v>180</v>
      </c>
      <c r="I7" s="559" t="s">
        <v>182</v>
      </c>
      <c r="J7" s="559" t="s">
        <v>183</v>
      </c>
      <c r="K7" s="559" t="s">
        <v>184</v>
      </c>
      <c r="L7" s="560" t="s">
        <v>185</v>
      </c>
      <c r="M7" s="560" t="s">
        <v>186</v>
      </c>
      <c r="N7" s="559" t="s">
        <v>187</v>
      </c>
      <c r="O7" s="629"/>
      <c r="Q7" s="212" t="s">
        <v>614</v>
      </c>
      <c r="R7" s="213"/>
      <c r="S7" s="213"/>
      <c r="T7" s="213"/>
      <c r="U7" s="212" t="s">
        <v>615</v>
      </c>
      <c r="V7" s="213"/>
      <c r="W7" s="213"/>
      <c r="X7" s="213"/>
      <c r="Y7" s="213"/>
      <c r="Z7" s="213"/>
      <c r="AA7" s="213"/>
      <c r="AB7" s="213"/>
      <c r="AC7" s="214" t="s">
        <v>616</v>
      </c>
      <c r="AD7" s="215"/>
      <c r="AE7" s="215"/>
      <c r="AF7" s="215"/>
      <c r="AG7" s="216"/>
    </row>
    <row r="8" spans="1:33" ht="15.75">
      <c r="A8" s="534">
        <v>1</v>
      </c>
      <c r="B8" s="535" t="s">
        <v>188</v>
      </c>
      <c r="C8" s="535" t="s">
        <v>189</v>
      </c>
      <c r="D8" s="534" t="s">
        <v>190</v>
      </c>
      <c r="E8" s="536" t="s">
        <v>191</v>
      </c>
      <c r="F8" s="537">
        <v>1400</v>
      </c>
      <c r="G8" s="537">
        <v>0</v>
      </c>
      <c r="H8" s="537">
        <f t="shared" ref="H8:H28" si="0">+F8+G8</f>
        <v>1400</v>
      </c>
      <c r="I8" s="537">
        <f t="shared" ref="I8:I13" si="1">+H8*12</f>
        <v>16800</v>
      </c>
      <c r="J8" s="537">
        <f t="shared" ref="J8:J28" si="2">+H8</f>
        <v>1400</v>
      </c>
      <c r="K8" s="537">
        <f t="shared" ref="K8:K28" si="3">+J8*6.75%*12</f>
        <v>1134</v>
      </c>
      <c r="L8" s="537">
        <v>0</v>
      </c>
      <c r="M8" s="537">
        <f>685.71*7.5%*12</f>
        <v>617.13900000000001</v>
      </c>
      <c r="N8" s="537">
        <f>+K8+M8</f>
        <v>1751.1390000000001</v>
      </c>
      <c r="O8" s="538">
        <f t="shared" ref="O8:O13" si="4">ROUND((+I8+J8+N8),2)</f>
        <v>19951.14</v>
      </c>
      <c r="Q8" s="217"/>
      <c r="R8" s="218"/>
      <c r="S8" s="218" t="s">
        <v>617</v>
      </c>
      <c r="T8" s="218"/>
      <c r="U8" s="217"/>
      <c r="V8" s="218"/>
      <c r="W8" s="218"/>
      <c r="X8" s="218"/>
      <c r="Y8" s="218"/>
      <c r="Z8" s="218"/>
      <c r="AA8" s="218"/>
      <c r="AB8" s="218" t="s">
        <v>618</v>
      </c>
      <c r="AC8" s="219" t="s">
        <v>619</v>
      </c>
      <c r="AD8" s="220"/>
      <c r="AE8" s="220" t="s">
        <v>620</v>
      </c>
      <c r="AF8" s="220"/>
      <c r="AG8" s="221"/>
    </row>
    <row r="9" spans="1:33" ht="18.75">
      <c r="A9" s="534">
        <v>2</v>
      </c>
      <c r="B9" s="535" t="s">
        <v>192</v>
      </c>
      <c r="C9" s="535" t="s">
        <v>193</v>
      </c>
      <c r="D9" s="534" t="s">
        <v>190</v>
      </c>
      <c r="E9" s="536" t="s">
        <v>191</v>
      </c>
      <c r="F9" s="537">
        <v>670</v>
      </c>
      <c r="G9" s="537">
        <v>0</v>
      </c>
      <c r="H9" s="537">
        <f t="shared" si="0"/>
        <v>670</v>
      </c>
      <c r="I9" s="537">
        <f t="shared" si="1"/>
        <v>8040</v>
      </c>
      <c r="J9" s="537">
        <f t="shared" si="2"/>
        <v>670</v>
      </c>
      <c r="K9" s="537">
        <f t="shared" si="3"/>
        <v>542.70000000000005</v>
      </c>
      <c r="L9" s="537">
        <v>0</v>
      </c>
      <c r="M9" s="537">
        <f>+J9*7.5%*12</f>
        <v>603</v>
      </c>
      <c r="N9" s="537">
        <f>+K9+M9</f>
        <v>1145.7</v>
      </c>
      <c r="O9" s="538">
        <f t="shared" si="4"/>
        <v>9855.7000000000007</v>
      </c>
      <c r="Q9" s="222"/>
      <c r="R9" s="223"/>
      <c r="S9" s="224" t="s">
        <v>621</v>
      </c>
      <c r="T9" s="224"/>
      <c r="U9" s="224">
        <v>6</v>
      </c>
      <c r="V9" s="224" t="s">
        <v>622</v>
      </c>
      <c r="W9" s="224"/>
      <c r="X9" s="224"/>
      <c r="Y9" s="224"/>
      <c r="Z9" s="224"/>
      <c r="AA9" s="224"/>
      <c r="AB9" s="212"/>
      <c r="AC9" s="225" t="s">
        <v>623</v>
      </c>
      <c r="AD9" s="226"/>
      <c r="AE9" s="226"/>
      <c r="AF9" s="226"/>
      <c r="AG9" s="221"/>
    </row>
    <row r="10" spans="1:33" ht="18.75">
      <c r="A10" s="534">
        <v>3</v>
      </c>
      <c r="B10" s="535" t="s">
        <v>398</v>
      </c>
      <c r="C10" s="535" t="s">
        <v>194</v>
      </c>
      <c r="D10" s="534" t="s">
        <v>195</v>
      </c>
      <c r="E10" s="536" t="s">
        <v>191</v>
      </c>
      <c r="F10" s="537">
        <v>880</v>
      </c>
      <c r="G10" s="537">
        <v>0</v>
      </c>
      <c r="H10" s="537">
        <f t="shared" si="0"/>
        <v>880</v>
      </c>
      <c r="I10" s="537">
        <f t="shared" si="1"/>
        <v>10560</v>
      </c>
      <c r="J10" s="537">
        <f t="shared" si="2"/>
        <v>880</v>
      </c>
      <c r="K10" s="537">
        <f t="shared" si="3"/>
        <v>712.80000000000007</v>
      </c>
      <c r="L10" s="537">
        <v>0</v>
      </c>
      <c r="M10" s="537">
        <f>685.71*7.5%*12</f>
        <v>617.13900000000001</v>
      </c>
      <c r="N10" s="537">
        <f t="shared" ref="N10:N28" si="5">SUM(K10:M10)</f>
        <v>1329.9390000000001</v>
      </c>
      <c r="O10" s="538">
        <f t="shared" si="4"/>
        <v>12769.94</v>
      </c>
      <c r="Q10" s="219"/>
      <c r="R10" s="220"/>
      <c r="S10" s="219"/>
      <c r="T10" s="220"/>
      <c r="U10" s="219"/>
      <c r="V10" s="220"/>
      <c r="W10" s="220"/>
      <c r="X10" s="220"/>
      <c r="Y10" s="220"/>
      <c r="Z10" s="220"/>
      <c r="AA10" s="220"/>
      <c r="AB10" s="219"/>
      <c r="AC10" s="227" t="s">
        <v>624</v>
      </c>
      <c r="AD10" s="228"/>
      <c r="AE10" s="220"/>
      <c r="AF10" s="220"/>
      <c r="AG10" s="229"/>
    </row>
    <row r="11" spans="1:33" ht="15.75">
      <c r="A11" s="534">
        <v>4</v>
      </c>
      <c r="B11" s="535" t="s">
        <v>196</v>
      </c>
      <c r="C11" s="535" t="s">
        <v>197</v>
      </c>
      <c r="D11" s="534" t="s">
        <v>198</v>
      </c>
      <c r="E11" s="536" t="s">
        <v>191</v>
      </c>
      <c r="F11" s="537">
        <v>396</v>
      </c>
      <c r="G11" s="537">
        <v>20</v>
      </c>
      <c r="H11" s="537">
        <f t="shared" si="0"/>
        <v>416</v>
      </c>
      <c r="I11" s="537">
        <f>+H11*12-40</f>
        <v>4952</v>
      </c>
      <c r="J11" s="537">
        <f t="shared" si="2"/>
        <v>416</v>
      </c>
      <c r="K11" s="537">
        <f t="shared" si="3"/>
        <v>336.96000000000004</v>
      </c>
      <c r="L11" s="537">
        <v>0</v>
      </c>
      <c r="M11" s="537">
        <f t="shared" ref="M11:M28" si="6">+J11*7.5%*12</f>
        <v>374.4</v>
      </c>
      <c r="N11" s="537">
        <f t="shared" si="5"/>
        <v>711.36</v>
      </c>
      <c r="O11" s="538">
        <f t="shared" si="4"/>
        <v>6079.36</v>
      </c>
      <c r="Q11" s="212" t="s">
        <v>625</v>
      </c>
      <c r="R11" s="213"/>
      <c r="S11" s="212" t="s">
        <v>626</v>
      </c>
      <c r="T11" s="213"/>
      <c r="U11" s="212" t="s">
        <v>627</v>
      </c>
      <c r="V11" s="213" t="s">
        <v>628</v>
      </c>
      <c r="W11" s="213"/>
      <c r="X11" s="213"/>
      <c r="Y11" s="213"/>
      <c r="Z11" s="213"/>
      <c r="AA11" s="213"/>
      <c r="AB11" s="212"/>
      <c r="AC11" s="223"/>
      <c r="AD11" s="213"/>
      <c r="AE11" s="213"/>
      <c r="AF11" s="213"/>
      <c r="AG11" s="223"/>
    </row>
    <row r="12" spans="1:33" ht="18">
      <c r="A12" s="534">
        <v>5</v>
      </c>
      <c r="B12" s="535" t="s">
        <v>199</v>
      </c>
      <c r="C12" s="535" t="s">
        <v>200</v>
      </c>
      <c r="D12" s="539"/>
      <c r="E12" s="536" t="s">
        <v>191</v>
      </c>
      <c r="F12" s="537">
        <v>1030</v>
      </c>
      <c r="G12" s="537">
        <v>0</v>
      </c>
      <c r="H12" s="537">
        <f t="shared" si="0"/>
        <v>1030</v>
      </c>
      <c r="I12" s="537">
        <f t="shared" si="1"/>
        <v>12360</v>
      </c>
      <c r="J12" s="537">
        <f t="shared" si="2"/>
        <v>1030</v>
      </c>
      <c r="K12" s="537">
        <f t="shared" si="3"/>
        <v>834.30000000000007</v>
      </c>
      <c r="L12" s="537">
        <v>0</v>
      </c>
      <c r="M12" s="537">
        <f t="shared" si="6"/>
        <v>927</v>
      </c>
      <c r="N12" s="537">
        <f t="shared" si="5"/>
        <v>1761.3000000000002</v>
      </c>
      <c r="O12" s="538">
        <f t="shared" si="4"/>
        <v>15151.3</v>
      </c>
      <c r="Q12" s="212" t="s">
        <v>629</v>
      </c>
      <c r="R12" s="213"/>
      <c r="S12" s="212" t="s">
        <v>630</v>
      </c>
      <c r="T12" s="213" t="s">
        <v>617</v>
      </c>
      <c r="U12" s="212"/>
      <c r="V12" s="213" t="s">
        <v>631</v>
      </c>
      <c r="W12" s="213"/>
      <c r="X12" s="213"/>
      <c r="Y12" s="213"/>
      <c r="Z12" s="213"/>
      <c r="AA12" s="213">
        <v>-12</v>
      </c>
      <c r="AB12" s="214" t="s">
        <v>632</v>
      </c>
      <c r="AC12" s="223"/>
      <c r="AD12" s="230" t="s">
        <v>633</v>
      </c>
      <c r="AE12" s="230"/>
      <c r="AF12" s="230"/>
      <c r="AG12" s="223"/>
    </row>
    <row r="13" spans="1:33" ht="23.25">
      <c r="A13" s="534">
        <v>6</v>
      </c>
      <c r="B13" s="535" t="s">
        <v>201</v>
      </c>
      <c r="C13" s="535" t="s">
        <v>202</v>
      </c>
      <c r="D13" s="534" t="s">
        <v>190</v>
      </c>
      <c r="E13" s="536" t="s">
        <v>191</v>
      </c>
      <c r="F13" s="540">
        <v>950</v>
      </c>
      <c r="G13" s="537">
        <v>0</v>
      </c>
      <c r="H13" s="537">
        <f t="shared" si="0"/>
        <v>950</v>
      </c>
      <c r="I13" s="537">
        <f t="shared" si="1"/>
        <v>11400</v>
      </c>
      <c r="J13" s="537">
        <f t="shared" si="2"/>
        <v>950</v>
      </c>
      <c r="K13" s="537">
        <f t="shared" si="3"/>
        <v>769.5</v>
      </c>
      <c r="L13" s="537">
        <v>0</v>
      </c>
      <c r="M13" s="537">
        <f t="shared" si="6"/>
        <v>855</v>
      </c>
      <c r="N13" s="537">
        <f t="shared" si="5"/>
        <v>1624.5</v>
      </c>
      <c r="O13" s="538">
        <f t="shared" si="4"/>
        <v>13974.5</v>
      </c>
      <c r="Q13" s="231"/>
      <c r="R13" s="231"/>
      <c r="S13" s="231" t="s">
        <v>634</v>
      </c>
      <c r="T13" s="231"/>
      <c r="U13" s="231"/>
      <c r="V13" s="231"/>
      <c r="W13" s="231"/>
      <c r="X13" s="231"/>
      <c r="Y13" s="231"/>
      <c r="Z13" s="232" t="e">
        <f>+#REF!</f>
        <v>#REF!</v>
      </c>
      <c r="AA13" s="232" t="e">
        <f>+#REF!</f>
        <v>#REF!</v>
      </c>
      <c r="AB13" s="232" t="e">
        <f>+#REF!</f>
        <v>#REF!</v>
      </c>
      <c r="AC13" s="232" t="e">
        <f>+#REF!</f>
        <v>#REF!</v>
      </c>
      <c r="AD13" s="232" t="e">
        <f>+#REF!</f>
        <v>#REF!</v>
      </c>
      <c r="AE13" s="233" t="e">
        <f>+#REF!</f>
        <v>#REF!</v>
      </c>
      <c r="AF13" s="234"/>
      <c r="AG13" s="231"/>
    </row>
    <row r="14" spans="1:33" ht="23.25">
      <c r="A14" s="534"/>
      <c r="B14" s="541" t="s">
        <v>203</v>
      </c>
      <c r="C14" s="535"/>
      <c r="D14" s="534"/>
      <c r="E14" s="536"/>
      <c r="F14" s="542">
        <f>SUM(F8:F13)</f>
        <v>5326</v>
      </c>
      <c r="G14" s="542">
        <f t="shared" ref="G14:O14" si="7">SUM(G8:G13)</f>
        <v>20</v>
      </c>
      <c r="H14" s="542">
        <f t="shared" si="7"/>
        <v>5346</v>
      </c>
      <c r="I14" s="542">
        <f t="shared" si="7"/>
        <v>64112</v>
      </c>
      <c r="J14" s="542">
        <f t="shared" si="7"/>
        <v>5346</v>
      </c>
      <c r="K14" s="542">
        <f t="shared" si="7"/>
        <v>4330.26</v>
      </c>
      <c r="L14" s="542">
        <f t="shared" si="7"/>
        <v>0</v>
      </c>
      <c r="M14" s="542">
        <f t="shared" si="7"/>
        <v>3993.6780000000003</v>
      </c>
      <c r="N14" s="542">
        <f t="shared" si="7"/>
        <v>8323.9380000000001</v>
      </c>
      <c r="O14" s="542">
        <f t="shared" si="7"/>
        <v>77781.94</v>
      </c>
      <c r="Q14" s="235">
        <v>24</v>
      </c>
      <c r="R14" s="231"/>
      <c r="S14" s="231" t="s">
        <v>635</v>
      </c>
      <c r="T14" s="231" t="s">
        <v>636</v>
      </c>
      <c r="U14" s="50" t="s">
        <v>637</v>
      </c>
      <c r="V14" s="231"/>
      <c r="W14" s="231"/>
      <c r="X14" s="236">
        <v>30</v>
      </c>
      <c r="Y14" s="236">
        <v>8</v>
      </c>
      <c r="Z14" s="237">
        <v>1000</v>
      </c>
      <c r="AA14" s="237"/>
      <c r="AB14" s="238">
        <f>+Z14+AA14</f>
        <v>1000</v>
      </c>
      <c r="AC14" s="237">
        <v>0</v>
      </c>
      <c r="AD14" s="238">
        <f>+ROUND((AB14-AC14),2)</f>
        <v>1000</v>
      </c>
      <c r="AE14" s="231"/>
      <c r="AF14" s="231"/>
      <c r="AG14" s="231"/>
    </row>
    <row r="15" spans="1:33" ht="23.25">
      <c r="A15" s="534">
        <v>7</v>
      </c>
      <c r="B15" s="535" t="s">
        <v>204</v>
      </c>
      <c r="C15" s="535" t="s">
        <v>205</v>
      </c>
      <c r="D15" s="534" t="s">
        <v>195</v>
      </c>
      <c r="E15" s="536" t="s">
        <v>206</v>
      </c>
      <c r="F15" s="537">
        <v>300</v>
      </c>
      <c r="G15" s="537">
        <v>20</v>
      </c>
      <c r="H15" s="537">
        <f>+F15+G15</f>
        <v>320</v>
      </c>
      <c r="I15" s="537">
        <f>+H15*12-60</f>
        <v>3780</v>
      </c>
      <c r="J15" s="537">
        <f>+H15</f>
        <v>320</v>
      </c>
      <c r="K15" s="537">
        <f>+J15*6.75%*12</f>
        <v>259.20000000000005</v>
      </c>
      <c r="L15" s="537">
        <v>0</v>
      </c>
      <c r="M15" s="537">
        <f>+J15*7.5%*12</f>
        <v>288</v>
      </c>
      <c r="N15" s="537">
        <f>SUM(K15:M15)</f>
        <v>547.20000000000005</v>
      </c>
      <c r="O15" s="538">
        <f>ROUND((+I15+J15+N15),2)</f>
        <v>4647.2</v>
      </c>
      <c r="Q15" s="235">
        <v>25</v>
      </c>
      <c r="R15" s="231"/>
      <c r="S15" s="231" t="s">
        <v>638</v>
      </c>
      <c r="T15" s="231" t="s">
        <v>639</v>
      </c>
      <c r="U15" s="50" t="s">
        <v>637</v>
      </c>
      <c r="V15" s="231"/>
      <c r="W15" s="231"/>
      <c r="X15" s="236">
        <v>30</v>
      </c>
      <c r="Y15" s="236">
        <v>8</v>
      </c>
      <c r="Z15" s="237">
        <v>450</v>
      </c>
      <c r="AA15" s="237">
        <v>0</v>
      </c>
      <c r="AB15" s="238">
        <f>+Z15+AA15</f>
        <v>450</v>
      </c>
      <c r="AC15" s="237">
        <v>0</v>
      </c>
      <c r="AD15" s="238">
        <f>+ROUND((AB15-AC15),2)</f>
        <v>450</v>
      </c>
      <c r="AE15" s="231"/>
      <c r="AF15" s="231"/>
      <c r="AG15" s="231"/>
    </row>
    <row r="16" spans="1:33" ht="23.25">
      <c r="A16" s="534">
        <v>8</v>
      </c>
      <c r="B16" s="535" t="s">
        <v>207</v>
      </c>
      <c r="C16" s="535" t="s">
        <v>205</v>
      </c>
      <c r="D16" s="534" t="s">
        <v>195</v>
      </c>
      <c r="E16" s="536" t="s">
        <v>206</v>
      </c>
      <c r="F16" s="537">
        <v>300</v>
      </c>
      <c r="G16" s="537">
        <v>20</v>
      </c>
      <c r="H16" s="537">
        <f>+F16+G16</f>
        <v>320</v>
      </c>
      <c r="I16" s="537">
        <f>+H16*12-60</f>
        <v>3780</v>
      </c>
      <c r="J16" s="537">
        <f>+H16</f>
        <v>320</v>
      </c>
      <c r="K16" s="537">
        <v>0</v>
      </c>
      <c r="L16" s="537">
        <f>+H16*6.5%*12</f>
        <v>249.60000000000002</v>
      </c>
      <c r="M16" s="537">
        <f>+J16*7.5%*12</f>
        <v>288</v>
      </c>
      <c r="N16" s="537">
        <f>SUM(K16:M16)</f>
        <v>537.6</v>
      </c>
      <c r="O16" s="538">
        <f>ROUND((+I16+J16+N16),2)</f>
        <v>4637.6000000000004</v>
      </c>
      <c r="Q16" s="235">
        <v>26</v>
      </c>
      <c r="R16" s="231"/>
      <c r="S16" s="231" t="s">
        <v>640</v>
      </c>
      <c r="T16" s="231" t="s">
        <v>641</v>
      </c>
      <c r="U16" s="50" t="s">
        <v>637</v>
      </c>
      <c r="V16" s="231"/>
      <c r="W16" s="231"/>
      <c r="X16" s="236">
        <v>30</v>
      </c>
      <c r="Y16" s="236">
        <v>8</v>
      </c>
      <c r="Z16" s="237">
        <v>300</v>
      </c>
      <c r="AA16" s="237">
        <v>0</v>
      </c>
      <c r="AB16" s="238">
        <f t="shared" ref="AB16:AB22" si="8">+Z16+AA16</f>
        <v>300</v>
      </c>
      <c r="AC16" s="237">
        <v>0</v>
      </c>
      <c r="AD16" s="238">
        <f t="shared" ref="AD16:AD22" si="9">+ROUND((AB16-AC16),2)</f>
        <v>300</v>
      </c>
      <c r="AE16" s="231"/>
      <c r="AF16" s="231"/>
      <c r="AG16" s="231"/>
    </row>
    <row r="17" spans="1:33" ht="23.25">
      <c r="A17" s="534">
        <v>9</v>
      </c>
      <c r="B17" s="535" t="s">
        <v>208</v>
      </c>
      <c r="C17" s="535" t="s">
        <v>209</v>
      </c>
      <c r="D17" s="534" t="s">
        <v>195</v>
      </c>
      <c r="E17" s="536" t="s">
        <v>206</v>
      </c>
      <c r="F17" s="537">
        <v>380</v>
      </c>
      <c r="G17" s="537">
        <v>20</v>
      </c>
      <c r="H17" s="537">
        <f>+F17+G17</f>
        <v>400</v>
      </c>
      <c r="I17" s="537">
        <f>+H17*12-60</f>
        <v>4740</v>
      </c>
      <c r="J17" s="537">
        <f>+H17</f>
        <v>400</v>
      </c>
      <c r="K17" s="537">
        <f>+J17*6.75%*12</f>
        <v>324</v>
      </c>
      <c r="L17" s="537">
        <v>0</v>
      </c>
      <c r="M17" s="537">
        <f>+J17*7.5%*12</f>
        <v>360</v>
      </c>
      <c r="N17" s="537">
        <f>SUM(K17:M17)</f>
        <v>684</v>
      </c>
      <c r="O17" s="538">
        <f>ROUND((+I17+J17+N17),2)</f>
        <v>5824</v>
      </c>
      <c r="Q17" s="235">
        <v>27</v>
      </c>
      <c r="R17" s="231"/>
      <c r="S17" s="231" t="s">
        <v>642</v>
      </c>
      <c r="T17" s="231" t="s">
        <v>641</v>
      </c>
      <c r="U17" s="50" t="s">
        <v>637</v>
      </c>
      <c r="V17" s="231"/>
      <c r="W17" s="231"/>
      <c r="X17" s="236">
        <v>30</v>
      </c>
      <c r="Y17" s="236">
        <v>8</v>
      </c>
      <c r="Z17" s="237">
        <v>300</v>
      </c>
      <c r="AA17" s="237">
        <v>0</v>
      </c>
      <c r="AB17" s="238">
        <f t="shared" si="8"/>
        <v>300</v>
      </c>
      <c r="AC17" s="237">
        <v>0</v>
      </c>
      <c r="AD17" s="238">
        <f t="shared" si="9"/>
        <v>300</v>
      </c>
      <c r="AE17" s="231"/>
      <c r="AF17" s="231"/>
      <c r="AG17" s="231"/>
    </row>
    <row r="18" spans="1:33" ht="23.25">
      <c r="A18" s="534"/>
      <c r="B18" s="541" t="s">
        <v>203</v>
      </c>
      <c r="C18" s="535"/>
      <c r="D18" s="534"/>
      <c r="E18" s="536"/>
      <c r="F18" s="543">
        <f>SUM(F15:F17)</f>
        <v>980</v>
      </c>
      <c r="G18" s="543">
        <f t="shared" ref="G18:O18" si="10">SUM(G15:G17)</f>
        <v>60</v>
      </c>
      <c r="H18" s="543">
        <f t="shared" si="10"/>
        <v>1040</v>
      </c>
      <c r="I18" s="543">
        <f t="shared" si="10"/>
        <v>12300</v>
      </c>
      <c r="J18" s="543">
        <f t="shared" si="10"/>
        <v>1040</v>
      </c>
      <c r="K18" s="543">
        <f t="shared" si="10"/>
        <v>583.20000000000005</v>
      </c>
      <c r="L18" s="543">
        <f t="shared" si="10"/>
        <v>249.60000000000002</v>
      </c>
      <c r="M18" s="543">
        <f t="shared" si="10"/>
        <v>936</v>
      </c>
      <c r="N18" s="543">
        <f t="shared" si="10"/>
        <v>1768.8000000000002</v>
      </c>
      <c r="O18" s="543">
        <f t="shared" si="10"/>
        <v>15108.8</v>
      </c>
      <c r="Q18" s="235">
        <v>28</v>
      </c>
      <c r="R18" s="231"/>
      <c r="S18" s="231" t="s">
        <v>635</v>
      </c>
      <c r="T18" s="231" t="s">
        <v>643</v>
      </c>
      <c r="U18" s="50" t="s">
        <v>637</v>
      </c>
      <c r="V18" s="231"/>
      <c r="W18" s="231"/>
      <c r="X18" s="236">
        <v>30</v>
      </c>
      <c r="Y18" s="236">
        <v>8</v>
      </c>
      <c r="Z18" s="237">
        <v>300</v>
      </c>
      <c r="AA18" s="237">
        <v>0</v>
      </c>
      <c r="AB18" s="237">
        <f t="shared" si="8"/>
        <v>300</v>
      </c>
      <c r="AC18" s="237">
        <v>0</v>
      </c>
      <c r="AD18" s="237">
        <f t="shared" si="9"/>
        <v>300</v>
      </c>
      <c r="AE18" s="231"/>
      <c r="AF18" s="231"/>
      <c r="AG18" s="231"/>
    </row>
    <row r="19" spans="1:33" ht="23.25">
      <c r="A19" s="534">
        <v>10</v>
      </c>
      <c r="B19" s="539"/>
      <c r="C19" s="535" t="s">
        <v>210</v>
      </c>
      <c r="D19" s="534"/>
      <c r="E19" s="536" t="s">
        <v>211</v>
      </c>
      <c r="F19" s="537">
        <v>600</v>
      </c>
      <c r="G19" s="537">
        <v>0</v>
      </c>
      <c r="H19" s="537">
        <f>+F19+G19</f>
        <v>600</v>
      </c>
      <c r="I19" s="537">
        <f>+H19*10</f>
        <v>6000</v>
      </c>
      <c r="J19" s="537">
        <v>600</v>
      </c>
      <c r="K19" s="537">
        <f>+J19*6.75%*10</f>
        <v>405</v>
      </c>
      <c r="L19" s="537">
        <v>0</v>
      </c>
      <c r="M19" s="537">
        <f>+J19*7.5%*10</f>
        <v>450</v>
      </c>
      <c r="N19" s="537">
        <f>SUM(K19:M19)</f>
        <v>855</v>
      </c>
      <c r="O19" s="538">
        <f>ROUND((+I19+J19+N19),2)</f>
        <v>7455</v>
      </c>
      <c r="Q19" s="235">
        <v>29</v>
      </c>
      <c r="R19" s="231"/>
      <c r="S19" s="231" t="s">
        <v>635</v>
      </c>
      <c r="T19" s="231" t="s">
        <v>643</v>
      </c>
      <c r="U19" s="50" t="s">
        <v>637</v>
      </c>
      <c r="V19" s="231"/>
      <c r="W19" s="231"/>
      <c r="X19" s="236">
        <v>30</v>
      </c>
      <c r="Y19" s="236">
        <v>8</v>
      </c>
      <c r="Z19" s="237">
        <v>300</v>
      </c>
      <c r="AA19" s="237">
        <v>0</v>
      </c>
      <c r="AB19" s="237">
        <f t="shared" si="8"/>
        <v>300</v>
      </c>
      <c r="AC19" s="237">
        <v>0</v>
      </c>
      <c r="AD19" s="237">
        <f t="shared" si="9"/>
        <v>300</v>
      </c>
      <c r="AE19" s="231"/>
      <c r="AF19" s="231"/>
      <c r="AG19" s="231"/>
    </row>
    <row r="20" spans="1:33" ht="23.25">
      <c r="A20" s="534"/>
      <c r="B20" s="541" t="s">
        <v>203</v>
      </c>
      <c r="C20" s="535"/>
      <c r="D20" s="534"/>
      <c r="E20" s="536"/>
      <c r="F20" s="543">
        <f>SUM(F19)</f>
        <v>600</v>
      </c>
      <c r="G20" s="543">
        <f t="shared" ref="G20:O20" si="11">SUM(G19)</f>
        <v>0</v>
      </c>
      <c r="H20" s="543">
        <f t="shared" si="11"/>
        <v>600</v>
      </c>
      <c r="I20" s="543">
        <f t="shared" si="11"/>
        <v>6000</v>
      </c>
      <c r="J20" s="543">
        <f t="shared" si="11"/>
        <v>600</v>
      </c>
      <c r="K20" s="543">
        <f t="shared" si="11"/>
        <v>405</v>
      </c>
      <c r="L20" s="543">
        <f t="shared" si="11"/>
        <v>0</v>
      </c>
      <c r="M20" s="543">
        <f t="shared" si="11"/>
        <v>450</v>
      </c>
      <c r="N20" s="543">
        <f t="shared" si="11"/>
        <v>855</v>
      </c>
      <c r="O20" s="543">
        <f t="shared" si="11"/>
        <v>7455</v>
      </c>
      <c r="Q20" s="235">
        <v>30</v>
      </c>
      <c r="R20" s="231"/>
      <c r="S20" s="231" t="s">
        <v>635</v>
      </c>
      <c r="T20" s="231" t="s">
        <v>644</v>
      </c>
      <c r="U20" s="50" t="s">
        <v>637</v>
      </c>
      <c r="V20" s="231"/>
      <c r="W20" s="231"/>
      <c r="X20" s="236">
        <v>30</v>
      </c>
      <c r="Y20" s="236">
        <v>8</v>
      </c>
      <c r="Z20" s="237">
        <v>302</v>
      </c>
      <c r="AA20" s="237">
        <v>0</v>
      </c>
      <c r="AB20" s="237">
        <f t="shared" si="8"/>
        <v>302</v>
      </c>
      <c r="AC20" s="237">
        <v>0</v>
      </c>
      <c r="AD20" s="237">
        <f t="shared" si="9"/>
        <v>302</v>
      </c>
      <c r="AE20" s="231"/>
      <c r="AF20" s="231"/>
      <c r="AG20" s="231"/>
    </row>
    <row r="21" spans="1:33" ht="23.25">
      <c r="A21" s="534">
        <v>11</v>
      </c>
      <c r="B21" s="535" t="s">
        <v>212</v>
      </c>
      <c r="C21" s="535" t="s">
        <v>213</v>
      </c>
      <c r="D21" s="534" t="s">
        <v>190</v>
      </c>
      <c r="E21" s="536" t="s">
        <v>214</v>
      </c>
      <c r="F21" s="537">
        <v>372</v>
      </c>
      <c r="G21" s="537">
        <v>20</v>
      </c>
      <c r="H21" s="537">
        <f t="shared" si="0"/>
        <v>392</v>
      </c>
      <c r="I21" s="537">
        <f>+H21*12-60</f>
        <v>4644</v>
      </c>
      <c r="J21" s="537">
        <f>+H21</f>
        <v>392</v>
      </c>
      <c r="K21" s="537">
        <f t="shared" si="3"/>
        <v>317.52</v>
      </c>
      <c r="L21" s="537">
        <v>0</v>
      </c>
      <c r="M21" s="537">
        <f t="shared" si="6"/>
        <v>352.79999999999995</v>
      </c>
      <c r="N21" s="537">
        <f>SUM(K21:M21)</f>
        <v>670.31999999999994</v>
      </c>
      <c r="O21" s="538">
        <f>ROUND((+I21+J21+N21),2)</f>
        <v>5706.32</v>
      </c>
      <c r="Q21" s="235">
        <v>31</v>
      </c>
      <c r="R21" s="231"/>
      <c r="S21" s="231" t="s">
        <v>635</v>
      </c>
      <c r="T21" s="231" t="s">
        <v>645</v>
      </c>
      <c r="U21" s="50" t="s">
        <v>637</v>
      </c>
      <c r="V21" s="231"/>
      <c r="W21" s="231"/>
      <c r="X21" s="236">
        <v>30</v>
      </c>
      <c r="Y21" s="236">
        <v>8</v>
      </c>
      <c r="Z21" s="237">
        <v>300</v>
      </c>
      <c r="AA21" s="237">
        <v>0</v>
      </c>
      <c r="AB21" s="237">
        <f t="shared" si="8"/>
        <v>300</v>
      </c>
      <c r="AC21" s="237">
        <v>0</v>
      </c>
      <c r="AD21" s="237">
        <f t="shared" si="9"/>
        <v>300</v>
      </c>
      <c r="AE21" s="231"/>
      <c r="AF21" s="231"/>
      <c r="AG21" s="231"/>
    </row>
    <row r="22" spans="1:33" ht="23.25">
      <c r="A22" s="534">
        <v>12</v>
      </c>
      <c r="B22" s="535" t="s">
        <v>215</v>
      </c>
      <c r="C22" s="535" t="s">
        <v>216</v>
      </c>
      <c r="D22" s="534" t="s">
        <v>190</v>
      </c>
      <c r="E22" s="536" t="s">
        <v>214</v>
      </c>
      <c r="F22" s="537">
        <v>322</v>
      </c>
      <c r="G22" s="537">
        <v>20</v>
      </c>
      <c r="H22" s="537">
        <f t="shared" si="0"/>
        <v>342</v>
      </c>
      <c r="I22" s="537">
        <f t="shared" ref="I22:I27" si="12">+H22*12-60</f>
        <v>4044</v>
      </c>
      <c r="J22" s="537">
        <f t="shared" si="2"/>
        <v>342</v>
      </c>
      <c r="K22" s="537">
        <f t="shared" si="3"/>
        <v>277.02</v>
      </c>
      <c r="L22" s="537">
        <v>0</v>
      </c>
      <c r="M22" s="537">
        <f t="shared" si="6"/>
        <v>307.79999999999995</v>
      </c>
      <c r="N22" s="537">
        <f t="shared" si="5"/>
        <v>584.81999999999994</v>
      </c>
      <c r="O22" s="538">
        <f t="shared" ref="O22:O28" si="13">ROUND((+I22+J22+N22),2)</f>
        <v>4970.82</v>
      </c>
      <c r="Q22" s="235">
        <v>32</v>
      </c>
      <c r="R22" s="231"/>
      <c r="S22" s="231" t="s">
        <v>635</v>
      </c>
      <c r="T22" s="231" t="s">
        <v>645</v>
      </c>
      <c r="U22" s="50" t="s">
        <v>637</v>
      </c>
      <c r="V22" s="231"/>
      <c r="W22" s="231"/>
      <c r="X22" s="236">
        <v>30</v>
      </c>
      <c r="Y22" s="236">
        <v>8</v>
      </c>
      <c r="Z22" s="237">
        <v>300</v>
      </c>
      <c r="AA22" s="237">
        <v>0</v>
      </c>
      <c r="AB22" s="237">
        <f t="shared" si="8"/>
        <v>300</v>
      </c>
      <c r="AC22" s="237">
        <v>0</v>
      </c>
      <c r="AD22" s="237">
        <f t="shared" si="9"/>
        <v>300</v>
      </c>
      <c r="AE22" s="231"/>
      <c r="AF22" s="231"/>
      <c r="AG22" s="231"/>
    </row>
    <row r="23" spans="1:33" ht="23.25">
      <c r="A23" s="534">
        <v>13</v>
      </c>
      <c r="B23" s="535" t="s">
        <v>217</v>
      </c>
      <c r="C23" s="535" t="s">
        <v>216</v>
      </c>
      <c r="D23" s="534" t="s">
        <v>190</v>
      </c>
      <c r="E23" s="536" t="s">
        <v>214</v>
      </c>
      <c r="F23" s="537">
        <v>322</v>
      </c>
      <c r="G23" s="537">
        <v>20</v>
      </c>
      <c r="H23" s="537">
        <f t="shared" si="0"/>
        <v>342</v>
      </c>
      <c r="I23" s="537">
        <f t="shared" si="12"/>
        <v>4044</v>
      </c>
      <c r="J23" s="537">
        <f t="shared" si="2"/>
        <v>342</v>
      </c>
      <c r="K23" s="537">
        <f t="shared" si="3"/>
        <v>277.02</v>
      </c>
      <c r="L23" s="537">
        <v>0</v>
      </c>
      <c r="M23" s="537">
        <f t="shared" si="6"/>
        <v>307.79999999999995</v>
      </c>
      <c r="N23" s="537">
        <f t="shared" si="5"/>
        <v>584.81999999999994</v>
      </c>
      <c r="O23" s="538">
        <f t="shared" si="13"/>
        <v>4970.82</v>
      </c>
      <c r="Q23" s="235"/>
      <c r="R23" s="231"/>
      <c r="S23" s="239" t="s">
        <v>646</v>
      </c>
      <c r="T23" s="231"/>
      <c r="U23" s="231"/>
      <c r="V23" s="231"/>
      <c r="W23" s="231"/>
      <c r="X23" s="231"/>
      <c r="Y23" s="231"/>
      <c r="Z23" s="240">
        <f>SUM(Z14:Z22)</f>
        <v>3552</v>
      </c>
      <c r="AA23" s="240">
        <f>SUM(AA14:AA22)</f>
        <v>0</v>
      </c>
      <c r="AB23" s="240">
        <f>SUM(AB14:AB22)</f>
        <v>3552</v>
      </c>
      <c r="AC23" s="240">
        <f>SUM(AC14:AC22)</f>
        <v>0</v>
      </c>
      <c r="AD23" s="240">
        <f>SUM(AD14:AD22)</f>
        <v>3552</v>
      </c>
      <c r="AE23" s="231"/>
      <c r="AF23" s="231"/>
      <c r="AG23" s="231"/>
    </row>
    <row r="24" spans="1:33" ht="23.25">
      <c r="A24" s="534">
        <v>14</v>
      </c>
      <c r="B24" s="535" t="s">
        <v>218</v>
      </c>
      <c r="C24" s="535" t="s">
        <v>216</v>
      </c>
      <c r="D24" s="534" t="s">
        <v>190</v>
      </c>
      <c r="E24" s="536" t="s">
        <v>214</v>
      </c>
      <c r="F24" s="537">
        <v>302</v>
      </c>
      <c r="G24" s="537">
        <v>20</v>
      </c>
      <c r="H24" s="537">
        <f t="shared" si="0"/>
        <v>322</v>
      </c>
      <c r="I24" s="537">
        <f t="shared" si="12"/>
        <v>3804</v>
      </c>
      <c r="J24" s="537">
        <f t="shared" si="2"/>
        <v>322</v>
      </c>
      <c r="K24" s="537">
        <f t="shared" si="3"/>
        <v>260.82000000000005</v>
      </c>
      <c r="L24" s="537">
        <v>0</v>
      </c>
      <c r="M24" s="537">
        <f t="shared" si="6"/>
        <v>289.79999999999995</v>
      </c>
      <c r="N24" s="537">
        <f t="shared" si="5"/>
        <v>550.62</v>
      </c>
      <c r="O24" s="538">
        <f t="shared" si="13"/>
        <v>4676.62</v>
      </c>
      <c r="Q24" s="235"/>
      <c r="R24" s="231"/>
      <c r="S24" s="241" t="s">
        <v>647</v>
      </c>
      <c r="T24" s="231"/>
      <c r="U24" s="231"/>
      <c r="V24" s="231"/>
      <c r="W24" s="231"/>
      <c r="X24" s="231"/>
      <c r="Y24" s="231"/>
      <c r="Z24" s="240" t="e">
        <f>+Z23+Z13</f>
        <v>#REF!</v>
      </c>
      <c r="AA24" s="240" t="e">
        <f>+AA23+AA13</f>
        <v>#REF!</v>
      </c>
      <c r="AB24" s="240" t="e">
        <f>+AB23+AB13</f>
        <v>#REF!</v>
      </c>
      <c r="AC24" s="240" t="e">
        <f>+AC23+AC13</f>
        <v>#REF!</v>
      </c>
      <c r="AD24" s="240" t="e">
        <f>+AD23+AD13</f>
        <v>#REF!</v>
      </c>
      <c r="AE24" s="231"/>
      <c r="AF24" s="231"/>
      <c r="AG24" s="231"/>
    </row>
    <row r="25" spans="1:33" ht="15.75">
      <c r="A25" s="534">
        <v>15</v>
      </c>
      <c r="B25" s="535" t="s">
        <v>219</v>
      </c>
      <c r="C25" s="535" t="s">
        <v>216</v>
      </c>
      <c r="D25" s="534" t="s">
        <v>190</v>
      </c>
      <c r="E25" s="536" t="s">
        <v>214</v>
      </c>
      <c r="F25" s="537">
        <v>302</v>
      </c>
      <c r="G25" s="537">
        <v>20</v>
      </c>
      <c r="H25" s="537">
        <f t="shared" si="0"/>
        <v>322</v>
      </c>
      <c r="I25" s="537">
        <f t="shared" si="12"/>
        <v>3804</v>
      </c>
      <c r="J25" s="537">
        <f t="shared" si="2"/>
        <v>322</v>
      </c>
      <c r="K25" s="537">
        <f t="shared" si="3"/>
        <v>260.82000000000005</v>
      </c>
      <c r="L25" s="537">
        <v>0</v>
      </c>
      <c r="M25" s="537">
        <f t="shared" si="6"/>
        <v>289.79999999999995</v>
      </c>
      <c r="N25" s="537">
        <f t="shared" si="5"/>
        <v>550.62</v>
      </c>
      <c r="O25" s="538">
        <f t="shared" si="13"/>
        <v>4676.62</v>
      </c>
    </row>
    <row r="26" spans="1:33" ht="15.75">
      <c r="A26" s="534">
        <v>16</v>
      </c>
      <c r="B26" s="535" t="s">
        <v>220</v>
      </c>
      <c r="C26" s="535" t="s">
        <v>216</v>
      </c>
      <c r="D26" s="534" t="s">
        <v>190</v>
      </c>
      <c r="E26" s="536" t="s">
        <v>214</v>
      </c>
      <c r="F26" s="537">
        <v>322</v>
      </c>
      <c r="G26" s="537">
        <v>20</v>
      </c>
      <c r="H26" s="537">
        <f t="shared" si="0"/>
        <v>342</v>
      </c>
      <c r="I26" s="537">
        <f t="shared" si="12"/>
        <v>4044</v>
      </c>
      <c r="J26" s="537">
        <f t="shared" si="2"/>
        <v>342</v>
      </c>
      <c r="K26" s="537">
        <f t="shared" si="3"/>
        <v>277.02</v>
      </c>
      <c r="L26" s="537">
        <v>0</v>
      </c>
      <c r="M26" s="537">
        <f t="shared" si="6"/>
        <v>307.79999999999995</v>
      </c>
      <c r="N26" s="537">
        <f t="shared" si="5"/>
        <v>584.81999999999994</v>
      </c>
      <c r="O26" s="538">
        <f t="shared" si="13"/>
        <v>4970.82</v>
      </c>
    </row>
    <row r="27" spans="1:33" ht="15.75">
      <c r="A27" s="534">
        <v>17</v>
      </c>
      <c r="B27" s="535"/>
      <c r="C27" s="535" t="s">
        <v>216</v>
      </c>
      <c r="D27" s="534" t="s">
        <v>190</v>
      </c>
      <c r="E27" s="536" t="s">
        <v>214</v>
      </c>
      <c r="F27" s="537">
        <v>322</v>
      </c>
      <c r="G27" s="537">
        <v>20</v>
      </c>
      <c r="H27" s="537">
        <f t="shared" si="0"/>
        <v>342</v>
      </c>
      <c r="I27" s="537">
        <f t="shared" si="12"/>
        <v>4044</v>
      </c>
      <c r="J27" s="537">
        <f t="shared" si="2"/>
        <v>342</v>
      </c>
      <c r="K27" s="537">
        <f t="shared" si="3"/>
        <v>277.02</v>
      </c>
      <c r="L27" s="537">
        <v>0</v>
      </c>
      <c r="M27" s="537">
        <f t="shared" si="6"/>
        <v>307.79999999999995</v>
      </c>
      <c r="N27" s="537">
        <f t="shared" si="5"/>
        <v>584.81999999999994</v>
      </c>
      <c r="O27" s="538">
        <f t="shared" si="13"/>
        <v>4970.82</v>
      </c>
    </row>
    <row r="28" spans="1:33" ht="15.75">
      <c r="A28" s="534">
        <v>18</v>
      </c>
      <c r="B28" s="535"/>
      <c r="C28" s="535" t="s">
        <v>216</v>
      </c>
      <c r="D28" s="534" t="s">
        <v>190</v>
      </c>
      <c r="E28" s="536" t="s">
        <v>214</v>
      </c>
      <c r="F28" s="537">
        <v>322</v>
      </c>
      <c r="G28" s="537">
        <v>20</v>
      </c>
      <c r="H28" s="537">
        <f t="shared" si="0"/>
        <v>342</v>
      </c>
      <c r="I28" s="537">
        <f>+H28*12-60</f>
        <v>4044</v>
      </c>
      <c r="J28" s="537">
        <f t="shared" si="2"/>
        <v>342</v>
      </c>
      <c r="K28" s="537">
        <f t="shared" si="3"/>
        <v>277.02</v>
      </c>
      <c r="L28" s="537">
        <v>0</v>
      </c>
      <c r="M28" s="537">
        <f t="shared" si="6"/>
        <v>307.79999999999995</v>
      </c>
      <c r="N28" s="537">
        <f t="shared" si="5"/>
        <v>584.81999999999994</v>
      </c>
      <c r="O28" s="538">
        <f t="shared" si="13"/>
        <v>4970.82</v>
      </c>
    </row>
    <row r="29" spans="1:33" ht="15.75">
      <c r="A29" s="534"/>
      <c r="B29" s="541" t="s">
        <v>203</v>
      </c>
      <c r="C29" s="535"/>
      <c r="D29" s="534"/>
      <c r="E29" s="536"/>
      <c r="F29" s="543">
        <f>SUM(F21:F28)</f>
        <v>2586</v>
      </c>
      <c r="G29" s="543">
        <f t="shared" ref="G29:O29" si="14">SUM(G21:G28)</f>
        <v>160</v>
      </c>
      <c r="H29" s="543">
        <f t="shared" si="14"/>
        <v>2746</v>
      </c>
      <c r="I29" s="543">
        <f t="shared" si="14"/>
        <v>32472</v>
      </c>
      <c r="J29" s="543">
        <f t="shared" si="14"/>
        <v>2746</v>
      </c>
      <c r="K29" s="543">
        <f t="shared" si="14"/>
        <v>2224.2600000000002</v>
      </c>
      <c r="L29" s="543">
        <f t="shared" si="14"/>
        <v>0</v>
      </c>
      <c r="M29" s="543">
        <f t="shared" si="14"/>
        <v>2471.3999999999996</v>
      </c>
      <c r="N29" s="543">
        <f t="shared" si="14"/>
        <v>4695.6599999999989</v>
      </c>
      <c r="O29" s="543">
        <f t="shared" si="14"/>
        <v>39913.659999999996</v>
      </c>
    </row>
    <row r="30" spans="1:33" ht="15.75">
      <c r="A30" s="534">
        <v>19</v>
      </c>
      <c r="B30" s="535" t="s">
        <v>221</v>
      </c>
      <c r="C30" s="535" t="s">
        <v>222</v>
      </c>
      <c r="D30" s="539"/>
      <c r="E30" s="536" t="s">
        <v>223</v>
      </c>
      <c r="F30" s="537">
        <v>520</v>
      </c>
      <c r="G30" s="537">
        <v>0</v>
      </c>
      <c r="H30" s="537">
        <f>+F30+G30</f>
        <v>520</v>
      </c>
      <c r="I30" s="537">
        <f>+H30*12</f>
        <v>6240</v>
      </c>
      <c r="J30" s="537">
        <f>+H30</f>
        <v>520</v>
      </c>
      <c r="K30" s="537">
        <f>+J30*6.75%*12</f>
        <v>421.20000000000005</v>
      </c>
      <c r="L30" s="537">
        <v>0</v>
      </c>
      <c r="M30" s="537">
        <f>+J30*7.5%*12</f>
        <v>468</v>
      </c>
      <c r="N30" s="537">
        <f>SUM(K30:M30)</f>
        <v>889.2</v>
      </c>
      <c r="O30" s="538">
        <f>ROUND((+I30+J30+N30),2)</f>
        <v>7649.2</v>
      </c>
    </row>
    <row r="31" spans="1:33" ht="15.75">
      <c r="A31" s="534">
        <v>20</v>
      </c>
      <c r="B31" s="535"/>
      <c r="C31" s="535" t="s">
        <v>224</v>
      </c>
      <c r="D31" s="539"/>
      <c r="E31" s="536" t="s">
        <v>223</v>
      </c>
      <c r="F31" s="537">
        <v>300</v>
      </c>
      <c r="G31" s="537">
        <v>0</v>
      </c>
      <c r="H31" s="537">
        <f>+F31+G31</f>
        <v>300</v>
      </c>
      <c r="I31" s="537">
        <f>+H31*12</f>
        <v>3600</v>
      </c>
      <c r="J31" s="537">
        <f>+H31</f>
        <v>300</v>
      </c>
      <c r="K31" s="537">
        <f>+J31*6.75%*12</f>
        <v>243</v>
      </c>
      <c r="L31" s="537">
        <v>0</v>
      </c>
      <c r="M31" s="537">
        <f>+J31*7.5%*12</f>
        <v>270</v>
      </c>
      <c r="N31" s="537">
        <f>SUM(K31:M31)</f>
        <v>513</v>
      </c>
      <c r="O31" s="538">
        <f>ROUND((+I31+J31+N31),2)</f>
        <v>4413</v>
      </c>
    </row>
    <row r="32" spans="1:33" ht="15.75">
      <c r="A32" s="534">
        <v>21</v>
      </c>
      <c r="B32" s="535" t="s">
        <v>225</v>
      </c>
      <c r="C32" s="535" t="s">
        <v>209</v>
      </c>
      <c r="D32" s="539"/>
      <c r="E32" s="536" t="s">
        <v>223</v>
      </c>
      <c r="F32" s="537">
        <v>300</v>
      </c>
      <c r="G32" s="537">
        <v>20</v>
      </c>
      <c r="H32" s="537">
        <f>+F32+G32</f>
        <v>320</v>
      </c>
      <c r="I32" s="537">
        <f>+H32*12-60</f>
        <v>3780</v>
      </c>
      <c r="J32" s="537">
        <f>+H32</f>
        <v>320</v>
      </c>
      <c r="K32" s="537">
        <f>+J32*6.75%*12</f>
        <v>259.20000000000005</v>
      </c>
      <c r="L32" s="537">
        <v>0</v>
      </c>
      <c r="M32" s="537">
        <f>685.71*7.5%*12</f>
        <v>617.13900000000001</v>
      </c>
      <c r="N32" s="537">
        <f>SUM(K32:M32)</f>
        <v>876.33900000000006</v>
      </c>
      <c r="O32" s="538">
        <f>ROUND((+I32+J32+N32),2)</f>
        <v>4976.34</v>
      </c>
    </row>
    <row r="33" spans="1:15" ht="15.75">
      <c r="A33" s="534"/>
      <c r="B33" s="541" t="s">
        <v>203</v>
      </c>
      <c r="C33" s="535"/>
      <c r="D33" s="539"/>
      <c r="E33" s="536"/>
      <c r="F33" s="543">
        <f>SUM(F30:F32)</f>
        <v>1120</v>
      </c>
      <c r="G33" s="543">
        <f t="shared" ref="G33:O33" si="15">SUM(G30:G32)</f>
        <v>20</v>
      </c>
      <c r="H33" s="543">
        <f t="shared" si="15"/>
        <v>1140</v>
      </c>
      <c r="I33" s="543">
        <f t="shared" si="15"/>
        <v>13620</v>
      </c>
      <c r="J33" s="543">
        <f t="shared" si="15"/>
        <v>1140</v>
      </c>
      <c r="K33" s="543">
        <f t="shared" si="15"/>
        <v>923.40000000000009</v>
      </c>
      <c r="L33" s="543">
        <f t="shared" si="15"/>
        <v>0</v>
      </c>
      <c r="M33" s="543">
        <f t="shared" si="15"/>
        <v>1355.1390000000001</v>
      </c>
      <c r="N33" s="543">
        <f t="shared" si="15"/>
        <v>2278.5390000000002</v>
      </c>
      <c r="O33" s="543">
        <f t="shared" si="15"/>
        <v>17038.54</v>
      </c>
    </row>
    <row r="34" spans="1:15" ht="15.75">
      <c r="A34" s="534">
        <v>22</v>
      </c>
      <c r="B34" s="535" t="s">
        <v>226</v>
      </c>
      <c r="C34" s="535" t="s">
        <v>227</v>
      </c>
      <c r="D34" s="539"/>
      <c r="E34" s="536" t="s">
        <v>228</v>
      </c>
      <c r="F34" s="537">
        <v>330</v>
      </c>
      <c r="G34" s="537">
        <v>20</v>
      </c>
      <c r="H34" s="537">
        <f>+F34+G34</f>
        <v>350</v>
      </c>
      <c r="I34" s="537">
        <f>+H34*12-60</f>
        <v>4140</v>
      </c>
      <c r="J34" s="537">
        <f>+H34</f>
        <v>350</v>
      </c>
      <c r="K34" s="537">
        <f>+J34*6.75%*12</f>
        <v>283.5</v>
      </c>
      <c r="L34" s="537">
        <v>0</v>
      </c>
      <c r="M34" s="537">
        <f>685.71*7.5%*12</f>
        <v>617.13900000000001</v>
      </c>
      <c r="N34" s="537">
        <f>SUM(K34:M34)</f>
        <v>900.63900000000001</v>
      </c>
      <c r="O34" s="538">
        <f>ROUND((+I34+J34+N34),2)</f>
        <v>5390.64</v>
      </c>
    </row>
    <row r="35" spans="1:15" ht="15.75">
      <c r="A35" s="534"/>
      <c r="B35" s="541" t="s">
        <v>203</v>
      </c>
      <c r="C35" s="535"/>
      <c r="D35" s="539"/>
      <c r="E35" s="536"/>
      <c r="F35" s="543">
        <f>+F34</f>
        <v>330</v>
      </c>
      <c r="G35" s="543">
        <f t="shared" ref="G35:O35" si="16">+G34</f>
        <v>20</v>
      </c>
      <c r="H35" s="543">
        <f t="shared" si="16"/>
        <v>350</v>
      </c>
      <c r="I35" s="543">
        <f t="shared" si="16"/>
        <v>4140</v>
      </c>
      <c r="J35" s="543">
        <f t="shared" si="16"/>
        <v>350</v>
      </c>
      <c r="K35" s="543">
        <f t="shared" si="16"/>
        <v>283.5</v>
      </c>
      <c r="L35" s="543">
        <f t="shared" si="16"/>
        <v>0</v>
      </c>
      <c r="M35" s="543">
        <f t="shared" si="16"/>
        <v>617.13900000000001</v>
      </c>
      <c r="N35" s="543">
        <f t="shared" si="16"/>
        <v>900.63900000000001</v>
      </c>
      <c r="O35" s="543">
        <f t="shared" si="16"/>
        <v>5390.64</v>
      </c>
    </row>
    <row r="36" spans="1:15" ht="15.75">
      <c r="A36" s="534">
        <v>23</v>
      </c>
      <c r="B36" s="535" t="s">
        <v>229</v>
      </c>
      <c r="C36" s="535" t="s">
        <v>230</v>
      </c>
      <c r="D36" s="534" t="s">
        <v>231</v>
      </c>
      <c r="E36" s="536" t="s">
        <v>232</v>
      </c>
      <c r="F36" s="537">
        <v>770</v>
      </c>
      <c r="G36" s="537">
        <v>0</v>
      </c>
      <c r="H36" s="537">
        <f>+F36+G36</f>
        <v>770</v>
      </c>
      <c r="I36" s="537">
        <f>+H36*12</f>
        <v>9240</v>
      </c>
      <c r="J36" s="537">
        <f>+H36</f>
        <v>770</v>
      </c>
      <c r="K36" s="537">
        <f>+J36*6.75%*12</f>
        <v>623.70000000000005</v>
      </c>
      <c r="L36" s="537">
        <v>0</v>
      </c>
      <c r="M36" s="537">
        <f>+J36*7.5%*12</f>
        <v>693</v>
      </c>
      <c r="N36" s="537">
        <f>SUM(K36:M36)</f>
        <v>1316.7</v>
      </c>
      <c r="O36" s="538">
        <f>ROUND((+I36+J36+N36),2)</f>
        <v>11326.7</v>
      </c>
    </row>
    <row r="37" spans="1:15" ht="15.75">
      <c r="A37" s="534">
        <v>24</v>
      </c>
      <c r="B37" s="535" t="s">
        <v>233</v>
      </c>
      <c r="C37" s="535" t="s">
        <v>234</v>
      </c>
      <c r="D37" s="534" t="s">
        <v>235</v>
      </c>
      <c r="E37" s="536" t="s">
        <v>232</v>
      </c>
      <c r="F37" s="537">
        <v>396</v>
      </c>
      <c r="G37" s="537">
        <v>20</v>
      </c>
      <c r="H37" s="537">
        <f>+F37+G37</f>
        <v>416</v>
      </c>
      <c r="I37" s="537">
        <f>+H37*12-60</f>
        <v>4932</v>
      </c>
      <c r="J37" s="537">
        <f>+H37</f>
        <v>416</v>
      </c>
      <c r="K37" s="537">
        <f>+J37*6.75%*12</f>
        <v>336.96000000000004</v>
      </c>
      <c r="L37" s="537">
        <v>0</v>
      </c>
      <c r="M37" s="537">
        <f>+J37*7.5%*12</f>
        <v>374.4</v>
      </c>
      <c r="N37" s="537">
        <f>SUM(K37:M37)</f>
        <v>711.36</v>
      </c>
      <c r="O37" s="538">
        <f>ROUND((+I37+J37+N37),2)</f>
        <v>6059.36</v>
      </c>
    </row>
    <row r="38" spans="1:15" ht="15.75">
      <c r="A38" s="534">
        <v>25</v>
      </c>
      <c r="B38" s="535" t="s">
        <v>236</v>
      </c>
      <c r="C38" s="535" t="s">
        <v>237</v>
      </c>
      <c r="D38" s="534" t="s">
        <v>235</v>
      </c>
      <c r="E38" s="536" t="s">
        <v>232</v>
      </c>
      <c r="F38" s="537">
        <v>396</v>
      </c>
      <c r="G38" s="537">
        <v>20</v>
      </c>
      <c r="H38" s="537">
        <f>+F38+G38</f>
        <v>416</v>
      </c>
      <c r="I38" s="537">
        <f>+H38*12-60</f>
        <v>4932</v>
      </c>
      <c r="J38" s="537">
        <f>+H38</f>
        <v>416</v>
      </c>
      <c r="K38" s="537">
        <f>+J38*6.75%*12</f>
        <v>336.96000000000004</v>
      </c>
      <c r="L38" s="537">
        <v>0</v>
      </c>
      <c r="M38" s="537">
        <f>+J38*7.5%*12</f>
        <v>374.4</v>
      </c>
      <c r="N38" s="537">
        <f>SUM(K38:M38)</f>
        <v>711.36</v>
      </c>
      <c r="O38" s="538">
        <f>ROUND((+I38+J38+N38),2)</f>
        <v>6059.36</v>
      </c>
    </row>
    <row r="39" spans="1:15" ht="15.75">
      <c r="A39" s="534"/>
      <c r="B39" s="541" t="s">
        <v>203</v>
      </c>
      <c r="C39" s="535"/>
      <c r="D39" s="539"/>
      <c r="E39" s="536"/>
      <c r="F39" s="543">
        <f>SUM(F36:F38)</f>
        <v>1562</v>
      </c>
      <c r="G39" s="543">
        <f t="shared" ref="G39:O39" si="17">SUM(G36:G38)</f>
        <v>40</v>
      </c>
      <c r="H39" s="543">
        <f t="shared" si="17"/>
        <v>1602</v>
      </c>
      <c r="I39" s="543">
        <f t="shared" si="17"/>
        <v>19104</v>
      </c>
      <c r="J39" s="543">
        <f t="shared" si="17"/>
        <v>1602</v>
      </c>
      <c r="K39" s="543">
        <f t="shared" si="17"/>
        <v>1297.6200000000001</v>
      </c>
      <c r="L39" s="543">
        <f t="shared" si="17"/>
        <v>0</v>
      </c>
      <c r="M39" s="543">
        <f t="shared" si="17"/>
        <v>1441.8000000000002</v>
      </c>
      <c r="N39" s="543">
        <f t="shared" si="17"/>
        <v>2739.42</v>
      </c>
      <c r="O39" s="543">
        <f t="shared" si="17"/>
        <v>23445.420000000002</v>
      </c>
    </row>
    <row r="40" spans="1:15" ht="37.5" customHeight="1">
      <c r="A40" s="534">
        <v>26</v>
      </c>
      <c r="B40" s="535" t="s">
        <v>238</v>
      </c>
      <c r="C40" s="544" t="s">
        <v>886</v>
      </c>
      <c r="D40" s="534" t="s">
        <v>240</v>
      </c>
      <c r="E40" s="536" t="s">
        <v>241</v>
      </c>
      <c r="F40" s="537">
        <v>600</v>
      </c>
      <c r="G40" s="537">
        <v>0</v>
      </c>
      <c r="H40" s="537">
        <v>600</v>
      </c>
      <c r="I40" s="537">
        <f>+H40*12</f>
        <v>7200</v>
      </c>
      <c r="J40" s="537">
        <f>+H40</f>
        <v>600</v>
      </c>
      <c r="K40" s="537">
        <f>+J40*6.75%*12</f>
        <v>486</v>
      </c>
      <c r="L40" s="537">
        <v>0</v>
      </c>
      <c r="M40" s="537">
        <f>+J40*7.5%*12</f>
        <v>540</v>
      </c>
      <c r="N40" s="537">
        <f>SUM(K40:M40)</f>
        <v>1026</v>
      </c>
      <c r="O40" s="538">
        <f>ROUND((+I40+J40+N40),2)</f>
        <v>8826</v>
      </c>
    </row>
    <row r="41" spans="1:15" ht="15.75">
      <c r="A41" s="534">
        <v>27</v>
      </c>
      <c r="B41" s="535" t="s">
        <v>242</v>
      </c>
      <c r="C41" s="535" t="s">
        <v>243</v>
      </c>
      <c r="D41" s="534" t="s">
        <v>240</v>
      </c>
      <c r="E41" s="536" t="s">
        <v>241</v>
      </c>
      <c r="F41" s="537">
        <v>396</v>
      </c>
      <c r="G41" s="537">
        <v>20</v>
      </c>
      <c r="H41" s="537">
        <f>+F41+G41</f>
        <v>416</v>
      </c>
      <c r="I41" s="537">
        <f>+H41*12-60</f>
        <v>4932</v>
      </c>
      <c r="J41" s="537">
        <f>+H41</f>
        <v>416</v>
      </c>
      <c r="K41" s="537">
        <f>+J41*6.75%*12</f>
        <v>336.96000000000004</v>
      </c>
      <c r="L41" s="537">
        <v>0</v>
      </c>
      <c r="M41" s="537">
        <f>+J41*7.5%*12</f>
        <v>374.4</v>
      </c>
      <c r="N41" s="537">
        <f>SUM(K41:M41)</f>
        <v>711.36</v>
      </c>
      <c r="O41" s="538">
        <f>ROUND((+I41+J41+N41),2)</f>
        <v>6059.36</v>
      </c>
    </row>
    <row r="42" spans="1:15" ht="15.75">
      <c r="A42" s="534"/>
      <c r="B42" s="541" t="s">
        <v>203</v>
      </c>
      <c r="C42" s="535"/>
      <c r="D42" s="539"/>
      <c r="E42" s="536"/>
      <c r="F42" s="543">
        <f>SUM(F40:F41)</f>
        <v>996</v>
      </c>
      <c r="G42" s="543">
        <f t="shared" ref="G42:O42" si="18">SUM(G40:G41)</f>
        <v>20</v>
      </c>
      <c r="H42" s="543">
        <f t="shared" si="18"/>
        <v>1016</v>
      </c>
      <c r="I42" s="543">
        <f t="shared" si="18"/>
        <v>12132</v>
      </c>
      <c r="J42" s="543">
        <f t="shared" si="18"/>
        <v>1016</v>
      </c>
      <c r="K42" s="543">
        <f t="shared" si="18"/>
        <v>822.96</v>
      </c>
      <c r="L42" s="543">
        <f t="shared" si="18"/>
        <v>0</v>
      </c>
      <c r="M42" s="543">
        <f t="shared" si="18"/>
        <v>914.4</v>
      </c>
      <c r="N42" s="543">
        <f t="shared" si="18"/>
        <v>1737.3600000000001</v>
      </c>
      <c r="O42" s="543">
        <f t="shared" si="18"/>
        <v>14885.36</v>
      </c>
    </row>
    <row r="43" spans="1:15" ht="15.75">
      <c r="A43" s="534">
        <v>28</v>
      </c>
      <c r="B43" s="535" t="s">
        <v>244</v>
      </c>
      <c r="C43" s="535" t="s">
        <v>245</v>
      </c>
      <c r="D43" s="534" t="s">
        <v>246</v>
      </c>
      <c r="E43" s="536" t="s">
        <v>247</v>
      </c>
      <c r="F43" s="537">
        <v>420</v>
      </c>
      <c r="G43" s="537">
        <v>20</v>
      </c>
      <c r="H43" s="537">
        <f>+F43+G43</f>
        <v>440</v>
      </c>
      <c r="I43" s="537">
        <f>+H43*12-60</f>
        <v>5220</v>
      </c>
      <c r="J43" s="537">
        <f>+H43</f>
        <v>440</v>
      </c>
      <c r="K43" s="537">
        <f>+J43*6.75%*12</f>
        <v>356.40000000000003</v>
      </c>
      <c r="L43" s="537">
        <v>0</v>
      </c>
      <c r="M43" s="537">
        <f>+J43*7.5%*12</f>
        <v>396</v>
      </c>
      <c r="N43" s="537">
        <f>SUM(K43:M43)</f>
        <v>752.40000000000009</v>
      </c>
      <c r="O43" s="538">
        <f>ROUND((+I43+J43+N43),2)</f>
        <v>6412.4</v>
      </c>
    </row>
    <row r="44" spans="1:15" ht="15.75">
      <c r="A44" s="534"/>
      <c r="B44" s="541" t="s">
        <v>203</v>
      </c>
      <c r="C44" s="535"/>
      <c r="D44" s="539"/>
      <c r="E44" s="536"/>
      <c r="F44" s="543">
        <f>+F43</f>
        <v>420</v>
      </c>
      <c r="G44" s="543">
        <f t="shared" ref="G44:O44" si="19">+G43</f>
        <v>20</v>
      </c>
      <c r="H44" s="543">
        <f t="shared" si="19"/>
        <v>440</v>
      </c>
      <c r="I44" s="543">
        <f t="shared" si="19"/>
        <v>5220</v>
      </c>
      <c r="J44" s="543">
        <f t="shared" si="19"/>
        <v>440</v>
      </c>
      <c r="K44" s="543">
        <f t="shared" si="19"/>
        <v>356.40000000000003</v>
      </c>
      <c r="L44" s="543">
        <f t="shared" si="19"/>
        <v>0</v>
      </c>
      <c r="M44" s="543">
        <f t="shared" si="19"/>
        <v>396</v>
      </c>
      <c r="N44" s="543">
        <f t="shared" si="19"/>
        <v>752.40000000000009</v>
      </c>
      <c r="O44" s="543">
        <f t="shared" si="19"/>
        <v>6412.4</v>
      </c>
    </row>
    <row r="45" spans="1:15" ht="30.75">
      <c r="A45" s="534">
        <v>29</v>
      </c>
      <c r="B45" s="535" t="s">
        <v>248</v>
      </c>
      <c r="C45" s="544" t="s">
        <v>249</v>
      </c>
      <c r="D45" s="534" t="s">
        <v>246</v>
      </c>
      <c r="E45" s="536" t="s">
        <v>250</v>
      </c>
      <c r="F45" s="537">
        <v>396</v>
      </c>
      <c r="G45" s="537">
        <v>20</v>
      </c>
      <c r="H45" s="537">
        <f>+F45+G45</f>
        <v>416</v>
      </c>
      <c r="I45" s="537">
        <f>+H45*12-60</f>
        <v>4932</v>
      </c>
      <c r="J45" s="537">
        <f>+H45</f>
        <v>416</v>
      </c>
      <c r="K45" s="537">
        <f>+J45*6.75%*12</f>
        <v>336.96000000000004</v>
      </c>
      <c r="L45" s="537">
        <v>0</v>
      </c>
      <c r="M45" s="537">
        <f>+J45*7.5%*12</f>
        <v>374.4</v>
      </c>
      <c r="N45" s="537">
        <f>SUM(K45:M45)</f>
        <v>711.36</v>
      </c>
      <c r="O45" s="538">
        <f>ROUND((+I45+J45+N45),2)</f>
        <v>6059.36</v>
      </c>
    </row>
    <row r="46" spans="1:15" ht="15.75">
      <c r="A46" s="534"/>
      <c r="B46" s="541" t="s">
        <v>203</v>
      </c>
      <c r="C46" s="535"/>
      <c r="D46" s="539"/>
      <c r="E46" s="536"/>
      <c r="F46" s="543">
        <f>SUM(F45:F45)</f>
        <v>396</v>
      </c>
      <c r="G46" s="543">
        <f t="shared" ref="G46:O46" si="20">SUM(G45:G45)</f>
        <v>20</v>
      </c>
      <c r="H46" s="543">
        <f t="shared" si="20"/>
        <v>416</v>
      </c>
      <c r="I46" s="543">
        <f t="shared" si="20"/>
        <v>4932</v>
      </c>
      <c r="J46" s="543">
        <f t="shared" si="20"/>
        <v>416</v>
      </c>
      <c r="K46" s="543">
        <f t="shared" si="20"/>
        <v>336.96000000000004</v>
      </c>
      <c r="L46" s="543">
        <f t="shared" si="20"/>
        <v>0</v>
      </c>
      <c r="M46" s="543">
        <f t="shared" si="20"/>
        <v>374.4</v>
      </c>
      <c r="N46" s="543">
        <f t="shared" si="20"/>
        <v>711.36</v>
      </c>
      <c r="O46" s="543">
        <f t="shared" si="20"/>
        <v>6059.36</v>
      </c>
    </row>
    <row r="47" spans="1:15" ht="15.75">
      <c r="A47" s="534">
        <v>30</v>
      </c>
      <c r="B47" s="535" t="s">
        <v>427</v>
      </c>
      <c r="C47" s="535" t="s">
        <v>251</v>
      </c>
      <c r="D47" s="539" t="s">
        <v>252</v>
      </c>
      <c r="E47" s="536" t="s">
        <v>253</v>
      </c>
      <c r="F47" s="537">
        <v>334</v>
      </c>
      <c r="G47" s="537">
        <v>20</v>
      </c>
      <c r="H47" s="537">
        <f>+F47+G47</f>
        <v>354</v>
      </c>
      <c r="I47" s="537">
        <f>+H47*12-60</f>
        <v>4188</v>
      </c>
      <c r="J47" s="537">
        <f>+H47</f>
        <v>354</v>
      </c>
      <c r="K47" s="537">
        <f>+J47*6.75%*12</f>
        <v>286.74</v>
      </c>
      <c r="L47" s="537">
        <v>0</v>
      </c>
      <c r="M47" s="537">
        <f>+J47*7.5%*12</f>
        <v>318.60000000000002</v>
      </c>
      <c r="N47" s="537">
        <f>SUM(K47:M47)</f>
        <v>605.34</v>
      </c>
      <c r="O47" s="538">
        <f>ROUND((+I47+J47+N47),2)</f>
        <v>5147.34</v>
      </c>
    </row>
    <row r="48" spans="1:15" ht="15.75">
      <c r="A48" s="534"/>
      <c r="B48" s="541" t="s">
        <v>203</v>
      </c>
      <c r="C48" s="535"/>
      <c r="D48" s="539"/>
      <c r="E48" s="536"/>
      <c r="F48" s="543">
        <f>+F47</f>
        <v>334</v>
      </c>
      <c r="G48" s="543">
        <f t="shared" ref="G48:O48" si="21">+G47</f>
        <v>20</v>
      </c>
      <c r="H48" s="543">
        <f t="shared" si="21"/>
        <v>354</v>
      </c>
      <c r="I48" s="543">
        <f t="shared" si="21"/>
        <v>4188</v>
      </c>
      <c r="J48" s="543">
        <f t="shared" si="21"/>
        <v>354</v>
      </c>
      <c r="K48" s="543">
        <f t="shared" si="21"/>
        <v>286.74</v>
      </c>
      <c r="L48" s="543">
        <f t="shared" si="21"/>
        <v>0</v>
      </c>
      <c r="M48" s="543">
        <f t="shared" si="21"/>
        <v>318.60000000000002</v>
      </c>
      <c r="N48" s="543">
        <f t="shared" si="21"/>
        <v>605.34</v>
      </c>
      <c r="O48" s="543">
        <f t="shared" si="21"/>
        <v>5147.34</v>
      </c>
    </row>
    <row r="49" spans="1:15" ht="15.75">
      <c r="A49" s="534">
        <v>31</v>
      </c>
      <c r="B49" s="535" t="s">
        <v>254</v>
      </c>
      <c r="C49" s="535" t="s">
        <v>255</v>
      </c>
      <c r="D49" s="534" t="s">
        <v>190</v>
      </c>
      <c r="E49" s="536" t="s">
        <v>256</v>
      </c>
      <c r="F49" s="537">
        <v>370</v>
      </c>
      <c r="G49" s="537">
        <v>20</v>
      </c>
      <c r="H49" s="537">
        <f>+F49+G49</f>
        <v>390</v>
      </c>
      <c r="I49" s="537">
        <f>+H49*12-60</f>
        <v>4620</v>
      </c>
      <c r="J49" s="537">
        <f>+H49</f>
        <v>390</v>
      </c>
      <c r="K49" s="537">
        <f>+J49*6.75%*12</f>
        <v>315.90000000000003</v>
      </c>
      <c r="L49" s="537">
        <v>0</v>
      </c>
      <c r="M49" s="537">
        <f>+J49*7.5%*12</f>
        <v>351</v>
      </c>
      <c r="N49" s="537">
        <f>SUM(K49:M49)</f>
        <v>666.90000000000009</v>
      </c>
      <c r="O49" s="538">
        <f>ROUND((+I49+J49+N49),2)</f>
        <v>5676.9</v>
      </c>
    </row>
    <row r="50" spans="1:15" ht="15.75">
      <c r="A50" s="534"/>
      <c r="B50" s="541" t="s">
        <v>203</v>
      </c>
      <c r="C50" s="535"/>
      <c r="D50" s="539"/>
      <c r="E50" s="536"/>
      <c r="F50" s="543">
        <f>+F49</f>
        <v>370</v>
      </c>
      <c r="G50" s="543">
        <f t="shared" ref="G50:O50" si="22">+G49</f>
        <v>20</v>
      </c>
      <c r="H50" s="543">
        <f t="shared" si="22"/>
        <v>390</v>
      </c>
      <c r="I50" s="543">
        <f t="shared" si="22"/>
        <v>4620</v>
      </c>
      <c r="J50" s="543">
        <f t="shared" si="22"/>
        <v>390</v>
      </c>
      <c r="K50" s="543">
        <f t="shared" si="22"/>
        <v>315.90000000000003</v>
      </c>
      <c r="L50" s="543">
        <f t="shared" si="22"/>
        <v>0</v>
      </c>
      <c r="M50" s="543">
        <f t="shared" si="22"/>
        <v>351</v>
      </c>
      <c r="N50" s="543">
        <f t="shared" si="22"/>
        <v>666.90000000000009</v>
      </c>
      <c r="O50" s="543">
        <f t="shared" si="22"/>
        <v>5676.9</v>
      </c>
    </row>
    <row r="51" spans="1:15" ht="15.75">
      <c r="A51" s="534">
        <v>32</v>
      </c>
      <c r="B51" s="535" t="s">
        <v>257</v>
      </c>
      <c r="C51" s="534" t="s">
        <v>258</v>
      </c>
      <c r="D51" s="534" t="s">
        <v>190</v>
      </c>
      <c r="E51" s="536" t="s">
        <v>259</v>
      </c>
      <c r="F51" s="537">
        <v>380</v>
      </c>
      <c r="G51" s="537">
        <v>40</v>
      </c>
      <c r="H51" s="537">
        <f>+F51+G51</f>
        <v>420</v>
      </c>
      <c r="I51" s="537">
        <f>+H51*12-60</f>
        <v>4980</v>
      </c>
      <c r="J51" s="537">
        <f>+H51</f>
        <v>420</v>
      </c>
      <c r="K51" s="537">
        <f>+J51*6.75%*12</f>
        <v>340.20000000000005</v>
      </c>
      <c r="L51" s="537">
        <v>0</v>
      </c>
      <c r="M51" s="537">
        <f>+J51*7.5%*12</f>
        <v>378</v>
      </c>
      <c r="N51" s="537">
        <f>SUM(K51:M51)</f>
        <v>718.2</v>
      </c>
      <c r="O51" s="538">
        <f>ROUND((+I51+J51+N51),2)</f>
        <v>6118.2</v>
      </c>
    </row>
    <row r="52" spans="1:15" ht="15.75">
      <c r="A52" s="534">
        <v>33</v>
      </c>
      <c r="B52" s="535" t="s">
        <v>260</v>
      </c>
      <c r="C52" s="535" t="s">
        <v>261</v>
      </c>
      <c r="D52" s="534" t="s">
        <v>190</v>
      </c>
      <c r="E52" s="536" t="s">
        <v>259</v>
      </c>
      <c r="F52" s="537">
        <v>450</v>
      </c>
      <c r="G52" s="537">
        <v>0</v>
      </c>
      <c r="H52" s="537">
        <f>+F52+G52</f>
        <v>450</v>
      </c>
      <c r="I52" s="537">
        <f>+H52*12</f>
        <v>5400</v>
      </c>
      <c r="J52" s="537">
        <f>+H52</f>
        <v>450</v>
      </c>
      <c r="K52" s="537">
        <f>+J52*6.75%*12</f>
        <v>364.50000000000006</v>
      </c>
      <c r="L52" s="537">
        <v>0</v>
      </c>
      <c r="M52" s="537">
        <f>+J52*7.5%*12</f>
        <v>405</v>
      </c>
      <c r="N52" s="537">
        <f>SUM(K52:M52)</f>
        <v>769.5</v>
      </c>
      <c r="O52" s="538">
        <f>ROUND((+I52+J52+N52),2)</f>
        <v>6619.5</v>
      </c>
    </row>
    <row r="53" spans="1:15" ht="15.75">
      <c r="A53" s="534"/>
      <c r="B53" s="541" t="s">
        <v>203</v>
      </c>
      <c r="C53" s="535"/>
      <c r="D53" s="534"/>
      <c r="E53" s="536"/>
      <c r="F53" s="543">
        <f>SUM(F51:F52)</f>
        <v>830</v>
      </c>
      <c r="G53" s="543">
        <f t="shared" ref="G53:O53" si="23">SUM(G51:G52)</f>
        <v>40</v>
      </c>
      <c r="H53" s="543">
        <f t="shared" si="23"/>
        <v>870</v>
      </c>
      <c r="I53" s="543">
        <f t="shared" si="23"/>
        <v>10380</v>
      </c>
      <c r="J53" s="543">
        <f t="shared" si="23"/>
        <v>870</v>
      </c>
      <c r="K53" s="543">
        <f t="shared" si="23"/>
        <v>704.7</v>
      </c>
      <c r="L53" s="543">
        <f t="shared" si="23"/>
        <v>0</v>
      </c>
      <c r="M53" s="543">
        <f t="shared" si="23"/>
        <v>783</v>
      </c>
      <c r="N53" s="543">
        <f t="shared" si="23"/>
        <v>1487.7</v>
      </c>
      <c r="O53" s="543">
        <f t="shared" si="23"/>
        <v>12737.7</v>
      </c>
    </row>
    <row r="54" spans="1:15" ht="15.75">
      <c r="A54" s="534">
        <v>34</v>
      </c>
      <c r="B54" s="535" t="s">
        <v>262</v>
      </c>
      <c r="C54" s="535" t="s">
        <v>263</v>
      </c>
      <c r="D54" s="534" t="s">
        <v>264</v>
      </c>
      <c r="E54" s="536" t="s">
        <v>265</v>
      </c>
      <c r="F54" s="537">
        <v>600</v>
      </c>
      <c r="G54" s="537">
        <v>0</v>
      </c>
      <c r="H54" s="537">
        <f>+F54+G54</f>
        <v>600</v>
      </c>
      <c r="I54" s="537">
        <f>+H54*12</f>
        <v>7200</v>
      </c>
      <c r="J54" s="537">
        <f>+H54</f>
        <v>600</v>
      </c>
      <c r="K54" s="537">
        <f>+J54*6.75%*12</f>
        <v>486</v>
      </c>
      <c r="L54" s="537">
        <v>0</v>
      </c>
      <c r="M54" s="537">
        <f>+J54*7.5%*12</f>
        <v>540</v>
      </c>
      <c r="N54" s="537">
        <f>SUM(K54:M54)</f>
        <v>1026</v>
      </c>
      <c r="O54" s="538">
        <f>ROUND((+I54+J54+N54),2)</f>
        <v>8826</v>
      </c>
    </row>
    <row r="55" spans="1:15" ht="15.75">
      <c r="A55" s="534">
        <v>35</v>
      </c>
      <c r="B55" s="535" t="s">
        <v>266</v>
      </c>
      <c r="C55" s="535" t="s">
        <v>267</v>
      </c>
      <c r="D55" s="534" t="s">
        <v>264</v>
      </c>
      <c r="E55" s="536" t="s">
        <v>265</v>
      </c>
      <c r="F55" s="537">
        <v>360</v>
      </c>
      <c r="G55" s="537">
        <v>20</v>
      </c>
      <c r="H55" s="537">
        <f>+F55+G55</f>
        <v>380</v>
      </c>
      <c r="I55" s="537">
        <f>+H55*12-60</f>
        <v>4500</v>
      </c>
      <c r="J55" s="537">
        <f>+H55</f>
        <v>380</v>
      </c>
      <c r="K55" s="537">
        <f>+J55*6.75%*12</f>
        <v>307.8</v>
      </c>
      <c r="L55" s="537">
        <v>0</v>
      </c>
      <c r="M55" s="537">
        <f>+J55*7.5%*12</f>
        <v>342</v>
      </c>
      <c r="N55" s="537">
        <f>SUM(K55:M55)</f>
        <v>649.79999999999995</v>
      </c>
      <c r="O55" s="538">
        <f>ROUND((+I55+J55+N55),2)</f>
        <v>5529.8</v>
      </c>
    </row>
    <row r="56" spans="1:15" ht="15.75">
      <c r="A56" s="534">
        <v>36</v>
      </c>
      <c r="B56" s="535"/>
      <c r="C56" s="535" t="s">
        <v>268</v>
      </c>
      <c r="D56" s="534" t="s">
        <v>264</v>
      </c>
      <c r="E56" s="536" t="s">
        <v>265</v>
      </c>
      <c r="F56" s="537">
        <v>396</v>
      </c>
      <c r="G56" s="537">
        <v>0</v>
      </c>
      <c r="H56" s="537">
        <f>+F56+G56</f>
        <v>396</v>
      </c>
      <c r="I56" s="537">
        <f>+H56*12</f>
        <v>4752</v>
      </c>
      <c r="J56" s="537">
        <f>+H56</f>
        <v>396</v>
      </c>
      <c r="K56" s="537">
        <f>+J56*6.75%*12</f>
        <v>320.76</v>
      </c>
      <c r="L56" s="537">
        <v>0</v>
      </c>
      <c r="M56" s="537">
        <f>+J56*7.5%*12</f>
        <v>356.4</v>
      </c>
      <c r="N56" s="537">
        <f>SUM(K56:M56)</f>
        <v>677.16</v>
      </c>
      <c r="O56" s="538">
        <f>ROUND((+I56+J56+N56),2)</f>
        <v>5825.16</v>
      </c>
    </row>
    <row r="57" spans="1:15" ht="30.75">
      <c r="A57" s="534">
        <v>37</v>
      </c>
      <c r="B57" s="535" t="s">
        <v>269</v>
      </c>
      <c r="C57" s="544" t="s">
        <v>800</v>
      </c>
      <c r="D57" s="534" t="s">
        <v>264</v>
      </c>
      <c r="E57" s="536" t="s">
        <v>265</v>
      </c>
      <c r="F57" s="537">
        <v>366</v>
      </c>
      <c r="G57" s="537">
        <v>0</v>
      </c>
      <c r="H57" s="537">
        <f>+F57+G57</f>
        <v>366</v>
      </c>
      <c r="I57" s="537">
        <f>+H57*12</f>
        <v>4392</v>
      </c>
      <c r="J57" s="537">
        <f>+H57</f>
        <v>366</v>
      </c>
      <c r="K57" s="537">
        <f>+J57*6.75%*12</f>
        <v>296.46000000000004</v>
      </c>
      <c r="L57" s="537">
        <v>0</v>
      </c>
      <c r="M57" s="537">
        <f>+J57*7.5%*12</f>
        <v>329.4</v>
      </c>
      <c r="N57" s="537">
        <f>SUM(K57:M57)</f>
        <v>625.86</v>
      </c>
      <c r="O57" s="538">
        <f>ROUND((+I57+J57+N57),2)</f>
        <v>5383.86</v>
      </c>
    </row>
    <row r="58" spans="1:15" ht="15.75">
      <c r="A58" s="534"/>
      <c r="B58" s="541" t="s">
        <v>203</v>
      </c>
      <c r="C58" s="535"/>
      <c r="D58" s="534"/>
      <c r="E58" s="536"/>
      <c r="F58" s="543">
        <f>SUM(F54:F57)</f>
        <v>1722</v>
      </c>
      <c r="G58" s="543">
        <f t="shared" ref="G58:O58" si="24">SUM(G54:G57)</f>
        <v>20</v>
      </c>
      <c r="H58" s="543">
        <f t="shared" si="24"/>
        <v>1742</v>
      </c>
      <c r="I58" s="543">
        <f t="shared" si="24"/>
        <v>20844</v>
      </c>
      <c r="J58" s="543">
        <f t="shared" si="24"/>
        <v>1742</v>
      </c>
      <c r="K58" s="543">
        <f t="shared" si="24"/>
        <v>1411.02</v>
      </c>
      <c r="L58" s="543">
        <f t="shared" si="24"/>
        <v>0</v>
      </c>
      <c r="M58" s="543">
        <f t="shared" si="24"/>
        <v>1567.8000000000002</v>
      </c>
      <c r="N58" s="543">
        <f t="shared" si="24"/>
        <v>2978.82</v>
      </c>
      <c r="O58" s="543">
        <f t="shared" si="24"/>
        <v>25564.82</v>
      </c>
    </row>
    <row r="59" spans="1:15" ht="15.75">
      <c r="A59" s="534">
        <v>38</v>
      </c>
      <c r="B59" s="545" t="s">
        <v>270</v>
      </c>
      <c r="C59" s="546" t="s">
        <v>271</v>
      </c>
      <c r="D59" s="561"/>
      <c r="E59" s="536" t="s">
        <v>272</v>
      </c>
      <c r="F59" s="547">
        <v>1000</v>
      </c>
      <c r="G59" s="547">
        <v>0</v>
      </c>
      <c r="H59" s="537">
        <f>+F59+G59</f>
        <v>1000</v>
      </c>
      <c r="I59" s="537">
        <f>+H59*12</f>
        <v>12000</v>
      </c>
      <c r="J59" s="537">
        <f>+H59</f>
        <v>1000</v>
      </c>
      <c r="K59" s="537">
        <f>+J59*6.75%*12</f>
        <v>810</v>
      </c>
      <c r="L59" s="537">
        <v>0</v>
      </c>
      <c r="M59" s="537">
        <f>+J59*7.5%*12</f>
        <v>900</v>
      </c>
      <c r="N59" s="537">
        <f>SUM(K59:M59)</f>
        <v>1710</v>
      </c>
      <c r="O59" s="538">
        <f>ROUND((+I59+J59+N59),2)</f>
        <v>14710</v>
      </c>
    </row>
    <row r="60" spans="1:15" ht="34.5" customHeight="1">
      <c r="A60" s="534">
        <v>39</v>
      </c>
      <c r="B60" s="535" t="s">
        <v>273</v>
      </c>
      <c r="C60" s="544" t="s">
        <v>274</v>
      </c>
      <c r="D60" s="539"/>
      <c r="E60" s="536" t="s">
        <v>272</v>
      </c>
      <c r="F60" s="537">
        <v>850</v>
      </c>
      <c r="G60" s="537">
        <v>0</v>
      </c>
      <c r="H60" s="537">
        <f>+F60+G60</f>
        <v>850</v>
      </c>
      <c r="I60" s="537">
        <f>+H60*12</f>
        <v>10200</v>
      </c>
      <c r="J60" s="537">
        <f>+H60</f>
        <v>850</v>
      </c>
      <c r="K60" s="537">
        <f>+J60*6.75%*12</f>
        <v>688.50000000000011</v>
      </c>
      <c r="L60" s="537">
        <v>0</v>
      </c>
      <c r="M60" s="537">
        <f>685.71*7.5%*12</f>
        <v>617.13900000000001</v>
      </c>
      <c r="N60" s="537">
        <f>SUM(K60:M60)</f>
        <v>1305.6390000000001</v>
      </c>
      <c r="O60" s="538">
        <f>ROUND((+I60+J60+N60),2)</f>
        <v>12355.64</v>
      </c>
    </row>
    <row r="61" spans="1:15" ht="15.75">
      <c r="A61" s="534">
        <v>40</v>
      </c>
      <c r="B61" s="548"/>
      <c r="C61" s="535" t="s">
        <v>799</v>
      </c>
      <c r="D61" s="539"/>
      <c r="E61" s="536" t="s">
        <v>272</v>
      </c>
      <c r="F61" s="537">
        <v>600</v>
      </c>
      <c r="G61" s="537">
        <v>0</v>
      </c>
      <c r="H61" s="537">
        <f>+F61+G61</f>
        <v>600</v>
      </c>
      <c r="I61" s="537">
        <f>+H61*12</f>
        <v>7200</v>
      </c>
      <c r="J61" s="537">
        <f>+H61</f>
        <v>600</v>
      </c>
      <c r="K61" s="537">
        <f>+J61*6.75%*12</f>
        <v>486</v>
      </c>
      <c r="L61" s="537">
        <v>0</v>
      </c>
      <c r="M61" s="537">
        <f>685.71*7.5%*12</f>
        <v>617.13900000000001</v>
      </c>
      <c r="N61" s="537">
        <f>SUM(K61:M61)</f>
        <v>1103.1390000000001</v>
      </c>
      <c r="O61" s="538">
        <f>ROUND((+I61+J61+N61),2)</f>
        <v>8903.14</v>
      </c>
    </row>
    <row r="62" spans="1:15" ht="15.75">
      <c r="A62" s="534"/>
      <c r="B62" s="541" t="s">
        <v>203</v>
      </c>
      <c r="C62" s="541"/>
      <c r="D62" s="549"/>
      <c r="E62" s="550"/>
      <c r="F62" s="543">
        <f>SUM(F59:F61)</f>
        <v>2450</v>
      </c>
      <c r="G62" s="543">
        <f t="shared" ref="G62:O62" si="25">SUM(G59:G61)</f>
        <v>0</v>
      </c>
      <c r="H62" s="543">
        <f>SUM(H59:H61)</f>
        <v>2450</v>
      </c>
      <c r="I62" s="543">
        <f t="shared" si="25"/>
        <v>29400</v>
      </c>
      <c r="J62" s="543">
        <f t="shared" si="25"/>
        <v>2450</v>
      </c>
      <c r="K62" s="543">
        <f t="shared" si="25"/>
        <v>1984.5</v>
      </c>
      <c r="L62" s="543">
        <f t="shared" si="25"/>
        <v>0</v>
      </c>
      <c r="M62" s="543">
        <f t="shared" si="25"/>
        <v>2134.2780000000002</v>
      </c>
      <c r="N62" s="543">
        <f>SUM(N59:N61)</f>
        <v>4118.7780000000002</v>
      </c>
      <c r="O62" s="543">
        <f t="shared" si="25"/>
        <v>35968.78</v>
      </c>
    </row>
    <row r="63" spans="1:15" ht="15.75">
      <c r="A63" s="534">
        <v>41</v>
      </c>
      <c r="B63" s="535" t="s">
        <v>275</v>
      </c>
      <c r="C63" s="535" t="s">
        <v>276</v>
      </c>
      <c r="D63" s="539" t="s">
        <v>277</v>
      </c>
      <c r="E63" s="536" t="s">
        <v>278</v>
      </c>
      <c r="F63" s="537">
        <v>370</v>
      </c>
      <c r="G63" s="537">
        <v>20</v>
      </c>
      <c r="H63" s="537">
        <f>+F63+G63</f>
        <v>390</v>
      </c>
      <c r="I63" s="537">
        <f>+H63*12-60</f>
        <v>4620</v>
      </c>
      <c r="J63" s="537">
        <f>+H63</f>
        <v>390</v>
      </c>
      <c r="K63" s="537">
        <f>+J63*6.75%*12</f>
        <v>315.90000000000003</v>
      </c>
      <c r="L63" s="537">
        <v>0</v>
      </c>
      <c r="M63" s="537">
        <f>+J63*7.5%*12</f>
        <v>351</v>
      </c>
      <c r="N63" s="537">
        <f>SUM(K63:M63)</f>
        <v>666.90000000000009</v>
      </c>
      <c r="O63" s="538">
        <f>ROUND((+I63+J63+N63),2)</f>
        <v>5676.9</v>
      </c>
    </row>
    <row r="64" spans="1:15" ht="15.75">
      <c r="A64" s="534">
        <v>42</v>
      </c>
      <c r="B64" s="535" t="s">
        <v>279</v>
      </c>
      <c r="C64" s="535" t="s">
        <v>276</v>
      </c>
      <c r="D64" s="539" t="s">
        <v>277</v>
      </c>
      <c r="E64" s="536" t="s">
        <v>278</v>
      </c>
      <c r="F64" s="537">
        <v>370</v>
      </c>
      <c r="G64" s="537">
        <v>20</v>
      </c>
      <c r="H64" s="537">
        <f>+F64+G64</f>
        <v>390</v>
      </c>
      <c r="I64" s="537">
        <f>+H64*12-60</f>
        <v>4620</v>
      </c>
      <c r="J64" s="537">
        <f>+H64</f>
        <v>390</v>
      </c>
      <c r="K64" s="537">
        <f>+J64*6.75%*12</f>
        <v>315.90000000000003</v>
      </c>
      <c r="L64" s="537">
        <v>0</v>
      </c>
      <c r="M64" s="537">
        <f>+J64*7.5%*12</f>
        <v>351</v>
      </c>
      <c r="N64" s="537">
        <f>SUM(K64:M64)</f>
        <v>666.90000000000009</v>
      </c>
      <c r="O64" s="538">
        <f>ROUND((+I64+J64+N64),2)</f>
        <v>5676.9</v>
      </c>
    </row>
    <row r="65" spans="1:15" ht="15.75">
      <c r="A65" s="534">
        <v>43</v>
      </c>
      <c r="B65" s="535" t="s">
        <v>885</v>
      </c>
      <c r="C65" s="535" t="s">
        <v>280</v>
      </c>
      <c r="D65" s="539" t="s">
        <v>277</v>
      </c>
      <c r="E65" s="536" t="s">
        <v>278</v>
      </c>
      <c r="F65" s="537">
        <v>1000</v>
      </c>
      <c r="G65" s="537">
        <v>0</v>
      </c>
      <c r="H65" s="537">
        <v>1000</v>
      </c>
      <c r="I65" s="537">
        <f>+H65*12</f>
        <v>12000</v>
      </c>
      <c r="J65" s="537">
        <f>+H65</f>
        <v>1000</v>
      </c>
      <c r="K65" s="537">
        <f>+J65*6.75%*12</f>
        <v>810</v>
      </c>
      <c r="L65" s="537">
        <v>0</v>
      </c>
      <c r="M65" s="537">
        <f>+J65*7.5%*12</f>
        <v>900</v>
      </c>
      <c r="N65" s="537">
        <f>SUM(K65:M65)</f>
        <v>1710</v>
      </c>
      <c r="O65" s="538">
        <f>ROUND((+I65+J65+N65),2)</f>
        <v>14710</v>
      </c>
    </row>
    <row r="66" spans="1:15" ht="15.75">
      <c r="A66" s="534">
        <v>44</v>
      </c>
      <c r="B66" s="535" t="s">
        <v>281</v>
      </c>
      <c r="C66" s="535" t="s">
        <v>282</v>
      </c>
      <c r="D66" s="539" t="s">
        <v>277</v>
      </c>
      <c r="E66" s="536" t="s">
        <v>278</v>
      </c>
      <c r="F66" s="537">
        <v>346</v>
      </c>
      <c r="G66" s="537">
        <v>20</v>
      </c>
      <c r="H66" s="537">
        <f>+F66+G66</f>
        <v>366</v>
      </c>
      <c r="I66" s="537">
        <f>+H66*12-60</f>
        <v>4332</v>
      </c>
      <c r="J66" s="537">
        <f>+H66</f>
        <v>366</v>
      </c>
      <c r="K66" s="537">
        <f>+J66*6.75%*12</f>
        <v>296.46000000000004</v>
      </c>
      <c r="L66" s="537">
        <v>0</v>
      </c>
      <c r="M66" s="537">
        <f>+J66*7.5%*12</f>
        <v>329.4</v>
      </c>
      <c r="N66" s="537">
        <f>SUM(K66:M66)</f>
        <v>625.86</v>
      </c>
      <c r="O66" s="538">
        <f>ROUND((+I66+J66+N66),2)</f>
        <v>5323.86</v>
      </c>
    </row>
    <row r="67" spans="1:15" ht="15.75">
      <c r="A67" s="534">
        <v>45</v>
      </c>
      <c r="B67" s="535" t="s">
        <v>283</v>
      </c>
      <c r="C67" s="535" t="s">
        <v>284</v>
      </c>
      <c r="D67" s="539" t="s">
        <v>277</v>
      </c>
      <c r="E67" s="536" t="s">
        <v>278</v>
      </c>
      <c r="F67" s="537">
        <v>346</v>
      </c>
      <c r="G67" s="537">
        <v>20</v>
      </c>
      <c r="H67" s="537">
        <f>+F67+G67</f>
        <v>366</v>
      </c>
      <c r="I67" s="537">
        <f>+H67*12-60</f>
        <v>4332</v>
      </c>
      <c r="J67" s="537">
        <f>+H67</f>
        <v>366</v>
      </c>
      <c r="K67" s="537">
        <f>+J67*6.75%*12</f>
        <v>296.46000000000004</v>
      </c>
      <c r="L67" s="537">
        <v>0</v>
      </c>
      <c r="M67" s="537">
        <f>+J67*7.5%*12</f>
        <v>329.4</v>
      </c>
      <c r="N67" s="537">
        <f>SUM(K67:M67)</f>
        <v>625.86</v>
      </c>
      <c r="O67" s="538">
        <f>ROUND((+I67+J67+N67),2)</f>
        <v>5323.86</v>
      </c>
    </row>
    <row r="68" spans="1:15" ht="15.75">
      <c r="A68" s="534"/>
      <c r="B68" s="541" t="s">
        <v>203</v>
      </c>
      <c r="C68" s="535"/>
      <c r="D68" s="539"/>
      <c r="E68" s="536"/>
      <c r="F68" s="543">
        <f>SUM(F63:F67)</f>
        <v>2432</v>
      </c>
      <c r="G68" s="543">
        <f t="shared" ref="G68:O68" si="26">SUM(G63:G67)</f>
        <v>80</v>
      </c>
      <c r="H68" s="543">
        <f t="shared" si="26"/>
        <v>2512</v>
      </c>
      <c r="I68" s="543">
        <f t="shared" si="26"/>
        <v>29904</v>
      </c>
      <c r="J68" s="543">
        <f t="shared" si="26"/>
        <v>2512</v>
      </c>
      <c r="K68" s="543">
        <f t="shared" si="26"/>
        <v>2034.7200000000003</v>
      </c>
      <c r="L68" s="543">
        <f t="shared" si="26"/>
        <v>0</v>
      </c>
      <c r="M68" s="543">
        <f t="shared" si="26"/>
        <v>2260.8000000000002</v>
      </c>
      <c r="N68" s="543">
        <f t="shared" si="26"/>
        <v>4295.5200000000004</v>
      </c>
      <c r="O68" s="543">
        <f t="shared" si="26"/>
        <v>36711.519999999997</v>
      </c>
    </row>
    <row r="69" spans="1:15" ht="15.75">
      <c r="A69" s="534">
        <v>46</v>
      </c>
      <c r="B69" s="535" t="s">
        <v>285</v>
      </c>
      <c r="C69" s="535" t="s">
        <v>286</v>
      </c>
      <c r="D69" s="534" t="s">
        <v>190</v>
      </c>
      <c r="E69" s="536" t="s">
        <v>287</v>
      </c>
      <c r="F69" s="537">
        <v>400</v>
      </c>
      <c r="G69" s="537">
        <v>0</v>
      </c>
      <c r="H69" s="537">
        <f>+F69+G69</f>
        <v>400</v>
      </c>
      <c r="I69" s="537">
        <f>+H69*12</f>
        <v>4800</v>
      </c>
      <c r="J69" s="537">
        <f>+H69</f>
        <v>400</v>
      </c>
      <c r="K69" s="537">
        <f>+J69*6.75%*12</f>
        <v>324</v>
      </c>
      <c r="L69" s="537">
        <v>0</v>
      </c>
      <c r="M69" s="537">
        <f>+J69*7.5%*12</f>
        <v>360</v>
      </c>
      <c r="N69" s="537">
        <f>SUM(K69:M69)</f>
        <v>684</v>
      </c>
      <c r="O69" s="538">
        <f>ROUND((+I69+J69+N69),2)</f>
        <v>5884</v>
      </c>
    </row>
    <row r="70" spans="1:15" ht="15.75">
      <c r="A70" s="534"/>
      <c r="B70" s="541" t="s">
        <v>203</v>
      </c>
      <c r="C70" s="535"/>
      <c r="D70" s="539"/>
      <c r="E70" s="536"/>
      <c r="F70" s="543">
        <f>SUM(F69)</f>
        <v>400</v>
      </c>
      <c r="G70" s="543">
        <f t="shared" ref="G70:O70" si="27">SUM(G69)</f>
        <v>0</v>
      </c>
      <c r="H70" s="543">
        <f t="shared" si="27"/>
        <v>400</v>
      </c>
      <c r="I70" s="543">
        <f t="shared" si="27"/>
        <v>4800</v>
      </c>
      <c r="J70" s="543">
        <f t="shared" si="27"/>
        <v>400</v>
      </c>
      <c r="K70" s="543">
        <f t="shared" si="27"/>
        <v>324</v>
      </c>
      <c r="L70" s="543">
        <f t="shared" si="27"/>
        <v>0</v>
      </c>
      <c r="M70" s="543">
        <f t="shared" si="27"/>
        <v>360</v>
      </c>
      <c r="N70" s="543">
        <f t="shared" si="27"/>
        <v>684</v>
      </c>
      <c r="O70" s="543">
        <f t="shared" si="27"/>
        <v>5884</v>
      </c>
    </row>
    <row r="71" spans="1:15" ht="15.75">
      <c r="A71" s="534">
        <v>47</v>
      </c>
      <c r="B71" s="535" t="s">
        <v>288</v>
      </c>
      <c r="C71" s="535" t="s">
        <v>289</v>
      </c>
      <c r="D71" s="539" t="s">
        <v>290</v>
      </c>
      <c r="E71" s="536" t="s">
        <v>291</v>
      </c>
      <c r="F71" s="537">
        <v>550</v>
      </c>
      <c r="G71" s="537">
        <v>0</v>
      </c>
      <c r="H71" s="537">
        <f t="shared" ref="H71:H83" si="28">+F71+G71</f>
        <v>550</v>
      </c>
      <c r="I71" s="537">
        <f>+H71*12</f>
        <v>6600</v>
      </c>
      <c r="J71" s="537">
        <f>+H71</f>
        <v>550</v>
      </c>
      <c r="K71" s="537">
        <f t="shared" ref="K71:K83" si="29">+J71*6.75%*12</f>
        <v>445.5</v>
      </c>
      <c r="L71" s="537">
        <v>0</v>
      </c>
      <c r="M71" s="537">
        <f t="shared" ref="M71:M83" si="30">+J71*7.5%*12</f>
        <v>495</v>
      </c>
      <c r="N71" s="537">
        <f t="shared" ref="N71:N83" si="31">SUM(K71:M71)</f>
        <v>940.5</v>
      </c>
      <c r="O71" s="538">
        <f t="shared" ref="O71:O83" si="32">ROUND((+I71+J71+N71),2)</f>
        <v>8090.5</v>
      </c>
    </row>
    <row r="72" spans="1:15" ht="15.75">
      <c r="A72" s="534">
        <v>48</v>
      </c>
      <c r="B72" s="535" t="s">
        <v>292</v>
      </c>
      <c r="C72" s="535" t="s">
        <v>293</v>
      </c>
      <c r="D72" s="539" t="s">
        <v>290</v>
      </c>
      <c r="E72" s="536" t="s">
        <v>291</v>
      </c>
      <c r="F72" s="537">
        <v>280</v>
      </c>
      <c r="G72" s="537">
        <v>20</v>
      </c>
      <c r="H72" s="537">
        <f t="shared" si="28"/>
        <v>300</v>
      </c>
      <c r="I72" s="537">
        <f>+H72*12-60</f>
        <v>3540</v>
      </c>
      <c r="J72" s="537">
        <f>+H72</f>
        <v>300</v>
      </c>
      <c r="K72" s="537">
        <f t="shared" si="29"/>
        <v>243</v>
      </c>
      <c r="L72" s="537">
        <v>0</v>
      </c>
      <c r="M72" s="537">
        <f t="shared" si="30"/>
        <v>270</v>
      </c>
      <c r="N72" s="537">
        <f t="shared" si="31"/>
        <v>513</v>
      </c>
      <c r="O72" s="538">
        <f t="shared" si="32"/>
        <v>4353</v>
      </c>
    </row>
    <row r="73" spans="1:15" ht="15.75">
      <c r="A73" s="534">
        <v>49</v>
      </c>
      <c r="B73" s="535" t="s">
        <v>294</v>
      </c>
      <c r="C73" s="535" t="s">
        <v>295</v>
      </c>
      <c r="D73" s="539" t="s">
        <v>290</v>
      </c>
      <c r="E73" s="536" t="s">
        <v>291</v>
      </c>
      <c r="F73" s="537">
        <v>280</v>
      </c>
      <c r="G73" s="537">
        <v>20</v>
      </c>
      <c r="H73" s="537">
        <f t="shared" si="28"/>
        <v>300</v>
      </c>
      <c r="I73" s="537">
        <f>+H73*12-60</f>
        <v>3540</v>
      </c>
      <c r="J73" s="537">
        <f>+H73</f>
        <v>300</v>
      </c>
      <c r="K73" s="537">
        <f t="shared" si="29"/>
        <v>243</v>
      </c>
      <c r="L73" s="537">
        <v>0</v>
      </c>
      <c r="M73" s="537">
        <f t="shared" si="30"/>
        <v>270</v>
      </c>
      <c r="N73" s="537">
        <f t="shared" si="31"/>
        <v>513</v>
      </c>
      <c r="O73" s="538">
        <f t="shared" si="32"/>
        <v>4353</v>
      </c>
    </row>
    <row r="74" spans="1:15" ht="15.75">
      <c r="A74" s="534">
        <v>50</v>
      </c>
      <c r="B74" s="535" t="s">
        <v>296</v>
      </c>
      <c r="C74" s="535" t="s">
        <v>297</v>
      </c>
      <c r="D74" s="539" t="s">
        <v>290</v>
      </c>
      <c r="E74" s="536" t="s">
        <v>291</v>
      </c>
      <c r="F74" s="537">
        <v>300</v>
      </c>
      <c r="G74" s="537">
        <v>20</v>
      </c>
      <c r="H74" s="537">
        <f t="shared" si="28"/>
        <v>320</v>
      </c>
      <c r="I74" s="537">
        <f t="shared" ref="I74:I83" si="33">+H74*12-60</f>
        <v>3780</v>
      </c>
      <c r="J74" s="537">
        <v>280</v>
      </c>
      <c r="K74" s="537">
        <f t="shared" si="29"/>
        <v>226.8</v>
      </c>
      <c r="L74" s="537">
        <v>0</v>
      </c>
      <c r="M74" s="537">
        <f t="shared" si="30"/>
        <v>252</v>
      </c>
      <c r="N74" s="537">
        <f t="shared" si="31"/>
        <v>478.8</v>
      </c>
      <c r="O74" s="538">
        <f t="shared" si="32"/>
        <v>4538.8</v>
      </c>
    </row>
    <row r="75" spans="1:15" ht="15.75">
      <c r="A75" s="534">
        <v>51</v>
      </c>
      <c r="B75" s="535" t="s">
        <v>298</v>
      </c>
      <c r="C75" s="535" t="s">
        <v>297</v>
      </c>
      <c r="D75" s="539" t="s">
        <v>290</v>
      </c>
      <c r="E75" s="536" t="s">
        <v>291</v>
      </c>
      <c r="F75" s="537">
        <v>300</v>
      </c>
      <c r="G75" s="537">
        <v>20</v>
      </c>
      <c r="H75" s="537">
        <f t="shared" si="28"/>
        <v>320</v>
      </c>
      <c r="I75" s="537">
        <f t="shared" si="33"/>
        <v>3780</v>
      </c>
      <c r="J75" s="537">
        <v>280</v>
      </c>
      <c r="K75" s="537">
        <f t="shared" si="29"/>
        <v>226.8</v>
      </c>
      <c r="L75" s="537">
        <v>0</v>
      </c>
      <c r="M75" s="537">
        <f t="shared" si="30"/>
        <v>252</v>
      </c>
      <c r="N75" s="537">
        <f t="shared" si="31"/>
        <v>478.8</v>
      </c>
      <c r="O75" s="538">
        <f t="shared" si="32"/>
        <v>4538.8</v>
      </c>
    </row>
    <row r="76" spans="1:15" ht="15.75">
      <c r="A76" s="534">
        <v>52</v>
      </c>
      <c r="B76" s="535" t="s">
        <v>299</v>
      </c>
      <c r="C76" s="535" t="s">
        <v>216</v>
      </c>
      <c r="D76" s="539" t="s">
        <v>290</v>
      </c>
      <c r="E76" s="536" t="s">
        <v>291</v>
      </c>
      <c r="F76" s="537">
        <v>322</v>
      </c>
      <c r="G76" s="537">
        <v>20</v>
      </c>
      <c r="H76" s="537">
        <f t="shared" si="28"/>
        <v>342</v>
      </c>
      <c r="I76" s="537">
        <f t="shared" si="33"/>
        <v>4044</v>
      </c>
      <c r="J76" s="537">
        <f t="shared" ref="J76:J83" si="34">+H76</f>
        <v>342</v>
      </c>
      <c r="K76" s="537">
        <f t="shared" si="29"/>
        <v>277.02</v>
      </c>
      <c r="L76" s="537">
        <v>0</v>
      </c>
      <c r="M76" s="537">
        <f t="shared" si="30"/>
        <v>307.79999999999995</v>
      </c>
      <c r="N76" s="537">
        <f t="shared" si="31"/>
        <v>584.81999999999994</v>
      </c>
      <c r="O76" s="538">
        <f t="shared" si="32"/>
        <v>4970.82</v>
      </c>
    </row>
    <row r="77" spans="1:15" ht="15.75">
      <c r="A77" s="534">
        <v>53</v>
      </c>
      <c r="B77" s="535" t="s">
        <v>300</v>
      </c>
      <c r="C77" s="535" t="s">
        <v>216</v>
      </c>
      <c r="D77" s="539" t="s">
        <v>290</v>
      </c>
      <c r="E77" s="536" t="s">
        <v>291</v>
      </c>
      <c r="F77" s="537">
        <v>302</v>
      </c>
      <c r="G77" s="537">
        <v>20</v>
      </c>
      <c r="H77" s="537">
        <f t="shared" si="28"/>
        <v>322</v>
      </c>
      <c r="I77" s="537">
        <f t="shared" si="33"/>
        <v>3804</v>
      </c>
      <c r="J77" s="537">
        <f t="shared" si="34"/>
        <v>322</v>
      </c>
      <c r="K77" s="537">
        <f t="shared" si="29"/>
        <v>260.82000000000005</v>
      </c>
      <c r="L77" s="537">
        <v>0</v>
      </c>
      <c r="M77" s="537">
        <f t="shared" si="30"/>
        <v>289.79999999999995</v>
      </c>
      <c r="N77" s="537">
        <f t="shared" si="31"/>
        <v>550.62</v>
      </c>
      <c r="O77" s="538">
        <f t="shared" si="32"/>
        <v>4676.62</v>
      </c>
    </row>
    <row r="78" spans="1:15" ht="15.75">
      <c r="A78" s="534">
        <v>54</v>
      </c>
      <c r="B78" s="535" t="s">
        <v>301</v>
      </c>
      <c r="C78" s="535" t="s">
        <v>302</v>
      </c>
      <c r="D78" s="539" t="s">
        <v>290</v>
      </c>
      <c r="E78" s="536" t="s">
        <v>291</v>
      </c>
      <c r="F78" s="537">
        <v>302</v>
      </c>
      <c r="G78" s="537">
        <v>20</v>
      </c>
      <c r="H78" s="537">
        <f t="shared" si="28"/>
        <v>322</v>
      </c>
      <c r="I78" s="537">
        <f t="shared" si="33"/>
        <v>3804</v>
      </c>
      <c r="J78" s="537">
        <f t="shared" si="34"/>
        <v>322</v>
      </c>
      <c r="K78" s="537">
        <f t="shared" si="29"/>
        <v>260.82000000000005</v>
      </c>
      <c r="L78" s="537">
        <v>0</v>
      </c>
      <c r="M78" s="537">
        <f t="shared" si="30"/>
        <v>289.79999999999995</v>
      </c>
      <c r="N78" s="537">
        <f t="shared" si="31"/>
        <v>550.62</v>
      </c>
      <c r="O78" s="538">
        <f t="shared" si="32"/>
        <v>4676.62</v>
      </c>
    </row>
    <row r="79" spans="1:15" ht="15.75">
      <c r="A79" s="534">
        <v>55</v>
      </c>
      <c r="B79" s="535" t="s">
        <v>303</v>
      </c>
      <c r="C79" s="535" t="s">
        <v>216</v>
      </c>
      <c r="D79" s="539" t="s">
        <v>290</v>
      </c>
      <c r="E79" s="536" t="s">
        <v>291</v>
      </c>
      <c r="F79" s="537">
        <v>302</v>
      </c>
      <c r="G79" s="537">
        <v>20</v>
      </c>
      <c r="H79" s="537">
        <f t="shared" si="28"/>
        <v>322</v>
      </c>
      <c r="I79" s="537">
        <f t="shared" si="33"/>
        <v>3804</v>
      </c>
      <c r="J79" s="537">
        <f t="shared" si="34"/>
        <v>322</v>
      </c>
      <c r="K79" s="537">
        <f t="shared" si="29"/>
        <v>260.82000000000005</v>
      </c>
      <c r="L79" s="537">
        <v>0</v>
      </c>
      <c r="M79" s="537">
        <f t="shared" si="30"/>
        <v>289.79999999999995</v>
      </c>
      <c r="N79" s="537">
        <f t="shared" si="31"/>
        <v>550.62</v>
      </c>
      <c r="O79" s="538">
        <f t="shared" si="32"/>
        <v>4676.62</v>
      </c>
    </row>
    <row r="80" spans="1:15" ht="15.75">
      <c r="A80" s="534">
        <v>56</v>
      </c>
      <c r="B80" s="50" t="s">
        <v>304</v>
      </c>
      <c r="C80" s="535" t="s">
        <v>305</v>
      </c>
      <c r="D80" s="539" t="s">
        <v>290</v>
      </c>
      <c r="E80" s="536" t="s">
        <v>291</v>
      </c>
      <c r="F80" s="537">
        <v>300</v>
      </c>
      <c r="G80" s="537">
        <v>20</v>
      </c>
      <c r="H80" s="537">
        <f t="shared" si="28"/>
        <v>320</v>
      </c>
      <c r="I80" s="537">
        <f t="shared" si="33"/>
        <v>3780</v>
      </c>
      <c r="J80" s="537">
        <f t="shared" si="34"/>
        <v>320</v>
      </c>
      <c r="K80" s="537">
        <f t="shared" si="29"/>
        <v>259.20000000000005</v>
      </c>
      <c r="L80" s="537">
        <v>0</v>
      </c>
      <c r="M80" s="537">
        <f t="shared" si="30"/>
        <v>288</v>
      </c>
      <c r="N80" s="537">
        <f t="shared" si="31"/>
        <v>547.20000000000005</v>
      </c>
      <c r="O80" s="538">
        <f t="shared" si="32"/>
        <v>4647.2</v>
      </c>
    </row>
    <row r="81" spans="1:15" ht="15.75">
      <c r="A81" s="534">
        <v>57</v>
      </c>
      <c r="B81" s="50" t="s">
        <v>306</v>
      </c>
      <c r="C81" s="535" t="s">
        <v>305</v>
      </c>
      <c r="D81" s="539" t="s">
        <v>290</v>
      </c>
      <c r="E81" s="536" t="s">
        <v>291</v>
      </c>
      <c r="F81" s="537">
        <v>300</v>
      </c>
      <c r="G81" s="537">
        <v>20</v>
      </c>
      <c r="H81" s="537">
        <f t="shared" si="28"/>
        <v>320</v>
      </c>
      <c r="I81" s="537">
        <f t="shared" si="33"/>
        <v>3780</v>
      </c>
      <c r="J81" s="537">
        <f t="shared" si="34"/>
        <v>320</v>
      </c>
      <c r="K81" s="537">
        <f t="shared" si="29"/>
        <v>259.20000000000005</v>
      </c>
      <c r="L81" s="537">
        <v>0</v>
      </c>
      <c r="M81" s="537">
        <f t="shared" si="30"/>
        <v>288</v>
      </c>
      <c r="N81" s="537">
        <f t="shared" si="31"/>
        <v>547.20000000000005</v>
      </c>
      <c r="O81" s="538">
        <f t="shared" si="32"/>
        <v>4647.2</v>
      </c>
    </row>
    <row r="82" spans="1:15" ht="15.75">
      <c r="A82" s="534">
        <v>58</v>
      </c>
      <c r="B82" s="50" t="s">
        <v>307</v>
      </c>
      <c r="C82" s="535" t="s">
        <v>305</v>
      </c>
      <c r="D82" s="539" t="s">
        <v>290</v>
      </c>
      <c r="E82" s="536" t="s">
        <v>291</v>
      </c>
      <c r="F82" s="537">
        <v>300</v>
      </c>
      <c r="G82" s="537">
        <v>20</v>
      </c>
      <c r="H82" s="537">
        <f t="shared" si="28"/>
        <v>320</v>
      </c>
      <c r="I82" s="537">
        <f t="shared" si="33"/>
        <v>3780</v>
      </c>
      <c r="J82" s="537">
        <f t="shared" si="34"/>
        <v>320</v>
      </c>
      <c r="K82" s="537">
        <f t="shared" si="29"/>
        <v>259.20000000000005</v>
      </c>
      <c r="L82" s="537">
        <v>0</v>
      </c>
      <c r="M82" s="537">
        <f t="shared" si="30"/>
        <v>288</v>
      </c>
      <c r="N82" s="537">
        <f t="shared" si="31"/>
        <v>547.20000000000005</v>
      </c>
      <c r="O82" s="538">
        <f t="shared" si="32"/>
        <v>4647.2</v>
      </c>
    </row>
    <row r="83" spans="1:15" ht="15.75">
      <c r="A83" s="534">
        <v>59</v>
      </c>
      <c r="B83" s="50" t="s">
        <v>308</v>
      </c>
      <c r="C83" s="535" t="s">
        <v>305</v>
      </c>
      <c r="D83" s="539" t="s">
        <v>290</v>
      </c>
      <c r="E83" s="536" t="s">
        <v>291</v>
      </c>
      <c r="F83" s="537">
        <v>300</v>
      </c>
      <c r="G83" s="537">
        <v>20</v>
      </c>
      <c r="H83" s="537">
        <f t="shared" si="28"/>
        <v>320</v>
      </c>
      <c r="I83" s="537">
        <f t="shared" si="33"/>
        <v>3780</v>
      </c>
      <c r="J83" s="537">
        <f t="shared" si="34"/>
        <v>320</v>
      </c>
      <c r="K83" s="537">
        <f t="shared" si="29"/>
        <v>259.20000000000005</v>
      </c>
      <c r="L83" s="537">
        <v>0</v>
      </c>
      <c r="M83" s="537">
        <f t="shared" si="30"/>
        <v>288</v>
      </c>
      <c r="N83" s="537">
        <f t="shared" si="31"/>
        <v>547.20000000000005</v>
      </c>
      <c r="O83" s="538">
        <f t="shared" si="32"/>
        <v>4647.2</v>
      </c>
    </row>
    <row r="84" spans="1:15" ht="15.75">
      <c r="A84" s="534"/>
      <c r="B84" s="541" t="s">
        <v>203</v>
      </c>
      <c r="C84" s="535"/>
      <c r="D84" s="539"/>
      <c r="E84" s="536"/>
      <c r="F84" s="543">
        <f>SUM(F71:F83)</f>
        <v>4138</v>
      </c>
      <c r="G84" s="543">
        <f t="shared" ref="G84:O84" si="35">SUM(G71:G83)</f>
        <v>240</v>
      </c>
      <c r="H84" s="543">
        <f t="shared" si="35"/>
        <v>4378</v>
      </c>
      <c r="I84" s="543">
        <f t="shared" si="35"/>
        <v>51816</v>
      </c>
      <c r="J84" s="543">
        <f t="shared" si="35"/>
        <v>4298</v>
      </c>
      <c r="K84" s="543">
        <f t="shared" si="35"/>
        <v>3481.38</v>
      </c>
      <c r="L84" s="543">
        <f t="shared" si="35"/>
        <v>0</v>
      </c>
      <c r="M84" s="543">
        <f t="shared" si="35"/>
        <v>3868.2</v>
      </c>
      <c r="N84" s="543">
        <f t="shared" si="35"/>
        <v>7349.579999999999</v>
      </c>
      <c r="O84" s="543">
        <f t="shared" si="35"/>
        <v>63463.579999999994</v>
      </c>
    </row>
    <row r="85" spans="1:15" ht="15.75">
      <c r="A85" s="534">
        <v>60</v>
      </c>
      <c r="B85" s="535" t="s">
        <v>309</v>
      </c>
      <c r="C85" s="535" t="s">
        <v>310</v>
      </c>
      <c r="D85" s="539" t="s">
        <v>311</v>
      </c>
      <c r="E85" s="536" t="s">
        <v>312</v>
      </c>
      <c r="F85" s="537">
        <v>420</v>
      </c>
      <c r="G85" s="537">
        <v>20</v>
      </c>
      <c r="H85" s="537">
        <f>+F85+G85</f>
        <v>440</v>
      </c>
      <c r="I85" s="537">
        <f>+H85*12-60</f>
        <v>5220</v>
      </c>
      <c r="J85" s="537">
        <f>+H85</f>
        <v>440</v>
      </c>
      <c r="K85" s="537">
        <f>+J85*6.75%*12</f>
        <v>356.40000000000003</v>
      </c>
      <c r="L85" s="537">
        <v>0</v>
      </c>
      <c r="M85" s="537">
        <f>+J85*7.5%*12</f>
        <v>396</v>
      </c>
      <c r="N85" s="537">
        <f>SUM(K85:M85)</f>
        <v>752.40000000000009</v>
      </c>
      <c r="O85" s="538">
        <f>ROUND((+I85+J85+N85),2)</f>
        <v>6412.4</v>
      </c>
    </row>
    <row r="86" spans="1:15" ht="15.75">
      <c r="A86" s="534">
        <v>61</v>
      </c>
      <c r="B86" s="535" t="s">
        <v>313</v>
      </c>
      <c r="C86" s="535" t="s">
        <v>314</v>
      </c>
      <c r="D86" s="539" t="s">
        <v>311</v>
      </c>
      <c r="E86" s="536" t="s">
        <v>312</v>
      </c>
      <c r="F86" s="537">
        <v>396</v>
      </c>
      <c r="G86" s="537">
        <v>20</v>
      </c>
      <c r="H86" s="537">
        <f>+F86+G86</f>
        <v>416</v>
      </c>
      <c r="I86" s="537">
        <f>+H86*12-60</f>
        <v>4932</v>
      </c>
      <c r="J86" s="537">
        <f>+H86</f>
        <v>416</v>
      </c>
      <c r="K86" s="537">
        <f>+J86*6.75%*12</f>
        <v>336.96000000000004</v>
      </c>
      <c r="L86" s="537">
        <v>0</v>
      </c>
      <c r="M86" s="537">
        <f>+J86*7.5%*12</f>
        <v>374.4</v>
      </c>
      <c r="N86" s="537">
        <f>SUM(K86:M86)</f>
        <v>711.36</v>
      </c>
      <c r="O86" s="538">
        <f>ROUND((+I86+J86+N86),2)</f>
        <v>6059.36</v>
      </c>
    </row>
    <row r="87" spans="1:15" ht="15.75">
      <c r="A87" s="534"/>
      <c r="B87" s="541" t="s">
        <v>203</v>
      </c>
      <c r="C87" s="535"/>
      <c r="D87" s="539"/>
      <c r="E87" s="536"/>
      <c r="F87" s="543">
        <f>SUM(F85:F86)</f>
        <v>816</v>
      </c>
      <c r="G87" s="543">
        <f t="shared" ref="G87:O87" si="36">SUM(G85:G86)</f>
        <v>40</v>
      </c>
      <c r="H87" s="543">
        <f t="shared" si="36"/>
        <v>856</v>
      </c>
      <c r="I87" s="543">
        <f t="shared" si="36"/>
        <v>10152</v>
      </c>
      <c r="J87" s="543">
        <f t="shared" si="36"/>
        <v>856</v>
      </c>
      <c r="K87" s="543">
        <f t="shared" si="36"/>
        <v>693.36000000000013</v>
      </c>
      <c r="L87" s="543">
        <f t="shared" si="36"/>
        <v>0</v>
      </c>
      <c r="M87" s="543">
        <f t="shared" si="36"/>
        <v>770.4</v>
      </c>
      <c r="N87" s="543">
        <f t="shared" si="36"/>
        <v>1463.7600000000002</v>
      </c>
      <c r="O87" s="543">
        <f t="shared" si="36"/>
        <v>12471.759999999998</v>
      </c>
    </row>
    <row r="88" spans="1:15" ht="15.75">
      <c r="A88" s="534">
        <v>62</v>
      </c>
      <c r="B88" s="535" t="s">
        <v>315</v>
      </c>
      <c r="C88" s="535" t="s">
        <v>316</v>
      </c>
      <c r="D88" s="534"/>
      <c r="E88" s="536" t="s">
        <v>317</v>
      </c>
      <c r="F88" s="537">
        <v>396</v>
      </c>
      <c r="G88" s="537">
        <v>20</v>
      </c>
      <c r="H88" s="537">
        <f>+F88+G88</f>
        <v>416</v>
      </c>
      <c r="I88" s="537">
        <f>+H88*12-60</f>
        <v>4932</v>
      </c>
      <c r="J88" s="537">
        <f>+H88</f>
        <v>416</v>
      </c>
      <c r="K88" s="537">
        <f>+J88*6.75%*12</f>
        <v>336.96000000000004</v>
      </c>
      <c r="L88" s="537">
        <v>0</v>
      </c>
      <c r="M88" s="537">
        <f>+J88*7.5%*12</f>
        <v>374.4</v>
      </c>
      <c r="N88" s="537">
        <f>SUM(K88:M88)</f>
        <v>711.36</v>
      </c>
      <c r="O88" s="538">
        <f>ROUND((+I88+J88+N88),2)</f>
        <v>6059.36</v>
      </c>
    </row>
    <row r="89" spans="1:15" ht="15.75">
      <c r="A89" s="534"/>
      <c r="B89" s="541" t="s">
        <v>203</v>
      </c>
      <c r="C89" s="535"/>
      <c r="D89" s="534"/>
      <c r="E89" s="536"/>
      <c r="F89" s="543">
        <f>SUM(F88:F88)</f>
        <v>396</v>
      </c>
      <c r="G89" s="543">
        <f t="shared" ref="G89:O89" si="37">SUM(G88:G88)</f>
        <v>20</v>
      </c>
      <c r="H89" s="543">
        <f t="shared" si="37"/>
        <v>416</v>
      </c>
      <c r="I89" s="543">
        <f t="shared" si="37"/>
        <v>4932</v>
      </c>
      <c r="J89" s="543">
        <f t="shared" si="37"/>
        <v>416</v>
      </c>
      <c r="K89" s="543">
        <f t="shared" si="37"/>
        <v>336.96000000000004</v>
      </c>
      <c r="L89" s="543">
        <f t="shared" si="37"/>
        <v>0</v>
      </c>
      <c r="M89" s="543">
        <f t="shared" si="37"/>
        <v>374.4</v>
      </c>
      <c r="N89" s="543">
        <f t="shared" si="37"/>
        <v>711.36</v>
      </c>
      <c r="O89" s="543">
        <f t="shared" si="37"/>
        <v>6059.36</v>
      </c>
    </row>
    <row r="90" spans="1:15" ht="15.75">
      <c r="A90" s="534">
        <v>63</v>
      </c>
      <c r="B90" s="535" t="s">
        <v>318</v>
      </c>
      <c r="C90" s="535" t="s">
        <v>319</v>
      </c>
      <c r="D90" s="539" t="s">
        <v>320</v>
      </c>
      <c r="E90" s="536" t="s">
        <v>321</v>
      </c>
      <c r="F90" s="537">
        <v>610</v>
      </c>
      <c r="G90" s="537">
        <v>0</v>
      </c>
      <c r="H90" s="537">
        <f t="shared" ref="H90:H104" si="38">+F90+G90</f>
        <v>610</v>
      </c>
      <c r="I90" s="537">
        <f>+H90*12</f>
        <v>7320</v>
      </c>
      <c r="J90" s="537">
        <f t="shared" ref="J90:J104" si="39">+H90</f>
        <v>610</v>
      </c>
      <c r="K90" s="537">
        <f t="shared" ref="K90:K104" si="40">+J90*6.75%*12</f>
        <v>494.1</v>
      </c>
      <c r="L90" s="537">
        <v>0</v>
      </c>
      <c r="M90" s="537">
        <f t="shared" ref="M90:M104" si="41">+J90*7.5%*12</f>
        <v>549</v>
      </c>
      <c r="N90" s="537">
        <f t="shared" ref="N90:N104" si="42">SUM(K90:M90)</f>
        <v>1043.0999999999999</v>
      </c>
      <c r="O90" s="538">
        <f t="shared" ref="O90:O104" si="43">ROUND((+I90+J90+N90),2)</f>
        <v>8973.1</v>
      </c>
    </row>
    <row r="91" spans="1:15" ht="15.75">
      <c r="A91" s="534">
        <v>64</v>
      </c>
      <c r="B91" s="535" t="s">
        <v>322</v>
      </c>
      <c r="C91" s="535" t="s">
        <v>323</v>
      </c>
      <c r="D91" s="539" t="s">
        <v>320</v>
      </c>
      <c r="E91" s="536" t="s">
        <v>321</v>
      </c>
      <c r="F91" s="537">
        <v>340</v>
      </c>
      <c r="G91" s="537">
        <v>20</v>
      </c>
      <c r="H91" s="537">
        <f t="shared" si="38"/>
        <v>360</v>
      </c>
      <c r="I91" s="537">
        <f>+H91*12-60</f>
        <v>4260</v>
      </c>
      <c r="J91" s="537">
        <f t="shared" si="39"/>
        <v>360</v>
      </c>
      <c r="K91" s="537">
        <f t="shared" si="40"/>
        <v>291.60000000000002</v>
      </c>
      <c r="L91" s="537">
        <v>0</v>
      </c>
      <c r="M91" s="537">
        <f t="shared" si="41"/>
        <v>324</v>
      </c>
      <c r="N91" s="537">
        <f t="shared" si="42"/>
        <v>615.6</v>
      </c>
      <c r="O91" s="538">
        <f t="shared" si="43"/>
        <v>5235.6000000000004</v>
      </c>
    </row>
    <row r="92" spans="1:15" ht="15.75">
      <c r="A92" s="534">
        <v>65</v>
      </c>
      <c r="B92" s="535" t="s">
        <v>324</v>
      </c>
      <c r="C92" s="535" t="s">
        <v>295</v>
      </c>
      <c r="D92" s="539" t="s">
        <v>320</v>
      </c>
      <c r="E92" s="536" t="s">
        <v>321</v>
      </c>
      <c r="F92" s="537">
        <v>300</v>
      </c>
      <c r="G92" s="537">
        <v>20</v>
      </c>
      <c r="H92" s="537">
        <f t="shared" si="38"/>
        <v>320</v>
      </c>
      <c r="I92" s="537">
        <f t="shared" ref="I92:I104" si="44">+H92*12-60</f>
        <v>3780</v>
      </c>
      <c r="J92" s="537">
        <f t="shared" si="39"/>
        <v>320</v>
      </c>
      <c r="K92" s="537">
        <f t="shared" si="40"/>
        <v>259.20000000000005</v>
      </c>
      <c r="L92" s="537">
        <v>0</v>
      </c>
      <c r="M92" s="537">
        <f t="shared" si="41"/>
        <v>288</v>
      </c>
      <c r="N92" s="537">
        <f t="shared" si="42"/>
        <v>547.20000000000005</v>
      </c>
      <c r="O92" s="538">
        <f t="shared" si="43"/>
        <v>4647.2</v>
      </c>
    </row>
    <row r="93" spans="1:15" ht="15.75">
      <c r="A93" s="534">
        <v>66</v>
      </c>
      <c r="B93" s="535" t="s">
        <v>325</v>
      </c>
      <c r="C93" s="535" t="s">
        <v>326</v>
      </c>
      <c r="D93" s="539" t="s">
        <v>320</v>
      </c>
      <c r="E93" s="536" t="s">
        <v>321</v>
      </c>
      <c r="F93" s="537">
        <v>333</v>
      </c>
      <c r="G93" s="537">
        <v>20</v>
      </c>
      <c r="H93" s="537">
        <f t="shared" si="38"/>
        <v>353</v>
      </c>
      <c r="I93" s="537">
        <f t="shared" si="44"/>
        <v>4176</v>
      </c>
      <c r="J93" s="537">
        <f t="shared" si="39"/>
        <v>353</v>
      </c>
      <c r="K93" s="537">
        <f t="shared" si="40"/>
        <v>285.93</v>
      </c>
      <c r="L93" s="537">
        <v>0</v>
      </c>
      <c r="M93" s="537">
        <f t="shared" si="41"/>
        <v>317.7</v>
      </c>
      <c r="N93" s="537">
        <f t="shared" si="42"/>
        <v>603.63</v>
      </c>
      <c r="O93" s="538">
        <f t="shared" si="43"/>
        <v>5132.63</v>
      </c>
    </row>
    <row r="94" spans="1:15" ht="15.75">
      <c r="A94" s="534">
        <v>67</v>
      </c>
      <c r="B94" s="535" t="s">
        <v>327</v>
      </c>
      <c r="C94" s="535" t="s">
        <v>326</v>
      </c>
      <c r="D94" s="539" t="s">
        <v>320</v>
      </c>
      <c r="E94" s="536" t="s">
        <v>321</v>
      </c>
      <c r="F94" s="537">
        <v>333</v>
      </c>
      <c r="G94" s="537">
        <v>20</v>
      </c>
      <c r="H94" s="537">
        <f t="shared" si="38"/>
        <v>353</v>
      </c>
      <c r="I94" s="537">
        <f t="shared" si="44"/>
        <v>4176</v>
      </c>
      <c r="J94" s="537">
        <f t="shared" si="39"/>
        <v>353</v>
      </c>
      <c r="K94" s="537">
        <f t="shared" si="40"/>
        <v>285.93</v>
      </c>
      <c r="L94" s="537">
        <v>0</v>
      </c>
      <c r="M94" s="537">
        <f t="shared" si="41"/>
        <v>317.7</v>
      </c>
      <c r="N94" s="537">
        <f t="shared" si="42"/>
        <v>603.63</v>
      </c>
      <c r="O94" s="538">
        <f t="shared" si="43"/>
        <v>5132.63</v>
      </c>
    </row>
    <row r="95" spans="1:15" ht="15.75">
      <c r="A95" s="534">
        <v>68</v>
      </c>
      <c r="B95" s="535" t="s">
        <v>328</v>
      </c>
      <c r="C95" s="535" t="s">
        <v>329</v>
      </c>
      <c r="D95" s="539" t="s">
        <v>320</v>
      </c>
      <c r="E95" s="536" t="s">
        <v>321</v>
      </c>
      <c r="F95" s="537">
        <v>300</v>
      </c>
      <c r="G95" s="537">
        <v>20</v>
      </c>
      <c r="H95" s="537">
        <f t="shared" si="38"/>
        <v>320</v>
      </c>
      <c r="I95" s="537">
        <f t="shared" si="44"/>
        <v>3780</v>
      </c>
      <c r="J95" s="537">
        <f t="shared" si="39"/>
        <v>320</v>
      </c>
      <c r="K95" s="537">
        <f t="shared" si="40"/>
        <v>259.20000000000005</v>
      </c>
      <c r="L95" s="537">
        <v>0</v>
      </c>
      <c r="M95" s="537">
        <f t="shared" si="41"/>
        <v>288</v>
      </c>
      <c r="N95" s="537">
        <f t="shared" si="42"/>
        <v>547.20000000000005</v>
      </c>
      <c r="O95" s="538">
        <f t="shared" si="43"/>
        <v>4647.2</v>
      </c>
    </row>
    <row r="96" spans="1:15" ht="15.75">
      <c r="A96" s="534">
        <v>69</v>
      </c>
      <c r="B96" s="535" t="s">
        <v>415</v>
      </c>
      <c r="C96" s="535" t="s">
        <v>330</v>
      </c>
      <c r="D96" s="539" t="s">
        <v>320</v>
      </c>
      <c r="E96" s="536" t="s">
        <v>321</v>
      </c>
      <c r="F96" s="537">
        <v>300</v>
      </c>
      <c r="G96" s="537">
        <v>20</v>
      </c>
      <c r="H96" s="537">
        <f t="shared" si="38"/>
        <v>320</v>
      </c>
      <c r="I96" s="537">
        <f t="shared" si="44"/>
        <v>3780</v>
      </c>
      <c r="J96" s="537">
        <f t="shared" si="39"/>
        <v>320</v>
      </c>
      <c r="K96" s="537">
        <f t="shared" si="40"/>
        <v>259.20000000000005</v>
      </c>
      <c r="L96" s="537">
        <v>0</v>
      </c>
      <c r="M96" s="537">
        <f t="shared" si="41"/>
        <v>288</v>
      </c>
      <c r="N96" s="537">
        <f t="shared" si="42"/>
        <v>547.20000000000005</v>
      </c>
      <c r="O96" s="538">
        <f t="shared" si="43"/>
        <v>4647.2</v>
      </c>
    </row>
    <row r="97" spans="1:15" ht="15.75">
      <c r="A97" s="534">
        <v>70</v>
      </c>
      <c r="B97" s="535" t="s">
        <v>331</v>
      </c>
      <c r="C97" s="535" t="s">
        <v>332</v>
      </c>
      <c r="D97" s="539" t="s">
        <v>320</v>
      </c>
      <c r="E97" s="536" t="s">
        <v>321</v>
      </c>
      <c r="F97" s="537">
        <v>300</v>
      </c>
      <c r="G97" s="537">
        <v>20</v>
      </c>
      <c r="H97" s="537">
        <f t="shared" si="38"/>
        <v>320</v>
      </c>
      <c r="I97" s="537">
        <f t="shared" si="44"/>
        <v>3780</v>
      </c>
      <c r="J97" s="537">
        <f t="shared" si="39"/>
        <v>320</v>
      </c>
      <c r="K97" s="537">
        <f t="shared" si="40"/>
        <v>259.20000000000005</v>
      </c>
      <c r="L97" s="537">
        <v>0</v>
      </c>
      <c r="M97" s="537">
        <f t="shared" si="41"/>
        <v>288</v>
      </c>
      <c r="N97" s="537">
        <f t="shared" si="42"/>
        <v>547.20000000000005</v>
      </c>
      <c r="O97" s="538">
        <f t="shared" si="43"/>
        <v>4647.2</v>
      </c>
    </row>
    <row r="98" spans="1:15" ht="15.75">
      <c r="A98" s="534">
        <v>71</v>
      </c>
      <c r="B98" s="535" t="s">
        <v>333</v>
      </c>
      <c r="C98" s="535" t="s">
        <v>332</v>
      </c>
      <c r="D98" s="539" t="s">
        <v>320</v>
      </c>
      <c r="E98" s="536" t="s">
        <v>321</v>
      </c>
      <c r="F98" s="537">
        <v>300</v>
      </c>
      <c r="G98" s="537">
        <v>20</v>
      </c>
      <c r="H98" s="537">
        <f t="shared" si="38"/>
        <v>320</v>
      </c>
      <c r="I98" s="537">
        <f t="shared" si="44"/>
        <v>3780</v>
      </c>
      <c r="J98" s="537">
        <f t="shared" si="39"/>
        <v>320</v>
      </c>
      <c r="K98" s="537">
        <f t="shared" si="40"/>
        <v>259.20000000000005</v>
      </c>
      <c r="L98" s="537">
        <v>0</v>
      </c>
      <c r="M98" s="537">
        <f t="shared" si="41"/>
        <v>288</v>
      </c>
      <c r="N98" s="537">
        <f t="shared" si="42"/>
        <v>547.20000000000005</v>
      </c>
      <c r="O98" s="538">
        <f t="shared" si="43"/>
        <v>4647.2</v>
      </c>
    </row>
    <row r="99" spans="1:15" ht="15.75">
      <c r="A99" s="534">
        <v>72</v>
      </c>
      <c r="B99" s="535" t="s">
        <v>591</v>
      </c>
      <c r="C99" s="535" t="s">
        <v>592</v>
      </c>
      <c r="D99" s="539" t="s">
        <v>320</v>
      </c>
      <c r="E99" s="536" t="s">
        <v>321</v>
      </c>
      <c r="F99" s="537">
        <v>350</v>
      </c>
      <c r="G99" s="537">
        <v>20</v>
      </c>
      <c r="H99" s="537">
        <f t="shared" si="38"/>
        <v>370</v>
      </c>
      <c r="I99" s="537">
        <f t="shared" si="44"/>
        <v>4380</v>
      </c>
      <c r="J99" s="537">
        <f t="shared" si="39"/>
        <v>370</v>
      </c>
      <c r="K99" s="537">
        <f t="shared" si="40"/>
        <v>299.70000000000005</v>
      </c>
      <c r="L99" s="537"/>
      <c r="M99" s="537">
        <f t="shared" si="41"/>
        <v>333</v>
      </c>
      <c r="N99" s="537">
        <f t="shared" si="42"/>
        <v>632.70000000000005</v>
      </c>
      <c r="O99" s="538">
        <f t="shared" si="43"/>
        <v>5382.7</v>
      </c>
    </row>
    <row r="100" spans="1:15" ht="15.75">
      <c r="A100" s="534">
        <v>72</v>
      </c>
      <c r="B100" s="535" t="s">
        <v>334</v>
      </c>
      <c r="C100" s="535" t="s">
        <v>335</v>
      </c>
      <c r="D100" s="539" t="s">
        <v>320</v>
      </c>
      <c r="E100" s="536" t="s">
        <v>321</v>
      </c>
      <c r="F100" s="537">
        <v>300</v>
      </c>
      <c r="G100" s="537">
        <v>20</v>
      </c>
      <c r="H100" s="537">
        <f t="shared" si="38"/>
        <v>320</v>
      </c>
      <c r="I100" s="537">
        <f t="shared" si="44"/>
        <v>3780</v>
      </c>
      <c r="J100" s="537">
        <f t="shared" si="39"/>
        <v>320</v>
      </c>
      <c r="K100" s="537">
        <f t="shared" si="40"/>
        <v>259.20000000000005</v>
      </c>
      <c r="L100" s="537">
        <v>0</v>
      </c>
      <c r="M100" s="537">
        <f t="shared" si="41"/>
        <v>288</v>
      </c>
      <c r="N100" s="537">
        <f t="shared" si="42"/>
        <v>547.20000000000005</v>
      </c>
      <c r="O100" s="538">
        <f t="shared" si="43"/>
        <v>4647.2</v>
      </c>
    </row>
    <row r="101" spans="1:15" ht="15.75">
      <c r="A101" s="534">
        <v>73</v>
      </c>
      <c r="B101" s="535" t="s">
        <v>336</v>
      </c>
      <c r="C101" s="535" t="s">
        <v>329</v>
      </c>
      <c r="D101" s="539" t="s">
        <v>320</v>
      </c>
      <c r="E101" s="536" t="s">
        <v>321</v>
      </c>
      <c r="F101" s="537">
        <v>300</v>
      </c>
      <c r="G101" s="537">
        <v>20</v>
      </c>
      <c r="H101" s="537">
        <f t="shared" si="38"/>
        <v>320</v>
      </c>
      <c r="I101" s="537">
        <f t="shared" si="44"/>
        <v>3780</v>
      </c>
      <c r="J101" s="537">
        <f t="shared" si="39"/>
        <v>320</v>
      </c>
      <c r="K101" s="537">
        <f t="shared" si="40"/>
        <v>259.20000000000005</v>
      </c>
      <c r="L101" s="537">
        <v>0</v>
      </c>
      <c r="M101" s="537">
        <f t="shared" si="41"/>
        <v>288</v>
      </c>
      <c r="N101" s="537">
        <f t="shared" si="42"/>
        <v>547.20000000000005</v>
      </c>
      <c r="O101" s="538">
        <f t="shared" si="43"/>
        <v>4647.2</v>
      </c>
    </row>
    <row r="102" spans="1:15" ht="15.75">
      <c r="A102" s="534">
        <v>74</v>
      </c>
      <c r="B102" s="535" t="s">
        <v>337</v>
      </c>
      <c r="C102" s="535" t="s">
        <v>338</v>
      </c>
      <c r="D102" s="539" t="s">
        <v>339</v>
      </c>
      <c r="E102" s="536" t="s">
        <v>321</v>
      </c>
      <c r="F102" s="537">
        <v>300</v>
      </c>
      <c r="G102" s="537">
        <v>20</v>
      </c>
      <c r="H102" s="537">
        <f t="shared" si="38"/>
        <v>320</v>
      </c>
      <c r="I102" s="537">
        <f t="shared" si="44"/>
        <v>3780</v>
      </c>
      <c r="J102" s="537">
        <f t="shared" si="39"/>
        <v>320</v>
      </c>
      <c r="K102" s="537">
        <f t="shared" si="40"/>
        <v>259.20000000000005</v>
      </c>
      <c r="L102" s="537">
        <v>0</v>
      </c>
      <c r="M102" s="537">
        <f t="shared" si="41"/>
        <v>288</v>
      </c>
      <c r="N102" s="537">
        <f t="shared" si="42"/>
        <v>547.20000000000005</v>
      </c>
      <c r="O102" s="538">
        <f t="shared" si="43"/>
        <v>4647.2</v>
      </c>
    </row>
    <row r="103" spans="1:15" ht="15.75">
      <c r="A103" s="534">
        <v>75</v>
      </c>
      <c r="B103" s="535" t="s">
        <v>340</v>
      </c>
      <c r="C103" s="535" t="s">
        <v>338</v>
      </c>
      <c r="D103" s="539" t="s">
        <v>339</v>
      </c>
      <c r="E103" s="536" t="s">
        <v>321</v>
      </c>
      <c r="F103" s="537">
        <v>350</v>
      </c>
      <c r="G103" s="537">
        <v>20</v>
      </c>
      <c r="H103" s="537">
        <f t="shared" si="38"/>
        <v>370</v>
      </c>
      <c r="I103" s="537">
        <f t="shared" si="44"/>
        <v>4380</v>
      </c>
      <c r="J103" s="537">
        <f t="shared" si="39"/>
        <v>370</v>
      </c>
      <c r="K103" s="537">
        <f t="shared" si="40"/>
        <v>299.70000000000005</v>
      </c>
      <c r="L103" s="537">
        <v>0</v>
      </c>
      <c r="M103" s="537">
        <f t="shared" si="41"/>
        <v>333</v>
      </c>
      <c r="N103" s="537">
        <f t="shared" si="42"/>
        <v>632.70000000000005</v>
      </c>
      <c r="O103" s="538">
        <f t="shared" si="43"/>
        <v>5382.7</v>
      </c>
    </row>
    <row r="104" spans="1:15" ht="15.75">
      <c r="A104" s="534">
        <v>76</v>
      </c>
      <c r="B104" s="535" t="s">
        <v>341</v>
      </c>
      <c r="C104" s="535" t="s">
        <v>342</v>
      </c>
      <c r="D104" s="539" t="s">
        <v>320</v>
      </c>
      <c r="E104" s="536" t="s">
        <v>321</v>
      </c>
      <c r="F104" s="537">
        <v>350</v>
      </c>
      <c r="G104" s="537">
        <v>20</v>
      </c>
      <c r="H104" s="537">
        <f t="shared" si="38"/>
        <v>370</v>
      </c>
      <c r="I104" s="537">
        <f t="shared" si="44"/>
        <v>4380</v>
      </c>
      <c r="J104" s="537">
        <f t="shared" si="39"/>
        <v>370</v>
      </c>
      <c r="K104" s="537">
        <f t="shared" si="40"/>
        <v>299.70000000000005</v>
      </c>
      <c r="L104" s="537">
        <v>0</v>
      </c>
      <c r="M104" s="537">
        <f t="shared" si="41"/>
        <v>333</v>
      </c>
      <c r="N104" s="537">
        <f t="shared" si="42"/>
        <v>632.70000000000005</v>
      </c>
      <c r="O104" s="538">
        <f t="shared" si="43"/>
        <v>5382.7</v>
      </c>
    </row>
    <row r="105" spans="1:15" ht="15.75">
      <c r="A105" s="534">
        <v>77</v>
      </c>
      <c r="B105" s="535" t="s">
        <v>343</v>
      </c>
      <c r="C105" s="535" t="s">
        <v>344</v>
      </c>
      <c r="D105" s="539" t="s">
        <v>320</v>
      </c>
      <c r="E105" s="536" t="s">
        <v>321</v>
      </c>
      <c r="F105" s="537">
        <v>470</v>
      </c>
      <c r="G105" s="537">
        <v>0</v>
      </c>
      <c r="H105" s="537">
        <f>+F105+G105</f>
        <v>470</v>
      </c>
      <c r="I105" s="537">
        <f>+H105*12</f>
        <v>5640</v>
      </c>
      <c r="J105" s="537">
        <f>+H105</f>
        <v>470</v>
      </c>
      <c r="K105" s="537">
        <f>+J105*6.75%*12</f>
        <v>380.70000000000005</v>
      </c>
      <c r="L105" s="537">
        <v>0</v>
      </c>
      <c r="M105" s="537">
        <f>+J105*7.5%*12</f>
        <v>423</v>
      </c>
      <c r="N105" s="537">
        <f>SUM(K105:M105)</f>
        <v>803.7</v>
      </c>
      <c r="O105" s="538">
        <f>ROUND((+I105+J105+N105),2)</f>
        <v>6913.7</v>
      </c>
    </row>
    <row r="106" spans="1:15" ht="18.75" customHeight="1">
      <c r="A106" s="534">
        <v>78</v>
      </c>
      <c r="B106" s="50" t="s">
        <v>345</v>
      </c>
      <c r="C106" s="51" t="s">
        <v>346</v>
      </c>
      <c r="D106" s="539" t="s">
        <v>320</v>
      </c>
      <c r="E106" s="536" t="s">
        <v>321</v>
      </c>
      <c r="F106" s="537">
        <v>470</v>
      </c>
      <c r="G106" s="537">
        <v>0</v>
      </c>
      <c r="H106" s="537">
        <f>+F106+G106</f>
        <v>470</v>
      </c>
      <c r="I106" s="537">
        <f>+H106*12</f>
        <v>5640</v>
      </c>
      <c r="J106" s="537">
        <f>+H106</f>
        <v>470</v>
      </c>
      <c r="K106" s="537">
        <v>0</v>
      </c>
      <c r="L106" s="537">
        <v>394.8</v>
      </c>
      <c r="M106" s="537">
        <f>+J106*7.5%*12</f>
        <v>423</v>
      </c>
      <c r="N106" s="537">
        <f>SUM(K106:M106)</f>
        <v>817.8</v>
      </c>
      <c r="O106" s="538">
        <f>ROUND((+I106+J106+N106),2)</f>
        <v>6927.8</v>
      </c>
    </row>
    <row r="107" spans="1:15" ht="19.5" customHeight="1">
      <c r="A107" s="534">
        <v>79</v>
      </c>
      <c r="B107" s="535"/>
      <c r="C107" s="544" t="s">
        <v>445</v>
      </c>
      <c r="D107" s="539" t="s">
        <v>320</v>
      </c>
      <c r="E107" s="536" t="s">
        <v>321</v>
      </c>
      <c r="F107" s="537">
        <v>350</v>
      </c>
      <c r="G107" s="537">
        <v>20</v>
      </c>
      <c r="H107" s="537">
        <f>+F107+G107</f>
        <v>370</v>
      </c>
      <c r="I107" s="537">
        <f>+H107*12-60</f>
        <v>4380</v>
      </c>
      <c r="J107" s="537">
        <f>+H107</f>
        <v>370</v>
      </c>
      <c r="K107" s="537">
        <f>+J107*6.75%*12</f>
        <v>299.70000000000005</v>
      </c>
      <c r="L107" s="537">
        <v>0</v>
      </c>
      <c r="M107" s="537">
        <f>+J107*7.5%*12</f>
        <v>333</v>
      </c>
      <c r="N107" s="537">
        <f>SUM(K107:M107)</f>
        <v>632.70000000000005</v>
      </c>
      <c r="O107" s="538">
        <f>ROUND((+I107+J107+N107),2)</f>
        <v>5382.7</v>
      </c>
    </row>
    <row r="108" spans="1:15" ht="20.25" customHeight="1">
      <c r="A108" s="534">
        <v>80</v>
      </c>
      <c r="B108" s="535" t="s">
        <v>347</v>
      </c>
      <c r="C108" s="544" t="s">
        <v>348</v>
      </c>
      <c r="D108" s="539" t="s">
        <v>320</v>
      </c>
      <c r="E108" s="536" t="s">
        <v>321</v>
      </c>
      <c r="F108" s="537">
        <v>300</v>
      </c>
      <c r="G108" s="537">
        <v>20</v>
      </c>
      <c r="H108" s="537">
        <f>+F108+G108</f>
        <v>320</v>
      </c>
      <c r="I108" s="537">
        <f>+H108*12-60</f>
        <v>3780</v>
      </c>
      <c r="J108" s="537">
        <f>+H108</f>
        <v>320</v>
      </c>
      <c r="K108" s="537">
        <f>+J108*6.75%*12</f>
        <v>259.20000000000005</v>
      </c>
      <c r="L108" s="537">
        <v>0</v>
      </c>
      <c r="M108" s="537">
        <f>+J108*7.5%*12</f>
        <v>288</v>
      </c>
      <c r="N108" s="537">
        <f>SUM(K108:M108)</f>
        <v>547.20000000000005</v>
      </c>
      <c r="O108" s="538">
        <f>ROUND((+I108+J108+N108),2)</f>
        <v>4647.2</v>
      </c>
    </row>
    <row r="109" spans="1:15" ht="20.25" customHeight="1">
      <c r="A109" s="534">
        <v>81</v>
      </c>
      <c r="B109" s="553" t="s">
        <v>635</v>
      </c>
      <c r="C109" s="551" t="s">
        <v>648</v>
      </c>
      <c r="D109" s="539"/>
      <c r="E109" s="536"/>
      <c r="F109" s="552">
        <v>1000</v>
      </c>
      <c r="G109" s="537"/>
      <c r="H109" s="552">
        <v>1000</v>
      </c>
      <c r="I109" s="537">
        <f>+H109*10</f>
        <v>10000</v>
      </c>
      <c r="J109" s="537">
        <f t="shared" ref="J109:J117" si="45">+H109</f>
        <v>1000</v>
      </c>
      <c r="K109" s="537">
        <f t="shared" ref="K109:K117" si="46">+J109*6.75%*12</f>
        <v>810</v>
      </c>
      <c r="L109" s="537"/>
      <c r="M109" s="537">
        <f t="shared" ref="M109:M117" si="47">+J109*7.5%*12</f>
        <v>900</v>
      </c>
      <c r="N109" s="537">
        <f t="shared" ref="N109:N117" si="48">SUM(K109:M109)</f>
        <v>1710</v>
      </c>
      <c r="O109" s="538">
        <f t="shared" ref="O109:O117" si="49">ROUND((+I109+J109+N109),2)</f>
        <v>12710</v>
      </c>
    </row>
    <row r="110" spans="1:15" ht="20.25" customHeight="1">
      <c r="A110" s="534">
        <v>82</v>
      </c>
      <c r="B110" s="553" t="s">
        <v>638</v>
      </c>
      <c r="C110" s="551" t="s">
        <v>649</v>
      </c>
      <c r="D110" s="539"/>
      <c r="E110" s="536"/>
      <c r="F110" s="552">
        <v>450</v>
      </c>
      <c r="G110" s="537"/>
      <c r="H110" s="552">
        <v>450</v>
      </c>
      <c r="I110" s="537">
        <f t="shared" ref="I110:I117" si="50">+H110*12</f>
        <v>5400</v>
      </c>
      <c r="J110" s="537">
        <f t="shared" si="45"/>
        <v>450</v>
      </c>
      <c r="K110" s="537">
        <f t="shared" si="46"/>
        <v>364.50000000000006</v>
      </c>
      <c r="L110" s="537"/>
      <c r="M110" s="537">
        <f t="shared" si="47"/>
        <v>405</v>
      </c>
      <c r="N110" s="537">
        <f t="shared" si="48"/>
        <v>769.5</v>
      </c>
      <c r="O110" s="538">
        <f t="shared" si="49"/>
        <v>6619.5</v>
      </c>
    </row>
    <row r="111" spans="1:15" ht="20.25" customHeight="1">
      <c r="A111" s="534">
        <v>83</v>
      </c>
      <c r="B111" s="553" t="s">
        <v>640</v>
      </c>
      <c r="C111" s="551" t="s">
        <v>650</v>
      </c>
      <c r="D111" s="539"/>
      <c r="E111" s="536"/>
      <c r="F111" s="552">
        <v>300</v>
      </c>
      <c r="G111" s="537"/>
      <c r="H111" s="552">
        <v>300</v>
      </c>
      <c r="I111" s="537">
        <f t="shared" si="50"/>
        <v>3600</v>
      </c>
      <c r="J111" s="537">
        <f t="shared" si="45"/>
        <v>300</v>
      </c>
      <c r="K111" s="537">
        <f t="shared" si="46"/>
        <v>243</v>
      </c>
      <c r="L111" s="537"/>
      <c r="M111" s="537">
        <f t="shared" si="47"/>
        <v>270</v>
      </c>
      <c r="N111" s="537">
        <f t="shared" si="48"/>
        <v>513</v>
      </c>
      <c r="O111" s="538">
        <f t="shared" si="49"/>
        <v>4413</v>
      </c>
    </row>
    <row r="112" spans="1:15" ht="20.25" customHeight="1">
      <c r="A112" s="534">
        <v>84</v>
      </c>
      <c r="B112" s="553" t="s">
        <v>642</v>
      </c>
      <c r="C112" s="551" t="s">
        <v>650</v>
      </c>
      <c r="D112" s="539"/>
      <c r="E112" s="536"/>
      <c r="F112" s="552">
        <v>300</v>
      </c>
      <c r="G112" s="537"/>
      <c r="H112" s="552">
        <v>300</v>
      </c>
      <c r="I112" s="537">
        <f t="shared" si="50"/>
        <v>3600</v>
      </c>
      <c r="J112" s="537">
        <f t="shared" si="45"/>
        <v>300</v>
      </c>
      <c r="K112" s="537">
        <f t="shared" si="46"/>
        <v>243</v>
      </c>
      <c r="L112" s="537"/>
      <c r="M112" s="537">
        <f t="shared" si="47"/>
        <v>270</v>
      </c>
      <c r="N112" s="537">
        <f t="shared" si="48"/>
        <v>513</v>
      </c>
      <c r="O112" s="538">
        <f t="shared" si="49"/>
        <v>4413</v>
      </c>
    </row>
    <row r="113" spans="1:16" ht="20.25" customHeight="1">
      <c r="A113" s="534">
        <v>85</v>
      </c>
      <c r="B113" s="553" t="s">
        <v>635</v>
      </c>
      <c r="C113" s="553" t="s">
        <v>643</v>
      </c>
      <c r="D113" s="539"/>
      <c r="E113" s="536"/>
      <c r="F113" s="552">
        <v>300</v>
      </c>
      <c r="G113" s="537"/>
      <c r="H113" s="552">
        <v>300</v>
      </c>
      <c r="I113" s="537">
        <f t="shared" si="50"/>
        <v>3600</v>
      </c>
      <c r="J113" s="537">
        <f t="shared" si="45"/>
        <v>300</v>
      </c>
      <c r="K113" s="537">
        <f t="shared" si="46"/>
        <v>243</v>
      </c>
      <c r="L113" s="537"/>
      <c r="M113" s="537">
        <f t="shared" si="47"/>
        <v>270</v>
      </c>
      <c r="N113" s="537">
        <f t="shared" si="48"/>
        <v>513</v>
      </c>
      <c r="O113" s="538">
        <f t="shared" si="49"/>
        <v>4413</v>
      </c>
    </row>
    <row r="114" spans="1:16" ht="20.25" customHeight="1">
      <c r="A114" s="534">
        <v>86</v>
      </c>
      <c r="B114" s="553" t="s">
        <v>635</v>
      </c>
      <c r="C114" s="553" t="s">
        <v>643</v>
      </c>
      <c r="D114" s="539"/>
      <c r="E114" s="536"/>
      <c r="F114" s="552">
        <v>300</v>
      </c>
      <c r="G114" s="537"/>
      <c r="H114" s="552">
        <v>300</v>
      </c>
      <c r="I114" s="537">
        <f t="shared" si="50"/>
        <v>3600</v>
      </c>
      <c r="J114" s="537">
        <f t="shared" si="45"/>
        <v>300</v>
      </c>
      <c r="K114" s="537">
        <f t="shared" si="46"/>
        <v>243</v>
      </c>
      <c r="L114" s="537"/>
      <c r="M114" s="537">
        <f t="shared" si="47"/>
        <v>270</v>
      </c>
      <c r="N114" s="537">
        <f t="shared" si="48"/>
        <v>513</v>
      </c>
      <c r="O114" s="538">
        <f t="shared" si="49"/>
        <v>4413</v>
      </c>
    </row>
    <row r="115" spans="1:16" ht="20.25" customHeight="1">
      <c r="A115" s="534">
        <v>87</v>
      </c>
      <c r="B115" s="553" t="s">
        <v>635</v>
      </c>
      <c r="C115" s="553" t="s">
        <v>644</v>
      </c>
      <c r="D115" s="539"/>
      <c r="E115" s="536"/>
      <c r="F115" s="552">
        <v>302</v>
      </c>
      <c r="G115" s="537"/>
      <c r="H115" s="552">
        <v>302</v>
      </c>
      <c r="I115" s="537">
        <f t="shared" si="50"/>
        <v>3624</v>
      </c>
      <c r="J115" s="537">
        <f t="shared" si="45"/>
        <v>302</v>
      </c>
      <c r="K115" s="537">
        <f t="shared" si="46"/>
        <v>244.62</v>
      </c>
      <c r="L115" s="537"/>
      <c r="M115" s="537">
        <f t="shared" si="47"/>
        <v>271.79999999999995</v>
      </c>
      <c r="N115" s="537">
        <f t="shared" si="48"/>
        <v>516.41999999999996</v>
      </c>
      <c r="O115" s="538">
        <f t="shared" si="49"/>
        <v>4442.42</v>
      </c>
    </row>
    <row r="116" spans="1:16" ht="20.25" customHeight="1">
      <c r="A116" s="534">
        <v>88</v>
      </c>
      <c r="B116" s="553" t="s">
        <v>635</v>
      </c>
      <c r="C116" s="553" t="s">
        <v>804</v>
      </c>
      <c r="D116" s="539"/>
      <c r="E116" s="536"/>
      <c r="F116" s="552">
        <v>300</v>
      </c>
      <c r="G116" s="537"/>
      <c r="H116" s="552">
        <v>300</v>
      </c>
      <c r="I116" s="537">
        <f t="shared" si="50"/>
        <v>3600</v>
      </c>
      <c r="J116" s="537">
        <f t="shared" si="45"/>
        <v>300</v>
      </c>
      <c r="K116" s="537">
        <f t="shared" si="46"/>
        <v>243</v>
      </c>
      <c r="L116" s="537"/>
      <c r="M116" s="537">
        <f t="shared" si="47"/>
        <v>270</v>
      </c>
      <c r="N116" s="537">
        <f t="shared" si="48"/>
        <v>513</v>
      </c>
      <c r="O116" s="538">
        <f t="shared" si="49"/>
        <v>4413</v>
      </c>
    </row>
    <row r="117" spans="1:16" ht="20.25" customHeight="1">
      <c r="A117" s="534">
        <v>89</v>
      </c>
      <c r="B117" s="553" t="s">
        <v>635</v>
      </c>
      <c r="C117" s="553" t="s">
        <v>804</v>
      </c>
      <c r="D117" s="539"/>
      <c r="E117" s="536"/>
      <c r="F117" s="552">
        <v>300</v>
      </c>
      <c r="G117" s="537"/>
      <c r="H117" s="552">
        <v>300</v>
      </c>
      <c r="I117" s="537">
        <f t="shared" si="50"/>
        <v>3600</v>
      </c>
      <c r="J117" s="537">
        <f t="shared" si="45"/>
        <v>300</v>
      </c>
      <c r="K117" s="537">
        <f t="shared" si="46"/>
        <v>243</v>
      </c>
      <c r="L117" s="537"/>
      <c r="M117" s="537">
        <f t="shared" si="47"/>
        <v>270</v>
      </c>
      <c r="N117" s="537">
        <f t="shared" si="48"/>
        <v>513</v>
      </c>
      <c r="O117" s="538">
        <f t="shared" si="49"/>
        <v>4413</v>
      </c>
    </row>
    <row r="118" spans="1:16" ht="15.75">
      <c r="A118" s="534"/>
      <c r="B118" s="541" t="s">
        <v>203</v>
      </c>
      <c r="C118" s="535"/>
      <c r="D118" s="539"/>
      <c r="E118" s="536"/>
      <c r="F118" s="543">
        <f>SUM(F90:F117)</f>
        <v>10208</v>
      </c>
      <c r="G118" s="543">
        <f t="shared" ref="G118:O118" si="51">SUM(G90:G117)</f>
        <v>320</v>
      </c>
      <c r="H118" s="543">
        <f t="shared" si="51"/>
        <v>10528</v>
      </c>
      <c r="I118" s="555">
        <f t="shared" si="51"/>
        <v>123376</v>
      </c>
      <c r="J118" s="543">
        <f t="shared" si="51"/>
        <v>10528</v>
      </c>
      <c r="K118" s="543">
        <f t="shared" si="51"/>
        <v>8146.9799999999987</v>
      </c>
      <c r="L118" s="543">
        <f t="shared" si="51"/>
        <v>394.8</v>
      </c>
      <c r="M118" s="543">
        <f t="shared" si="51"/>
        <v>9475.1999999999989</v>
      </c>
      <c r="N118" s="543">
        <f t="shared" si="51"/>
        <v>18016.98</v>
      </c>
      <c r="O118" s="543">
        <f t="shared" si="51"/>
        <v>151920.97999999998</v>
      </c>
    </row>
    <row r="119" spans="1:16" ht="15.75">
      <c r="A119" s="534"/>
      <c r="B119" s="554" t="s">
        <v>349</v>
      </c>
      <c r="C119" s="535"/>
      <c r="D119" s="539"/>
      <c r="E119" s="536"/>
      <c r="F119" s="543">
        <f t="shared" ref="F119:O119" si="52">+F118+F89+F87+F84+F70+F68+F62+F58+F53+F50+F48+F46+F44+F42+F39+F35+F33+F29+F20+F18+F14</f>
        <v>38412</v>
      </c>
      <c r="G119" s="543">
        <f t="shared" si="52"/>
        <v>1180</v>
      </c>
      <c r="H119" s="543">
        <f t="shared" si="52"/>
        <v>39592</v>
      </c>
      <c r="I119" s="555">
        <f t="shared" si="52"/>
        <v>468444</v>
      </c>
      <c r="J119" s="543">
        <f t="shared" si="52"/>
        <v>39512</v>
      </c>
      <c r="K119" s="543">
        <f t="shared" si="52"/>
        <v>31283.820000000007</v>
      </c>
      <c r="L119" s="543">
        <f t="shared" si="52"/>
        <v>644.40000000000009</v>
      </c>
      <c r="M119" s="543">
        <f t="shared" si="52"/>
        <v>35213.633999999998</v>
      </c>
      <c r="N119" s="543">
        <f t="shared" si="52"/>
        <v>67141.853999999992</v>
      </c>
      <c r="O119" s="543">
        <f t="shared" si="52"/>
        <v>575097.86</v>
      </c>
      <c r="P119" s="246">
        <f>+O119-O14-O33</f>
        <v>480277.38</v>
      </c>
    </row>
    <row r="120" spans="1:16" ht="15.75">
      <c r="A120" s="534"/>
      <c r="B120" s="535" t="s">
        <v>744</v>
      </c>
      <c r="C120" s="535"/>
      <c r="D120" s="535" t="s">
        <v>350</v>
      </c>
      <c r="E120" s="536" t="s">
        <v>191</v>
      </c>
      <c r="F120" s="537">
        <v>0</v>
      </c>
      <c r="G120" s="537">
        <v>0</v>
      </c>
      <c r="H120" s="537">
        <v>6240</v>
      </c>
      <c r="I120" s="537">
        <f>+H120*12</f>
        <v>74880</v>
      </c>
      <c r="J120" s="537">
        <v>0</v>
      </c>
      <c r="K120" s="537">
        <v>0</v>
      </c>
      <c r="L120" s="537">
        <v>0</v>
      </c>
      <c r="M120" s="537">
        <v>0</v>
      </c>
      <c r="N120" s="537">
        <v>0</v>
      </c>
      <c r="O120" s="538">
        <f>+I120</f>
        <v>74880</v>
      </c>
    </row>
    <row r="121" spans="1:16" ht="15.75">
      <c r="A121" s="534"/>
      <c r="B121" s="535" t="s">
        <v>351</v>
      </c>
      <c r="C121" s="535"/>
      <c r="D121" s="535" t="s">
        <v>350</v>
      </c>
      <c r="E121" s="556" t="s">
        <v>191</v>
      </c>
      <c r="F121" s="537"/>
      <c r="G121" s="537"/>
      <c r="H121" s="537"/>
      <c r="I121" s="537"/>
      <c r="J121" s="537"/>
      <c r="K121" s="537"/>
      <c r="L121" s="537"/>
      <c r="M121" s="543"/>
      <c r="N121" s="543"/>
      <c r="O121" s="538"/>
    </row>
    <row r="122" spans="1:16" ht="15.75">
      <c r="A122" s="535"/>
      <c r="B122" s="541" t="s">
        <v>349</v>
      </c>
      <c r="C122" s="535"/>
      <c r="D122" s="535"/>
      <c r="E122" s="536"/>
      <c r="F122" s="537"/>
      <c r="G122" s="537"/>
      <c r="H122" s="537"/>
      <c r="I122" s="537"/>
      <c r="J122" s="557"/>
      <c r="K122" s="557"/>
      <c r="L122" s="543"/>
      <c r="M122" s="557"/>
      <c r="N122" s="557"/>
      <c r="O122" s="557">
        <f>SUM(O120:O121)</f>
        <v>74880</v>
      </c>
    </row>
  </sheetData>
  <mergeCells count="13">
    <mergeCell ref="K5:N5"/>
    <mergeCell ref="O5:O7"/>
    <mergeCell ref="L6:N6"/>
    <mergeCell ref="A2:N2"/>
    <mergeCell ref="A3:N3"/>
    <mergeCell ref="A4:N4"/>
    <mergeCell ref="A5:A7"/>
    <mergeCell ref="B5:B7"/>
    <mergeCell ref="C5:C7"/>
    <mergeCell ref="D5:D7"/>
    <mergeCell ref="E5:E7"/>
    <mergeCell ref="F5:I6"/>
    <mergeCell ref="J5:J6"/>
  </mergeCells>
  <pageMargins left="0" right="0" top="0.55118110236220474" bottom="0.39370078740157483" header="0.31496062992125984" footer="0.31496062992125984"/>
  <pageSetup scale="55" orientation="landscape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77"/>
  <sheetViews>
    <sheetView topLeftCell="A13" workbookViewId="0">
      <selection activeCell="G36" sqref="G36"/>
    </sheetView>
  </sheetViews>
  <sheetFormatPr baseColWidth="10" defaultRowHeight="15"/>
  <cols>
    <col min="5" max="5" width="10.7109375" customWidth="1"/>
    <col min="7" max="7" width="70.28515625" customWidth="1"/>
    <col min="8" max="8" width="28" customWidth="1"/>
    <col min="9" max="9" width="12.5703125" bestFit="1" customWidth="1"/>
    <col min="11" max="11" width="6.5703125" customWidth="1"/>
    <col min="12" max="12" width="38.28515625" customWidth="1"/>
    <col min="13" max="13" width="21.85546875" customWidth="1"/>
    <col min="14" max="14" width="17.140625" customWidth="1"/>
    <col min="15" max="15" width="9.140625" customWidth="1"/>
    <col min="16" max="16" width="18.28515625" customWidth="1"/>
    <col min="17" max="17" width="10.5703125" customWidth="1"/>
    <col min="18" max="18" width="18" customWidth="1"/>
    <col min="19" max="19" width="20.28515625" customWidth="1"/>
    <col min="20" max="20" width="16.28515625" customWidth="1"/>
    <col min="21" max="21" width="18.5703125" customWidth="1"/>
    <col min="22" max="22" width="10.42578125" customWidth="1"/>
    <col min="23" max="23" width="17.7109375" customWidth="1"/>
    <col min="24" max="24" width="17.140625" customWidth="1"/>
    <col min="25" max="25" width="20.85546875" customWidth="1"/>
  </cols>
  <sheetData>
    <row r="1" spans="1:25" ht="27.75">
      <c r="A1" s="103"/>
      <c r="B1" s="104"/>
      <c r="C1" s="105"/>
      <c r="D1" s="105"/>
      <c r="E1" s="105"/>
      <c r="F1" s="105"/>
      <c r="G1" s="105"/>
      <c r="H1" s="106" t="s">
        <v>352</v>
      </c>
    </row>
    <row r="2" spans="1:25" ht="27.75">
      <c r="A2" s="643" t="s">
        <v>392</v>
      </c>
      <c r="B2" s="644"/>
      <c r="C2" s="644"/>
      <c r="D2" s="644"/>
      <c r="E2" s="644"/>
      <c r="F2" s="644"/>
      <c r="G2" s="644"/>
      <c r="H2" s="644"/>
    </row>
    <row r="3" spans="1:25" ht="27.75">
      <c r="A3" s="643" t="s">
        <v>393</v>
      </c>
      <c r="B3" s="644"/>
      <c r="C3" s="644"/>
      <c r="D3" s="644"/>
      <c r="E3" s="644"/>
      <c r="F3" s="644"/>
      <c r="G3" s="644"/>
      <c r="H3" s="644"/>
    </row>
    <row r="4" spans="1:25" ht="27.75">
      <c r="A4" s="643" t="s">
        <v>353</v>
      </c>
      <c r="B4" s="644"/>
      <c r="C4" s="644"/>
      <c r="D4" s="644"/>
      <c r="E4" s="644"/>
      <c r="F4" s="644"/>
      <c r="G4" s="644"/>
      <c r="H4" s="644"/>
    </row>
    <row r="5" spans="1:25" ht="27.75">
      <c r="A5" s="643" t="s">
        <v>394</v>
      </c>
      <c r="B5" s="644"/>
      <c r="C5" s="644"/>
      <c r="D5" s="644"/>
      <c r="E5" s="644"/>
      <c r="F5" s="644"/>
      <c r="G5" s="644"/>
      <c r="H5" s="644"/>
    </row>
    <row r="6" spans="1:25" ht="27.75">
      <c r="A6" s="643" t="s">
        <v>354</v>
      </c>
      <c r="B6" s="644"/>
      <c r="C6" s="644"/>
      <c r="D6" s="644"/>
      <c r="E6" s="644"/>
      <c r="F6" s="644"/>
      <c r="G6" s="644"/>
      <c r="H6" s="644"/>
    </row>
    <row r="7" spans="1:25" ht="27.75">
      <c r="A7" s="645" t="s">
        <v>355</v>
      </c>
      <c r="B7" s="645"/>
      <c r="C7" s="645"/>
      <c r="D7" s="645"/>
      <c r="E7" s="645"/>
      <c r="F7" s="645"/>
      <c r="G7" s="645"/>
      <c r="H7" s="645"/>
    </row>
    <row r="8" spans="1:25" ht="28.5" thickBot="1">
      <c r="A8" s="646" t="s">
        <v>422</v>
      </c>
      <c r="B8" s="646"/>
      <c r="C8" s="646"/>
      <c r="D8" s="646"/>
      <c r="E8" s="646"/>
      <c r="F8" s="646"/>
      <c r="G8" s="646"/>
      <c r="H8" s="646"/>
      <c r="K8" s="654" t="s">
        <v>805</v>
      </c>
      <c r="L8" s="654"/>
      <c r="M8" s="654"/>
      <c r="N8" s="654"/>
      <c r="O8" s="654"/>
      <c r="P8" s="654"/>
      <c r="Q8" s="654"/>
      <c r="R8" s="654"/>
      <c r="S8" s="654"/>
      <c r="T8" s="654"/>
      <c r="U8" s="654"/>
      <c r="V8" s="654"/>
      <c r="W8" s="654"/>
      <c r="X8" s="654"/>
      <c r="Y8" s="654"/>
    </row>
    <row r="9" spans="1:25" ht="20.25" thickBot="1">
      <c r="A9" s="647" t="s">
        <v>357</v>
      </c>
      <c r="B9" s="648"/>
      <c r="C9" s="648"/>
      <c r="D9" s="648"/>
      <c r="E9" s="648"/>
      <c r="F9" s="648"/>
      <c r="G9" s="649" t="s">
        <v>358</v>
      </c>
      <c r="H9" s="651" t="s">
        <v>359</v>
      </c>
      <c r="K9" s="636" t="s">
        <v>170</v>
      </c>
      <c r="L9" s="636" t="s">
        <v>171</v>
      </c>
      <c r="M9" s="641" t="s">
        <v>172</v>
      </c>
      <c r="N9" s="636" t="s">
        <v>173</v>
      </c>
      <c r="O9" s="641" t="s">
        <v>174</v>
      </c>
      <c r="P9" s="641" t="s">
        <v>175</v>
      </c>
      <c r="Q9" s="641"/>
      <c r="R9" s="641"/>
      <c r="S9" s="641"/>
      <c r="T9" s="641" t="s">
        <v>176</v>
      </c>
      <c r="U9" s="635" t="s">
        <v>177</v>
      </c>
      <c r="V9" s="635"/>
      <c r="W9" s="635"/>
      <c r="X9" s="635"/>
      <c r="Y9" s="636" t="s">
        <v>5</v>
      </c>
    </row>
    <row r="10" spans="1:25" ht="99.75">
      <c r="A10" s="56" t="s">
        <v>360</v>
      </c>
      <c r="B10" s="57" t="s">
        <v>361</v>
      </c>
      <c r="C10" s="57" t="s">
        <v>362</v>
      </c>
      <c r="D10" s="57" t="s">
        <v>363</v>
      </c>
      <c r="E10" s="58" t="s">
        <v>364</v>
      </c>
      <c r="F10" s="59" t="s">
        <v>365</v>
      </c>
      <c r="G10" s="650"/>
      <c r="H10" s="652"/>
      <c r="K10" s="636"/>
      <c r="L10" s="636"/>
      <c r="M10" s="641"/>
      <c r="N10" s="636"/>
      <c r="O10" s="641"/>
      <c r="P10" s="641"/>
      <c r="Q10" s="641"/>
      <c r="R10" s="641"/>
      <c r="S10" s="641"/>
      <c r="T10" s="641"/>
      <c r="U10" s="433" t="s">
        <v>178</v>
      </c>
      <c r="V10" s="637" t="s">
        <v>179</v>
      </c>
      <c r="W10" s="637"/>
      <c r="X10" s="637"/>
      <c r="Y10" s="636"/>
    </row>
    <row r="11" spans="1:25" ht="39">
      <c r="A11" s="119">
        <v>1</v>
      </c>
      <c r="B11" s="101" t="s">
        <v>366</v>
      </c>
      <c r="C11" s="101" t="s">
        <v>366</v>
      </c>
      <c r="D11" s="101" t="s">
        <v>423</v>
      </c>
      <c r="E11" s="101" t="s">
        <v>395</v>
      </c>
      <c r="F11" s="101" t="s">
        <v>10</v>
      </c>
      <c r="G11" s="120" t="s">
        <v>11</v>
      </c>
      <c r="H11" s="121">
        <v>167400</v>
      </c>
      <c r="K11" s="636"/>
      <c r="L11" s="636"/>
      <c r="M11" s="641"/>
      <c r="N11" s="636"/>
      <c r="O11" s="641"/>
      <c r="P11" s="434" t="s">
        <v>180</v>
      </c>
      <c r="Q11" s="434" t="s">
        <v>181</v>
      </c>
      <c r="R11" s="434" t="s">
        <v>180</v>
      </c>
      <c r="S11" s="434" t="s">
        <v>182</v>
      </c>
      <c r="T11" s="434" t="s">
        <v>183</v>
      </c>
      <c r="U11" s="434" t="s">
        <v>184</v>
      </c>
      <c r="V11" s="435" t="s">
        <v>185</v>
      </c>
      <c r="W11" s="435" t="s">
        <v>186</v>
      </c>
      <c r="X11" s="434" t="s">
        <v>187</v>
      </c>
      <c r="Y11" s="636"/>
    </row>
    <row r="12" spans="1:25" ht="20.25">
      <c r="A12" s="119">
        <v>1</v>
      </c>
      <c r="B12" s="101" t="s">
        <v>366</v>
      </c>
      <c r="C12" s="101" t="s">
        <v>366</v>
      </c>
      <c r="D12" s="101" t="s">
        <v>423</v>
      </c>
      <c r="E12" s="101" t="s">
        <v>395</v>
      </c>
      <c r="F12" s="101" t="s">
        <v>10</v>
      </c>
      <c r="G12" s="96" t="s">
        <v>416</v>
      </c>
      <c r="H12" s="100">
        <v>10000</v>
      </c>
      <c r="K12" s="37">
        <v>1</v>
      </c>
      <c r="L12" s="38" t="s">
        <v>188</v>
      </c>
      <c r="M12" s="38" t="s">
        <v>189</v>
      </c>
      <c r="N12" s="37" t="s">
        <v>190</v>
      </c>
      <c r="O12" s="39" t="s">
        <v>191</v>
      </c>
      <c r="P12" s="40">
        <v>1400</v>
      </c>
      <c r="Q12" s="40">
        <v>0</v>
      </c>
      <c r="R12" s="40">
        <f t="shared" ref="R12:R20" si="0">+P12+Q12</f>
        <v>1400</v>
      </c>
      <c r="S12" s="40">
        <f t="shared" ref="S12:S20" si="1">+R12*12</f>
        <v>16800</v>
      </c>
      <c r="T12" s="40">
        <f t="shared" ref="T12:T18" si="2">+R12</f>
        <v>1400</v>
      </c>
      <c r="U12" s="40">
        <f t="shared" ref="U12:U17" si="3">+T12*6.75%*12</f>
        <v>1134</v>
      </c>
      <c r="V12" s="40">
        <v>0</v>
      </c>
      <c r="W12" s="40">
        <f>685.71*7.5%*12</f>
        <v>617.13900000000001</v>
      </c>
      <c r="X12" s="40">
        <f>+U12+W12</f>
        <v>1751.1390000000001</v>
      </c>
      <c r="Y12" s="41">
        <f t="shared" ref="Y12:Y18" si="4">ROUND((+S12+T12+X12),2)</f>
        <v>19951.14</v>
      </c>
    </row>
    <row r="13" spans="1:25" ht="20.25">
      <c r="A13" s="119">
        <v>1</v>
      </c>
      <c r="B13" s="101" t="s">
        <v>366</v>
      </c>
      <c r="C13" s="101" t="s">
        <v>366</v>
      </c>
      <c r="D13" s="101" t="s">
        <v>423</v>
      </c>
      <c r="E13" s="101" t="s">
        <v>395</v>
      </c>
      <c r="F13" s="122">
        <v>51103</v>
      </c>
      <c r="G13" s="120" t="s">
        <v>13</v>
      </c>
      <c r="H13" s="121">
        <v>7710</v>
      </c>
      <c r="K13" s="37">
        <v>2</v>
      </c>
      <c r="L13" s="38" t="s">
        <v>192</v>
      </c>
      <c r="M13" s="38" t="s">
        <v>193</v>
      </c>
      <c r="N13" s="37" t="s">
        <v>190</v>
      </c>
      <c r="O13" s="39" t="s">
        <v>191</v>
      </c>
      <c r="P13" s="40">
        <v>670</v>
      </c>
      <c r="Q13" s="40">
        <v>0</v>
      </c>
      <c r="R13" s="40">
        <f t="shared" si="0"/>
        <v>670</v>
      </c>
      <c r="S13" s="40">
        <f t="shared" si="1"/>
        <v>8040</v>
      </c>
      <c r="T13" s="40">
        <f t="shared" si="2"/>
        <v>670</v>
      </c>
      <c r="U13" s="40">
        <f t="shared" si="3"/>
        <v>542.70000000000005</v>
      </c>
      <c r="V13" s="40">
        <v>0</v>
      </c>
      <c r="W13" s="40">
        <f>+T13*7.5%*12</f>
        <v>603</v>
      </c>
      <c r="X13" s="40">
        <f>+U13+W13</f>
        <v>1145.7</v>
      </c>
      <c r="Y13" s="41">
        <f t="shared" si="4"/>
        <v>9855.7000000000007</v>
      </c>
    </row>
    <row r="14" spans="1:25" ht="20.25">
      <c r="A14" s="119">
        <v>1</v>
      </c>
      <c r="B14" s="101" t="s">
        <v>366</v>
      </c>
      <c r="C14" s="101" t="s">
        <v>366</v>
      </c>
      <c r="D14" s="101" t="s">
        <v>423</v>
      </c>
      <c r="E14" s="101" t="s">
        <v>395</v>
      </c>
      <c r="F14" s="122">
        <v>51107</v>
      </c>
      <c r="G14" s="120" t="s">
        <v>17</v>
      </c>
      <c r="H14" s="121">
        <v>2000</v>
      </c>
      <c r="K14" s="37"/>
      <c r="L14" s="38"/>
      <c r="M14" s="38"/>
      <c r="N14" s="37"/>
      <c r="O14" s="39"/>
      <c r="P14" s="40"/>
      <c r="Q14" s="40"/>
      <c r="R14" s="40"/>
      <c r="S14" s="40"/>
      <c r="T14" s="40"/>
      <c r="U14" s="40"/>
      <c r="V14" s="40"/>
      <c r="W14" s="40"/>
      <c r="X14" s="40"/>
      <c r="Y14" s="41"/>
    </row>
    <row r="15" spans="1:25" ht="20.25">
      <c r="A15" s="119">
        <v>1</v>
      </c>
      <c r="B15" s="101" t="s">
        <v>366</v>
      </c>
      <c r="C15" s="101" t="s">
        <v>366</v>
      </c>
      <c r="D15" s="101" t="s">
        <v>423</v>
      </c>
      <c r="E15" s="101" t="s">
        <v>395</v>
      </c>
      <c r="F15" s="122">
        <v>51301</v>
      </c>
      <c r="G15" s="120" t="s">
        <v>25</v>
      </c>
      <c r="H15" s="121">
        <v>0</v>
      </c>
      <c r="K15" s="37">
        <v>3</v>
      </c>
      <c r="L15" s="38" t="s">
        <v>398</v>
      </c>
      <c r="M15" s="38" t="s">
        <v>194</v>
      </c>
      <c r="N15" s="37" t="s">
        <v>195</v>
      </c>
      <c r="O15" s="39" t="s">
        <v>191</v>
      </c>
      <c r="P15" s="40">
        <v>880</v>
      </c>
      <c r="Q15" s="40">
        <v>0</v>
      </c>
      <c r="R15" s="40">
        <f t="shared" si="0"/>
        <v>880</v>
      </c>
      <c r="S15" s="40">
        <f t="shared" si="1"/>
        <v>10560</v>
      </c>
      <c r="T15" s="40">
        <f t="shared" si="2"/>
        <v>880</v>
      </c>
      <c r="U15" s="40">
        <f t="shared" si="3"/>
        <v>712.80000000000007</v>
      </c>
      <c r="V15" s="40">
        <v>0</v>
      </c>
      <c r="W15" s="40">
        <f>685.71*7.5%*12</f>
        <v>617.13900000000001</v>
      </c>
      <c r="X15" s="40">
        <f t="shared" ref="X15:X25" si="5">SUM(U15:W15)</f>
        <v>1329.9390000000001</v>
      </c>
      <c r="Y15" s="41">
        <f t="shared" si="4"/>
        <v>12769.94</v>
      </c>
    </row>
    <row r="16" spans="1:25" ht="20.25">
      <c r="A16" s="119">
        <v>1</v>
      </c>
      <c r="B16" s="101" t="s">
        <v>366</v>
      </c>
      <c r="C16" s="101" t="s">
        <v>366</v>
      </c>
      <c r="D16" s="101" t="s">
        <v>423</v>
      </c>
      <c r="E16" s="101" t="s">
        <v>395</v>
      </c>
      <c r="F16" s="122">
        <v>51401</v>
      </c>
      <c r="G16" s="102" t="s">
        <v>29</v>
      </c>
      <c r="H16" s="121">
        <v>11000</v>
      </c>
      <c r="K16" s="37">
        <v>4</v>
      </c>
      <c r="L16" s="38" t="s">
        <v>196</v>
      </c>
      <c r="M16" s="38" t="s">
        <v>197</v>
      </c>
      <c r="N16" s="37" t="s">
        <v>198</v>
      </c>
      <c r="O16" s="39" t="s">
        <v>191</v>
      </c>
      <c r="P16" s="40">
        <v>416</v>
      </c>
      <c r="Q16" s="40">
        <v>0</v>
      </c>
      <c r="R16" s="40">
        <f t="shared" si="0"/>
        <v>416</v>
      </c>
      <c r="S16" s="40">
        <f t="shared" si="1"/>
        <v>4992</v>
      </c>
      <c r="T16" s="40">
        <f t="shared" si="2"/>
        <v>416</v>
      </c>
      <c r="U16" s="40">
        <f t="shared" si="3"/>
        <v>336.96000000000004</v>
      </c>
      <c r="V16" s="40">
        <v>0</v>
      </c>
      <c r="W16" s="40">
        <f t="shared" ref="W16:W27" si="6">+T16*7.5%*12</f>
        <v>374.4</v>
      </c>
      <c r="X16" s="40">
        <f t="shared" si="5"/>
        <v>711.36</v>
      </c>
      <c r="Y16" s="41">
        <f t="shared" si="4"/>
        <v>6119.36</v>
      </c>
    </row>
    <row r="17" spans="1:25" ht="20.25">
      <c r="A17" s="119">
        <v>1</v>
      </c>
      <c r="B17" s="101" t="s">
        <v>366</v>
      </c>
      <c r="C17" s="101" t="s">
        <v>366</v>
      </c>
      <c r="D17" s="101" t="s">
        <v>423</v>
      </c>
      <c r="E17" s="101" t="s">
        <v>395</v>
      </c>
      <c r="F17" s="122">
        <v>51501</v>
      </c>
      <c r="G17" s="102" t="s">
        <v>32</v>
      </c>
      <c r="H17" s="121">
        <v>10500</v>
      </c>
      <c r="K17" s="37">
        <v>5</v>
      </c>
      <c r="L17" s="38" t="s">
        <v>199</v>
      </c>
      <c r="M17" s="38" t="s">
        <v>200</v>
      </c>
      <c r="N17" s="42"/>
      <c r="O17" s="39" t="s">
        <v>191</v>
      </c>
      <c r="P17" s="40">
        <v>1030</v>
      </c>
      <c r="Q17" s="40">
        <v>0</v>
      </c>
      <c r="R17" s="40">
        <f t="shared" si="0"/>
        <v>1030</v>
      </c>
      <c r="S17" s="40">
        <f t="shared" si="1"/>
        <v>12360</v>
      </c>
      <c r="T17" s="40">
        <f t="shared" si="2"/>
        <v>1030</v>
      </c>
      <c r="U17" s="40">
        <f t="shared" si="3"/>
        <v>834.30000000000007</v>
      </c>
      <c r="V17" s="40">
        <v>0</v>
      </c>
      <c r="W17" s="40">
        <f t="shared" si="6"/>
        <v>927</v>
      </c>
      <c r="X17" s="40">
        <f t="shared" si="5"/>
        <v>1761.3000000000002</v>
      </c>
      <c r="Y17" s="41">
        <f t="shared" si="4"/>
        <v>15151.3</v>
      </c>
    </row>
    <row r="18" spans="1:25" ht="20.25">
      <c r="A18" s="119">
        <v>1</v>
      </c>
      <c r="B18" s="101" t="s">
        <v>366</v>
      </c>
      <c r="C18" s="101" t="s">
        <v>366</v>
      </c>
      <c r="D18" s="101" t="s">
        <v>423</v>
      </c>
      <c r="E18" s="101" t="s">
        <v>395</v>
      </c>
      <c r="F18" s="123">
        <v>51601</v>
      </c>
      <c r="G18" s="117" t="s">
        <v>34</v>
      </c>
      <c r="H18" s="118">
        <v>7800</v>
      </c>
      <c r="I18" s="99">
        <f>SUM(H11:H18)</f>
        <v>216410</v>
      </c>
      <c r="K18" s="37">
        <v>6</v>
      </c>
      <c r="L18" s="38" t="s">
        <v>399</v>
      </c>
      <c r="M18" s="38" t="s">
        <v>202</v>
      </c>
      <c r="N18" s="37" t="s">
        <v>190</v>
      </c>
      <c r="O18" s="39" t="s">
        <v>191</v>
      </c>
      <c r="P18" s="43">
        <v>950</v>
      </c>
      <c r="Q18" s="40">
        <v>0</v>
      </c>
      <c r="R18" s="40">
        <f t="shared" si="0"/>
        <v>950</v>
      </c>
      <c r="S18" s="40">
        <f t="shared" si="1"/>
        <v>11400</v>
      </c>
      <c r="T18" s="40">
        <f t="shared" si="2"/>
        <v>950</v>
      </c>
      <c r="U18" s="40">
        <f t="shared" ref="U18:U25" si="7">+T18*6.75%*12</f>
        <v>769.5</v>
      </c>
      <c r="V18" s="40">
        <v>0</v>
      </c>
      <c r="W18" s="40">
        <f t="shared" si="6"/>
        <v>855</v>
      </c>
      <c r="X18" s="40">
        <f t="shared" si="5"/>
        <v>1624.5</v>
      </c>
      <c r="Y18" s="41">
        <f t="shared" si="4"/>
        <v>13974.5</v>
      </c>
    </row>
    <row r="19" spans="1:25" ht="20.25">
      <c r="A19" s="119">
        <v>1</v>
      </c>
      <c r="B19" s="101" t="s">
        <v>366</v>
      </c>
      <c r="C19" s="101" t="s">
        <v>366</v>
      </c>
      <c r="D19" s="101" t="s">
        <v>423</v>
      </c>
      <c r="E19" s="101" t="s">
        <v>395</v>
      </c>
      <c r="F19" s="122">
        <v>54101</v>
      </c>
      <c r="G19" s="120" t="s">
        <v>417</v>
      </c>
      <c r="H19" s="121">
        <v>600</v>
      </c>
      <c r="K19" s="37">
        <v>7</v>
      </c>
      <c r="L19" s="38" t="s">
        <v>212</v>
      </c>
      <c r="M19" s="38" t="s">
        <v>213</v>
      </c>
      <c r="N19" s="37" t="s">
        <v>190</v>
      </c>
      <c r="O19" s="39" t="s">
        <v>191</v>
      </c>
      <c r="P19" s="40">
        <v>392</v>
      </c>
      <c r="Q19" s="40">
        <v>0</v>
      </c>
      <c r="R19" s="40">
        <f t="shared" si="0"/>
        <v>392</v>
      </c>
      <c r="S19" s="40">
        <f t="shared" si="1"/>
        <v>4704</v>
      </c>
      <c r="T19" s="40">
        <f t="shared" ref="T19:T25" si="8">+R19</f>
        <v>392</v>
      </c>
      <c r="U19" s="40">
        <f t="shared" si="7"/>
        <v>317.52</v>
      </c>
      <c r="V19" s="40">
        <v>0</v>
      </c>
      <c r="W19" s="40">
        <f t="shared" si="6"/>
        <v>352.79999999999995</v>
      </c>
      <c r="X19" s="40">
        <f t="shared" si="5"/>
        <v>670.31999999999994</v>
      </c>
      <c r="Y19" s="41">
        <f t="shared" ref="Y19:Y29" si="9">ROUND((+S19+T19+X19),2)</f>
        <v>5766.32</v>
      </c>
    </row>
    <row r="20" spans="1:25" ht="20.25">
      <c r="A20" s="119">
        <v>1</v>
      </c>
      <c r="B20" s="101" t="s">
        <v>366</v>
      </c>
      <c r="C20" s="101" t="s">
        <v>366</v>
      </c>
      <c r="D20" s="101" t="s">
        <v>423</v>
      </c>
      <c r="E20" s="101" t="s">
        <v>395</v>
      </c>
      <c r="F20" s="122">
        <v>54105</v>
      </c>
      <c r="G20" s="120" t="s">
        <v>418</v>
      </c>
      <c r="H20" s="121">
        <v>12500</v>
      </c>
      <c r="K20" s="37">
        <v>8</v>
      </c>
      <c r="L20" s="38" t="s">
        <v>215</v>
      </c>
      <c r="M20" s="38" t="s">
        <v>216</v>
      </c>
      <c r="N20" s="37" t="s">
        <v>190</v>
      </c>
      <c r="O20" s="39" t="s">
        <v>191</v>
      </c>
      <c r="P20" s="40">
        <v>322</v>
      </c>
      <c r="Q20" s="40">
        <v>20</v>
      </c>
      <c r="R20" s="40">
        <f t="shared" si="0"/>
        <v>342</v>
      </c>
      <c r="S20" s="40">
        <f t="shared" si="1"/>
        <v>4104</v>
      </c>
      <c r="T20" s="40">
        <f t="shared" si="8"/>
        <v>342</v>
      </c>
      <c r="U20" s="40">
        <f t="shared" si="7"/>
        <v>277.02</v>
      </c>
      <c r="V20" s="40">
        <v>0</v>
      </c>
      <c r="W20" s="40">
        <f t="shared" si="6"/>
        <v>307.79999999999995</v>
      </c>
      <c r="X20" s="40">
        <f t="shared" si="5"/>
        <v>584.81999999999994</v>
      </c>
      <c r="Y20" s="41">
        <f t="shared" si="9"/>
        <v>5030.82</v>
      </c>
    </row>
    <row r="21" spans="1:25" ht="20.25">
      <c r="A21" s="119">
        <v>1</v>
      </c>
      <c r="B21" s="101" t="s">
        <v>366</v>
      </c>
      <c r="C21" s="101" t="s">
        <v>366</v>
      </c>
      <c r="D21" s="101" t="s">
        <v>423</v>
      </c>
      <c r="E21" s="101" t="s">
        <v>395</v>
      </c>
      <c r="F21" s="122">
        <v>54109</v>
      </c>
      <c r="G21" s="120" t="s">
        <v>763</v>
      </c>
      <c r="H21" s="121">
        <v>5000</v>
      </c>
      <c r="K21" s="37">
        <v>9</v>
      </c>
      <c r="L21" s="38" t="s">
        <v>217</v>
      </c>
      <c r="M21" s="38" t="s">
        <v>216</v>
      </c>
      <c r="N21" s="37" t="s">
        <v>190</v>
      </c>
      <c r="O21" s="39" t="s">
        <v>191</v>
      </c>
      <c r="P21" s="40">
        <v>322</v>
      </c>
      <c r="Q21" s="40">
        <v>20</v>
      </c>
      <c r="R21" s="40">
        <f t="shared" ref="R21:R37" si="10">+P21+Q21</f>
        <v>342</v>
      </c>
      <c r="S21" s="40">
        <f t="shared" ref="S21:S29" si="11">+R21*12</f>
        <v>4104</v>
      </c>
      <c r="T21" s="40">
        <f t="shared" si="8"/>
        <v>342</v>
      </c>
      <c r="U21" s="40">
        <f t="shared" si="7"/>
        <v>277.02</v>
      </c>
      <c r="V21" s="40">
        <v>0</v>
      </c>
      <c r="W21" s="40">
        <f t="shared" si="6"/>
        <v>307.79999999999995</v>
      </c>
      <c r="X21" s="40">
        <f t="shared" si="5"/>
        <v>584.81999999999994</v>
      </c>
      <c r="Y21" s="41">
        <f t="shared" si="9"/>
        <v>5030.82</v>
      </c>
    </row>
    <row r="22" spans="1:25" ht="20.25">
      <c r="A22" s="119">
        <v>1</v>
      </c>
      <c r="B22" s="101" t="s">
        <v>366</v>
      </c>
      <c r="C22" s="101" t="s">
        <v>366</v>
      </c>
      <c r="D22" s="101" t="s">
        <v>423</v>
      </c>
      <c r="E22" s="101" t="s">
        <v>395</v>
      </c>
      <c r="F22" s="122">
        <v>54110</v>
      </c>
      <c r="G22" s="120" t="s">
        <v>419</v>
      </c>
      <c r="H22" s="121">
        <v>13400</v>
      </c>
      <c r="K22" s="37">
        <v>10</v>
      </c>
      <c r="L22" s="38" t="s">
        <v>218</v>
      </c>
      <c r="M22" s="38" t="s">
        <v>216</v>
      </c>
      <c r="N22" s="37" t="s">
        <v>190</v>
      </c>
      <c r="O22" s="39" t="s">
        <v>191</v>
      </c>
      <c r="P22" s="40">
        <v>302</v>
      </c>
      <c r="Q22" s="40">
        <v>20</v>
      </c>
      <c r="R22" s="40">
        <f t="shared" si="10"/>
        <v>322</v>
      </c>
      <c r="S22" s="40">
        <f t="shared" si="11"/>
        <v>3864</v>
      </c>
      <c r="T22" s="40">
        <f t="shared" si="8"/>
        <v>322</v>
      </c>
      <c r="U22" s="40">
        <f t="shared" si="7"/>
        <v>260.82000000000005</v>
      </c>
      <c r="V22" s="40">
        <v>0</v>
      </c>
      <c r="W22" s="40">
        <f t="shared" si="6"/>
        <v>289.79999999999995</v>
      </c>
      <c r="X22" s="40">
        <f t="shared" si="5"/>
        <v>550.62</v>
      </c>
      <c r="Y22" s="41">
        <f t="shared" si="9"/>
        <v>4736.62</v>
      </c>
    </row>
    <row r="23" spans="1:25" ht="20.25">
      <c r="A23" s="119">
        <v>1</v>
      </c>
      <c r="B23" s="101" t="s">
        <v>366</v>
      </c>
      <c r="C23" s="101" t="s">
        <v>366</v>
      </c>
      <c r="D23" s="101" t="s">
        <v>423</v>
      </c>
      <c r="E23" s="101" t="s">
        <v>395</v>
      </c>
      <c r="F23" s="122">
        <v>54114</v>
      </c>
      <c r="G23" s="120" t="s">
        <v>53</v>
      </c>
      <c r="H23" s="121">
        <v>6400</v>
      </c>
      <c r="K23" s="37">
        <v>11</v>
      </c>
      <c r="L23" s="38" t="s">
        <v>219</v>
      </c>
      <c r="M23" s="38" t="s">
        <v>216</v>
      </c>
      <c r="N23" s="37" t="s">
        <v>190</v>
      </c>
      <c r="O23" s="39" t="s">
        <v>191</v>
      </c>
      <c r="P23" s="40">
        <v>302</v>
      </c>
      <c r="Q23" s="40">
        <v>20</v>
      </c>
      <c r="R23" s="40">
        <f t="shared" si="10"/>
        <v>322</v>
      </c>
      <c r="S23" s="40">
        <f t="shared" si="11"/>
        <v>3864</v>
      </c>
      <c r="T23" s="40">
        <f t="shared" si="8"/>
        <v>322</v>
      </c>
      <c r="U23" s="40">
        <f t="shared" si="7"/>
        <v>260.82000000000005</v>
      </c>
      <c r="V23" s="40">
        <v>0</v>
      </c>
      <c r="W23" s="40">
        <f t="shared" si="6"/>
        <v>289.79999999999995</v>
      </c>
      <c r="X23" s="40">
        <f t="shared" si="5"/>
        <v>550.62</v>
      </c>
      <c r="Y23" s="41">
        <f t="shared" si="9"/>
        <v>4736.62</v>
      </c>
    </row>
    <row r="24" spans="1:25" ht="20.25">
      <c r="A24" s="119">
        <v>1</v>
      </c>
      <c r="B24" s="101" t="s">
        <v>366</v>
      </c>
      <c r="C24" s="101" t="s">
        <v>366</v>
      </c>
      <c r="D24" s="101" t="s">
        <v>423</v>
      </c>
      <c r="E24" s="101" t="s">
        <v>395</v>
      </c>
      <c r="F24" s="122">
        <v>54115</v>
      </c>
      <c r="G24" s="120" t="s">
        <v>54</v>
      </c>
      <c r="H24" s="121">
        <v>3000</v>
      </c>
      <c r="K24" s="37">
        <v>12</v>
      </c>
      <c r="L24" s="38" t="s">
        <v>220</v>
      </c>
      <c r="M24" s="38" t="s">
        <v>216</v>
      </c>
      <c r="N24" s="37" t="s">
        <v>190</v>
      </c>
      <c r="O24" s="39" t="s">
        <v>191</v>
      </c>
      <c r="P24" s="40">
        <v>322</v>
      </c>
      <c r="Q24" s="40">
        <v>20</v>
      </c>
      <c r="R24" s="40">
        <f t="shared" si="10"/>
        <v>342</v>
      </c>
      <c r="S24" s="40">
        <f t="shared" si="11"/>
        <v>4104</v>
      </c>
      <c r="T24" s="40">
        <f t="shared" si="8"/>
        <v>342</v>
      </c>
      <c r="U24" s="40">
        <f t="shared" si="7"/>
        <v>277.02</v>
      </c>
      <c r="V24" s="40">
        <v>0</v>
      </c>
      <c r="W24" s="40">
        <f t="shared" si="6"/>
        <v>307.79999999999995</v>
      </c>
      <c r="X24" s="40">
        <f t="shared" si="5"/>
        <v>584.81999999999994</v>
      </c>
      <c r="Y24" s="41">
        <f t="shared" si="9"/>
        <v>5030.82</v>
      </c>
    </row>
    <row r="25" spans="1:25" ht="20.25">
      <c r="A25" s="119">
        <v>1</v>
      </c>
      <c r="B25" s="101" t="s">
        <v>366</v>
      </c>
      <c r="C25" s="101" t="s">
        <v>366</v>
      </c>
      <c r="D25" s="101" t="s">
        <v>423</v>
      </c>
      <c r="E25" s="101" t="s">
        <v>395</v>
      </c>
      <c r="F25" s="123">
        <v>54118</v>
      </c>
      <c r="G25" s="117" t="s">
        <v>57</v>
      </c>
      <c r="H25" s="118">
        <v>3000</v>
      </c>
      <c r="K25" s="37">
        <v>13</v>
      </c>
      <c r="L25" s="38"/>
      <c r="M25" s="38" t="s">
        <v>216</v>
      </c>
      <c r="N25" s="37" t="s">
        <v>190</v>
      </c>
      <c r="O25" s="39" t="s">
        <v>191</v>
      </c>
      <c r="P25" s="40">
        <v>302</v>
      </c>
      <c r="Q25" s="40">
        <v>0</v>
      </c>
      <c r="R25" s="40">
        <f t="shared" si="10"/>
        <v>302</v>
      </c>
      <c r="S25" s="40">
        <f t="shared" si="11"/>
        <v>3624</v>
      </c>
      <c r="T25" s="40">
        <f t="shared" si="8"/>
        <v>302</v>
      </c>
      <c r="U25" s="40">
        <f t="shared" si="7"/>
        <v>244.62</v>
      </c>
      <c r="V25" s="40">
        <v>0</v>
      </c>
      <c r="W25" s="40">
        <f t="shared" si="6"/>
        <v>271.79999999999995</v>
      </c>
      <c r="X25" s="40">
        <f t="shared" si="5"/>
        <v>516.41999999999996</v>
      </c>
      <c r="Y25" s="41">
        <f t="shared" si="9"/>
        <v>4442.42</v>
      </c>
    </row>
    <row r="26" spans="1:25" ht="20.25">
      <c r="A26" s="119">
        <v>1</v>
      </c>
      <c r="B26" s="101" t="s">
        <v>366</v>
      </c>
      <c r="C26" s="101" t="s">
        <v>366</v>
      </c>
      <c r="D26" s="101" t="s">
        <v>423</v>
      </c>
      <c r="E26" s="101" t="s">
        <v>395</v>
      </c>
      <c r="F26" s="123">
        <v>54121</v>
      </c>
      <c r="G26" s="117" t="s">
        <v>59</v>
      </c>
      <c r="H26" s="118">
        <v>11400</v>
      </c>
      <c r="K26" s="37">
        <v>14</v>
      </c>
      <c r="L26" s="436" t="s">
        <v>400</v>
      </c>
      <c r="M26" s="88" t="s">
        <v>412</v>
      </c>
      <c r="N26" s="88" t="s">
        <v>350</v>
      </c>
      <c r="O26" s="39" t="s">
        <v>191</v>
      </c>
      <c r="P26" s="89">
        <v>520</v>
      </c>
      <c r="Q26" s="89">
        <v>0</v>
      </c>
      <c r="R26" s="89">
        <f t="shared" si="10"/>
        <v>520</v>
      </c>
      <c r="S26" s="89">
        <f t="shared" si="11"/>
        <v>6240</v>
      </c>
      <c r="T26" s="80">
        <v>0</v>
      </c>
      <c r="U26" s="40">
        <f>+P26*6.75%*12</f>
        <v>421.20000000000005</v>
      </c>
      <c r="V26" s="89">
        <v>0</v>
      </c>
      <c r="W26" s="89">
        <f t="shared" si="6"/>
        <v>0</v>
      </c>
      <c r="X26" s="89">
        <f t="shared" ref="X26:X37" si="12">SUM(U26:W26)</f>
        <v>421.20000000000005</v>
      </c>
      <c r="Y26" s="90">
        <f t="shared" si="9"/>
        <v>6661.2</v>
      </c>
    </row>
    <row r="27" spans="1:25" ht="20.25">
      <c r="A27" s="119">
        <v>1</v>
      </c>
      <c r="B27" s="101" t="s">
        <v>366</v>
      </c>
      <c r="C27" s="101" t="s">
        <v>366</v>
      </c>
      <c r="D27" s="101" t="s">
        <v>423</v>
      </c>
      <c r="E27" s="101" t="s">
        <v>395</v>
      </c>
      <c r="F27" s="123">
        <v>54201</v>
      </c>
      <c r="G27" s="117" t="s">
        <v>63</v>
      </c>
      <c r="H27" s="118">
        <v>26700</v>
      </c>
      <c r="K27" s="37">
        <v>15</v>
      </c>
      <c r="L27" s="436" t="s">
        <v>401</v>
      </c>
      <c r="M27" s="88" t="s">
        <v>413</v>
      </c>
      <c r="N27" s="88" t="s">
        <v>350</v>
      </c>
      <c r="O27" s="39" t="s">
        <v>191</v>
      </c>
      <c r="P27" s="89">
        <v>520</v>
      </c>
      <c r="Q27" s="132">
        <v>0</v>
      </c>
      <c r="R27" s="437">
        <f t="shared" si="10"/>
        <v>520</v>
      </c>
      <c r="S27" s="437">
        <f t="shared" si="11"/>
        <v>6240</v>
      </c>
      <c r="T27" s="80">
        <v>0</v>
      </c>
      <c r="U27" s="40">
        <v>0</v>
      </c>
      <c r="V27" s="132">
        <v>0</v>
      </c>
      <c r="W27" s="132">
        <f t="shared" si="6"/>
        <v>0</v>
      </c>
      <c r="X27" s="132">
        <f t="shared" si="12"/>
        <v>0</v>
      </c>
      <c r="Y27" s="132">
        <f t="shared" si="9"/>
        <v>6240</v>
      </c>
    </row>
    <row r="28" spans="1:25" ht="20.25">
      <c r="A28" s="119">
        <v>1</v>
      </c>
      <c r="B28" s="101" t="s">
        <v>366</v>
      </c>
      <c r="C28" s="101" t="s">
        <v>366</v>
      </c>
      <c r="D28" s="101" t="s">
        <v>423</v>
      </c>
      <c r="E28" s="101" t="s">
        <v>395</v>
      </c>
      <c r="F28" s="122">
        <v>54202</v>
      </c>
      <c r="G28" s="120" t="s">
        <v>420</v>
      </c>
      <c r="H28" s="121">
        <v>20160</v>
      </c>
      <c r="K28" s="37">
        <v>16</v>
      </c>
      <c r="L28" s="436" t="s">
        <v>402</v>
      </c>
      <c r="M28" s="88" t="s">
        <v>412</v>
      </c>
      <c r="N28" s="88" t="s">
        <v>350</v>
      </c>
      <c r="O28" s="39" t="s">
        <v>191</v>
      </c>
      <c r="P28" s="89">
        <v>520</v>
      </c>
      <c r="Q28" s="91">
        <v>0</v>
      </c>
      <c r="R28" s="91">
        <f t="shared" si="10"/>
        <v>520</v>
      </c>
      <c r="S28" s="91">
        <f t="shared" si="11"/>
        <v>6240</v>
      </c>
      <c r="T28" s="80">
        <v>0</v>
      </c>
      <c r="U28" s="40">
        <f>+P28*6.75%*12</f>
        <v>421.20000000000005</v>
      </c>
      <c r="V28" s="91">
        <v>0</v>
      </c>
      <c r="W28" s="80">
        <f>+R28*7.5%*12</f>
        <v>468</v>
      </c>
      <c r="X28" s="91">
        <f t="shared" si="12"/>
        <v>889.2</v>
      </c>
      <c r="Y28" s="91">
        <f t="shared" si="9"/>
        <v>7129.2</v>
      </c>
    </row>
    <row r="29" spans="1:25" ht="20.25">
      <c r="A29" s="119">
        <v>1</v>
      </c>
      <c r="B29" s="101" t="s">
        <v>366</v>
      </c>
      <c r="C29" s="101" t="s">
        <v>366</v>
      </c>
      <c r="D29" s="101" t="s">
        <v>423</v>
      </c>
      <c r="E29" s="101" t="s">
        <v>395</v>
      </c>
      <c r="F29" s="122">
        <v>54203</v>
      </c>
      <c r="G29" s="120" t="s">
        <v>421</v>
      </c>
      <c r="H29" s="121">
        <v>26700</v>
      </c>
      <c r="K29" s="37">
        <v>17</v>
      </c>
      <c r="L29" s="436" t="s">
        <v>403</v>
      </c>
      <c r="M29" s="88" t="s">
        <v>413</v>
      </c>
      <c r="N29" s="88" t="s">
        <v>350</v>
      </c>
      <c r="O29" s="39" t="s">
        <v>191</v>
      </c>
      <c r="P29" s="89">
        <v>520</v>
      </c>
      <c r="Q29" s="91">
        <v>0</v>
      </c>
      <c r="R29" s="91">
        <f t="shared" si="10"/>
        <v>520</v>
      </c>
      <c r="S29" s="91">
        <f t="shared" si="11"/>
        <v>6240</v>
      </c>
      <c r="T29" s="80">
        <v>0</v>
      </c>
      <c r="U29" s="40">
        <f>+P29*6.75%*12</f>
        <v>421.20000000000005</v>
      </c>
      <c r="V29" s="91">
        <v>0</v>
      </c>
      <c r="W29" s="80">
        <f>+R29*7.5%*12</f>
        <v>468</v>
      </c>
      <c r="X29" s="91">
        <f t="shared" si="12"/>
        <v>889.2</v>
      </c>
      <c r="Y29" s="91">
        <f t="shared" si="9"/>
        <v>7129.2</v>
      </c>
    </row>
    <row r="30" spans="1:25" ht="20.25">
      <c r="A30" s="119">
        <v>1</v>
      </c>
      <c r="B30" s="101" t="s">
        <v>366</v>
      </c>
      <c r="C30" s="101" t="s">
        <v>366</v>
      </c>
      <c r="D30" s="101" t="s">
        <v>423</v>
      </c>
      <c r="E30" s="101" t="s">
        <v>395</v>
      </c>
      <c r="F30" s="122">
        <v>54205</v>
      </c>
      <c r="G30" s="120" t="s">
        <v>62</v>
      </c>
      <c r="H30" s="121">
        <v>47700</v>
      </c>
      <c r="K30" s="37">
        <v>18</v>
      </c>
      <c r="L30" s="436" t="s">
        <v>404</v>
      </c>
      <c r="M30" s="88" t="s">
        <v>413</v>
      </c>
      <c r="N30" s="88" t="s">
        <v>350</v>
      </c>
      <c r="O30" s="39" t="s">
        <v>191</v>
      </c>
      <c r="P30" s="89">
        <v>520</v>
      </c>
      <c r="Q30" s="91">
        <v>0</v>
      </c>
      <c r="R30" s="91">
        <f t="shared" si="10"/>
        <v>520</v>
      </c>
      <c r="S30" s="91">
        <f t="shared" ref="S30:S37" si="13">+R30*12</f>
        <v>6240</v>
      </c>
      <c r="T30" s="80">
        <v>0</v>
      </c>
      <c r="U30" s="40">
        <f>+P30*6.75%*12</f>
        <v>421.20000000000005</v>
      </c>
      <c r="V30" s="91">
        <v>0</v>
      </c>
      <c r="W30" s="80">
        <f>+R30*7.5%*12</f>
        <v>468</v>
      </c>
      <c r="X30" s="91">
        <f t="shared" si="12"/>
        <v>889.2</v>
      </c>
      <c r="Y30" s="91">
        <f t="shared" ref="Y30:Y37" si="14">ROUND((+S30+T30+X30),2)</f>
        <v>7129.2</v>
      </c>
    </row>
    <row r="31" spans="1:25" ht="20.25">
      <c r="A31" s="119">
        <v>1</v>
      </c>
      <c r="B31" s="101" t="s">
        <v>366</v>
      </c>
      <c r="C31" s="101" t="s">
        <v>366</v>
      </c>
      <c r="D31" s="101" t="s">
        <v>423</v>
      </c>
      <c r="E31" s="101" t="s">
        <v>395</v>
      </c>
      <c r="F31" s="123">
        <v>54302</v>
      </c>
      <c r="G31" s="117" t="s">
        <v>69</v>
      </c>
      <c r="H31" s="118">
        <v>15000</v>
      </c>
      <c r="K31" s="37">
        <v>19</v>
      </c>
      <c r="L31" s="436" t="s">
        <v>405</v>
      </c>
      <c r="M31" s="88" t="s">
        <v>412</v>
      </c>
      <c r="N31" s="88" t="s">
        <v>350</v>
      </c>
      <c r="O31" s="39" t="s">
        <v>191</v>
      </c>
      <c r="P31" s="89">
        <v>520</v>
      </c>
      <c r="Q31" s="91">
        <v>0</v>
      </c>
      <c r="R31" s="91">
        <f t="shared" si="10"/>
        <v>520</v>
      </c>
      <c r="S31" s="91">
        <f t="shared" si="13"/>
        <v>6240</v>
      </c>
      <c r="T31" s="80">
        <v>0</v>
      </c>
      <c r="U31" s="40">
        <f>+P31*6.75%*12</f>
        <v>421.20000000000005</v>
      </c>
      <c r="V31" s="91">
        <v>0</v>
      </c>
      <c r="W31" s="80">
        <f>+R31*7.5%*12</f>
        <v>468</v>
      </c>
      <c r="X31" s="91">
        <f t="shared" si="12"/>
        <v>889.2</v>
      </c>
      <c r="Y31" s="91">
        <f t="shared" si="14"/>
        <v>7129.2</v>
      </c>
    </row>
    <row r="32" spans="1:25" ht="20.25">
      <c r="A32" s="119">
        <v>1</v>
      </c>
      <c r="B32" s="101" t="s">
        <v>366</v>
      </c>
      <c r="C32" s="101" t="s">
        <v>366</v>
      </c>
      <c r="D32" s="101" t="s">
        <v>423</v>
      </c>
      <c r="E32" s="101" t="s">
        <v>395</v>
      </c>
      <c r="F32" s="123">
        <v>54305</v>
      </c>
      <c r="G32" s="117" t="s">
        <v>72</v>
      </c>
      <c r="H32" s="118">
        <v>400</v>
      </c>
      <c r="K32" s="37">
        <v>20</v>
      </c>
      <c r="L32" s="436" t="s">
        <v>406</v>
      </c>
      <c r="M32" s="88" t="s">
        <v>412</v>
      </c>
      <c r="N32" s="88" t="s">
        <v>350</v>
      </c>
      <c r="O32" s="39" t="s">
        <v>191</v>
      </c>
      <c r="P32" s="89">
        <v>520</v>
      </c>
      <c r="Q32" s="91">
        <v>0</v>
      </c>
      <c r="R32" s="91">
        <f t="shared" si="10"/>
        <v>520</v>
      </c>
      <c r="S32" s="91">
        <f t="shared" si="13"/>
        <v>6240</v>
      </c>
      <c r="T32" s="80">
        <v>0</v>
      </c>
      <c r="U32" s="40">
        <f>+P32*6.75%*12</f>
        <v>421.20000000000005</v>
      </c>
      <c r="V32" s="91">
        <v>0</v>
      </c>
      <c r="W32" s="80">
        <f>+R32*7.5%*12</f>
        <v>468</v>
      </c>
      <c r="X32" s="91">
        <f t="shared" si="12"/>
        <v>889.2</v>
      </c>
      <c r="Y32" s="91">
        <f t="shared" si="14"/>
        <v>7129.2</v>
      </c>
    </row>
    <row r="33" spans="1:25" ht="20.25">
      <c r="A33" s="119">
        <v>1</v>
      </c>
      <c r="B33" s="101" t="s">
        <v>366</v>
      </c>
      <c r="C33" s="101" t="s">
        <v>366</v>
      </c>
      <c r="D33" s="101" t="s">
        <v>423</v>
      </c>
      <c r="E33" s="101" t="s">
        <v>395</v>
      </c>
      <c r="F33" s="123">
        <v>55602</v>
      </c>
      <c r="G33" s="117" t="s">
        <v>755</v>
      </c>
      <c r="H33" s="118">
        <v>4495.8100000000004</v>
      </c>
      <c r="K33" s="37">
        <v>21</v>
      </c>
      <c r="L33" s="436" t="s">
        <v>407</v>
      </c>
      <c r="M33" s="88" t="s">
        <v>412</v>
      </c>
      <c r="N33" s="88" t="s">
        <v>350</v>
      </c>
      <c r="O33" s="39" t="s">
        <v>191</v>
      </c>
      <c r="P33" s="89">
        <v>520</v>
      </c>
      <c r="Q33" s="91">
        <v>0</v>
      </c>
      <c r="R33" s="91">
        <f t="shared" si="10"/>
        <v>520</v>
      </c>
      <c r="S33" s="91">
        <f t="shared" si="13"/>
        <v>6240</v>
      </c>
      <c r="T33" s="80">
        <v>0</v>
      </c>
      <c r="U33" s="40">
        <v>0</v>
      </c>
      <c r="V33" s="91">
        <v>0</v>
      </c>
      <c r="W33" s="91">
        <f>+T33*7.5%*12</f>
        <v>0</v>
      </c>
      <c r="X33" s="91">
        <f t="shared" si="12"/>
        <v>0</v>
      </c>
      <c r="Y33" s="91">
        <f t="shared" si="14"/>
        <v>6240</v>
      </c>
    </row>
    <row r="34" spans="1:25" ht="20.25">
      <c r="A34" s="119">
        <v>1</v>
      </c>
      <c r="B34" s="101" t="s">
        <v>366</v>
      </c>
      <c r="C34" s="101" t="s">
        <v>366</v>
      </c>
      <c r="D34" s="101" t="s">
        <v>423</v>
      </c>
      <c r="E34" s="101" t="s">
        <v>395</v>
      </c>
      <c r="F34" s="123">
        <v>54404</v>
      </c>
      <c r="G34" s="117" t="s">
        <v>86</v>
      </c>
      <c r="H34" s="118">
        <v>4100</v>
      </c>
      <c r="I34" s="99">
        <f>SUM(H19:H34)-H33</f>
        <v>196060</v>
      </c>
      <c r="K34" s="37">
        <v>22</v>
      </c>
      <c r="L34" s="436" t="s">
        <v>408</v>
      </c>
      <c r="M34" s="88" t="s">
        <v>413</v>
      </c>
      <c r="N34" s="88" t="s">
        <v>350</v>
      </c>
      <c r="O34" s="39" t="s">
        <v>191</v>
      </c>
      <c r="P34" s="89">
        <v>520</v>
      </c>
      <c r="Q34" s="91">
        <v>0</v>
      </c>
      <c r="R34" s="91">
        <f t="shared" si="10"/>
        <v>520</v>
      </c>
      <c r="S34" s="91">
        <f t="shared" si="13"/>
        <v>6240</v>
      </c>
      <c r="T34" s="80">
        <v>0</v>
      </c>
      <c r="U34" s="40">
        <f>+P34*6.75%*12</f>
        <v>421.20000000000005</v>
      </c>
      <c r="V34" s="91">
        <v>0</v>
      </c>
      <c r="W34" s="80">
        <f>+R34*7.5%*12</f>
        <v>468</v>
      </c>
      <c r="X34" s="91">
        <f t="shared" si="12"/>
        <v>889.2</v>
      </c>
      <c r="Y34" s="91">
        <f t="shared" si="14"/>
        <v>7129.2</v>
      </c>
    </row>
    <row r="35" spans="1:25" ht="20.25">
      <c r="A35" s="119">
        <v>1</v>
      </c>
      <c r="B35" s="101" t="s">
        <v>366</v>
      </c>
      <c r="C35" s="101" t="s">
        <v>366</v>
      </c>
      <c r="D35" s="101" t="s">
        <v>423</v>
      </c>
      <c r="E35" s="101" t="s">
        <v>395</v>
      </c>
      <c r="F35" s="122">
        <v>56201</v>
      </c>
      <c r="G35" s="120" t="s">
        <v>106</v>
      </c>
      <c r="H35" s="121">
        <v>3580</v>
      </c>
      <c r="I35" s="99"/>
      <c r="K35" s="37">
        <v>23</v>
      </c>
      <c r="L35" s="436" t="s">
        <v>409</v>
      </c>
      <c r="M35" s="88" t="s">
        <v>412</v>
      </c>
      <c r="N35" s="88" t="s">
        <v>350</v>
      </c>
      <c r="O35" s="39" t="s">
        <v>191</v>
      </c>
      <c r="P35" s="89">
        <v>520</v>
      </c>
      <c r="Q35" s="91">
        <v>0</v>
      </c>
      <c r="R35" s="91">
        <f t="shared" si="10"/>
        <v>520</v>
      </c>
      <c r="S35" s="91">
        <f t="shared" si="13"/>
        <v>6240</v>
      </c>
      <c r="T35" s="80">
        <v>0</v>
      </c>
      <c r="U35" s="40">
        <f>+P35*6.75%*12</f>
        <v>421.20000000000005</v>
      </c>
      <c r="V35" s="91">
        <v>0</v>
      </c>
      <c r="W35" s="80">
        <f>+R35*7.5%*12</f>
        <v>468</v>
      </c>
      <c r="X35" s="91">
        <f t="shared" si="12"/>
        <v>889.2</v>
      </c>
      <c r="Y35" s="91">
        <f t="shared" si="14"/>
        <v>7129.2</v>
      </c>
    </row>
    <row r="36" spans="1:25" ht="20.25">
      <c r="A36" s="119">
        <v>1</v>
      </c>
      <c r="B36" s="101" t="s">
        <v>366</v>
      </c>
      <c r="C36" s="101" t="s">
        <v>366</v>
      </c>
      <c r="D36" s="101" t="s">
        <v>423</v>
      </c>
      <c r="E36" s="101" t="s">
        <v>395</v>
      </c>
      <c r="F36" s="122">
        <v>61101</v>
      </c>
      <c r="G36" s="120" t="s">
        <v>113</v>
      </c>
      <c r="H36" s="121">
        <v>4200</v>
      </c>
      <c r="I36" s="99">
        <f>SUM(H19:H36)</f>
        <v>208335.81</v>
      </c>
      <c r="K36" s="37">
        <v>24</v>
      </c>
      <c r="L36" s="436" t="s">
        <v>410</v>
      </c>
      <c r="M36" s="88" t="s">
        <v>413</v>
      </c>
      <c r="N36" s="88" t="s">
        <v>350</v>
      </c>
      <c r="O36" s="39" t="s">
        <v>191</v>
      </c>
      <c r="P36" s="89">
        <v>520</v>
      </c>
      <c r="Q36" s="91">
        <v>0</v>
      </c>
      <c r="R36" s="91">
        <f t="shared" si="10"/>
        <v>520</v>
      </c>
      <c r="S36" s="91">
        <f t="shared" si="13"/>
        <v>6240</v>
      </c>
      <c r="T36" s="80">
        <v>0</v>
      </c>
      <c r="U36" s="40">
        <f>+P36*6.75%*12</f>
        <v>421.20000000000005</v>
      </c>
      <c r="V36" s="91">
        <v>0</v>
      </c>
      <c r="W36" s="80">
        <f>+R36*7.5%*12</f>
        <v>468</v>
      </c>
      <c r="X36" s="91">
        <f t="shared" si="12"/>
        <v>889.2</v>
      </c>
      <c r="Y36" s="91">
        <f t="shared" si="14"/>
        <v>7129.2</v>
      </c>
    </row>
    <row r="37" spans="1:25" ht="20.25">
      <c r="A37" s="82"/>
      <c r="B37" s="96"/>
      <c r="C37" s="96"/>
      <c r="D37" s="96"/>
      <c r="E37" s="96"/>
      <c r="F37" s="96"/>
      <c r="G37" s="124" t="s">
        <v>387</v>
      </c>
      <c r="H37" s="125">
        <f>SUM(H11:H36)</f>
        <v>424745.81</v>
      </c>
      <c r="K37" s="37">
        <v>25</v>
      </c>
      <c r="L37" s="438" t="s">
        <v>411</v>
      </c>
      <c r="M37" s="92" t="s">
        <v>412</v>
      </c>
      <c r="N37" s="92" t="s">
        <v>350</v>
      </c>
      <c r="O37" s="79" t="s">
        <v>191</v>
      </c>
      <c r="P37" s="93">
        <v>520</v>
      </c>
      <c r="Q37" s="94">
        <v>0</v>
      </c>
      <c r="R37" s="94">
        <f t="shared" si="10"/>
        <v>520</v>
      </c>
      <c r="S37" s="94">
        <f t="shared" si="13"/>
        <v>6240</v>
      </c>
      <c r="T37" s="80">
        <v>0</v>
      </c>
      <c r="U37" s="40">
        <f>+P37*6.75%*12</f>
        <v>421.20000000000005</v>
      </c>
      <c r="V37" s="94">
        <v>0</v>
      </c>
      <c r="W37" s="80">
        <f>+R37*7.5%*12</f>
        <v>468</v>
      </c>
      <c r="X37" s="94">
        <f t="shared" si="12"/>
        <v>889.2</v>
      </c>
      <c r="Y37" s="94">
        <f t="shared" si="14"/>
        <v>7129.2</v>
      </c>
    </row>
    <row r="38" spans="1:25" ht="19.5">
      <c r="K38" s="439"/>
      <c r="L38" s="439" t="s">
        <v>414</v>
      </c>
      <c r="M38" s="439"/>
      <c r="N38" s="439"/>
      <c r="O38" s="439"/>
      <c r="P38" s="95">
        <f>SUM(P11:P37)</f>
        <v>13850</v>
      </c>
      <c r="Q38" s="440">
        <f>SUM(Q11:Q37)</f>
        <v>100</v>
      </c>
      <c r="R38" s="95">
        <f>SUM(R11:R37)</f>
        <v>13950</v>
      </c>
      <c r="S38" s="95">
        <f>SUM(S11:S37)</f>
        <v>167400</v>
      </c>
      <c r="T38" s="95">
        <f t="shared" ref="T38:Y38" si="15">SUM(T11:T37)</f>
        <v>7710</v>
      </c>
      <c r="U38" s="95">
        <f t="shared" si="15"/>
        <v>10457.100000000004</v>
      </c>
      <c r="V38" s="95">
        <f t="shared" si="15"/>
        <v>0</v>
      </c>
      <c r="W38" s="95">
        <f t="shared" si="15"/>
        <v>10333.278000000002</v>
      </c>
      <c r="X38" s="95">
        <f t="shared" si="15"/>
        <v>20790.378000000008</v>
      </c>
      <c r="Y38" s="95">
        <f t="shared" si="15"/>
        <v>195900.38000000012</v>
      </c>
    </row>
    <row r="39" spans="1:25" ht="19.5">
      <c r="H39" s="98"/>
      <c r="K39" s="439"/>
      <c r="L39" s="439"/>
      <c r="M39" s="439"/>
      <c r="N39" s="439"/>
      <c r="O39" s="439"/>
      <c r="P39" s="95"/>
      <c r="Q39" s="95"/>
      <c r="R39" s="95"/>
      <c r="S39" s="95"/>
      <c r="T39" s="95"/>
      <c r="U39" s="95"/>
      <c r="V39" s="95"/>
      <c r="W39" s="95"/>
      <c r="X39" s="95"/>
      <c r="Y39" s="95"/>
    </row>
    <row r="40" spans="1:25">
      <c r="H40" s="99"/>
    </row>
    <row r="41" spans="1:25" ht="21">
      <c r="A41" s="653" t="s">
        <v>756</v>
      </c>
      <c r="B41" s="653"/>
      <c r="C41" s="653"/>
      <c r="D41" s="653"/>
      <c r="E41" s="653"/>
      <c r="F41" s="653"/>
      <c r="G41" s="653"/>
      <c r="H41" s="99"/>
    </row>
    <row r="42" spans="1:25" ht="21">
      <c r="A42" s="653" t="s">
        <v>757</v>
      </c>
      <c r="B42" s="653"/>
      <c r="C42" s="653"/>
      <c r="D42" s="653"/>
      <c r="E42" s="653"/>
      <c r="F42" s="653"/>
      <c r="G42" s="653"/>
    </row>
    <row r="43" spans="1:25" ht="21">
      <c r="A43" s="653" t="s">
        <v>758</v>
      </c>
      <c r="B43" s="653"/>
      <c r="C43" s="653"/>
      <c r="D43" s="653"/>
      <c r="E43" s="653"/>
      <c r="F43" s="653"/>
      <c r="G43" s="653"/>
    </row>
    <row r="48" spans="1:25" ht="15.75">
      <c r="K48" s="639"/>
      <c r="L48" s="639"/>
      <c r="M48" s="642"/>
      <c r="N48" s="639"/>
      <c r="O48" s="642"/>
      <c r="P48" s="642"/>
      <c r="Q48" s="642"/>
      <c r="R48" s="642"/>
      <c r="S48" s="642"/>
      <c r="T48" s="642"/>
      <c r="U48" s="638"/>
      <c r="V48" s="638"/>
      <c r="W48" s="638"/>
      <c r="X48" s="638"/>
      <c r="Y48" s="639"/>
    </row>
    <row r="49" spans="11:25" ht="15.75">
      <c r="K49" s="639"/>
      <c r="L49" s="639"/>
      <c r="M49" s="642"/>
      <c r="N49" s="639"/>
      <c r="O49" s="642"/>
      <c r="P49" s="642"/>
      <c r="Q49" s="642"/>
      <c r="R49" s="642"/>
      <c r="S49" s="642"/>
      <c r="T49" s="642"/>
      <c r="U49" s="107"/>
      <c r="V49" s="640"/>
      <c r="W49" s="640"/>
      <c r="X49" s="640"/>
      <c r="Y49" s="639"/>
    </row>
    <row r="50" spans="11:25" ht="15.75">
      <c r="K50" s="639"/>
      <c r="L50" s="639"/>
      <c r="M50" s="642"/>
      <c r="N50" s="639"/>
      <c r="O50" s="642"/>
      <c r="P50" s="108"/>
      <c r="Q50" s="108"/>
      <c r="R50" s="108"/>
      <c r="S50" s="108"/>
      <c r="T50" s="108"/>
      <c r="U50" s="108"/>
      <c r="V50" s="109"/>
      <c r="W50" s="109"/>
      <c r="X50" s="108"/>
      <c r="Y50" s="639"/>
    </row>
    <row r="51" spans="11:25" ht="19.5">
      <c r="K51" s="83"/>
      <c r="L51" s="84"/>
      <c r="M51" s="84"/>
      <c r="N51" s="83"/>
      <c r="O51" s="85"/>
      <c r="P51" s="86"/>
      <c r="Q51" s="86"/>
      <c r="R51" s="86"/>
      <c r="S51" s="86"/>
      <c r="T51" s="86"/>
      <c r="U51" s="86"/>
      <c r="V51" s="86"/>
      <c r="W51" s="86"/>
      <c r="X51" s="86"/>
      <c r="Y51" s="87"/>
    </row>
    <row r="52" spans="11:25" ht="19.5">
      <c r="K52" s="83"/>
      <c r="L52" s="84"/>
      <c r="M52" s="84"/>
      <c r="N52" s="83"/>
      <c r="O52" s="85"/>
      <c r="P52" s="86"/>
      <c r="Q52" s="86"/>
      <c r="R52" s="86"/>
      <c r="S52" s="86"/>
      <c r="T52" s="86"/>
      <c r="U52" s="86"/>
      <c r="V52" s="86"/>
      <c r="W52" s="86"/>
      <c r="X52" s="86"/>
      <c r="Y52" s="87"/>
    </row>
    <row r="53" spans="11:25" ht="19.5">
      <c r="K53" s="83"/>
      <c r="L53" s="84"/>
      <c r="M53" s="84"/>
      <c r="N53" s="83"/>
      <c r="O53" s="85"/>
      <c r="P53" s="86"/>
      <c r="Q53" s="86"/>
      <c r="R53" s="86"/>
      <c r="S53" s="86"/>
      <c r="T53" s="86"/>
      <c r="U53" s="86"/>
      <c r="V53" s="86"/>
      <c r="W53" s="86"/>
      <c r="X53" s="86"/>
      <c r="Y53" s="87"/>
    </row>
    <row r="54" spans="11:25" ht="19.5">
      <c r="K54" s="83"/>
      <c r="L54" s="84"/>
      <c r="M54" s="84"/>
      <c r="N54" s="83"/>
      <c r="O54" s="85"/>
      <c r="P54" s="86"/>
      <c r="Q54" s="86"/>
      <c r="R54" s="86"/>
      <c r="S54" s="86"/>
      <c r="T54" s="86"/>
      <c r="U54" s="86"/>
      <c r="V54" s="86"/>
      <c r="W54" s="86"/>
      <c r="X54" s="86"/>
      <c r="Y54" s="87"/>
    </row>
    <row r="55" spans="11:25" ht="19.5">
      <c r="K55" s="83"/>
      <c r="L55" s="84"/>
      <c r="M55" s="84"/>
      <c r="N55" s="110"/>
      <c r="O55" s="85"/>
      <c r="P55" s="86"/>
      <c r="Q55" s="86"/>
      <c r="R55" s="86"/>
      <c r="S55" s="86"/>
      <c r="T55" s="86"/>
      <c r="U55" s="86"/>
      <c r="V55" s="86"/>
      <c r="W55" s="86"/>
      <c r="X55" s="86"/>
      <c r="Y55" s="87"/>
    </row>
    <row r="56" spans="11:25" ht="19.5">
      <c r="K56" s="83"/>
      <c r="L56" s="84"/>
      <c r="M56" s="84"/>
      <c r="N56" s="83"/>
      <c r="O56" s="85"/>
      <c r="P56" s="111"/>
      <c r="Q56" s="86"/>
      <c r="R56" s="86"/>
      <c r="S56" s="86"/>
      <c r="T56" s="86"/>
      <c r="U56" s="86"/>
      <c r="V56" s="86"/>
      <c r="W56" s="86"/>
      <c r="X56" s="86"/>
      <c r="Y56" s="87"/>
    </row>
    <row r="57" spans="11:25" ht="19.5">
      <c r="K57" s="83"/>
      <c r="L57" s="84"/>
      <c r="M57" s="84"/>
      <c r="N57" s="83"/>
      <c r="O57" s="85"/>
      <c r="P57" s="86"/>
      <c r="Q57" s="86"/>
      <c r="R57" s="86"/>
      <c r="S57" s="86"/>
      <c r="T57" s="86"/>
      <c r="U57" s="86"/>
      <c r="V57" s="86"/>
      <c r="W57" s="86"/>
      <c r="X57" s="86"/>
      <c r="Y57" s="87"/>
    </row>
    <row r="58" spans="11:25" ht="19.5">
      <c r="K58" s="83"/>
      <c r="L58" s="84"/>
      <c r="M58" s="84"/>
      <c r="N58" s="83"/>
      <c r="O58" s="85"/>
      <c r="P58" s="86"/>
      <c r="Q58" s="86"/>
      <c r="R58" s="86"/>
      <c r="S58" s="86"/>
      <c r="T58" s="86"/>
      <c r="U58" s="86"/>
      <c r="V58" s="86"/>
      <c r="W58" s="86"/>
      <c r="X58" s="86"/>
      <c r="Y58" s="87"/>
    </row>
    <row r="59" spans="11:25" ht="19.5">
      <c r="K59" s="83"/>
      <c r="L59" s="84"/>
      <c r="M59" s="84"/>
      <c r="N59" s="83"/>
      <c r="O59" s="85"/>
      <c r="P59" s="86"/>
      <c r="Q59" s="86"/>
      <c r="R59" s="86"/>
      <c r="S59" s="86"/>
      <c r="T59" s="86"/>
      <c r="U59" s="86"/>
      <c r="V59" s="86"/>
      <c r="W59" s="86"/>
      <c r="X59" s="86"/>
      <c r="Y59" s="87"/>
    </row>
    <row r="60" spans="11:25" ht="19.5">
      <c r="K60" s="83"/>
      <c r="L60" s="84"/>
      <c r="M60" s="84"/>
      <c r="N60" s="83"/>
      <c r="O60" s="85"/>
      <c r="P60" s="86"/>
      <c r="Q60" s="86"/>
      <c r="R60" s="86"/>
      <c r="S60" s="86"/>
      <c r="T60" s="86"/>
      <c r="U60" s="86"/>
      <c r="V60" s="86"/>
      <c r="W60" s="86"/>
      <c r="X60" s="86"/>
      <c r="Y60" s="87"/>
    </row>
    <row r="61" spans="11:25" ht="19.5">
      <c r="K61" s="83"/>
      <c r="L61" s="84"/>
      <c r="M61" s="84"/>
      <c r="N61" s="83"/>
      <c r="O61" s="85"/>
      <c r="P61" s="86"/>
      <c r="Q61" s="86"/>
      <c r="R61" s="86"/>
      <c r="S61" s="86"/>
      <c r="T61" s="86"/>
      <c r="U61" s="86"/>
      <c r="V61" s="86"/>
      <c r="W61" s="86"/>
      <c r="X61" s="86"/>
      <c r="Y61" s="87"/>
    </row>
    <row r="62" spans="11:25" ht="19.5">
      <c r="K62" s="83"/>
      <c r="L62" s="84"/>
      <c r="M62" s="84"/>
      <c r="N62" s="83"/>
      <c r="O62" s="85"/>
      <c r="P62" s="86"/>
      <c r="Q62" s="86"/>
      <c r="R62" s="86"/>
      <c r="S62" s="86"/>
      <c r="T62" s="86"/>
      <c r="U62" s="86"/>
      <c r="V62" s="86"/>
      <c r="W62" s="86"/>
      <c r="X62" s="86"/>
      <c r="Y62" s="87"/>
    </row>
    <row r="63" spans="11:25" ht="19.5">
      <c r="K63" s="83"/>
      <c r="L63" s="84"/>
      <c r="M63" s="84"/>
      <c r="N63" s="83"/>
      <c r="O63" s="85"/>
      <c r="P63" s="86"/>
      <c r="Q63" s="86"/>
      <c r="R63" s="86"/>
      <c r="S63" s="86"/>
      <c r="T63" s="86"/>
      <c r="U63" s="86"/>
      <c r="V63" s="86"/>
      <c r="W63" s="86"/>
      <c r="X63" s="86"/>
      <c r="Y63" s="87"/>
    </row>
    <row r="64" spans="11:25" ht="19.5">
      <c r="K64" s="83"/>
      <c r="L64" s="84"/>
      <c r="M64" s="84"/>
      <c r="N64" s="83"/>
      <c r="O64" s="85"/>
      <c r="P64" s="86"/>
      <c r="Q64" s="86"/>
      <c r="R64" s="86"/>
      <c r="S64" s="86"/>
      <c r="T64" s="86"/>
      <c r="U64" s="86"/>
      <c r="V64" s="86"/>
      <c r="W64" s="86"/>
      <c r="X64" s="86"/>
      <c r="Y64" s="87"/>
    </row>
    <row r="65" spans="11:25" ht="20.25">
      <c r="K65" s="83"/>
      <c r="L65" s="112"/>
      <c r="M65" s="83"/>
      <c r="N65" s="83"/>
      <c r="O65" s="85"/>
      <c r="P65" s="86"/>
      <c r="Q65" s="86"/>
      <c r="R65" s="86"/>
      <c r="S65" s="86"/>
      <c r="T65" s="86"/>
      <c r="U65" s="86"/>
      <c r="V65" s="86"/>
      <c r="W65" s="86"/>
      <c r="X65" s="86"/>
      <c r="Y65" s="87"/>
    </row>
    <row r="66" spans="11:25" ht="20.25">
      <c r="K66" s="83"/>
      <c r="L66" s="112"/>
      <c r="M66" s="83"/>
      <c r="N66" s="83"/>
      <c r="O66" s="85"/>
      <c r="P66" s="86"/>
      <c r="Q66" s="113"/>
      <c r="R66" s="113"/>
      <c r="S66" s="113"/>
      <c r="T66" s="113"/>
      <c r="U66" s="113"/>
      <c r="V66" s="113"/>
      <c r="W66" s="113"/>
      <c r="X66" s="113"/>
      <c r="Y66" s="113"/>
    </row>
    <row r="67" spans="11:25" ht="20.25">
      <c r="K67" s="83"/>
      <c r="L67" s="112"/>
      <c r="M67" s="83"/>
      <c r="N67" s="83"/>
      <c r="O67" s="85"/>
      <c r="P67" s="86"/>
      <c r="Q67" s="114"/>
      <c r="R67" s="114"/>
      <c r="S67" s="114"/>
      <c r="T67" s="114"/>
      <c r="U67" s="114"/>
      <c r="V67" s="114"/>
      <c r="W67" s="114"/>
      <c r="X67" s="114"/>
      <c r="Y67" s="114"/>
    </row>
    <row r="68" spans="11:25" ht="20.25">
      <c r="K68" s="83"/>
      <c r="L68" s="112"/>
      <c r="M68" s="83"/>
      <c r="N68" s="83"/>
      <c r="O68" s="85"/>
      <c r="P68" s="86"/>
      <c r="Q68" s="114"/>
      <c r="R68" s="114"/>
      <c r="S68" s="114"/>
      <c r="T68" s="114"/>
      <c r="U68" s="114"/>
      <c r="V68" s="114"/>
      <c r="W68" s="114"/>
      <c r="X68" s="114"/>
      <c r="Y68" s="114"/>
    </row>
    <row r="69" spans="11:25" ht="20.25">
      <c r="K69" s="83"/>
      <c r="L69" s="112"/>
      <c r="M69" s="83"/>
      <c r="N69" s="83"/>
      <c r="O69" s="85"/>
      <c r="P69" s="86"/>
      <c r="Q69" s="114"/>
      <c r="R69" s="114"/>
      <c r="S69" s="114"/>
      <c r="T69" s="114"/>
      <c r="U69" s="114"/>
      <c r="V69" s="114"/>
      <c r="W69" s="114"/>
      <c r="X69" s="114"/>
      <c r="Y69" s="114"/>
    </row>
    <row r="70" spans="11:25" ht="20.25">
      <c r="K70" s="83"/>
      <c r="L70" s="112"/>
      <c r="M70" s="83"/>
      <c r="N70" s="83"/>
      <c r="O70" s="85"/>
      <c r="P70" s="86"/>
      <c r="Q70" s="114"/>
      <c r="R70" s="114"/>
      <c r="S70" s="114"/>
      <c r="T70" s="114"/>
      <c r="U70" s="114"/>
      <c r="V70" s="114"/>
      <c r="W70" s="114"/>
      <c r="X70" s="114"/>
      <c r="Y70" s="114"/>
    </row>
    <row r="71" spans="11:25" ht="20.25">
      <c r="K71" s="83"/>
      <c r="L71" s="112"/>
      <c r="M71" s="83"/>
      <c r="N71" s="83"/>
      <c r="O71" s="85"/>
      <c r="P71" s="86"/>
      <c r="Q71" s="114"/>
      <c r="R71" s="114"/>
      <c r="S71" s="114"/>
      <c r="T71" s="114"/>
      <c r="U71" s="114"/>
      <c r="V71" s="114"/>
      <c r="W71" s="114"/>
      <c r="X71" s="114"/>
      <c r="Y71" s="114"/>
    </row>
    <row r="72" spans="11:25" ht="20.25">
      <c r="K72" s="83"/>
      <c r="L72" s="112"/>
      <c r="M72" s="83"/>
      <c r="N72" s="83"/>
      <c r="O72" s="85"/>
      <c r="P72" s="86"/>
      <c r="Q72" s="114"/>
      <c r="R72" s="114"/>
      <c r="S72" s="114"/>
      <c r="T72" s="114"/>
      <c r="U72" s="114"/>
      <c r="V72" s="114"/>
      <c r="W72" s="114"/>
      <c r="X72" s="114"/>
      <c r="Y72" s="114"/>
    </row>
    <row r="73" spans="11:25" ht="20.25">
      <c r="K73" s="83"/>
      <c r="L73" s="112"/>
      <c r="M73" s="83"/>
      <c r="N73" s="83"/>
      <c r="O73" s="85"/>
      <c r="P73" s="86"/>
      <c r="Q73" s="114"/>
      <c r="R73" s="114"/>
      <c r="S73" s="114"/>
      <c r="T73" s="114"/>
      <c r="U73" s="114"/>
      <c r="V73" s="114"/>
      <c r="W73" s="114"/>
      <c r="X73" s="114"/>
      <c r="Y73" s="114"/>
    </row>
    <row r="74" spans="11:25" ht="20.25">
      <c r="K74" s="83"/>
      <c r="L74" s="112"/>
      <c r="M74" s="83"/>
      <c r="N74" s="83"/>
      <c r="O74" s="85"/>
      <c r="P74" s="86"/>
      <c r="Q74" s="114"/>
      <c r="R74" s="114"/>
      <c r="S74" s="114"/>
      <c r="T74" s="114"/>
      <c r="U74" s="114"/>
      <c r="V74" s="114"/>
      <c r="W74" s="114"/>
      <c r="X74" s="114"/>
      <c r="Y74" s="114"/>
    </row>
    <row r="75" spans="11:25" ht="20.25">
      <c r="K75" s="83"/>
      <c r="L75" s="112"/>
      <c r="M75" s="83"/>
      <c r="N75" s="83"/>
      <c r="O75" s="85"/>
      <c r="P75" s="86"/>
      <c r="Q75" s="114"/>
      <c r="R75" s="114"/>
      <c r="S75" s="114"/>
      <c r="T75" s="114"/>
      <c r="U75" s="114"/>
      <c r="V75" s="114"/>
      <c r="W75" s="114"/>
      <c r="X75" s="114"/>
      <c r="Y75" s="114"/>
    </row>
    <row r="76" spans="11:25" ht="20.25">
      <c r="K76" s="83"/>
      <c r="L76" s="112"/>
      <c r="M76" s="83"/>
      <c r="N76" s="83"/>
      <c r="O76" s="85"/>
      <c r="P76" s="86"/>
      <c r="Q76" s="114"/>
      <c r="R76" s="114"/>
      <c r="S76" s="114"/>
      <c r="T76" s="114"/>
      <c r="U76" s="114"/>
      <c r="V76" s="114"/>
      <c r="W76" s="114"/>
      <c r="X76" s="114"/>
      <c r="Y76" s="114"/>
    </row>
    <row r="77" spans="11:25" ht="24">
      <c r="K77" s="115"/>
      <c r="L77" s="115"/>
      <c r="M77" s="115"/>
      <c r="N77" s="115"/>
      <c r="O77" s="115"/>
      <c r="P77" s="116"/>
      <c r="Q77" s="116"/>
      <c r="R77" s="116"/>
      <c r="S77" s="116"/>
      <c r="T77" s="116"/>
      <c r="U77" s="116"/>
      <c r="V77" s="116"/>
      <c r="W77" s="116"/>
      <c r="X77" s="116"/>
      <c r="Y77" s="116"/>
    </row>
  </sheetData>
  <mergeCells count="34">
    <mergeCell ref="K48:K50"/>
    <mergeCell ref="A2:H2"/>
    <mergeCell ref="A3:H3"/>
    <mergeCell ref="A4:H4"/>
    <mergeCell ref="A5:H5"/>
    <mergeCell ref="A6:H6"/>
    <mergeCell ref="A7:H7"/>
    <mergeCell ref="A8:H8"/>
    <mergeCell ref="A9:F9"/>
    <mergeCell ref="G9:G10"/>
    <mergeCell ref="H9:H10"/>
    <mergeCell ref="K9:K11"/>
    <mergeCell ref="A41:G41"/>
    <mergeCell ref="A42:G42"/>
    <mergeCell ref="A43:G43"/>
    <mergeCell ref="K8:Y8"/>
    <mergeCell ref="P9:S10"/>
    <mergeCell ref="T9:T10"/>
    <mergeCell ref="L48:L50"/>
    <mergeCell ref="M48:M50"/>
    <mergeCell ref="N48:N50"/>
    <mergeCell ref="O48:O50"/>
    <mergeCell ref="P48:S49"/>
    <mergeCell ref="T48:T49"/>
    <mergeCell ref="L9:L11"/>
    <mergeCell ref="M9:M11"/>
    <mergeCell ref="N9:N11"/>
    <mergeCell ref="O9:O11"/>
    <mergeCell ref="U9:X9"/>
    <mergeCell ref="Y9:Y11"/>
    <mergeCell ref="V10:X10"/>
    <mergeCell ref="U48:X48"/>
    <mergeCell ref="Y48:Y50"/>
    <mergeCell ref="V49:X49"/>
  </mergeCells>
  <pageMargins left="0.23622047244094491" right="3.937007874015748E-2" top="0.74803149606299213" bottom="0.74803149606299213" header="0.31496062992125984" footer="0.31496062992125984"/>
  <pageSetup scale="80" orientation="landscape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6"/>
  <sheetViews>
    <sheetView topLeftCell="A22" workbookViewId="0">
      <selection activeCell="H19" sqref="H19"/>
    </sheetView>
  </sheetViews>
  <sheetFormatPr baseColWidth="10" defaultRowHeight="15"/>
  <cols>
    <col min="1" max="1" width="7.5703125" customWidth="1"/>
    <col min="2" max="2" width="17.5703125" customWidth="1"/>
    <col min="6" max="6" width="15.85546875" customWidth="1"/>
    <col min="7" max="7" width="49.42578125" customWidth="1"/>
    <col min="8" max="8" width="19" customWidth="1"/>
    <col min="9" max="9" width="16.85546875" customWidth="1"/>
    <col min="10" max="11" width="16.5703125" customWidth="1"/>
    <col min="12" max="12" width="14.5703125" customWidth="1"/>
    <col min="13" max="13" width="17.140625" customWidth="1"/>
    <col min="14" max="14" width="16.28515625" customWidth="1"/>
    <col min="15" max="15" width="15.85546875" customWidth="1"/>
  </cols>
  <sheetData>
    <row r="1" spans="1:13" ht="18">
      <c r="A1" s="52"/>
      <c r="B1" s="53"/>
      <c r="C1" s="54"/>
      <c r="D1" s="54"/>
      <c r="E1" s="54"/>
      <c r="F1" s="54"/>
      <c r="G1" s="54"/>
      <c r="H1" s="55" t="s">
        <v>352</v>
      </c>
    </row>
    <row r="2" spans="1:13" ht="18.75">
      <c r="A2" s="664" t="s">
        <v>392</v>
      </c>
      <c r="B2" s="665"/>
      <c r="C2" s="665"/>
      <c r="D2" s="665"/>
      <c r="E2" s="665"/>
      <c r="F2" s="665"/>
      <c r="G2" s="665"/>
      <c r="H2" s="665"/>
    </row>
    <row r="3" spans="1:13" ht="18.75">
      <c r="A3" s="664" t="s">
        <v>393</v>
      </c>
      <c r="B3" s="665"/>
      <c r="C3" s="665"/>
      <c r="D3" s="665"/>
      <c r="E3" s="665"/>
      <c r="F3" s="665"/>
      <c r="G3" s="665"/>
      <c r="H3" s="665"/>
    </row>
    <row r="4" spans="1:13" ht="18.75">
      <c r="A4" s="664" t="s">
        <v>353</v>
      </c>
      <c r="B4" s="665"/>
      <c r="C4" s="665"/>
      <c r="D4" s="665"/>
      <c r="E4" s="665"/>
      <c r="F4" s="665"/>
      <c r="G4" s="665"/>
      <c r="H4" s="665"/>
    </row>
    <row r="5" spans="1:13" ht="18.75">
      <c r="A5" s="664" t="s">
        <v>394</v>
      </c>
      <c r="B5" s="665"/>
      <c r="C5" s="665"/>
      <c r="D5" s="665"/>
      <c r="E5" s="665"/>
      <c r="F5" s="665"/>
      <c r="G5" s="665"/>
      <c r="H5" s="665"/>
    </row>
    <row r="6" spans="1:13" ht="18.75">
      <c r="A6" s="664" t="s">
        <v>354</v>
      </c>
      <c r="B6" s="665"/>
      <c r="C6" s="665"/>
      <c r="D6" s="665"/>
      <c r="E6" s="665"/>
      <c r="F6" s="665"/>
      <c r="G6" s="665"/>
      <c r="H6" s="665"/>
    </row>
    <row r="7" spans="1:13" ht="18.75">
      <c r="A7" s="662"/>
      <c r="B7" s="663"/>
      <c r="C7" s="663"/>
      <c r="D7" s="663"/>
      <c r="E7" s="663"/>
      <c r="F7" s="663"/>
      <c r="G7" s="663"/>
      <c r="H7" s="663"/>
    </row>
    <row r="8" spans="1:13" ht="18.75">
      <c r="A8" s="659" t="s">
        <v>355</v>
      </c>
      <c r="B8" s="659"/>
      <c r="C8" s="659"/>
      <c r="D8" s="659"/>
      <c r="E8" s="659"/>
      <c r="F8" s="659"/>
      <c r="G8" s="659"/>
      <c r="H8" s="659"/>
    </row>
    <row r="9" spans="1:13" ht="19.5" thickBot="1">
      <c r="A9" s="660" t="s">
        <v>356</v>
      </c>
      <c r="B9" s="660"/>
      <c r="C9" s="660"/>
      <c r="D9" s="660"/>
      <c r="E9" s="660"/>
      <c r="F9" s="660"/>
      <c r="G9" s="660"/>
      <c r="H9" s="660"/>
    </row>
    <row r="10" spans="1:13" ht="16.5" thickBot="1">
      <c r="A10" s="60">
        <v>1</v>
      </c>
      <c r="B10" s="61" t="s">
        <v>388</v>
      </c>
      <c r="C10" s="61" t="s">
        <v>366</v>
      </c>
      <c r="D10" s="61" t="s">
        <v>367</v>
      </c>
      <c r="E10" s="61" t="s">
        <v>368</v>
      </c>
      <c r="F10" s="62" t="s">
        <v>10</v>
      </c>
      <c r="G10" s="63" t="s">
        <v>369</v>
      </c>
      <c r="H10" s="71">
        <v>302920</v>
      </c>
      <c r="M10" s="168">
        <v>312652</v>
      </c>
    </row>
    <row r="11" spans="1:13" ht="16.5" thickBot="1">
      <c r="A11" s="64">
        <v>1</v>
      </c>
      <c r="B11" s="65" t="s">
        <v>388</v>
      </c>
      <c r="C11" s="65" t="s">
        <v>366</v>
      </c>
      <c r="D11" s="65" t="s">
        <v>367</v>
      </c>
      <c r="E11" s="61" t="s">
        <v>368</v>
      </c>
      <c r="F11" s="66">
        <v>51103</v>
      </c>
      <c r="G11" s="67" t="s">
        <v>370</v>
      </c>
      <c r="H11" s="68">
        <v>27108</v>
      </c>
      <c r="M11" s="168" t="e">
        <f>+#REF!</f>
        <v>#REF!</v>
      </c>
    </row>
    <row r="12" spans="1:13" ht="16.5" thickBot="1">
      <c r="A12" s="64">
        <v>1</v>
      </c>
      <c r="B12" s="65" t="s">
        <v>388</v>
      </c>
      <c r="C12" s="65" t="s">
        <v>366</v>
      </c>
      <c r="D12" s="65" t="s">
        <v>367</v>
      </c>
      <c r="E12" s="61" t="s">
        <v>368</v>
      </c>
      <c r="F12" s="66">
        <v>51107</v>
      </c>
      <c r="G12" s="67" t="s">
        <v>785</v>
      </c>
      <c r="H12" s="68">
        <v>100</v>
      </c>
      <c r="M12" s="168" t="e">
        <f>+M10-M11</f>
        <v>#REF!</v>
      </c>
    </row>
    <row r="13" spans="1:13" ht="16.5" thickBot="1">
      <c r="A13" s="64">
        <v>1</v>
      </c>
      <c r="B13" s="65" t="s">
        <v>388</v>
      </c>
      <c r="C13" s="65" t="s">
        <v>366</v>
      </c>
      <c r="D13" s="65" t="s">
        <v>367</v>
      </c>
      <c r="E13" s="61" t="s">
        <v>368</v>
      </c>
      <c r="F13" s="66">
        <v>51201</v>
      </c>
      <c r="G13" s="67" t="s">
        <v>446</v>
      </c>
      <c r="H13" s="68">
        <v>11210</v>
      </c>
    </row>
    <row r="14" spans="1:13" ht="16.5" thickBot="1">
      <c r="A14" s="64">
        <v>1</v>
      </c>
      <c r="B14" s="65" t="s">
        <v>388</v>
      </c>
      <c r="C14" s="65" t="s">
        <v>366</v>
      </c>
      <c r="D14" s="65" t="s">
        <v>367</v>
      </c>
      <c r="E14" s="61" t="s">
        <v>368</v>
      </c>
      <c r="F14" s="66">
        <v>51301</v>
      </c>
      <c r="G14" s="67" t="s">
        <v>371</v>
      </c>
      <c r="H14" s="68">
        <v>3000</v>
      </c>
    </row>
    <row r="15" spans="1:13" ht="16.5" thickBot="1">
      <c r="A15" s="64">
        <v>1</v>
      </c>
      <c r="B15" s="65" t="s">
        <v>388</v>
      </c>
      <c r="C15" s="65" t="s">
        <v>366</v>
      </c>
      <c r="D15" s="65" t="s">
        <v>367</v>
      </c>
      <c r="E15" s="61" t="s">
        <v>368</v>
      </c>
      <c r="F15" s="126">
        <v>51401</v>
      </c>
      <c r="G15" s="97" t="s">
        <v>29</v>
      </c>
      <c r="H15" s="68">
        <v>24184.959999999999</v>
      </c>
      <c r="J15" s="99">
        <f>SUM(H10:H18)-H14-H13</f>
        <v>378585.02</v>
      </c>
    </row>
    <row r="16" spans="1:13" ht="16.5" thickBot="1">
      <c r="A16" s="64">
        <v>1</v>
      </c>
      <c r="B16" s="65" t="s">
        <v>388</v>
      </c>
      <c r="C16" s="65" t="s">
        <v>366</v>
      </c>
      <c r="D16" s="65" t="s">
        <v>367</v>
      </c>
      <c r="E16" s="61" t="s">
        <v>368</v>
      </c>
      <c r="F16" s="126">
        <v>51501</v>
      </c>
      <c r="G16" s="458" t="s">
        <v>32</v>
      </c>
      <c r="H16" s="68">
        <v>20622.060000000001</v>
      </c>
    </row>
    <row r="17" spans="1:8" ht="16.5" thickBot="1">
      <c r="A17" s="64">
        <v>1</v>
      </c>
      <c r="B17" s="65" t="s">
        <v>388</v>
      </c>
      <c r="C17" s="65" t="s">
        <v>366</v>
      </c>
      <c r="D17" s="65" t="s">
        <v>367</v>
      </c>
      <c r="E17" s="61" t="s">
        <v>368</v>
      </c>
      <c r="F17" s="126">
        <v>51701</v>
      </c>
      <c r="G17" s="312" t="s">
        <v>743</v>
      </c>
      <c r="H17" s="68">
        <v>3500</v>
      </c>
    </row>
    <row r="18" spans="1:8" ht="16.5" thickBot="1">
      <c r="A18" s="64">
        <v>1</v>
      </c>
      <c r="B18" s="65" t="s">
        <v>388</v>
      </c>
      <c r="C18" s="65" t="s">
        <v>366</v>
      </c>
      <c r="D18" s="65" t="s">
        <v>367</v>
      </c>
      <c r="E18" s="61" t="s">
        <v>368</v>
      </c>
      <c r="F18" s="126">
        <v>51901</v>
      </c>
      <c r="G18" s="312" t="s">
        <v>788</v>
      </c>
      <c r="H18" s="68">
        <v>150</v>
      </c>
    </row>
    <row r="19" spans="1:8" ht="16.5" thickBot="1">
      <c r="A19" s="64">
        <v>1</v>
      </c>
      <c r="B19" s="65" t="s">
        <v>388</v>
      </c>
      <c r="C19" s="65" t="s">
        <v>366</v>
      </c>
      <c r="D19" s="65" t="s">
        <v>367</v>
      </c>
      <c r="E19" s="61" t="s">
        <v>368</v>
      </c>
      <c r="F19" s="66">
        <v>54101</v>
      </c>
      <c r="G19" s="67" t="s">
        <v>372</v>
      </c>
      <c r="H19" s="68">
        <v>1237.5</v>
      </c>
    </row>
    <row r="20" spans="1:8" ht="16.5" thickBot="1">
      <c r="A20" s="64">
        <v>1</v>
      </c>
      <c r="B20" s="65" t="s">
        <v>388</v>
      </c>
      <c r="C20" s="65" t="s">
        <v>366</v>
      </c>
      <c r="D20" s="65" t="s">
        <v>367</v>
      </c>
      <c r="E20" s="61" t="s">
        <v>368</v>
      </c>
      <c r="F20" s="66">
        <v>54104</v>
      </c>
      <c r="G20" s="67" t="s">
        <v>589</v>
      </c>
      <c r="H20" s="68">
        <v>5100</v>
      </c>
    </row>
    <row r="21" spans="1:8" ht="16.5" thickBot="1">
      <c r="A21" s="64">
        <v>1</v>
      </c>
      <c r="B21" s="65" t="s">
        <v>388</v>
      </c>
      <c r="C21" s="65" t="s">
        <v>366</v>
      </c>
      <c r="D21" s="65" t="s">
        <v>367</v>
      </c>
      <c r="E21" s="61" t="s">
        <v>368</v>
      </c>
      <c r="F21" s="66">
        <v>54105</v>
      </c>
      <c r="G21" s="67" t="s">
        <v>373</v>
      </c>
      <c r="H21" s="68">
        <v>6911.9</v>
      </c>
    </row>
    <row r="22" spans="1:8" ht="16.5" thickBot="1">
      <c r="A22" s="64">
        <v>1</v>
      </c>
      <c r="B22" s="65" t="s">
        <v>388</v>
      </c>
      <c r="C22" s="65" t="s">
        <v>366</v>
      </c>
      <c r="D22" s="65" t="s">
        <v>367</v>
      </c>
      <c r="E22" s="61" t="s">
        <v>368</v>
      </c>
      <c r="F22" s="66">
        <v>54106</v>
      </c>
      <c r="G22" s="67" t="s">
        <v>430</v>
      </c>
      <c r="H22" s="68">
        <v>2252</v>
      </c>
    </row>
    <row r="23" spans="1:8" ht="16.5" thickBot="1">
      <c r="A23" s="64">
        <v>1</v>
      </c>
      <c r="B23" s="65" t="s">
        <v>388</v>
      </c>
      <c r="C23" s="65" t="s">
        <v>366</v>
      </c>
      <c r="D23" s="65" t="s">
        <v>367</v>
      </c>
      <c r="E23" s="61" t="s">
        <v>368</v>
      </c>
      <c r="F23" s="66">
        <v>54107</v>
      </c>
      <c r="G23" s="67" t="s">
        <v>431</v>
      </c>
      <c r="H23" s="68">
        <v>10457.14</v>
      </c>
    </row>
    <row r="24" spans="1:8" ht="16.5" thickBot="1">
      <c r="A24" s="64">
        <v>1</v>
      </c>
      <c r="B24" s="65" t="s">
        <v>388</v>
      </c>
      <c r="C24" s="65" t="s">
        <v>366</v>
      </c>
      <c r="D24" s="65" t="s">
        <v>367</v>
      </c>
      <c r="E24" s="61" t="s">
        <v>368</v>
      </c>
      <c r="F24" s="66">
        <v>54109</v>
      </c>
      <c r="G24" s="67" t="s">
        <v>432</v>
      </c>
      <c r="H24" s="68">
        <v>1475</v>
      </c>
    </row>
    <row r="25" spans="1:8" ht="16.5" thickBot="1">
      <c r="A25" s="64">
        <v>1</v>
      </c>
      <c r="B25" s="65" t="s">
        <v>388</v>
      </c>
      <c r="C25" s="65" t="s">
        <v>366</v>
      </c>
      <c r="D25" s="65" t="s">
        <v>367</v>
      </c>
      <c r="E25" s="61" t="s">
        <v>368</v>
      </c>
      <c r="F25" s="66">
        <v>54110</v>
      </c>
      <c r="G25" s="67" t="s">
        <v>374</v>
      </c>
      <c r="H25" s="68">
        <v>3640.5</v>
      </c>
    </row>
    <row r="26" spans="1:8" ht="16.5" thickBot="1">
      <c r="A26" s="64">
        <v>1</v>
      </c>
      <c r="B26" s="65" t="s">
        <v>388</v>
      </c>
      <c r="C26" s="65" t="s">
        <v>366</v>
      </c>
      <c r="D26" s="65" t="s">
        <v>367</v>
      </c>
      <c r="E26" s="61" t="s">
        <v>368</v>
      </c>
      <c r="F26" s="66">
        <v>54111</v>
      </c>
      <c r="G26" s="67" t="s">
        <v>389</v>
      </c>
      <c r="H26" s="68">
        <v>300</v>
      </c>
    </row>
    <row r="27" spans="1:8" ht="16.5" thickBot="1">
      <c r="A27" s="64">
        <v>1</v>
      </c>
      <c r="B27" s="65" t="s">
        <v>388</v>
      </c>
      <c r="C27" s="65" t="s">
        <v>366</v>
      </c>
      <c r="D27" s="65" t="s">
        <v>367</v>
      </c>
      <c r="E27" s="61" t="s">
        <v>368</v>
      </c>
      <c r="F27" s="66">
        <v>54112</v>
      </c>
      <c r="G27" s="67" t="s">
        <v>390</v>
      </c>
      <c r="H27" s="68">
        <v>400</v>
      </c>
    </row>
    <row r="28" spans="1:8" ht="16.5" thickBot="1">
      <c r="A28" s="64">
        <v>1</v>
      </c>
      <c r="B28" s="65" t="s">
        <v>388</v>
      </c>
      <c r="C28" s="65" t="s">
        <v>366</v>
      </c>
      <c r="D28" s="65" t="s">
        <v>367</v>
      </c>
      <c r="E28" s="61" t="s">
        <v>368</v>
      </c>
      <c r="F28" s="66">
        <v>54114</v>
      </c>
      <c r="G28" s="67" t="s">
        <v>375</v>
      </c>
      <c r="H28" s="68">
        <v>4940.7</v>
      </c>
    </row>
    <row r="29" spans="1:8" ht="16.5" thickBot="1">
      <c r="A29" s="64">
        <v>1</v>
      </c>
      <c r="B29" s="65" t="s">
        <v>388</v>
      </c>
      <c r="C29" s="65" t="s">
        <v>366</v>
      </c>
      <c r="D29" s="65" t="s">
        <v>367</v>
      </c>
      <c r="E29" s="61" t="s">
        <v>368</v>
      </c>
      <c r="F29" s="66">
        <v>54115</v>
      </c>
      <c r="G29" s="67" t="s">
        <v>433</v>
      </c>
      <c r="H29" s="68">
        <v>11787.34</v>
      </c>
    </row>
    <row r="30" spans="1:8" ht="16.5" thickBot="1">
      <c r="A30" s="64">
        <v>1</v>
      </c>
      <c r="B30" s="65" t="s">
        <v>388</v>
      </c>
      <c r="C30" s="65" t="s">
        <v>366</v>
      </c>
      <c r="D30" s="65" t="s">
        <v>367</v>
      </c>
      <c r="E30" s="61" t="s">
        <v>368</v>
      </c>
      <c r="F30" s="66">
        <v>54116</v>
      </c>
      <c r="G30" s="67" t="s">
        <v>745</v>
      </c>
      <c r="H30" s="68">
        <v>1000</v>
      </c>
    </row>
    <row r="31" spans="1:8" ht="16.5" thickBot="1">
      <c r="A31" s="64">
        <v>1</v>
      </c>
      <c r="B31" s="65" t="s">
        <v>388</v>
      </c>
      <c r="C31" s="65" t="s">
        <v>366</v>
      </c>
      <c r="D31" s="65" t="s">
        <v>367</v>
      </c>
      <c r="E31" s="61" t="s">
        <v>368</v>
      </c>
      <c r="F31" s="66">
        <v>54118</v>
      </c>
      <c r="G31" s="67" t="s">
        <v>376</v>
      </c>
      <c r="H31" s="68">
        <v>5239.8</v>
      </c>
    </row>
    <row r="32" spans="1:8" ht="16.5" thickBot="1">
      <c r="A32" s="64">
        <v>1</v>
      </c>
      <c r="B32" s="65" t="s">
        <v>388</v>
      </c>
      <c r="C32" s="65" t="s">
        <v>366</v>
      </c>
      <c r="D32" s="65" t="s">
        <v>367</v>
      </c>
      <c r="E32" s="61" t="s">
        <v>368</v>
      </c>
      <c r="F32" s="66">
        <v>54119</v>
      </c>
      <c r="G32" s="67" t="s">
        <v>434</v>
      </c>
      <c r="H32" s="68">
        <v>500</v>
      </c>
    </row>
    <row r="33" spans="1:9" ht="16.5" thickBot="1">
      <c r="A33" s="64">
        <v>1</v>
      </c>
      <c r="B33" s="65" t="s">
        <v>388</v>
      </c>
      <c r="C33" s="65" t="s">
        <v>366</v>
      </c>
      <c r="D33" s="65" t="s">
        <v>367</v>
      </c>
      <c r="E33" s="61" t="s">
        <v>368</v>
      </c>
      <c r="F33" s="66">
        <v>54199</v>
      </c>
      <c r="G33" s="67" t="s">
        <v>435</v>
      </c>
      <c r="H33" s="68">
        <v>8333.4500000000007</v>
      </c>
    </row>
    <row r="34" spans="1:9" ht="16.5" thickBot="1">
      <c r="A34" s="64">
        <v>1</v>
      </c>
      <c r="B34" s="65" t="s">
        <v>388</v>
      </c>
      <c r="C34" s="65" t="s">
        <v>366</v>
      </c>
      <c r="D34" s="65" t="s">
        <v>367</v>
      </c>
      <c r="E34" s="61" t="s">
        <v>368</v>
      </c>
      <c r="F34" s="66">
        <v>54201</v>
      </c>
      <c r="G34" s="67" t="s">
        <v>377</v>
      </c>
      <c r="H34" s="68">
        <v>1000</v>
      </c>
    </row>
    <row r="35" spans="1:9" ht="16.5" thickBot="1">
      <c r="A35" s="64">
        <v>1</v>
      </c>
      <c r="B35" s="65" t="s">
        <v>388</v>
      </c>
      <c r="C35" s="65" t="s">
        <v>366</v>
      </c>
      <c r="D35" s="65" t="s">
        <v>367</v>
      </c>
      <c r="E35" s="61" t="s">
        <v>368</v>
      </c>
      <c r="F35" s="66">
        <v>54202</v>
      </c>
      <c r="G35" s="67" t="s">
        <v>378</v>
      </c>
      <c r="H35" s="68">
        <v>2000</v>
      </c>
    </row>
    <row r="36" spans="1:9" ht="16.5" thickBot="1">
      <c r="A36" s="64">
        <v>1</v>
      </c>
      <c r="B36" s="65" t="s">
        <v>388</v>
      </c>
      <c r="C36" s="65" t="s">
        <v>366</v>
      </c>
      <c r="D36" s="65" t="s">
        <v>367</v>
      </c>
      <c r="E36" s="61" t="s">
        <v>368</v>
      </c>
      <c r="F36" s="66">
        <v>54203</v>
      </c>
      <c r="G36" s="67" t="s">
        <v>379</v>
      </c>
      <c r="H36" s="68">
        <v>2000</v>
      </c>
    </row>
    <row r="37" spans="1:9" ht="16.5" thickBot="1">
      <c r="A37" s="64">
        <v>1</v>
      </c>
      <c r="B37" s="65" t="s">
        <v>388</v>
      </c>
      <c r="C37" s="65" t="s">
        <v>366</v>
      </c>
      <c r="D37" s="65" t="s">
        <v>367</v>
      </c>
      <c r="E37" s="61" t="s">
        <v>368</v>
      </c>
      <c r="F37" s="66">
        <v>54301</v>
      </c>
      <c r="G37" s="67" t="s">
        <v>391</v>
      </c>
      <c r="H37" s="68">
        <v>3300</v>
      </c>
    </row>
    <row r="38" spans="1:9" ht="16.5" thickBot="1">
      <c r="A38" s="64">
        <v>1</v>
      </c>
      <c r="B38" s="65" t="s">
        <v>388</v>
      </c>
      <c r="C38" s="65" t="s">
        <v>366</v>
      </c>
      <c r="D38" s="65" t="s">
        <v>367</v>
      </c>
      <c r="E38" s="61" t="s">
        <v>368</v>
      </c>
      <c r="F38" s="66">
        <v>54302</v>
      </c>
      <c r="G38" s="67" t="s">
        <v>380</v>
      </c>
      <c r="H38" s="68">
        <v>2000</v>
      </c>
    </row>
    <row r="39" spans="1:9" ht="16.5" thickBot="1">
      <c r="A39" s="64">
        <v>1</v>
      </c>
      <c r="B39" s="65" t="s">
        <v>388</v>
      </c>
      <c r="C39" s="65" t="s">
        <v>366</v>
      </c>
      <c r="D39" s="65" t="s">
        <v>367</v>
      </c>
      <c r="E39" s="61" t="s">
        <v>368</v>
      </c>
      <c r="F39" s="66">
        <v>54303</v>
      </c>
      <c r="G39" s="67" t="s">
        <v>436</v>
      </c>
      <c r="H39" s="68">
        <v>0</v>
      </c>
    </row>
    <row r="40" spans="1:9" ht="16.5" thickBot="1">
      <c r="A40" s="64">
        <v>1</v>
      </c>
      <c r="B40" s="65" t="s">
        <v>388</v>
      </c>
      <c r="C40" s="65" t="s">
        <v>366</v>
      </c>
      <c r="D40" s="65" t="s">
        <v>367</v>
      </c>
      <c r="E40" s="61" t="s">
        <v>368</v>
      </c>
      <c r="F40" s="66">
        <v>54304</v>
      </c>
      <c r="G40" s="67" t="s">
        <v>789</v>
      </c>
      <c r="H40" s="68">
        <v>1500</v>
      </c>
    </row>
    <row r="41" spans="1:9" ht="16.5" thickBot="1">
      <c r="A41" s="64">
        <v>1</v>
      </c>
      <c r="B41" s="65" t="s">
        <v>388</v>
      </c>
      <c r="C41" s="65" t="s">
        <v>366</v>
      </c>
      <c r="D41" s="65" t="s">
        <v>367</v>
      </c>
      <c r="E41" s="61" t="s">
        <v>368</v>
      </c>
      <c r="F41" s="66">
        <v>54307</v>
      </c>
      <c r="G41" s="67" t="s">
        <v>381</v>
      </c>
      <c r="H41" s="68" t="s">
        <v>913</v>
      </c>
    </row>
    <row r="42" spans="1:9" ht="16.5" thickBot="1">
      <c r="A42" s="64">
        <v>1</v>
      </c>
      <c r="B42" s="65" t="s">
        <v>388</v>
      </c>
      <c r="C42" s="65" t="s">
        <v>366</v>
      </c>
      <c r="D42" s="65" t="s">
        <v>367</v>
      </c>
      <c r="E42" s="61" t="s">
        <v>368</v>
      </c>
      <c r="F42" s="66">
        <v>54310</v>
      </c>
      <c r="G42" s="67" t="s">
        <v>382</v>
      </c>
      <c r="H42" s="68">
        <v>0</v>
      </c>
    </row>
    <row r="43" spans="1:9" ht="16.5" thickBot="1">
      <c r="A43" s="64">
        <v>1</v>
      </c>
      <c r="B43" s="65" t="s">
        <v>388</v>
      </c>
      <c r="C43" s="65" t="s">
        <v>366</v>
      </c>
      <c r="D43" s="65" t="s">
        <v>367</v>
      </c>
      <c r="E43" s="61" t="s">
        <v>368</v>
      </c>
      <c r="F43" s="66">
        <v>54313</v>
      </c>
      <c r="G43" s="67" t="s">
        <v>437</v>
      </c>
      <c r="H43" s="68">
        <v>1167</v>
      </c>
    </row>
    <row r="44" spans="1:9" ht="16.5" thickBot="1">
      <c r="A44" s="64">
        <v>1</v>
      </c>
      <c r="B44" s="65" t="s">
        <v>388</v>
      </c>
      <c r="C44" s="65" t="s">
        <v>366</v>
      </c>
      <c r="D44" s="65" t="s">
        <v>367</v>
      </c>
      <c r="E44" s="61" t="s">
        <v>368</v>
      </c>
      <c r="F44" s="66">
        <v>54314</v>
      </c>
      <c r="G44" s="67" t="s">
        <v>438</v>
      </c>
      <c r="H44" s="68">
        <v>4832.5</v>
      </c>
    </row>
    <row r="45" spans="1:9" ht="16.5" thickBot="1">
      <c r="A45" s="64">
        <v>1</v>
      </c>
      <c r="B45" s="65" t="s">
        <v>388</v>
      </c>
      <c r="C45" s="65" t="s">
        <v>366</v>
      </c>
      <c r="D45" s="65" t="s">
        <v>367</v>
      </c>
      <c r="E45" s="61" t="s">
        <v>368</v>
      </c>
      <c r="F45" s="66">
        <v>54317</v>
      </c>
      <c r="G45" s="67" t="s">
        <v>590</v>
      </c>
      <c r="H45" s="68">
        <v>4800</v>
      </c>
    </row>
    <row r="46" spans="1:9" ht="16.5" thickBot="1">
      <c r="A46" s="64">
        <v>1</v>
      </c>
      <c r="B46" s="65" t="s">
        <v>388</v>
      </c>
      <c r="C46" s="65" t="s">
        <v>366</v>
      </c>
      <c r="D46" s="65" t="s">
        <v>367</v>
      </c>
      <c r="E46" s="61" t="s">
        <v>368</v>
      </c>
      <c r="F46" s="66">
        <v>54403</v>
      </c>
      <c r="G46" s="67" t="s">
        <v>439</v>
      </c>
      <c r="H46" s="68">
        <v>350</v>
      </c>
      <c r="I46" s="99">
        <f>SUM(H19:H46)</f>
        <v>86524.83</v>
      </c>
    </row>
    <row r="47" spans="1:9" ht="16.5" thickBot="1">
      <c r="A47" s="64">
        <v>1</v>
      </c>
      <c r="B47" s="65" t="s">
        <v>388</v>
      </c>
      <c r="C47" s="65" t="s">
        <v>366</v>
      </c>
      <c r="D47" s="65" t="s">
        <v>367</v>
      </c>
      <c r="E47" s="61" t="s">
        <v>368</v>
      </c>
      <c r="F47" s="66">
        <v>55599</v>
      </c>
      <c r="G47" s="67" t="s">
        <v>383</v>
      </c>
      <c r="H47" s="68">
        <v>0</v>
      </c>
    </row>
    <row r="48" spans="1:9" ht="16.5" thickBot="1">
      <c r="A48" s="64">
        <v>1</v>
      </c>
      <c r="B48" s="65" t="s">
        <v>388</v>
      </c>
      <c r="C48" s="65" t="s">
        <v>366</v>
      </c>
      <c r="D48" s="65" t="s">
        <v>367</v>
      </c>
      <c r="E48" s="61" t="s">
        <v>368</v>
      </c>
      <c r="F48" s="66">
        <v>55601</v>
      </c>
      <c r="G48" s="67" t="s">
        <v>793</v>
      </c>
      <c r="H48" s="68">
        <v>5000</v>
      </c>
    </row>
    <row r="49" spans="1:15" ht="16.5" thickBot="1">
      <c r="A49" s="64">
        <v>1</v>
      </c>
      <c r="B49" s="65" t="s">
        <v>388</v>
      </c>
      <c r="C49" s="65" t="s">
        <v>366</v>
      </c>
      <c r="D49" s="65" t="s">
        <v>367</v>
      </c>
      <c r="E49" s="61" t="s">
        <v>368</v>
      </c>
      <c r="F49" s="66">
        <v>55602</v>
      </c>
      <c r="G49" s="67" t="s">
        <v>440</v>
      </c>
      <c r="H49" s="68">
        <v>3000</v>
      </c>
    </row>
    <row r="50" spans="1:15" ht="16.5" thickBot="1">
      <c r="A50" s="64">
        <v>1</v>
      </c>
      <c r="B50" s="65" t="s">
        <v>388</v>
      </c>
      <c r="C50" s="65" t="s">
        <v>366</v>
      </c>
      <c r="D50" s="65" t="s">
        <v>367</v>
      </c>
      <c r="E50" s="61" t="s">
        <v>368</v>
      </c>
      <c r="F50" s="66">
        <v>55603</v>
      </c>
      <c r="G50" s="67" t="s">
        <v>794</v>
      </c>
      <c r="H50" s="68">
        <v>500</v>
      </c>
    </row>
    <row r="51" spans="1:15" ht="16.5" thickBot="1">
      <c r="A51" s="64">
        <v>1</v>
      </c>
      <c r="B51" s="65" t="s">
        <v>388</v>
      </c>
      <c r="C51" s="65" t="s">
        <v>366</v>
      </c>
      <c r="D51" s="65" t="s">
        <v>367</v>
      </c>
      <c r="E51" s="61" t="s">
        <v>368</v>
      </c>
      <c r="F51" s="66">
        <v>56304</v>
      </c>
      <c r="G51" s="67" t="s">
        <v>746</v>
      </c>
      <c r="H51" s="68">
        <v>5000</v>
      </c>
      <c r="I51" t="s">
        <v>747</v>
      </c>
    </row>
    <row r="52" spans="1:15" ht="16.5" thickBot="1">
      <c r="A52" s="64">
        <v>1</v>
      </c>
      <c r="B52" s="65" t="s">
        <v>388</v>
      </c>
      <c r="C52" s="65" t="s">
        <v>366</v>
      </c>
      <c r="D52" s="65" t="s">
        <v>367</v>
      </c>
      <c r="E52" s="61" t="s">
        <v>368</v>
      </c>
      <c r="F52" s="66">
        <v>61101</v>
      </c>
      <c r="G52" s="67" t="s">
        <v>384</v>
      </c>
      <c r="H52" s="68">
        <v>7000</v>
      </c>
    </row>
    <row r="53" spans="1:15" ht="16.5" thickBot="1">
      <c r="A53" s="64">
        <v>1</v>
      </c>
      <c r="B53" s="65" t="s">
        <v>388</v>
      </c>
      <c r="C53" s="65" t="s">
        <v>366</v>
      </c>
      <c r="D53" s="65" t="s">
        <v>367</v>
      </c>
      <c r="E53" s="61" t="s">
        <v>368</v>
      </c>
      <c r="F53" s="66">
        <v>61102</v>
      </c>
      <c r="G53" s="67" t="s">
        <v>441</v>
      </c>
      <c r="H53" s="68">
        <v>1000</v>
      </c>
    </row>
    <row r="54" spans="1:15" ht="16.5" thickBot="1">
      <c r="A54" s="64">
        <v>1</v>
      </c>
      <c r="B54" s="65" t="s">
        <v>388</v>
      </c>
      <c r="C54" s="65" t="s">
        <v>366</v>
      </c>
      <c r="D54" s="65" t="s">
        <v>367</v>
      </c>
      <c r="E54" s="61" t="s">
        <v>368</v>
      </c>
      <c r="F54" s="66">
        <v>61104</v>
      </c>
      <c r="G54" s="67" t="s">
        <v>442</v>
      </c>
      <c r="H54" s="68">
        <v>18000</v>
      </c>
    </row>
    <row r="55" spans="1:15" ht="16.5" thickBot="1">
      <c r="A55" s="64">
        <v>1</v>
      </c>
      <c r="B55" s="65" t="s">
        <v>388</v>
      </c>
      <c r="C55" s="65" t="s">
        <v>366</v>
      </c>
      <c r="D55" s="65" t="s">
        <v>367</v>
      </c>
      <c r="E55" s="61" t="s">
        <v>368</v>
      </c>
      <c r="F55" s="69" t="s">
        <v>385</v>
      </c>
      <c r="G55" s="67" t="s">
        <v>386</v>
      </c>
      <c r="H55" s="68">
        <v>0</v>
      </c>
    </row>
    <row r="56" spans="1:15" ht="15.75">
      <c r="A56" s="64">
        <v>1</v>
      </c>
      <c r="B56" s="65" t="s">
        <v>388</v>
      </c>
      <c r="C56" s="65" t="s">
        <v>366</v>
      </c>
      <c r="D56" s="65" t="s">
        <v>367</v>
      </c>
      <c r="E56" s="61" t="s">
        <v>368</v>
      </c>
      <c r="F56" s="72" t="s">
        <v>443</v>
      </c>
      <c r="G56" s="73" t="s">
        <v>444</v>
      </c>
      <c r="H56" s="68">
        <v>560</v>
      </c>
      <c r="K56" s="168">
        <v>610341.75</v>
      </c>
    </row>
    <row r="57" spans="1:15" ht="16.5" thickBot="1">
      <c r="A57" s="74"/>
      <c r="B57" s="75"/>
      <c r="C57" s="75"/>
      <c r="D57" s="75"/>
      <c r="E57" s="75"/>
      <c r="F57" s="76"/>
      <c r="G57" s="70" t="s">
        <v>387</v>
      </c>
      <c r="H57" s="77">
        <f>SUM(H10:H56)</f>
        <v>519379.85000000009</v>
      </c>
      <c r="K57" s="99">
        <f>+H57</f>
        <v>519379.85000000009</v>
      </c>
    </row>
    <row r="58" spans="1:15">
      <c r="K58" s="99">
        <f>+'PUERTO SAN JUAN'!H34</f>
        <v>89961.900000000009</v>
      </c>
    </row>
    <row r="59" spans="1:15" ht="15.75">
      <c r="A59" s="459">
        <v>4871</v>
      </c>
      <c r="K59" s="99">
        <f>+K56-K57-K58</f>
        <v>999.99999999989814</v>
      </c>
    </row>
    <row r="61" spans="1:15" ht="28.5">
      <c r="A61" s="661" t="s">
        <v>806</v>
      </c>
      <c r="B61" s="661"/>
      <c r="C61" s="661"/>
      <c r="D61" s="661"/>
      <c r="E61" s="661"/>
      <c r="F61" s="661"/>
      <c r="G61" s="661"/>
      <c r="H61" s="661"/>
      <c r="I61" s="661"/>
      <c r="J61" s="661"/>
      <c r="K61" s="661"/>
      <c r="L61" s="661"/>
      <c r="M61" s="661"/>
      <c r="N61" s="661"/>
      <c r="O61" s="661"/>
    </row>
    <row r="62" spans="1:15" ht="15.75">
      <c r="A62" s="657" t="s">
        <v>170</v>
      </c>
      <c r="B62" s="657" t="s">
        <v>171</v>
      </c>
      <c r="C62" s="655" t="s">
        <v>172</v>
      </c>
      <c r="D62" s="657" t="s">
        <v>173</v>
      </c>
      <c r="E62" s="655" t="s">
        <v>174</v>
      </c>
      <c r="F62" s="655" t="s">
        <v>175</v>
      </c>
      <c r="G62" s="655"/>
      <c r="H62" s="655"/>
      <c r="I62" s="655"/>
      <c r="J62" s="655" t="s">
        <v>176</v>
      </c>
      <c r="K62" s="656" t="s">
        <v>177</v>
      </c>
      <c r="L62" s="656"/>
      <c r="M62" s="656"/>
      <c r="N62" s="656"/>
      <c r="O62" s="657" t="s">
        <v>5</v>
      </c>
    </row>
    <row r="63" spans="1:15" ht="15.75">
      <c r="A63" s="657"/>
      <c r="B63" s="657"/>
      <c r="C63" s="655"/>
      <c r="D63" s="657"/>
      <c r="E63" s="655"/>
      <c r="F63" s="655"/>
      <c r="G63" s="655"/>
      <c r="H63" s="655"/>
      <c r="I63" s="655"/>
      <c r="J63" s="655"/>
      <c r="K63" s="34" t="s">
        <v>178</v>
      </c>
      <c r="L63" s="658" t="s">
        <v>179</v>
      </c>
      <c r="M63" s="658"/>
      <c r="N63" s="658"/>
      <c r="O63" s="657"/>
    </row>
    <row r="64" spans="1:15" ht="15.75">
      <c r="A64" s="657"/>
      <c r="B64" s="657"/>
      <c r="C64" s="655"/>
      <c r="D64" s="657"/>
      <c r="E64" s="655"/>
      <c r="F64" s="35" t="s">
        <v>180</v>
      </c>
      <c r="G64" s="35" t="s">
        <v>181</v>
      </c>
      <c r="H64" s="35" t="s">
        <v>180</v>
      </c>
      <c r="I64" s="35" t="s">
        <v>182</v>
      </c>
      <c r="J64" s="35" t="s">
        <v>183</v>
      </c>
      <c r="K64" s="35" t="s">
        <v>184</v>
      </c>
      <c r="L64" s="36" t="s">
        <v>185</v>
      </c>
      <c r="M64" s="36" t="s">
        <v>186</v>
      </c>
      <c r="N64" s="35" t="s">
        <v>187</v>
      </c>
      <c r="O64" s="657"/>
    </row>
    <row r="65" spans="1:15" ht="19.5">
      <c r="A65" s="37">
        <v>7</v>
      </c>
      <c r="B65" s="38" t="s">
        <v>204</v>
      </c>
      <c r="C65" s="38" t="s">
        <v>205</v>
      </c>
      <c r="D65" s="37" t="s">
        <v>195</v>
      </c>
      <c r="E65" s="39" t="s">
        <v>206</v>
      </c>
      <c r="F65" s="40">
        <v>300</v>
      </c>
      <c r="G65" s="40">
        <v>20</v>
      </c>
      <c r="H65" s="40">
        <f t="shared" ref="H65:H74" si="0">+F65+G65</f>
        <v>320</v>
      </c>
      <c r="I65" s="40">
        <f>+H65*12-60</f>
        <v>3780</v>
      </c>
      <c r="J65" s="40">
        <f>+H65</f>
        <v>320</v>
      </c>
      <c r="K65" s="40">
        <f>+J65*6.75%*12</f>
        <v>259.20000000000005</v>
      </c>
      <c r="L65" s="40">
        <v>0</v>
      </c>
      <c r="M65" s="40">
        <f>+J65*7.5%*12</f>
        <v>288</v>
      </c>
      <c r="N65" s="40">
        <f t="shared" ref="N65:N97" si="1">SUM(K65:M65)</f>
        <v>547.20000000000005</v>
      </c>
      <c r="O65" s="41">
        <f t="shared" ref="O65:O97" si="2">ROUND((+I65+J65+N65),2)</f>
        <v>4647.2</v>
      </c>
    </row>
    <row r="66" spans="1:15" ht="19.5">
      <c r="A66" s="37">
        <v>8</v>
      </c>
      <c r="B66" s="38" t="s">
        <v>207</v>
      </c>
      <c r="C66" s="38" t="s">
        <v>205</v>
      </c>
      <c r="D66" s="37" t="s">
        <v>195</v>
      </c>
      <c r="E66" s="39" t="s">
        <v>206</v>
      </c>
      <c r="F66" s="40">
        <v>300</v>
      </c>
      <c r="G66" s="40">
        <v>20</v>
      </c>
      <c r="H66" s="40">
        <f t="shared" si="0"/>
        <v>320</v>
      </c>
      <c r="I66" s="40">
        <f>+H66*12-60</f>
        <v>3780</v>
      </c>
      <c r="J66" s="40">
        <f>+H66</f>
        <v>320</v>
      </c>
      <c r="K66" s="40">
        <v>0</v>
      </c>
      <c r="L66" s="40">
        <f>+H66*6.5%*12</f>
        <v>249.60000000000002</v>
      </c>
      <c r="M66" s="40">
        <f>+J66*7.5%*12</f>
        <v>288</v>
      </c>
      <c r="N66" s="40">
        <f t="shared" si="1"/>
        <v>537.6</v>
      </c>
      <c r="O66" s="41">
        <f t="shared" si="2"/>
        <v>4637.6000000000004</v>
      </c>
    </row>
    <row r="67" spans="1:15" ht="19.5">
      <c r="A67" s="37">
        <v>9</v>
      </c>
      <c r="B67" s="38" t="s">
        <v>208</v>
      </c>
      <c r="C67" s="38" t="s">
        <v>209</v>
      </c>
      <c r="D67" s="37" t="s">
        <v>195</v>
      </c>
      <c r="E67" s="39" t="s">
        <v>206</v>
      </c>
      <c r="F67" s="40">
        <v>400</v>
      </c>
      <c r="G67" s="40">
        <v>0</v>
      </c>
      <c r="H67" s="40">
        <f t="shared" si="0"/>
        <v>400</v>
      </c>
      <c r="I67" s="40">
        <f>+H67*12-60</f>
        <v>4740</v>
      </c>
      <c r="J67" s="40">
        <f>+H67</f>
        <v>400</v>
      </c>
      <c r="K67" s="40">
        <f>+J67*6.75%*12</f>
        <v>324</v>
      </c>
      <c r="L67" s="40">
        <v>0</v>
      </c>
      <c r="M67" s="40">
        <f>+J67*7.5%*12</f>
        <v>360</v>
      </c>
      <c r="N67" s="40">
        <f t="shared" si="1"/>
        <v>684</v>
      </c>
      <c r="O67" s="41">
        <f t="shared" si="2"/>
        <v>5824</v>
      </c>
    </row>
    <row r="68" spans="1:15" ht="19.5">
      <c r="A68" s="37">
        <v>10</v>
      </c>
      <c r="B68" s="42">
        <v>0</v>
      </c>
      <c r="C68" s="38" t="s">
        <v>210</v>
      </c>
      <c r="D68" s="37"/>
      <c r="E68" s="39" t="s">
        <v>211</v>
      </c>
      <c r="F68" s="40">
        <v>600</v>
      </c>
      <c r="G68" s="40">
        <v>0</v>
      </c>
      <c r="H68" s="40">
        <f t="shared" si="0"/>
        <v>600</v>
      </c>
      <c r="I68" s="40">
        <f>+H68*10</f>
        <v>6000</v>
      </c>
      <c r="J68" s="40">
        <v>600</v>
      </c>
      <c r="K68" s="40">
        <f>+J68*6.75%*10</f>
        <v>405</v>
      </c>
      <c r="L68" s="40">
        <v>0</v>
      </c>
      <c r="M68" s="40">
        <f>+J68*7.5%*10</f>
        <v>450</v>
      </c>
      <c r="N68" s="40">
        <f t="shared" si="1"/>
        <v>855</v>
      </c>
      <c r="O68" s="41">
        <f t="shared" si="2"/>
        <v>7455</v>
      </c>
    </row>
    <row r="69" spans="1:15" ht="19.5">
      <c r="A69" s="37">
        <v>19</v>
      </c>
      <c r="B69" s="38" t="s">
        <v>221</v>
      </c>
      <c r="C69" s="38" t="s">
        <v>222</v>
      </c>
      <c r="D69" s="42"/>
      <c r="E69" s="39" t="s">
        <v>223</v>
      </c>
      <c r="F69" s="40">
        <v>520</v>
      </c>
      <c r="G69" s="40">
        <v>0</v>
      </c>
      <c r="H69" s="40">
        <f t="shared" si="0"/>
        <v>520</v>
      </c>
      <c r="I69" s="40">
        <f>+H69*12</f>
        <v>6240</v>
      </c>
      <c r="J69" s="40">
        <f t="shared" ref="J69:J97" si="3">+H69</f>
        <v>520</v>
      </c>
      <c r="K69" s="40">
        <f t="shared" ref="K69:K97" si="4">+J69*6.75%*12</f>
        <v>421.20000000000005</v>
      </c>
      <c r="L69" s="40">
        <v>0</v>
      </c>
      <c r="M69" s="40">
        <f>+J69*7.5%*12</f>
        <v>468</v>
      </c>
      <c r="N69" s="40">
        <f t="shared" si="1"/>
        <v>889.2</v>
      </c>
      <c r="O69" s="41">
        <f t="shared" si="2"/>
        <v>7649.2</v>
      </c>
    </row>
    <row r="70" spans="1:15" ht="19.5">
      <c r="A70" s="37">
        <v>21</v>
      </c>
      <c r="B70" s="38" t="s">
        <v>225</v>
      </c>
      <c r="C70" s="38" t="s">
        <v>209</v>
      </c>
      <c r="D70" s="42"/>
      <c r="E70" s="39" t="s">
        <v>223</v>
      </c>
      <c r="F70" s="40">
        <v>300</v>
      </c>
      <c r="G70" s="40">
        <v>20</v>
      </c>
      <c r="H70" s="40">
        <f t="shared" si="0"/>
        <v>320</v>
      </c>
      <c r="I70" s="40">
        <f>+H70*12-60</f>
        <v>3780</v>
      </c>
      <c r="J70" s="40">
        <f t="shared" si="3"/>
        <v>320</v>
      </c>
      <c r="K70" s="40">
        <f t="shared" si="4"/>
        <v>259.20000000000005</v>
      </c>
      <c r="L70" s="40">
        <v>0</v>
      </c>
      <c r="M70" s="40">
        <f>685.71*7.5%*12</f>
        <v>617.13900000000001</v>
      </c>
      <c r="N70" s="40">
        <f t="shared" si="1"/>
        <v>876.33900000000006</v>
      </c>
      <c r="O70" s="41">
        <f t="shared" si="2"/>
        <v>4976.34</v>
      </c>
    </row>
    <row r="71" spans="1:15" ht="19.5">
      <c r="A71" s="37">
        <v>22</v>
      </c>
      <c r="B71" s="38" t="s">
        <v>226</v>
      </c>
      <c r="C71" s="38" t="s">
        <v>227</v>
      </c>
      <c r="D71" s="42"/>
      <c r="E71" s="39" t="s">
        <v>228</v>
      </c>
      <c r="F71" s="40">
        <v>330</v>
      </c>
      <c r="G71" s="40">
        <v>0</v>
      </c>
      <c r="H71" s="40">
        <f t="shared" si="0"/>
        <v>330</v>
      </c>
      <c r="I71" s="40">
        <f>+H71*12-60</f>
        <v>3900</v>
      </c>
      <c r="J71" s="40">
        <f t="shared" si="3"/>
        <v>330</v>
      </c>
      <c r="K71" s="40">
        <f t="shared" si="4"/>
        <v>267.3</v>
      </c>
      <c r="L71" s="40">
        <v>0</v>
      </c>
      <c r="M71" s="40">
        <f>685.71*7.5%*12</f>
        <v>617.13900000000001</v>
      </c>
      <c r="N71" s="40">
        <f t="shared" si="1"/>
        <v>884.43900000000008</v>
      </c>
      <c r="O71" s="41">
        <f t="shared" si="2"/>
        <v>5114.4399999999996</v>
      </c>
    </row>
    <row r="72" spans="1:15" ht="19.5">
      <c r="A72" s="37">
        <v>23</v>
      </c>
      <c r="B72" s="38" t="s">
        <v>229</v>
      </c>
      <c r="C72" s="38" t="s">
        <v>230</v>
      </c>
      <c r="D72" s="37" t="s">
        <v>231</v>
      </c>
      <c r="E72" s="39" t="s">
        <v>232</v>
      </c>
      <c r="F72" s="40">
        <v>770</v>
      </c>
      <c r="G72" s="40">
        <v>0</v>
      </c>
      <c r="H72" s="40">
        <f t="shared" si="0"/>
        <v>770</v>
      </c>
      <c r="I72" s="40">
        <f>+H72*12</f>
        <v>9240</v>
      </c>
      <c r="J72" s="40">
        <f t="shared" si="3"/>
        <v>770</v>
      </c>
      <c r="K72" s="40">
        <f t="shared" si="4"/>
        <v>623.70000000000005</v>
      </c>
      <c r="L72" s="40">
        <v>0</v>
      </c>
      <c r="M72" s="40">
        <f t="shared" ref="M72:M86" si="5">+J72*7.5%*12</f>
        <v>693</v>
      </c>
      <c r="N72" s="40">
        <f t="shared" si="1"/>
        <v>1316.7</v>
      </c>
      <c r="O72" s="41">
        <f t="shared" si="2"/>
        <v>11326.7</v>
      </c>
    </row>
    <row r="73" spans="1:15" ht="19.5">
      <c r="A73" s="37">
        <v>24</v>
      </c>
      <c r="B73" s="38" t="s">
        <v>233</v>
      </c>
      <c r="C73" s="38" t="s">
        <v>234</v>
      </c>
      <c r="D73" s="37" t="s">
        <v>235</v>
      </c>
      <c r="E73" s="39" t="s">
        <v>232</v>
      </c>
      <c r="F73" s="40">
        <v>396</v>
      </c>
      <c r="G73" s="40">
        <v>20</v>
      </c>
      <c r="H73" s="40">
        <f t="shared" si="0"/>
        <v>416</v>
      </c>
      <c r="I73" s="40">
        <f>+H73*12-60</f>
        <v>4932</v>
      </c>
      <c r="J73" s="40">
        <f t="shared" si="3"/>
        <v>416</v>
      </c>
      <c r="K73" s="40">
        <f t="shared" si="4"/>
        <v>336.96000000000004</v>
      </c>
      <c r="L73" s="40">
        <v>0</v>
      </c>
      <c r="M73" s="40">
        <f t="shared" si="5"/>
        <v>374.4</v>
      </c>
      <c r="N73" s="40">
        <f t="shared" si="1"/>
        <v>711.36</v>
      </c>
      <c r="O73" s="41">
        <f t="shared" si="2"/>
        <v>6059.36</v>
      </c>
    </row>
    <row r="74" spans="1:15" ht="19.5">
      <c r="A74" s="37">
        <v>25</v>
      </c>
      <c r="B74" s="38" t="s">
        <v>236</v>
      </c>
      <c r="C74" s="38" t="s">
        <v>237</v>
      </c>
      <c r="D74" s="37" t="s">
        <v>235</v>
      </c>
      <c r="E74" s="39" t="s">
        <v>232</v>
      </c>
      <c r="F74" s="40">
        <v>396</v>
      </c>
      <c r="G74" s="40">
        <v>20</v>
      </c>
      <c r="H74" s="40">
        <f t="shared" si="0"/>
        <v>416</v>
      </c>
      <c r="I74" s="40">
        <f>+H74*12-60</f>
        <v>4932</v>
      </c>
      <c r="J74" s="40">
        <f t="shared" si="3"/>
        <v>416</v>
      </c>
      <c r="K74" s="40">
        <f t="shared" si="4"/>
        <v>336.96000000000004</v>
      </c>
      <c r="L74" s="40">
        <v>0</v>
      </c>
      <c r="M74" s="40">
        <f t="shared" si="5"/>
        <v>374.4</v>
      </c>
      <c r="N74" s="40">
        <f t="shared" si="1"/>
        <v>711.36</v>
      </c>
      <c r="O74" s="41">
        <f t="shared" si="2"/>
        <v>6059.36</v>
      </c>
    </row>
    <row r="75" spans="1:15" ht="19.5">
      <c r="A75" s="37">
        <v>26</v>
      </c>
      <c r="B75" s="38" t="s">
        <v>238</v>
      </c>
      <c r="C75" s="38" t="s">
        <v>239</v>
      </c>
      <c r="D75" s="37" t="s">
        <v>240</v>
      </c>
      <c r="E75" s="39" t="s">
        <v>241</v>
      </c>
      <c r="F75" s="40">
        <v>600</v>
      </c>
      <c r="G75" s="40">
        <v>0</v>
      </c>
      <c r="H75" s="40">
        <v>600</v>
      </c>
      <c r="I75" s="40">
        <f>+H75*12</f>
        <v>7200</v>
      </c>
      <c r="J75" s="40">
        <f t="shared" si="3"/>
        <v>600</v>
      </c>
      <c r="K75" s="40">
        <f t="shared" si="4"/>
        <v>486</v>
      </c>
      <c r="L75" s="40">
        <v>0</v>
      </c>
      <c r="M75" s="40">
        <f t="shared" si="5"/>
        <v>540</v>
      </c>
      <c r="N75" s="40">
        <f t="shared" si="1"/>
        <v>1026</v>
      </c>
      <c r="O75" s="41">
        <f t="shared" si="2"/>
        <v>8826</v>
      </c>
    </row>
    <row r="76" spans="1:15" ht="19.5">
      <c r="A76" s="37">
        <v>27</v>
      </c>
      <c r="B76" s="38" t="s">
        <v>242</v>
      </c>
      <c r="C76" s="38" t="s">
        <v>243</v>
      </c>
      <c r="D76" s="37" t="s">
        <v>240</v>
      </c>
      <c r="E76" s="39" t="s">
        <v>241</v>
      </c>
      <c r="F76" s="40">
        <v>396</v>
      </c>
      <c r="G76" s="40">
        <v>20</v>
      </c>
      <c r="H76" s="40">
        <f t="shared" ref="H76:H90" si="6">+F76+G76</f>
        <v>416</v>
      </c>
      <c r="I76" s="40">
        <f t="shared" ref="I76:I81" si="7">+H76*12-60</f>
        <v>4932</v>
      </c>
      <c r="J76" s="40">
        <f t="shared" si="3"/>
        <v>416</v>
      </c>
      <c r="K76" s="40">
        <f t="shared" si="4"/>
        <v>336.96000000000004</v>
      </c>
      <c r="L76" s="40">
        <v>0</v>
      </c>
      <c r="M76" s="40">
        <f t="shared" si="5"/>
        <v>374.4</v>
      </c>
      <c r="N76" s="40">
        <f t="shared" si="1"/>
        <v>711.36</v>
      </c>
      <c r="O76" s="41">
        <f t="shared" si="2"/>
        <v>6059.36</v>
      </c>
    </row>
    <row r="77" spans="1:15" ht="19.5">
      <c r="A77" s="37">
        <v>28</v>
      </c>
      <c r="B77" s="38" t="s">
        <v>244</v>
      </c>
      <c r="C77" s="38" t="s">
        <v>245</v>
      </c>
      <c r="D77" s="37" t="s">
        <v>246</v>
      </c>
      <c r="E77" s="39" t="s">
        <v>247</v>
      </c>
      <c r="F77" s="40">
        <v>420</v>
      </c>
      <c r="G77" s="40">
        <v>20</v>
      </c>
      <c r="H77" s="40">
        <f t="shared" si="6"/>
        <v>440</v>
      </c>
      <c r="I77" s="40">
        <f t="shared" si="7"/>
        <v>5220</v>
      </c>
      <c r="J77" s="40">
        <f t="shared" si="3"/>
        <v>440</v>
      </c>
      <c r="K77" s="40">
        <f t="shared" si="4"/>
        <v>356.40000000000003</v>
      </c>
      <c r="L77" s="40">
        <v>0</v>
      </c>
      <c r="M77" s="40">
        <f t="shared" si="5"/>
        <v>396</v>
      </c>
      <c r="N77" s="40">
        <f t="shared" si="1"/>
        <v>752.40000000000009</v>
      </c>
      <c r="O77" s="41">
        <f t="shared" si="2"/>
        <v>6412.4</v>
      </c>
    </row>
    <row r="78" spans="1:15" ht="34.5" customHeight="1">
      <c r="A78" s="37">
        <v>29</v>
      </c>
      <c r="B78" s="38" t="s">
        <v>248</v>
      </c>
      <c r="C78" s="46" t="s">
        <v>249</v>
      </c>
      <c r="D78" s="37" t="s">
        <v>246</v>
      </c>
      <c r="E78" s="39" t="s">
        <v>250</v>
      </c>
      <c r="F78" s="40">
        <v>396</v>
      </c>
      <c r="G78" s="40">
        <v>20</v>
      </c>
      <c r="H78" s="40">
        <f t="shared" si="6"/>
        <v>416</v>
      </c>
      <c r="I78" s="40">
        <f t="shared" si="7"/>
        <v>4932</v>
      </c>
      <c r="J78" s="40">
        <f t="shared" si="3"/>
        <v>416</v>
      </c>
      <c r="K78" s="40">
        <f t="shared" si="4"/>
        <v>336.96000000000004</v>
      </c>
      <c r="L78" s="40">
        <v>0</v>
      </c>
      <c r="M78" s="40">
        <f t="shared" si="5"/>
        <v>374.4</v>
      </c>
      <c r="N78" s="40">
        <f t="shared" si="1"/>
        <v>711.36</v>
      </c>
      <c r="O78" s="41">
        <f t="shared" si="2"/>
        <v>6059.36</v>
      </c>
    </row>
    <row r="79" spans="1:15" ht="19.5">
      <c r="A79" s="37">
        <v>30</v>
      </c>
      <c r="B79" s="38"/>
      <c r="C79" s="38" t="s">
        <v>251</v>
      </c>
      <c r="D79" s="42" t="s">
        <v>252</v>
      </c>
      <c r="E79" s="39" t="s">
        <v>253</v>
      </c>
      <c r="F79" s="40">
        <v>300</v>
      </c>
      <c r="G79" s="40">
        <v>20</v>
      </c>
      <c r="H79" s="40">
        <f t="shared" si="6"/>
        <v>320</v>
      </c>
      <c r="I79" s="40">
        <f t="shared" si="7"/>
        <v>3780</v>
      </c>
      <c r="J79" s="40">
        <f t="shared" si="3"/>
        <v>320</v>
      </c>
      <c r="K79" s="40">
        <f t="shared" si="4"/>
        <v>259.20000000000005</v>
      </c>
      <c r="L79" s="40">
        <v>0</v>
      </c>
      <c r="M79" s="40">
        <f t="shared" si="5"/>
        <v>288</v>
      </c>
      <c r="N79" s="40">
        <f t="shared" si="1"/>
        <v>547.20000000000005</v>
      </c>
      <c r="O79" s="41">
        <f t="shared" si="2"/>
        <v>4647.2</v>
      </c>
    </row>
    <row r="80" spans="1:15" ht="19.5">
      <c r="A80" s="37">
        <v>31</v>
      </c>
      <c r="B80" s="38" t="s">
        <v>254</v>
      </c>
      <c r="C80" s="38" t="s">
        <v>255</v>
      </c>
      <c r="D80" s="37" t="s">
        <v>190</v>
      </c>
      <c r="E80" s="39" t="s">
        <v>256</v>
      </c>
      <c r="F80" s="40">
        <v>370</v>
      </c>
      <c r="G80" s="40">
        <v>20</v>
      </c>
      <c r="H80" s="40">
        <f t="shared" si="6"/>
        <v>390</v>
      </c>
      <c r="I80" s="40">
        <f t="shared" si="7"/>
        <v>4620</v>
      </c>
      <c r="J80" s="40">
        <f t="shared" si="3"/>
        <v>390</v>
      </c>
      <c r="K80" s="40">
        <f t="shared" si="4"/>
        <v>315.90000000000003</v>
      </c>
      <c r="L80" s="40">
        <v>0</v>
      </c>
      <c r="M80" s="40">
        <f t="shared" si="5"/>
        <v>351</v>
      </c>
      <c r="N80" s="40">
        <f t="shared" si="1"/>
        <v>666.90000000000009</v>
      </c>
      <c r="O80" s="41">
        <f t="shared" si="2"/>
        <v>5676.9</v>
      </c>
    </row>
    <row r="81" spans="1:15" ht="19.5">
      <c r="A81" s="37">
        <v>32</v>
      </c>
      <c r="B81" s="38" t="s">
        <v>257</v>
      </c>
      <c r="C81" s="37" t="s">
        <v>258</v>
      </c>
      <c r="D81" s="37" t="s">
        <v>190</v>
      </c>
      <c r="E81" s="39" t="s">
        <v>259</v>
      </c>
      <c r="F81" s="40">
        <v>380</v>
      </c>
      <c r="G81" s="40">
        <v>40</v>
      </c>
      <c r="H81" s="40">
        <f t="shared" si="6"/>
        <v>420</v>
      </c>
      <c r="I81" s="40">
        <f t="shared" si="7"/>
        <v>4980</v>
      </c>
      <c r="J81" s="40">
        <f t="shared" si="3"/>
        <v>420</v>
      </c>
      <c r="K81" s="40">
        <f t="shared" si="4"/>
        <v>340.20000000000005</v>
      </c>
      <c r="L81" s="40">
        <v>0</v>
      </c>
      <c r="M81" s="40">
        <f t="shared" si="5"/>
        <v>378</v>
      </c>
      <c r="N81" s="40">
        <f t="shared" si="1"/>
        <v>718.2</v>
      </c>
      <c r="O81" s="41">
        <f t="shared" si="2"/>
        <v>6118.2</v>
      </c>
    </row>
    <row r="82" spans="1:15" ht="19.5">
      <c r="A82" s="37">
        <v>33</v>
      </c>
      <c r="B82" s="38" t="s">
        <v>260</v>
      </c>
      <c r="C82" s="38" t="s">
        <v>261</v>
      </c>
      <c r="D82" s="37" t="s">
        <v>190</v>
      </c>
      <c r="E82" s="39" t="s">
        <v>259</v>
      </c>
      <c r="F82" s="40">
        <v>450</v>
      </c>
      <c r="G82" s="40">
        <v>0</v>
      </c>
      <c r="H82" s="40">
        <f t="shared" si="6"/>
        <v>450</v>
      </c>
      <c r="I82" s="40">
        <f>+H82*12</f>
        <v>5400</v>
      </c>
      <c r="J82" s="40">
        <f t="shared" si="3"/>
        <v>450</v>
      </c>
      <c r="K82" s="40">
        <f t="shared" si="4"/>
        <v>364.50000000000006</v>
      </c>
      <c r="L82" s="40">
        <v>0</v>
      </c>
      <c r="M82" s="40">
        <f t="shared" si="5"/>
        <v>405</v>
      </c>
      <c r="N82" s="40">
        <f t="shared" si="1"/>
        <v>769.5</v>
      </c>
      <c r="O82" s="41">
        <f t="shared" si="2"/>
        <v>6619.5</v>
      </c>
    </row>
    <row r="83" spans="1:15" ht="19.5">
      <c r="A83" s="37">
        <v>34</v>
      </c>
      <c r="B83" s="38" t="s">
        <v>262</v>
      </c>
      <c r="C83" s="38" t="s">
        <v>263</v>
      </c>
      <c r="D83" s="37" t="s">
        <v>264</v>
      </c>
      <c r="E83" s="39" t="s">
        <v>265</v>
      </c>
      <c r="F83" s="40">
        <v>600</v>
      </c>
      <c r="G83" s="40">
        <v>0</v>
      </c>
      <c r="H83" s="40">
        <f t="shared" si="6"/>
        <v>600</v>
      </c>
      <c r="I83" s="40">
        <f>+H83*12</f>
        <v>7200</v>
      </c>
      <c r="J83" s="40">
        <f t="shared" si="3"/>
        <v>600</v>
      </c>
      <c r="K83" s="40">
        <f t="shared" si="4"/>
        <v>486</v>
      </c>
      <c r="L83" s="40">
        <v>0</v>
      </c>
      <c r="M83" s="40">
        <f t="shared" si="5"/>
        <v>540</v>
      </c>
      <c r="N83" s="40">
        <f t="shared" si="1"/>
        <v>1026</v>
      </c>
      <c r="O83" s="41">
        <f t="shared" si="2"/>
        <v>8826</v>
      </c>
    </row>
    <row r="84" spans="1:15" ht="19.5">
      <c r="A84" s="37">
        <v>35</v>
      </c>
      <c r="B84" s="38" t="s">
        <v>266</v>
      </c>
      <c r="C84" s="38" t="s">
        <v>267</v>
      </c>
      <c r="D84" s="37" t="s">
        <v>264</v>
      </c>
      <c r="E84" s="39" t="s">
        <v>265</v>
      </c>
      <c r="F84" s="40">
        <v>360</v>
      </c>
      <c r="G84" s="40">
        <v>20</v>
      </c>
      <c r="H84" s="40">
        <f t="shared" si="6"/>
        <v>380</v>
      </c>
      <c r="I84" s="40">
        <f>+H84*12-60</f>
        <v>4500</v>
      </c>
      <c r="J84" s="40">
        <f t="shared" si="3"/>
        <v>380</v>
      </c>
      <c r="K84" s="40">
        <f t="shared" si="4"/>
        <v>307.8</v>
      </c>
      <c r="L84" s="40">
        <v>0</v>
      </c>
      <c r="M84" s="40">
        <f t="shared" si="5"/>
        <v>342</v>
      </c>
      <c r="N84" s="40">
        <f t="shared" si="1"/>
        <v>649.79999999999995</v>
      </c>
      <c r="O84" s="41">
        <f t="shared" si="2"/>
        <v>5529.8</v>
      </c>
    </row>
    <row r="85" spans="1:15" ht="78">
      <c r="A85" s="37">
        <v>37</v>
      </c>
      <c r="B85" s="38" t="s">
        <v>269</v>
      </c>
      <c r="C85" s="46" t="s">
        <v>800</v>
      </c>
      <c r="D85" s="37" t="s">
        <v>264</v>
      </c>
      <c r="E85" s="39" t="s">
        <v>265</v>
      </c>
      <c r="F85" s="40">
        <v>366</v>
      </c>
      <c r="G85" s="40">
        <v>0</v>
      </c>
      <c r="H85" s="40">
        <f t="shared" si="6"/>
        <v>366</v>
      </c>
      <c r="I85" s="40">
        <f>+H85*12</f>
        <v>4392</v>
      </c>
      <c r="J85" s="40">
        <f t="shared" si="3"/>
        <v>366</v>
      </c>
      <c r="K85" s="40">
        <f t="shared" si="4"/>
        <v>296.46000000000004</v>
      </c>
      <c r="L85" s="40">
        <v>0</v>
      </c>
      <c r="M85" s="40">
        <f t="shared" si="5"/>
        <v>329.4</v>
      </c>
      <c r="N85" s="40">
        <f t="shared" si="1"/>
        <v>625.86</v>
      </c>
      <c r="O85" s="41">
        <f t="shared" si="2"/>
        <v>5383.86</v>
      </c>
    </row>
    <row r="86" spans="1:15" ht="19.5">
      <c r="A86" s="37">
        <v>38</v>
      </c>
      <c r="B86" s="47" t="s">
        <v>270</v>
      </c>
      <c r="C86" s="48" t="s">
        <v>271</v>
      </c>
      <c r="E86" s="39" t="s">
        <v>272</v>
      </c>
      <c r="F86" s="49">
        <v>1000</v>
      </c>
      <c r="G86" s="49">
        <v>0</v>
      </c>
      <c r="H86" s="40">
        <f t="shared" si="6"/>
        <v>1000</v>
      </c>
      <c r="I86" s="40">
        <f>+H86*12</f>
        <v>12000</v>
      </c>
      <c r="J86" s="40">
        <f t="shared" si="3"/>
        <v>1000</v>
      </c>
      <c r="K86" s="40">
        <f t="shared" si="4"/>
        <v>810</v>
      </c>
      <c r="L86" s="40">
        <v>0</v>
      </c>
      <c r="M86" s="40">
        <f t="shared" si="5"/>
        <v>900</v>
      </c>
      <c r="N86" s="40">
        <f t="shared" si="1"/>
        <v>1710</v>
      </c>
      <c r="O86" s="41">
        <f t="shared" si="2"/>
        <v>14710</v>
      </c>
    </row>
    <row r="87" spans="1:15" ht="22.5" customHeight="1">
      <c r="A87" s="37">
        <v>39</v>
      </c>
      <c r="B87" s="38" t="s">
        <v>273</v>
      </c>
      <c r="C87" s="46" t="s">
        <v>274</v>
      </c>
      <c r="D87" s="42"/>
      <c r="E87" s="39" t="s">
        <v>272</v>
      </c>
      <c r="F87" s="40">
        <v>850</v>
      </c>
      <c r="G87" s="40">
        <v>0</v>
      </c>
      <c r="H87" s="40">
        <f t="shared" si="6"/>
        <v>850</v>
      </c>
      <c r="I87" s="40">
        <f>+H87*12</f>
        <v>10200</v>
      </c>
      <c r="J87" s="40">
        <f t="shared" si="3"/>
        <v>850</v>
      </c>
      <c r="K87" s="40">
        <f t="shared" si="4"/>
        <v>688.50000000000011</v>
      </c>
      <c r="L87" s="40">
        <v>0</v>
      </c>
      <c r="M87" s="40">
        <f>685.71*7.5%*12</f>
        <v>617.13900000000001</v>
      </c>
      <c r="N87" s="40">
        <f t="shared" si="1"/>
        <v>1305.6390000000001</v>
      </c>
      <c r="O87" s="41">
        <f t="shared" si="2"/>
        <v>12355.64</v>
      </c>
    </row>
    <row r="88" spans="1:15" ht="19.5">
      <c r="A88" s="37">
        <v>40</v>
      </c>
      <c r="B88" s="38"/>
      <c r="C88" s="38"/>
      <c r="D88" s="42"/>
      <c r="E88" s="39" t="s">
        <v>272</v>
      </c>
      <c r="F88" s="40">
        <v>600</v>
      </c>
      <c r="G88" s="40">
        <v>0</v>
      </c>
      <c r="H88" s="40">
        <f t="shared" si="6"/>
        <v>600</v>
      </c>
      <c r="I88" s="40">
        <f>+H88*10</f>
        <v>6000</v>
      </c>
      <c r="J88" s="40">
        <f t="shared" si="3"/>
        <v>600</v>
      </c>
      <c r="K88" s="40">
        <f t="shared" si="4"/>
        <v>486</v>
      </c>
      <c r="L88" s="40">
        <v>0</v>
      </c>
      <c r="M88" s="40">
        <f>685.71*7.5%*12</f>
        <v>617.13900000000001</v>
      </c>
      <c r="N88" s="40">
        <f t="shared" si="1"/>
        <v>1103.1390000000001</v>
      </c>
      <c r="O88" s="41">
        <f t="shared" si="2"/>
        <v>7703.14</v>
      </c>
    </row>
    <row r="89" spans="1:15" ht="19.5">
      <c r="A89" s="37">
        <v>41</v>
      </c>
      <c r="B89" s="38" t="s">
        <v>275</v>
      </c>
      <c r="C89" s="38" t="s">
        <v>276</v>
      </c>
      <c r="D89" s="42" t="s">
        <v>277</v>
      </c>
      <c r="E89" s="39" t="s">
        <v>278</v>
      </c>
      <c r="F89" s="40">
        <v>370</v>
      </c>
      <c r="G89" s="40">
        <v>20</v>
      </c>
      <c r="H89" s="40">
        <f t="shared" si="6"/>
        <v>390</v>
      </c>
      <c r="I89" s="40">
        <f>+H89*12-60</f>
        <v>4620</v>
      </c>
      <c r="J89" s="40">
        <f t="shared" si="3"/>
        <v>390</v>
      </c>
      <c r="K89" s="40">
        <f t="shared" si="4"/>
        <v>315.90000000000003</v>
      </c>
      <c r="L89" s="40">
        <v>0</v>
      </c>
      <c r="M89" s="40">
        <f t="shared" ref="M89:M97" si="8">+J89*7.5%*12</f>
        <v>351</v>
      </c>
      <c r="N89" s="40">
        <f t="shared" si="1"/>
        <v>666.90000000000009</v>
      </c>
      <c r="O89" s="41">
        <f t="shared" si="2"/>
        <v>5676.9</v>
      </c>
    </row>
    <row r="90" spans="1:15" ht="19.5">
      <c r="A90" s="37">
        <v>42</v>
      </c>
      <c r="B90" s="38" t="s">
        <v>279</v>
      </c>
      <c r="C90" s="38" t="s">
        <v>276</v>
      </c>
      <c r="D90" s="42" t="s">
        <v>277</v>
      </c>
      <c r="E90" s="39" t="s">
        <v>278</v>
      </c>
      <c r="F90" s="40">
        <v>370</v>
      </c>
      <c r="G90" s="40">
        <v>20</v>
      </c>
      <c r="H90" s="40">
        <f t="shared" si="6"/>
        <v>390</v>
      </c>
      <c r="I90" s="40">
        <f>+H90*12-60</f>
        <v>4620</v>
      </c>
      <c r="J90" s="40">
        <f t="shared" si="3"/>
        <v>390</v>
      </c>
      <c r="K90" s="40">
        <f t="shared" si="4"/>
        <v>315.90000000000003</v>
      </c>
      <c r="L90" s="40">
        <v>0</v>
      </c>
      <c r="M90" s="40">
        <f t="shared" si="8"/>
        <v>351</v>
      </c>
      <c r="N90" s="40">
        <f t="shared" si="1"/>
        <v>666.90000000000009</v>
      </c>
      <c r="O90" s="41">
        <f t="shared" si="2"/>
        <v>5676.9</v>
      </c>
    </row>
    <row r="91" spans="1:15" ht="19.5">
      <c r="A91" s="37">
        <v>43</v>
      </c>
      <c r="B91" s="38" t="s">
        <v>802</v>
      </c>
      <c r="C91" s="38" t="s">
        <v>280</v>
      </c>
      <c r="D91" s="42" t="s">
        <v>277</v>
      </c>
      <c r="E91" s="39" t="s">
        <v>278</v>
      </c>
      <c r="F91" s="40">
        <v>1000</v>
      </c>
      <c r="G91" s="40">
        <v>0</v>
      </c>
      <c r="H91" s="40">
        <v>1000</v>
      </c>
      <c r="I91" s="40">
        <f>+H91*12</f>
        <v>12000</v>
      </c>
      <c r="J91" s="40">
        <f t="shared" si="3"/>
        <v>1000</v>
      </c>
      <c r="K91" s="40">
        <f t="shared" si="4"/>
        <v>810</v>
      </c>
      <c r="L91" s="40">
        <v>0</v>
      </c>
      <c r="M91" s="40">
        <f t="shared" si="8"/>
        <v>900</v>
      </c>
      <c r="N91" s="40">
        <f t="shared" si="1"/>
        <v>1710</v>
      </c>
      <c r="O91" s="41">
        <f t="shared" si="2"/>
        <v>14710</v>
      </c>
    </row>
    <row r="92" spans="1:15" ht="19.5">
      <c r="A92" s="37">
        <v>44</v>
      </c>
      <c r="B92" s="38" t="s">
        <v>281</v>
      </c>
      <c r="C92" s="38" t="s">
        <v>282</v>
      </c>
      <c r="D92" s="42" t="s">
        <v>277</v>
      </c>
      <c r="E92" s="39" t="s">
        <v>278</v>
      </c>
      <c r="F92" s="40">
        <v>346</v>
      </c>
      <c r="G92" s="40">
        <v>20</v>
      </c>
      <c r="H92" s="40">
        <f t="shared" ref="H92:H97" si="9">+F92+G92</f>
        <v>366</v>
      </c>
      <c r="I92" s="40">
        <f t="shared" ref="I92:I97" si="10">+H92*12-60</f>
        <v>4332</v>
      </c>
      <c r="J92" s="40">
        <f t="shared" si="3"/>
        <v>366</v>
      </c>
      <c r="K92" s="40">
        <f t="shared" si="4"/>
        <v>296.46000000000004</v>
      </c>
      <c r="L92" s="40">
        <v>0</v>
      </c>
      <c r="M92" s="40">
        <f t="shared" si="8"/>
        <v>329.4</v>
      </c>
      <c r="N92" s="40">
        <f t="shared" si="1"/>
        <v>625.86</v>
      </c>
      <c r="O92" s="41">
        <f t="shared" si="2"/>
        <v>5323.86</v>
      </c>
    </row>
    <row r="93" spans="1:15" ht="19.5">
      <c r="A93" s="37">
        <v>45</v>
      </c>
      <c r="B93" s="38" t="s">
        <v>283</v>
      </c>
      <c r="C93" s="38" t="s">
        <v>284</v>
      </c>
      <c r="D93" s="42" t="s">
        <v>277</v>
      </c>
      <c r="E93" s="39" t="s">
        <v>278</v>
      </c>
      <c r="F93" s="40">
        <v>346</v>
      </c>
      <c r="G93" s="40">
        <v>20</v>
      </c>
      <c r="H93" s="40">
        <f t="shared" si="9"/>
        <v>366</v>
      </c>
      <c r="I93" s="40">
        <f t="shared" si="10"/>
        <v>4332</v>
      </c>
      <c r="J93" s="40">
        <f t="shared" si="3"/>
        <v>366</v>
      </c>
      <c r="K93" s="40">
        <f t="shared" si="4"/>
        <v>296.46000000000004</v>
      </c>
      <c r="L93" s="40">
        <v>0</v>
      </c>
      <c r="M93" s="40">
        <f t="shared" si="8"/>
        <v>329.4</v>
      </c>
      <c r="N93" s="40">
        <f t="shared" si="1"/>
        <v>625.86</v>
      </c>
      <c r="O93" s="41">
        <f t="shared" si="2"/>
        <v>5323.86</v>
      </c>
    </row>
    <row r="94" spans="1:15" ht="19.5">
      <c r="A94" s="37">
        <v>46</v>
      </c>
      <c r="B94" s="38" t="s">
        <v>285</v>
      </c>
      <c r="C94" s="38" t="s">
        <v>286</v>
      </c>
      <c r="D94" s="37" t="s">
        <v>190</v>
      </c>
      <c r="E94" s="39" t="s">
        <v>287</v>
      </c>
      <c r="F94" s="40">
        <v>400</v>
      </c>
      <c r="G94" s="40">
        <v>20</v>
      </c>
      <c r="H94" s="40">
        <f t="shared" si="9"/>
        <v>420</v>
      </c>
      <c r="I94" s="40">
        <f t="shared" si="10"/>
        <v>4980</v>
      </c>
      <c r="J94" s="40">
        <f t="shared" si="3"/>
        <v>420</v>
      </c>
      <c r="K94" s="40">
        <f t="shared" si="4"/>
        <v>340.20000000000005</v>
      </c>
      <c r="L94" s="40">
        <v>0</v>
      </c>
      <c r="M94" s="40">
        <f t="shared" si="8"/>
        <v>378</v>
      </c>
      <c r="N94" s="40">
        <f t="shared" si="1"/>
        <v>718.2</v>
      </c>
      <c r="O94" s="41">
        <f t="shared" si="2"/>
        <v>6118.2</v>
      </c>
    </row>
    <row r="95" spans="1:15" ht="19.5">
      <c r="A95" s="37">
        <v>60</v>
      </c>
      <c r="B95" s="38" t="s">
        <v>309</v>
      </c>
      <c r="C95" s="38" t="s">
        <v>310</v>
      </c>
      <c r="D95" s="42" t="s">
        <v>311</v>
      </c>
      <c r="E95" s="39" t="s">
        <v>312</v>
      </c>
      <c r="F95" s="40">
        <v>420</v>
      </c>
      <c r="G95" s="40">
        <v>20</v>
      </c>
      <c r="H95" s="40">
        <f t="shared" si="9"/>
        <v>440</v>
      </c>
      <c r="I95" s="40">
        <f t="shared" si="10"/>
        <v>5220</v>
      </c>
      <c r="J95" s="40">
        <f t="shared" si="3"/>
        <v>440</v>
      </c>
      <c r="K95" s="40">
        <f t="shared" si="4"/>
        <v>356.40000000000003</v>
      </c>
      <c r="L95" s="40">
        <v>0</v>
      </c>
      <c r="M95" s="40">
        <f t="shared" si="8"/>
        <v>396</v>
      </c>
      <c r="N95" s="40">
        <f t="shared" si="1"/>
        <v>752.40000000000009</v>
      </c>
      <c r="O95" s="41">
        <f t="shared" si="2"/>
        <v>6412.4</v>
      </c>
    </row>
    <row r="96" spans="1:15" ht="19.5">
      <c r="A96" s="37">
        <v>61</v>
      </c>
      <c r="B96" s="38" t="s">
        <v>313</v>
      </c>
      <c r="C96" s="38" t="s">
        <v>314</v>
      </c>
      <c r="D96" s="42" t="s">
        <v>311</v>
      </c>
      <c r="E96" s="39" t="s">
        <v>312</v>
      </c>
      <c r="F96" s="40">
        <v>396</v>
      </c>
      <c r="G96" s="40">
        <v>20</v>
      </c>
      <c r="H96" s="40">
        <f t="shared" si="9"/>
        <v>416</v>
      </c>
      <c r="I96" s="40">
        <f t="shared" si="10"/>
        <v>4932</v>
      </c>
      <c r="J96" s="40">
        <f t="shared" si="3"/>
        <v>416</v>
      </c>
      <c r="K96" s="40">
        <f t="shared" si="4"/>
        <v>336.96000000000004</v>
      </c>
      <c r="L96" s="40">
        <v>0</v>
      </c>
      <c r="M96" s="40">
        <f t="shared" si="8"/>
        <v>374.4</v>
      </c>
      <c r="N96" s="40">
        <f t="shared" si="1"/>
        <v>711.36</v>
      </c>
      <c r="O96" s="41">
        <f t="shared" si="2"/>
        <v>6059.36</v>
      </c>
    </row>
    <row r="97" spans="1:15" ht="19.5">
      <c r="A97" s="37">
        <v>62</v>
      </c>
      <c r="B97" s="38" t="s">
        <v>315</v>
      </c>
      <c r="C97" s="38" t="s">
        <v>316</v>
      </c>
      <c r="D97" s="37"/>
      <c r="E97" s="39" t="s">
        <v>317</v>
      </c>
      <c r="F97" s="40">
        <v>396</v>
      </c>
      <c r="G97" s="40">
        <v>20</v>
      </c>
      <c r="H97" s="40">
        <f t="shared" si="9"/>
        <v>416</v>
      </c>
      <c r="I97" s="40">
        <f t="shared" si="10"/>
        <v>4932</v>
      </c>
      <c r="J97" s="40">
        <f t="shared" si="3"/>
        <v>416</v>
      </c>
      <c r="K97" s="40">
        <f t="shared" si="4"/>
        <v>336.96000000000004</v>
      </c>
      <c r="L97" s="40">
        <v>0</v>
      </c>
      <c r="M97" s="40">
        <f t="shared" si="8"/>
        <v>374.4</v>
      </c>
      <c r="N97" s="40">
        <f t="shared" si="1"/>
        <v>711.36</v>
      </c>
      <c r="O97" s="41">
        <f t="shared" si="2"/>
        <v>6059.36</v>
      </c>
    </row>
    <row r="98" spans="1:15" ht="19.5">
      <c r="A98" s="37">
        <v>63</v>
      </c>
      <c r="B98" s="38" t="s">
        <v>318</v>
      </c>
      <c r="C98" s="38" t="s">
        <v>319</v>
      </c>
      <c r="D98" s="42" t="s">
        <v>320</v>
      </c>
      <c r="E98" s="39" t="s">
        <v>321</v>
      </c>
      <c r="F98" s="40">
        <v>610</v>
      </c>
      <c r="G98" s="40">
        <v>0</v>
      </c>
      <c r="H98" s="40">
        <f t="shared" ref="H98:H112" si="11">+F98+G98</f>
        <v>610</v>
      </c>
      <c r="I98" s="40">
        <f>+H98*12</f>
        <v>7320</v>
      </c>
      <c r="J98" s="40">
        <f t="shared" ref="J98:J112" si="12">+H98</f>
        <v>610</v>
      </c>
      <c r="K98" s="40">
        <f t="shared" ref="K98:K112" si="13">+J98*6.75%*12</f>
        <v>494.1</v>
      </c>
      <c r="L98" s="40">
        <v>0</v>
      </c>
      <c r="M98" s="40">
        <f t="shared" ref="M98:M112" si="14">+J98*7.5%*12</f>
        <v>549</v>
      </c>
      <c r="N98" s="40">
        <f t="shared" ref="N98:N112" si="15">SUM(K98:M98)</f>
        <v>1043.0999999999999</v>
      </c>
      <c r="O98" s="41">
        <f t="shared" ref="O98:O112" si="16">ROUND((+I98+J98+N98),2)</f>
        <v>8973.1</v>
      </c>
    </row>
    <row r="99" spans="1:15" ht="19.5">
      <c r="A99" s="37">
        <v>64</v>
      </c>
      <c r="B99" s="38" t="s">
        <v>322</v>
      </c>
      <c r="C99" s="38" t="s">
        <v>323</v>
      </c>
      <c r="D99" s="42" t="s">
        <v>320</v>
      </c>
      <c r="E99" s="39" t="s">
        <v>321</v>
      </c>
      <c r="F99" s="40">
        <v>340</v>
      </c>
      <c r="G99" s="40">
        <v>20</v>
      </c>
      <c r="H99" s="40">
        <f t="shared" si="11"/>
        <v>360</v>
      </c>
      <c r="I99" s="40">
        <f>+H99*12-60</f>
        <v>4260</v>
      </c>
      <c r="J99" s="40">
        <f t="shared" si="12"/>
        <v>360</v>
      </c>
      <c r="K99" s="40">
        <f t="shared" si="13"/>
        <v>291.60000000000002</v>
      </c>
      <c r="L99" s="40">
        <v>0</v>
      </c>
      <c r="M99" s="40">
        <f t="shared" si="14"/>
        <v>324</v>
      </c>
      <c r="N99" s="40">
        <f t="shared" si="15"/>
        <v>615.6</v>
      </c>
      <c r="O99" s="41">
        <f t="shared" si="16"/>
        <v>5235.6000000000004</v>
      </c>
    </row>
    <row r="100" spans="1:15" ht="19.5">
      <c r="A100" s="37">
        <v>65</v>
      </c>
      <c r="B100" s="38" t="s">
        <v>324</v>
      </c>
      <c r="C100" s="38" t="s">
        <v>295</v>
      </c>
      <c r="D100" s="42" t="s">
        <v>320</v>
      </c>
      <c r="E100" s="39" t="s">
        <v>321</v>
      </c>
      <c r="F100" s="40">
        <v>300</v>
      </c>
      <c r="G100" s="40">
        <v>20</v>
      </c>
      <c r="H100" s="40">
        <f t="shared" si="11"/>
        <v>320</v>
      </c>
      <c r="I100" s="40">
        <f t="shared" ref="I100:I112" si="17">+H100*12-60</f>
        <v>3780</v>
      </c>
      <c r="J100" s="40">
        <f t="shared" si="12"/>
        <v>320</v>
      </c>
      <c r="K100" s="40">
        <f t="shared" si="13"/>
        <v>259.20000000000005</v>
      </c>
      <c r="L100" s="40">
        <v>0</v>
      </c>
      <c r="M100" s="40">
        <f t="shared" si="14"/>
        <v>288</v>
      </c>
      <c r="N100" s="40">
        <f t="shared" si="15"/>
        <v>547.20000000000005</v>
      </c>
      <c r="O100" s="41">
        <f t="shared" si="16"/>
        <v>4647.2</v>
      </c>
    </row>
    <row r="101" spans="1:15" ht="19.5">
      <c r="A101" s="37">
        <v>66</v>
      </c>
      <c r="B101" s="38" t="s">
        <v>325</v>
      </c>
      <c r="C101" s="38" t="s">
        <v>326</v>
      </c>
      <c r="D101" s="42" t="s">
        <v>320</v>
      </c>
      <c r="E101" s="39" t="s">
        <v>321</v>
      </c>
      <c r="F101" s="40">
        <v>333</v>
      </c>
      <c r="G101" s="40">
        <v>20</v>
      </c>
      <c r="H101" s="40">
        <f t="shared" si="11"/>
        <v>353</v>
      </c>
      <c r="I101" s="40">
        <f t="shared" si="17"/>
        <v>4176</v>
      </c>
      <c r="J101" s="40">
        <f t="shared" si="12"/>
        <v>353</v>
      </c>
      <c r="K101" s="40">
        <f t="shared" si="13"/>
        <v>285.93</v>
      </c>
      <c r="L101" s="40">
        <v>0</v>
      </c>
      <c r="M101" s="40">
        <f t="shared" si="14"/>
        <v>317.7</v>
      </c>
      <c r="N101" s="40">
        <f t="shared" si="15"/>
        <v>603.63</v>
      </c>
      <c r="O101" s="41">
        <f t="shared" si="16"/>
        <v>5132.63</v>
      </c>
    </row>
    <row r="102" spans="1:15" ht="19.5">
      <c r="A102" s="37">
        <v>67</v>
      </c>
      <c r="B102" s="38" t="s">
        <v>327</v>
      </c>
      <c r="C102" s="38" t="s">
        <v>326</v>
      </c>
      <c r="D102" s="42" t="s">
        <v>320</v>
      </c>
      <c r="E102" s="39" t="s">
        <v>321</v>
      </c>
      <c r="F102" s="40">
        <v>333</v>
      </c>
      <c r="G102" s="40">
        <v>20</v>
      </c>
      <c r="H102" s="40">
        <f t="shared" si="11"/>
        <v>353</v>
      </c>
      <c r="I102" s="40">
        <f t="shared" si="17"/>
        <v>4176</v>
      </c>
      <c r="J102" s="40">
        <f t="shared" si="12"/>
        <v>353</v>
      </c>
      <c r="K102" s="40">
        <f t="shared" si="13"/>
        <v>285.93</v>
      </c>
      <c r="L102" s="40">
        <v>0</v>
      </c>
      <c r="M102" s="40">
        <f t="shared" si="14"/>
        <v>317.7</v>
      </c>
      <c r="N102" s="40">
        <f t="shared" si="15"/>
        <v>603.63</v>
      </c>
      <c r="O102" s="41">
        <f t="shared" si="16"/>
        <v>5132.63</v>
      </c>
    </row>
    <row r="103" spans="1:15" ht="19.5">
      <c r="A103" s="37">
        <v>68</v>
      </c>
      <c r="B103" s="38" t="s">
        <v>328</v>
      </c>
      <c r="C103" s="38" t="s">
        <v>329</v>
      </c>
      <c r="D103" s="42" t="s">
        <v>320</v>
      </c>
      <c r="E103" s="39" t="s">
        <v>321</v>
      </c>
      <c r="F103" s="40">
        <v>300</v>
      </c>
      <c r="G103" s="40">
        <v>20</v>
      </c>
      <c r="H103" s="40">
        <f t="shared" si="11"/>
        <v>320</v>
      </c>
      <c r="I103" s="40">
        <f t="shared" si="17"/>
        <v>3780</v>
      </c>
      <c r="J103" s="40">
        <f t="shared" si="12"/>
        <v>320</v>
      </c>
      <c r="K103" s="40">
        <f t="shared" si="13"/>
        <v>259.20000000000005</v>
      </c>
      <c r="L103" s="40">
        <v>0</v>
      </c>
      <c r="M103" s="40">
        <f t="shared" si="14"/>
        <v>288</v>
      </c>
      <c r="N103" s="40">
        <f t="shared" si="15"/>
        <v>547.20000000000005</v>
      </c>
      <c r="O103" s="41">
        <f t="shared" si="16"/>
        <v>4647.2</v>
      </c>
    </row>
    <row r="104" spans="1:15" ht="19.5">
      <c r="A104" s="37">
        <v>69</v>
      </c>
      <c r="B104" s="38" t="s">
        <v>415</v>
      </c>
      <c r="C104" s="38" t="s">
        <v>330</v>
      </c>
      <c r="D104" s="42" t="s">
        <v>320</v>
      </c>
      <c r="E104" s="39" t="s">
        <v>321</v>
      </c>
      <c r="F104" s="40">
        <v>300</v>
      </c>
      <c r="G104" s="40">
        <v>20</v>
      </c>
      <c r="H104" s="40">
        <f t="shared" si="11"/>
        <v>320</v>
      </c>
      <c r="I104" s="40">
        <f t="shared" si="17"/>
        <v>3780</v>
      </c>
      <c r="J104" s="40">
        <f t="shared" si="12"/>
        <v>320</v>
      </c>
      <c r="K104" s="40">
        <f t="shared" si="13"/>
        <v>259.20000000000005</v>
      </c>
      <c r="L104" s="40">
        <v>0</v>
      </c>
      <c r="M104" s="40">
        <f t="shared" si="14"/>
        <v>288</v>
      </c>
      <c r="N104" s="40">
        <f t="shared" si="15"/>
        <v>547.20000000000005</v>
      </c>
      <c r="O104" s="41">
        <f t="shared" si="16"/>
        <v>4647.2</v>
      </c>
    </row>
    <row r="105" spans="1:15" ht="19.5">
      <c r="A105" s="37">
        <v>70</v>
      </c>
      <c r="B105" s="38" t="s">
        <v>331</v>
      </c>
      <c r="C105" s="38" t="s">
        <v>332</v>
      </c>
      <c r="D105" s="42" t="s">
        <v>320</v>
      </c>
      <c r="E105" s="39" t="s">
        <v>321</v>
      </c>
      <c r="F105" s="40">
        <v>300</v>
      </c>
      <c r="G105" s="40">
        <v>20</v>
      </c>
      <c r="H105" s="40">
        <f t="shared" si="11"/>
        <v>320</v>
      </c>
      <c r="I105" s="40">
        <f t="shared" si="17"/>
        <v>3780</v>
      </c>
      <c r="J105" s="40">
        <f t="shared" si="12"/>
        <v>320</v>
      </c>
      <c r="K105" s="40">
        <f t="shared" si="13"/>
        <v>259.20000000000005</v>
      </c>
      <c r="L105" s="40">
        <v>0</v>
      </c>
      <c r="M105" s="40">
        <f t="shared" si="14"/>
        <v>288</v>
      </c>
      <c r="N105" s="40">
        <f t="shared" si="15"/>
        <v>547.20000000000005</v>
      </c>
      <c r="O105" s="41">
        <f t="shared" si="16"/>
        <v>4647.2</v>
      </c>
    </row>
    <row r="106" spans="1:15" ht="19.5">
      <c r="A106" s="37">
        <v>71</v>
      </c>
      <c r="B106" s="38" t="s">
        <v>333</v>
      </c>
      <c r="C106" s="38" t="s">
        <v>332</v>
      </c>
      <c r="D106" s="42" t="s">
        <v>320</v>
      </c>
      <c r="E106" s="39" t="s">
        <v>321</v>
      </c>
      <c r="F106" s="40">
        <v>300</v>
      </c>
      <c r="G106" s="40">
        <v>20</v>
      </c>
      <c r="H106" s="40">
        <f t="shared" si="11"/>
        <v>320</v>
      </c>
      <c r="I106" s="40">
        <f t="shared" si="17"/>
        <v>3780</v>
      </c>
      <c r="J106" s="40">
        <f t="shared" si="12"/>
        <v>320</v>
      </c>
      <c r="K106" s="40">
        <f t="shared" si="13"/>
        <v>259.20000000000005</v>
      </c>
      <c r="L106" s="40">
        <v>0</v>
      </c>
      <c r="M106" s="40">
        <f t="shared" si="14"/>
        <v>288</v>
      </c>
      <c r="N106" s="40">
        <f t="shared" si="15"/>
        <v>547.20000000000005</v>
      </c>
      <c r="O106" s="41">
        <f t="shared" si="16"/>
        <v>4647.2</v>
      </c>
    </row>
    <row r="107" spans="1:15" ht="19.5">
      <c r="A107" s="37">
        <v>72</v>
      </c>
      <c r="B107" s="38" t="s">
        <v>591</v>
      </c>
      <c r="C107" s="38" t="s">
        <v>592</v>
      </c>
      <c r="D107" s="42" t="s">
        <v>320</v>
      </c>
      <c r="E107" s="39" t="s">
        <v>321</v>
      </c>
      <c r="F107" s="40">
        <v>350</v>
      </c>
      <c r="G107" s="40">
        <v>20</v>
      </c>
      <c r="H107" s="40">
        <f t="shared" si="11"/>
        <v>370</v>
      </c>
      <c r="I107" s="40">
        <f t="shared" si="17"/>
        <v>4380</v>
      </c>
      <c r="J107" s="40">
        <f t="shared" si="12"/>
        <v>370</v>
      </c>
      <c r="K107" s="40">
        <f t="shared" si="13"/>
        <v>299.70000000000005</v>
      </c>
      <c r="L107" s="40"/>
      <c r="M107" s="40">
        <f t="shared" si="14"/>
        <v>333</v>
      </c>
      <c r="N107" s="40">
        <f t="shared" si="15"/>
        <v>632.70000000000005</v>
      </c>
      <c r="O107" s="41">
        <f t="shared" si="16"/>
        <v>5382.7</v>
      </c>
    </row>
    <row r="108" spans="1:15" ht="19.5">
      <c r="A108" s="37">
        <v>72</v>
      </c>
      <c r="B108" s="38" t="s">
        <v>334</v>
      </c>
      <c r="C108" s="38" t="s">
        <v>335</v>
      </c>
      <c r="D108" s="42" t="s">
        <v>320</v>
      </c>
      <c r="E108" s="39" t="s">
        <v>321</v>
      </c>
      <c r="F108" s="40">
        <v>300</v>
      </c>
      <c r="G108" s="40">
        <v>20</v>
      </c>
      <c r="H108" s="40">
        <f t="shared" si="11"/>
        <v>320</v>
      </c>
      <c r="I108" s="40">
        <f t="shared" si="17"/>
        <v>3780</v>
      </c>
      <c r="J108" s="40">
        <f t="shared" si="12"/>
        <v>320</v>
      </c>
      <c r="K108" s="40">
        <f t="shared" si="13"/>
        <v>259.20000000000005</v>
      </c>
      <c r="L108" s="40">
        <v>0</v>
      </c>
      <c r="M108" s="40">
        <f t="shared" si="14"/>
        <v>288</v>
      </c>
      <c r="N108" s="40">
        <f t="shared" si="15"/>
        <v>547.20000000000005</v>
      </c>
      <c r="O108" s="41">
        <f t="shared" si="16"/>
        <v>4647.2</v>
      </c>
    </row>
    <row r="109" spans="1:15" ht="19.5">
      <c r="A109" s="37">
        <v>73</v>
      </c>
      <c r="B109" s="38" t="s">
        <v>336</v>
      </c>
      <c r="C109" s="38" t="s">
        <v>329</v>
      </c>
      <c r="D109" s="42" t="s">
        <v>320</v>
      </c>
      <c r="E109" s="39" t="s">
        <v>321</v>
      </c>
      <c r="F109" s="40">
        <v>300</v>
      </c>
      <c r="G109" s="40">
        <v>20</v>
      </c>
      <c r="H109" s="40">
        <f t="shared" si="11"/>
        <v>320</v>
      </c>
      <c r="I109" s="40">
        <f t="shared" si="17"/>
        <v>3780</v>
      </c>
      <c r="J109" s="40">
        <f t="shared" si="12"/>
        <v>320</v>
      </c>
      <c r="K109" s="40">
        <f t="shared" si="13"/>
        <v>259.20000000000005</v>
      </c>
      <c r="L109" s="40">
        <v>0</v>
      </c>
      <c r="M109" s="40">
        <f t="shared" si="14"/>
        <v>288</v>
      </c>
      <c r="N109" s="40">
        <f t="shared" si="15"/>
        <v>547.20000000000005</v>
      </c>
      <c r="O109" s="41">
        <f t="shared" si="16"/>
        <v>4647.2</v>
      </c>
    </row>
    <row r="110" spans="1:15" ht="19.5">
      <c r="A110" s="37">
        <v>74</v>
      </c>
      <c r="B110" s="38" t="s">
        <v>337</v>
      </c>
      <c r="C110" s="38" t="s">
        <v>338</v>
      </c>
      <c r="D110" s="42" t="s">
        <v>339</v>
      </c>
      <c r="E110" s="39" t="s">
        <v>321</v>
      </c>
      <c r="F110" s="40">
        <v>300</v>
      </c>
      <c r="G110" s="40">
        <v>20</v>
      </c>
      <c r="H110" s="40">
        <f t="shared" si="11"/>
        <v>320</v>
      </c>
      <c r="I110" s="40">
        <f t="shared" si="17"/>
        <v>3780</v>
      </c>
      <c r="J110" s="40">
        <f t="shared" si="12"/>
        <v>320</v>
      </c>
      <c r="K110" s="40">
        <f t="shared" si="13"/>
        <v>259.20000000000005</v>
      </c>
      <c r="L110" s="40">
        <v>0</v>
      </c>
      <c r="M110" s="40">
        <f t="shared" si="14"/>
        <v>288</v>
      </c>
      <c r="N110" s="40">
        <f t="shared" si="15"/>
        <v>547.20000000000005</v>
      </c>
      <c r="O110" s="41">
        <f t="shared" si="16"/>
        <v>4647.2</v>
      </c>
    </row>
    <row r="111" spans="1:15" ht="19.5">
      <c r="A111" s="37">
        <v>75</v>
      </c>
      <c r="B111" s="38" t="s">
        <v>340</v>
      </c>
      <c r="C111" s="38" t="s">
        <v>338</v>
      </c>
      <c r="D111" s="42" t="s">
        <v>339</v>
      </c>
      <c r="E111" s="39" t="s">
        <v>321</v>
      </c>
      <c r="F111" s="40">
        <v>300</v>
      </c>
      <c r="G111" s="40">
        <v>20</v>
      </c>
      <c r="H111" s="40">
        <f t="shared" si="11"/>
        <v>320</v>
      </c>
      <c r="I111" s="40">
        <f t="shared" si="17"/>
        <v>3780</v>
      </c>
      <c r="J111" s="40">
        <f t="shared" si="12"/>
        <v>320</v>
      </c>
      <c r="K111" s="40">
        <f t="shared" si="13"/>
        <v>259.20000000000005</v>
      </c>
      <c r="L111" s="40">
        <v>0</v>
      </c>
      <c r="M111" s="40">
        <f t="shared" si="14"/>
        <v>288</v>
      </c>
      <c r="N111" s="40">
        <f t="shared" si="15"/>
        <v>547.20000000000005</v>
      </c>
      <c r="O111" s="41">
        <f t="shared" si="16"/>
        <v>4647.2</v>
      </c>
    </row>
    <row r="112" spans="1:15" ht="19.5">
      <c r="A112" s="37">
        <v>76</v>
      </c>
      <c r="B112" s="38" t="s">
        <v>341</v>
      </c>
      <c r="C112" s="38" t="s">
        <v>342</v>
      </c>
      <c r="D112" s="42" t="s">
        <v>320</v>
      </c>
      <c r="E112" s="39" t="s">
        <v>321</v>
      </c>
      <c r="F112" s="40">
        <v>350</v>
      </c>
      <c r="G112" s="40">
        <v>20</v>
      </c>
      <c r="H112" s="40">
        <f t="shared" si="11"/>
        <v>370</v>
      </c>
      <c r="I112" s="40">
        <f t="shared" si="17"/>
        <v>4380</v>
      </c>
      <c r="J112" s="40">
        <f t="shared" si="12"/>
        <v>370</v>
      </c>
      <c r="K112" s="40">
        <f t="shared" si="13"/>
        <v>299.70000000000005</v>
      </c>
      <c r="L112" s="40">
        <v>0</v>
      </c>
      <c r="M112" s="40">
        <f t="shared" si="14"/>
        <v>333</v>
      </c>
      <c r="N112" s="40">
        <f t="shared" si="15"/>
        <v>632.70000000000005</v>
      </c>
      <c r="O112" s="41">
        <f t="shared" si="16"/>
        <v>5382.7</v>
      </c>
    </row>
    <row r="113" spans="1:15" ht="19.5">
      <c r="A113" s="37">
        <v>77</v>
      </c>
      <c r="B113" s="38" t="s">
        <v>343</v>
      </c>
      <c r="C113" s="38" t="s">
        <v>344</v>
      </c>
      <c r="D113" s="42" t="s">
        <v>320</v>
      </c>
      <c r="E113" s="39" t="s">
        <v>321</v>
      </c>
      <c r="F113" s="40">
        <v>470</v>
      </c>
      <c r="G113" s="40">
        <v>0</v>
      </c>
      <c r="H113" s="40">
        <f>+F113+G113</f>
        <v>470</v>
      </c>
      <c r="I113" s="40">
        <f>+H113*12</f>
        <v>5640</v>
      </c>
      <c r="J113" s="40">
        <f>+H113</f>
        <v>470</v>
      </c>
      <c r="K113" s="40">
        <f>+J113*6.75%*12</f>
        <v>380.70000000000005</v>
      </c>
      <c r="L113" s="40">
        <v>0</v>
      </c>
      <c r="M113" s="40">
        <f>+J113*7.5%*12</f>
        <v>423</v>
      </c>
      <c r="N113" s="40">
        <f>SUM(K113:M113)</f>
        <v>803.7</v>
      </c>
      <c r="O113" s="41">
        <f>ROUND((+I113+J113+N113),2)</f>
        <v>6913.7</v>
      </c>
    </row>
    <row r="114" spans="1:15" ht="18" customHeight="1">
      <c r="A114" s="37">
        <v>78</v>
      </c>
      <c r="B114" s="50" t="s">
        <v>345</v>
      </c>
      <c r="C114" s="51" t="s">
        <v>346</v>
      </c>
      <c r="D114" s="42" t="s">
        <v>320</v>
      </c>
      <c r="E114" s="39"/>
      <c r="F114" s="40">
        <v>470</v>
      </c>
      <c r="G114" s="40">
        <v>0</v>
      </c>
      <c r="H114" s="40">
        <f>+F114+G114</f>
        <v>470</v>
      </c>
      <c r="I114" s="40">
        <f>+H114*12</f>
        <v>5640</v>
      </c>
      <c r="J114" s="40">
        <f>+H114</f>
        <v>470</v>
      </c>
      <c r="K114" s="40">
        <v>0</v>
      </c>
      <c r="L114" s="40">
        <v>394.8</v>
      </c>
      <c r="M114" s="40">
        <f>+J114*7.5%*12</f>
        <v>423</v>
      </c>
      <c r="N114" s="40">
        <f>SUM(K114:M114)</f>
        <v>817.8</v>
      </c>
      <c r="O114" s="41">
        <f>ROUND((+I114+J114+N114),2)</f>
        <v>6927.8</v>
      </c>
    </row>
    <row r="115" spans="1:15" ht="28.5" customHeight="1">
      <c r="A115" s="37">
        <v>79</v>
      </c>
      <c r="B115" s="38" t="s">
        <v>803</v>
      </c>
      <c r="C115" s="131" t="s">
        <v>445</v>
      </c>
      <c r="D115" s="42" t="s">
        <v>320</v>
      </c>
      <c r="E115" s="39" t="s">
        <v>321</v>
      </c>
      <c r="F115" s="40">
        <v>350</v>
      </c>
      <c r="G115" s="40">
        <v>20</v>
      </c>
      <c r="H115" s="40">
        <f>+F115+G115</f>
        <v>370</v>
      </c>
      <c r="I115" s="40">
        <f>+H115*12-60</f>
        <v>4380</v>
      </c>
      <c r="J115" s="40">
        <f>+H115</f>
        <v>370</v>
      </c>
      <c r="K115" s="40">
        <f>+J115*6.75%*12</f>
        <v>299.70000000000005</v>
      </c>
      <c r="L115" s="40">
        <v>0</v>
      </c>
      <c r="M115" s="40">
        <f>+J115*7.5%*12</f>
        <v>333</v>
      </c>
      <c r="N115" s="40">
        <f>SUM(K115:M115)</f>
        <v>632.70000000000005</v>
      </c>
      <c r="O115" s="41">
        <f>ROUND((+I115+J115+N115),2)</f>
        <v>5382.7</v>
      </c>
    </row>
    <row r="116" spans="1:15" ht="23.25" customHeight="1">
      <c r="A116" s="78">
        <v>80</v>
      </c>
      <c r="B116" s="127" t="s">
        <v>347</v>
      </c>
      <c r="C116" s="128" t="s">
        <v>348</v>
      </c>
      <c r="D116" s="129" t="s">
        <v>320</v>
      </c>
      <c r="E116" s="79" t="s">
        <v>321</v>
      </c>
      <c r="F116" s="80">
        <v>300</v>
      </c>
      <c r="G116" s="80">
        <v>20</v>
      </c>
      <c r="H116" s="80">
        <f>+F116+G116</f>
        <v>320</v>
      </c>
      <c r="I116" s="40">
        <f>+H116*12-60</f>
        <v>3780</v>
      </c>
      <c r="J116" s="80">
        <f>+H116</f>
        <v>320</v>
      </c>
      <c r="K116" s="80">
        <f>+J116*6.75%*12</f>
        <v>259.20000000000005</v>
      </c>
      <c r="L116" s="80">
        <v>0</v>
      </c>
      <c r="M116" s="80">
        <f>+J116*7.5%*12</f>
        <v>288</v>
      </c>
      <c r="N116" s="80">
        <f>SUM(K116:M116)</f>
        <v>547.20000000000005</v>
      </c>
      <c r="O116" s="81">
        <f>ROUND((+I116+J116+N116),2)</f>
        <v>4647.2</v>
      </c>
    </row>
    <row r="117" spans="1:15" ht="23.25" customHeight="1">
      <c r="A117" s="37">
        <v>81</v>
      </c>
      <c r="B117" s="242" t="s">
        <v>635</v>
      </c>
      <c r="C117" s="243" t="s">
        <v>648</v>
      </c>
      <c r="D117" s="244" t="s">
        <v>190</v>
      </c>
      <c r="E117" s="245"/>
      <c r="F117" s="313">
        <v>1000</v>
      </c>
      <c r="G117" s="89"/>
      <c r="H117" s="313">
        <v>1000</v>
      </c>
      <c r="I117" s="80">
        <f>+H117*8</f>
        <v>8000</v>
      </c>
      <c r="J117" s="80">
        <f t="shared" ref="J117:J125" si="18">+H117</f>
        <v>1000</v>
      </c>
      <c r="K117" s="80">
        <f>+J117*6.75%*8</f>
        <v>540</v>
      </c>
      <c r="L117" s="80">
        <v>0</v>
      </c>
      <c r="M117" s="80">
        <f>+J117*7.5%*8</f>
        <v>600</v>
      </c>
      <c r="N117" s="80">
        <f t="shared" ref="N117:N125" si="19">SUM(K117:M117)</f>
        <v>1140</v>
      </c>
      <c r="O117" s="81">
        <f t="shared" ref="O117:O125" si="20">ROUND((+I117+J117+N117),2)</f>
        <v>10140</v>
      </c>
    </row>
    <row r="118" spans="1:15" ht="23.25" customHeight="1">
      <c r="A118" s="37">
        <v>82</v>
      </c>
      <c r="B118" s="242" t="s">
        <v>638</v>
      </c>
      <c r="C118" s="243" t="s">
        <v>649</v>
      </c>
      <c r="D118" s="244" t="s">
        <v>190</v>
      </c>
      <c r="E118" s="245"/>
      <c r="F118" s="313">
        <v>450</v>
      </c>
      <c r="G118" s="89"/>
      <c r="H118" s="313">
        <v>450</v>
      </c>
      <c r="I118" s="80">
        <f t="shared" ref="I118:I125" si="21">+H118*10</f>
        <v>4500</v>
      </c>
      <c r="J118" s="80">
        <f t="shared" si="18"/>
        <v>450</v>
      </c>
      <c r="K118" s="80">
        <f>+J118*6.75%*10</f>
        <v>303.75000000000006</v>
      </c>
      <c r="L118" s="80">
        <v>0</v>
      </c>
      <c r="M118" s="80">
        <f>+J118*7.5%*10</f>
        <v>337.5</v>
      </c>
      <c r="N118" s="80">
        <f t="shared" si="19"/>
        <v>641.25</v>
      </c>
      <c r="O118" s="81">
        <f t="shared" si="20"/>
        <v>5591.25</v>
      </c>
    </row>
    <row r="119" spans="1:15" ht="50.25" customHeight="1">
      <c r="A119" s="78">
        <v>83</v>
      </c>
      <c r="B119" s="324" t="s">
        <v>640</v>
      </c>
      <c r="C119" s="243" t="s">
        <v>650</v>
      </c>
      <c r="D119" s="244"/>
      <c r="E119" s="245"/>
      <c r="F119" s="313">
        <v>300</v>
      </c>
      <c r="G119" s="89"/>
      <c r="H119" s="313">
        <v>300</v>
      </c>
      <c r="I119" s="80">
        <f t="shared" si="21"/>
        <v>3000</v>
      </c>
      <c r="J119" s="80">
        <f t="shared" si="18"/>
        <v>300</v>
      </c>
      <c r="K119" s="80">
        <f t="shared" ref="K119:K125" si="22">+J119*6.75%*10</f>
        <v>202.5</v>
      </c>
      <c r="L119" s="80">
        <v>0</v>
      </c>
      <c r="M119" s="80">
        <f>+J119*7.5%*10</f>
        <v>225</v>
      </c>
      <c r="N119" s="80">
        <f t="shared" si="19"/>
        <v>427.5</v>
      </c>
      <c r="O119" s="81">
        <f>ROUND((+I119+J119+N119),2)</f>
        <v>3727.5</v>
      </c>
    </row>
    <row r="120" spans="1:15" ht="34.5" customHeight="1">
      <c r="A120" s="37">
        <v>84</v>
      </c>
      <c r="B120" s="325" t="s">
        <v>642</v>
      </c>
      <c r="C120" s="243" t="s">
        <v>650</v>
      </c>
      <c r="D120" s="244"/>
      <c r="E120" s="245"/>
      <c r="F120" s="313">
        <v>300</v>
      </c>
      <c r="G120" s="89"/>
      <c r="H120" s="313">
        <v>300</v>
      </c>
      <c r="I120" s="80">
        <f t="shared" si="21"/>
        <v>3000</v>
      </c>
      <c r="J120" s="80">
        <f t="shared" si="18"/>
        <v>300</v>
      </c>
      <c r="K120" s="80">
        <f t="shared" si="22"/>
        <v>202.5</v>
      </c>
      <c r="L120" s="80">
        <v>0</v>
      </c>
      <c r="M120" s="80">
        <f t="shared" ref="M120:M125" si="23">+J120*7.5%*10</f>
        <v>225</v>
      </c>
      <c r="N120" s="80">
        <f t="shared" si="19"/>
        <v>427.5</v>
      </c>
      <c r="O120" s="81">
        <f>ROUND((+I120+J120+N120),2)</f>
        <v>3727.5</v>
      </c>
    </row>
    <row r="121" spans="1:15" ht="23.25" customHeight="1">
      <c r="A121" s="37">
        <v>85</v>
      </c>
      <c r="B121" s="242" t="s">
        <v>635</v>
      </c>
      <c r="C121" s="242" t="s">
        <v>643</v>
      </c>
      <c r="D121" s="244"/>
      <c r="E121" s="245"/>
      <c r="F121" s="313">
        <v>300</v>
      </c>
      <c r="G121" s="89"/>
      <c r="H121" s="313">
        <v>300</v>
      </c>
      <c r="I121" s="80">
        <f t="shared" si="21"/>
        <v>3000</v>
      </c>
      <c r="J121" s="80">
        <f t="shared" si="18"/>
        <v>300</v>
      </c>
      <c r="K121" s="80">
        <f t="shared" si="22"/>
        <v>202.5</v>
      </c>
      <c r="L121" s="80">
        <v>0</v>
      </c>
      <c r="M121" s="80">
        <f t="shared" si="23"/>
        <v>225</v>
      </c>
      <c r="N121" s="80">
        <f t="shared" si="19"/>
        <v>427.5</v>
      </c>
      <c r="O121" s="81">
        <f t="shared" si="20"/>
        <v>3727.5</v>
      </c>
    </row>
    <row r="122" spans="1:15" ht="23.25" customHeight="1">
      <c r="A122" s="78">
        <v>86</v>
      </c>
      <c r="B122" s="242" t="s">
        <v>635</v>
      </c>
      <c r="C122" s="242" t="s">
        <v>643</v>
      </c>
      <c r="D122" s="244"/>
      <c r="E122" s="245"/>
      <c r="F122" s="313">
        <v>300</v>
      </c>
      <c r="G122" s="89"/>
      <c r="H122" s="313">
        <v>300</v>
      </c>
      <c r="I122" s="80">
        <f t="shared" si="21"/>
        <v>3000</v>
      </c>
      <c r="J122" s="80">
        <f t="shared" si="18"/>
        <v>300</v>
      </c>
      <c r="K122" s="80">
        <f t="shared" si="22"/>
        <v>202.5</v>
      </c>
      <c r="L122" s="80">
        <v>0</v>
      </c>
      <c r="M122" s="80">
        <f t="shared" si="23"/>
        <v>225</v>
      </c>
      <c r="N122" s="80">
        <f t="shared" si="19"/>
        <v>427.5</v>
      </c>
      <c r="O122" s="81">
        <f t="shared" si="20"/>
        <v>3727.5</v>
      </c>
    </row>
    <row r="123" spans="1:15" ht="23.25" customHeight="1">
      <c r="A123" s="37">
        <v>87</v>
      </c>
      <c r="B123" s="242" t="s">
        <v>635</v>
      </c>
      <c r="C123" s="242" t="s">
        <v>644</v>
      </c>
      <c r="D123" s="244"/>
      <c r="E123" s="245"/>
      <c r="F123" s="313">
        <v>302</v>
      </c>
      <c r="G123" s="89"/>
      <c r="H123" s="313">
        <v>302</v>
      </c>
      <c r="I123" s="80">
        <f t="shared" si="21"/>
        <v>3020</v>
      </c>
      <c r="J123" s="80">
        <f t="shared" si="18"/>
        <v>302</v>
      </c>
      <c r="K123" s="80">
        <f t="shared" si="22"/>
        <v>203.85000000000002</v>
      </c>
      <c r="L123" s="80">
        <v>0</v>
      </c>
      <c r="M123" s="80">
        <f t="shared" si="23"/>
        <v>226.5</v>
      </c>
      <c r="N123" s="80">
        <f t="shared" si="19"/>
        <v>430.35</v>
      </c>
      <c r="O123" s="81">
        <f t="shared" si="20"/>
        <v>3752.35</v>
      </c>
    </row>
    <row r="124" spans="1:15" ht="23.25" customHeight="1">
      <c r="A124" s="37">
        <v>88</v>
      </c>
      <c r="B124" s="242" t="s">
        <v>635</v>
      </c>
      <c r="C124" s="242" t="s">
        <v>645</v>
      </c>
      <c r="D124" s="244"/>
      <c r="E124" s="245"/>
      <c r="F124" s="313">
        <v>300</v>
      </c>
      <c r="G124" s="89"/>
      <c r="H124" s="313">
        <v>300</v>
      </c>
      <c r="I124" s="80">
        <f t="shared" si="21"/>
        <v>3000</v>
      </c>
      <c r="J124" s="80">
        <f t="shared" si="18"/>
        <v>300</v>
      </c>
      <c r="K124" s="80">
        <f t="shared" si="22"/>
        <v>202.5</v>
      </c>
      <c r="L124" s="80">
        <v>0</v>
      </c>
      <c r="M124" s="80">
        <f t="shared" si="23"/>
        <v>225</v>
      </c>
      <c r="N124" s="80">
        <f t="shared" si="19"/>
        <v>427.5</v>
      </c>
      <c r="O124" s="81">
        <f t="shared" si="20"/>
        <v>3727.5</v>
      </c>
    </row>
    <row r="125" spans="1:15" ht="23.25" customHeight="1">
      <c r="A125" s="78">
        <v>89</v>
      </c>
      <c r="B125" s="242" t="s">
        <v>635</v>
      </c>
      <c r="C125" s="242" t="s">
        <v>645</v>
      </c>
      <c r="D125" s="244"/>
      <c r="E125" s="245"/>
      <c r="F125" s="313">
        <v>300</v>
      </c>
      <c r="G125" s="89"/>
      <c r="H125" s="313">
        <v>300</v>
      </c>
      <c r="I125" s="80">
        <f t="shared" si="21"/>
        <v>3000</v>
      </c>
      <c r="J125" s="80">
        <f t="shared" si="18"/>
        <v>300</v>
      </c>
      <c r="K125" s="80">
        <f t="shared" si="22"/>
        <v>202.5</v>
      </c>
      <c r="L125" s="80">
        <v>0</v>
      </c>
      <c r="M125" s="80">
        <f t="shared" si="23"/>
        <v>225</v>
      </c>
      <c r="N125" s="80">
        <f t="shared" si="19"/>
        <v>427.5</v>
      </c>
      <c r="O125" s="81">
        <f t="shared" si="20"/>
        <v>3727.5</v>
      </c>
    </row>
    <row r="126" spans="1:15" ht="19.5">
      <c r="A126" s="130"/>
      <c r="B126" s="130"/>
      <c r="C126" s="130"/>
      <c r="D126" s="130"/>
      <c r="E126" s="130"/>
      <c r="F126" s="326"/>
      <c r="G126" s="326"/>
      <c r="H126" s="95">
        <f>SUM(H65:H125)</f>
        <v>26342</v>
      </c>
      <c r="I126" s="132">
        <f t="shared" ref="I126:O126" si="24">SUM(I65:I125)</f>
        <v>302320</v>
      </c>
      <c r="J126" s="132">
        <f t="shared" si="24"/>
        <v>26342</v>
      </c>
      <c r="K126" s="132">
        <f t="shared" si="24"/>
        <v>20001.600000000009</v>
      </c>
      <c r="L126" s="132">
        <f t="shared" si="24"/>
        <v>644.40000000000009</v>
      </c>
      <c r="M126" s="132">
        <f t="shared" si="24"/>
        <v>23513.555999999997</v>
      </c>
      <c r="N126" s="132">
        <f t="shared" si="24"/>
        <v>44159.555999999982</v>
      </c>
      <c r="O126" s="132">
        <f t="shared" si="24"/>
        <v>372821.56000000006</v>
      </c>
    </row>
  </sheetData>
  <mergeCells count="19">
    <mergeCell ref="A7:H7"/>
    <mergeCell ref="A2:H2"/>
    <mergeCell ref="A3:H3"/>
    <mergeCell ref="A4:H4"/>
    <mergeCell ref="A5:H5"/>
    <mergeCell ref="A6:H6"/>
    <mergeCell ref="J62:J63"/>
    <mergeCell ref="K62:N62"/>
    <mergeCell ref="O62:O64"/>
    <mergeCell ref="L63:N63"/>
    <mergeCell ref="A8:H8"/>
    <mergeCell ref="A9:H9"/>
    <mergeCell ref="A62:A64"/>
    <mergeCell ref="B62:B64"/>
    <mergeCell ref="C62:C64"/>
    <mergeCell ref="D62:D64"/>
    <mergeCell ref="E62:E64"/>
    <mergeCell ref="F62:I63"/>
    <mergeCell ref="A61:O61"/>
  </mergeCells>
  <pageMargins left="0.23622047244094491" right="0.23622047244094491" top="0.74803149606299213" bottom="0.74803149606299213" header="0.31496062992125984" footer="0.31496062992125984"/>
  <pageSetup scale="60" orientation="landscape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3"/>
  <sheetViews>
    <sheetView topLeftCell="A30" workbookViewId="0">
      <selection activeCell="H38" sqref="H38"/>
    </sheetView>
  </sheetViews>
  <sheetFormatPr baseColWidth="10" defaultRowHeight="15"/>
  <cols>
    <col min="5" max="5" width="14.140625" customWidth="1"/>
    <col min="6" max="6" width="15.140625" customWidth="1"/>
    <col min="7" max="7" width="48.5703125" customWidth="1"/>
    <col min="8" max="8" width="24" customWidth="1"/>
    <col min="9" max="9" width="15.42578125" customWidth="1"/>
    <col min="11" max="11" width="18.7109375" bestFit="1" customWidth="1"/>
    <col min="13" max="13" width="5.5703125" customWidth="1"/>
    <col min="14" max="14" width="26" customWidth="1"/>
    <col min="15" max="15" width="13.28515625" customWidth="1"/>
    <col min="16" max="16" width="15.85546875" customWidth="1"/>
    <col min="17" max="17" width="9.140625" customWidth="1"/>
    <col min="18" max="18" width="16.42578125" customWidth="1"/>
    <col min="19" max="19" width="12.5703125" customWidth="1"/>
    <col min="20" max="20" width="17.5703125" customWidth="1"/>
    <col min="21" max="21" width="17.85546875" customWidth="1"/>
    <col min="22" max="22" width="15" customWidth="1"/>
    <col min="23" max="23" width="16.7109375" customWidth="1"/>
    <col min="25" max="25" width="15.42578125" customWidth="1"/>
    <col min="26" max="26" width="15.140625" customWidth="1"/>
    <col min="27" max="27" width="20" customWidth="1"/>
  </cols>
  <sheetData>
    <row r="1" spans="1:12" ht="18">
      <c r="A1" s="52"/>
      <c r="B1" s="53"/>
      <c r="C1" s="54"/>
      <c r="D1" s="54"/>
      <c r="E1" s="54"/>
      <c r="F1" s="54"/>
      <c r="G1" s="54"/>
      <c r="H1" s="55" t="s">
        <v>396</v>
      </c>
    </row>
    <row r="2" spans="1:12" ht="18.75">
      <c r="A2" s="664" t="s">
        <v>392</v>
      </c>
      <c r="B2" s="665"/>
      <c r="C2" s="665"/>
      <c r="D2" s="665"/>
      <c r="E2" s="665"/>
      <c r="F2" s="665"/>
      <c r="G2" s="665"/>
      <c r="H2" s="665"/>
    </row>
    <row r="3" spans="1:12" ht="18.75">
      <c r="A3" s="664" t="s">
        <v>393</v>
      </c>
      <c r="B3" s="665"/>
      <c r="C3" s="665"/>
      <c r="D3" s="665"/>
      <c r="E3" s="665"/>
      <c r="F3" s="665"/>
      <c r="G3" s="665"/>
      <c r="H3" s="665"/>
    </row>
    <row r="4" spans="1:12" ht="18.75">
      <c r="A4" s="664" t="s">
        <v>353</v>
      </c>
      <c r="B4" s="665"/>
      <c r="C4" s="665"/>
      <c r="D4" s="665"/>
      <c r="E4" s="665"/>
      <c r="F4" s="665"/>
      <c r="G4" s="665"/>
      <c r="H4" s="665"/>
    </row>
    <row r="5" spans="1:12" ht="18.75">
      <c r="A5" s="664" t="s">
        <v>394</v>
      </c>
      <c r="B5" s="665"/>
      <c r="C5" s="665"/>
      <c r="D5" s="665"/>
      <c r="E5" s="665"/>
      <c r="F5" s="665"/>
      <c r="G5" s="665"/>
      <c r="H5" s="665"/>
    </row>
    <row r="6" spans="1:12" ht="18.75">
      <c r="A6" s="664" t="s">
        <v>354</v>
      </c>
      <c r="B6" s="665"/>
      <c r="C6" s="665"/>
      <c r="D6" s="665"/>
      <c r="E6" s="665"/>
      <c r="F6" s="665"/>
      <c r="G6" s="665"/>
      <c r="H6" s="665"/>
    </row>
    <row r="7" spans="1:12" ht="18.75">
      <c r="A7" s="659" t="s">
        <v>355</v>
      </c>
      <c r="B7" s="659"/>
      <c r="C7" s="659"/>
      <c r="D7" s="659"/>
      <c r="E7" s="659"/>
      <c r="F7" s="659"/>
      <c r="G7" s="659"/>
      <c r="H7" s="659"/>
    </row>
    <row r="8" spans="1:12" ht="19.5" thickBot="1">
      <c r="A8" s="660" t="s">
        <v>397</v>
      </c>
      <c r="B8" s="660"/>
      <c r="C8" s="660"/>
      <c r="D8" s="660"/>
      <c r="E8" s="660"/>
      <c r="F8" s="660"/>
      <c r="G8" s="660"/>
      <c r="H8" s="660"/>
    </row>
    <row r="9" spans="1:12" ht="16.5" thickBot="1">
      <c r="A9" s="60">
        <v>1</v>
      </c>
      <c r="B9" s="61" t="s">
        <v>388</v>
      </c>
      <c r="C9" s="61" t="s">
        <v>388</v>
      </c>
      <c r="D9" s="61" t="s">
        <v>367</v>
      </c>
      <c r="E9" s="61" t="s">
        <v>368</v>
      </c>
      <c r="F9" s="62" t="s">
        <v>10</v>
      </c>
      <c r="G9" s="63" t="s">
        <v>369</v>
      </c>
      <c r="H9" s="71">
        <f>+U53</f>
        <v>59484</v>
      </c>
    </row>
    <row r="10" spans="1:12" ht="16.5" thickBot="1">
      <c r="A10" s="64">
        <v>1</v>
      </c>
      <c r="B10" s="65" t="s">
        <v>388</v>
      </c>
      <c r="C10" s="61" t="s">
        <v>388</v>
      </c>
      <c r="D10" s="65" t="s">
        <v>367</v>
      </c>
      <c r="E10" s="61" t="s">
        <v>368</v>
      </c>
      <c r="F10" s="66">
        <v>51103</v>
      </c>
      <c r="G10" s="67" t="s">
        <v>370</v>
      </c>
      <c r="H10" s="68">
        <v>4942</v>
      </c>
    </row>
    <row r="11" spans="1:12" ht="16.5" thickBot="1">
      <c r="A11" s="64">
        <v>1</v>
      </c>
      <c r="B11" s="65" t="s">
        <v>388</v>
      </c>
      <c r="C11" s="61" t="s">
        <v>388</v>
      </c>
      <c r="D11" s="65" t="s">
        <v>367</v>
      </c>
      <c r="E11" s="61" t="s">
        <v>368</v>
      </c>
      <c r="F11" s="66">
        <v>51201</v>
      </c>
      <c r="G11" s="67" t="s">
        <v>426</v>
      </c>
      <c r="H11" s="68">
        <v>3000</v>
      </c>
    </row>
    <row r="12" spans="1:12" ht="16.5" thickBot="1">
      <c r="A12" s="64">
        <v>1</v>
      </c>
      <c r="B12" s="65" t="s">
        <v>388</v>
      </c>
      <c r="C12" s="61" t="s">
        <v>388</v>
      </c>
      <c r="D12" s="65" t="s">
        <v>367</v>
      </c>
      <c r="E12" s="61" t="s">
        <v>368</v>
      </c>
      <c r="F12" s="66">
        <v>51301</v>
      </c>
      <c r="G12" s="67" t="s">
        <v>371</v>
      </c>
      <c r="H12" s="68">
        <v>0</v>
      </c>
    </row>
    <row r="13" spans="1:12" ht="16.5" thickBot="1">
      <c r="A13" s="64">
        <v>1</v>
      </c>
      <c r="B13" s="65" t="s">
        <v>388</v>
      </c>
      <c r="C13" s="61" t="s">
        <v>388</v>
      </c>
      <c r="D13" s="65" t="s">
        <v>367</v>
      </c>
      <c r="E13" s="61" t="s">
        <v>368</v>
      </c>
      <c r="F13" s="66">
        <v>51401</v>
      </c>
      <c r="G13" s="67" t="s">
        <v>424</v>
      </c>
      <c r="H13" s="68">
        <v>3688.2</v>
      </c>
    </row>
    <row r="14" spans="1:12" ht="16.5" thickBot="1">
      <c r="A14" s="64">
        <v>1</v>
      </c>
      <c r="B14" s="65" t="s">
        <v>388</v>
      </c>
      <c r="C14" s="61" t="s">
        <v>388</v>
      </c>
      <c r="D14" s="65" t="s">
        <v>367</v>
      </c>
      <c r="E14" s="61" t="s">
        <v>368</v>
      </c>
      <c r="F14" s="66">
        <v>51501</v>
      </c>
      <c r="G14" s="67" t="s">
        <v>425</v>
      </c>
      <c r="H14" s="68">
        <v>3481.38</v>
      </c>
    </row>
    <row r="15" spans="1:12" ht="16.5" thickBot="1">
      <c r="A15" s="64">
        <v>1</v>
      </c>
      <c r="B15" s="65" t="s">
        <v>388</v>
      </c>
      <c r="C15" s="61" t="s">
        <v>388</v>
      </c>
      <c r="D15" s="65" t="s">
        <v>367</v>
      </c>
      <c r="E15" s="61" t="s">
        <v>368</v>
      </c>
      <c r="F15" s="66">
        <v>51999</v>
      </c>
      <c r="G15" s="67" t="s">
        <v>429</v>
      </c>
      <c r="H15" s="68">
        <v>500</v>
      </c>
      <c r="I15" s="99">
        <f>SUM(H9:H15)</f>
        <v>75095.58</v>
      </c>
      <c r="J15" s="99"/>
      <c r="K15" s="99"/>
      <c r="L15" s="99"/>
    </row>
    <row r="16" spans="1:12" ht="16.5" thickBot="1">
      <c r="A16" s="64">
        <v>1</v>
      </c>
      <c r="B16" s="65" t="s">
        <v>388</v>
      </c>
      <c r="C16" s="61" t="s">
        <v>388</v>
      </c>
      <c r="D16" s="65" t="s">
        <v>367</v>
      </c>
      <c r="E16" s="61" t="s">
        <v>368</v>
      </c>
      <c r="F16" s="66">
        <v>54101</v>
      </c>
      <c r="G16" s="67" t="s">
        <v>372</v>
      </c>
      <c r="H16" s="68">
        <v>0</v>
      </c>
    </row>
    <row r="17" spans="1:14" ht="16.5" thickBot="1">
      <c r="A17" s="64">
        <v>1</v>
      </c>
      <c r="B17" s="65" t="s">
        <v>388</v>
      </c>
      <c r="C17" s="61" t="s">
        <v>388</v>
      </c>
      <c r="D17" s="65" t="s">
        <v>367</v>
      </c>
      <c r="E17" s="61" t="s">
        <v>368</v>
      </c>
      <c r="F17" s="66">
        <v>54105</v>
      </c>
      <c r="G17" s="67" t="s">
        <v>373</v>
      </c>
      <c r="H17" s="68">
        <v>300</v>
      </c>
    </row>
    <row r="18" spans="1:14" ht="16.5" thickBot="1">
      <c r="A18" s="64">
        <v>1</v>
      </c>
      <c r="B18" s="65" t="s">
        <v>388</v>
      </c>
      <c r="C18" s="61" t="s">
        <v>388</v>
      </c>
      <c r="D18" s="65" t="s">
        <v>367</v>
      </c>
      <c r="E18" s="61" t="s">
        <v>368</v>
      </c>
      <c r="F18" s="66">
        <v>54107</v>
      </c>
      <c r="G18" s="67" t="s">
        <v>428</v>
      </c>
      <c r="H18" s="68">
        <v>7000</v>
      </c>
    </row>
    <row r="19" spans="1:14" ht="16.5" thickBot="1">
      <c r="A19" s="64">
        <v>1</v>
      </c>
      <c r="B19" s="65" t="s">
        <v>388</v>
      </c>
      <c r="C19" s="61" t="s">
        <v>388</v>
      </c>
      <c r="D19" s="65" t="s">
        <v>367</v>
      </c>
      <c r="E19" s="61" t="s">
        <v>368</v>
      </c>
      <c r="F19" s="66">
        <v>54110</v>
      </c>
      <c r="G19" s="67" t="s">
        <v>374</v>
      </c>
      <c r="H19" s="68">
        <v>0</v>
      </c>
    </row>
    <row r="20" spans="1:14" ht="16.5" thickBot="1">
      <c r="A20" s="64">
        <v>1</v>
      </c>
      <c r="B20" s="65" t="s">
        <v>388</v>
      </c>
      <c r="C20" s="61" t="s">
        <v>388</v>
      </c>
      <c r="D20" s="65" t="s">
        <v>367</v>
      </c>
      <c r="E20" s="61" t="s">
        <v>368</v>
      </c>
      <c r="F20" s="66">
        <v>54111</v>
      </c>
      <c r="G20" s="67" t="s">
        <v>389</v>
      </c>
      <c r="H20" s="68">
        <v>0</v>
      </c>
    </row>
    <row r="21" spans="1:14" ht="16.5" thickBot="1">
      <c r="A21" s="64">
        <v>1</v>
      </c>
      <c r="B21" s="65" t="s">
        <v>388</v>
      </c>
      <c r="C21" s="61" t="s">
        <v>388</v>
      </c>
      <c r="D21" s="65" t="s">
        <v>367</v>
      </c>
      <c r="E21" s="61" t="s">
        <v>368</v>
      </c>
      <c r="F21" s="66">
        <v>54112</v>
      </c>
      <c r="G21" s="67" t="s">
        <v>390</v>
      </c>
      <c r="H21" s="68">
        <v>0</v>
      </c>
    </row>
    <row r="22" spans="1:14" ht="16.5" thickBot="1">
      <c r="A22" s="64">
        <v>1</v>
      </c>
      <c r="B22" s="65" t="s">
        <v>388</v>
      </c>
      <c r="C22" s="61" t="s">
        <v>388</v>
      </c>
      <c r="D22" s="65" t="s">
        <v>367</v>
      </c>
      <c r="E22" s="61" t="s">
        <v>368</v>
      </c>
      <c r="F22" s="66">
        <v>54114</v>
      </c>
      <c r="G22" s="67" t="s">
        <v>375</v>
      </c>
      <c r="H22" s="68">
        <v>300</v>
      </c>
    </row>
    <row r="23" spans="1:14" ht="16.5" thickBot="1">
      <c r="A23" s="64">
        <v>1</v>
      </c>
      <c r="B23" s="65" t="s">
        <v>388</v>
      </c>
      <c r="C23" s="61" t="s">
        <v>388</v>
      </c>
      <c r="D23" s="65" t="s">
        <v>367</v>
      </c>
      <c r="E23" s="61" t="s">
        <v>368</v>
      </c>
      <c r="F23" s="66">
        <v>54118</v>
      </c>
      <c r="G23" s="67" t="s">
        <v>376</v>
      </c>
      <c r="H23" s="68">
        <v>300</v>
      </c>
    </row>
    <row r="24" spans="1:14" ht="16.5" thickBot="1">
      <c r="A24" s="64">
        <v>1</v>
      </c>
      <c r="B24" s="65" t="s">
        <v>388</v>
      </c>
      <c r="C24" s="61" t="s">
        <v>388</v>
      </c>
      <c r="D24" s="65" t="s">
        <v>367</v>
      </c>
      <c r="E24" s="61" t="s">
        <v>368</v>
      </c>
      <c r="F24" s="66">
        <v>54201</v>
      </c>
      <c r="G24" s="67" t="s">
        <v>377</v>
      </c>
      <c r="H24" s="68">
        <v>4000</v>
      </c>
    </row>
    <row r="25" spans="1:14" ht="16.5" thickBot="1">
      <c r="A25" s="64">
        <v>1</v>
      </c>
      <c r="B25" s="65" t="s">
        <v>388</v>
      </c>
      <c r="C25" s="61" t="s">
        <v>388</v>
      </c>
      <c r="D25" s="65" t="s">
        <v>367</v>
      </c>
      <c r="E25" s="61" t="s">
        <v>368</v>
      </c>
      <c r="F25" s="66">
        <v>54202</v>
      </c>
      <c r="G25" s="67" t="s">
        <v>378</v>
      </c>
      <c r="H25" s="68">
        <v>1200</v>
      </c>
    </row>
    <row r="26" spans="1:14" ht="16.5" thickBot="1">
      <c r="A26" s="64">
        <v>1</v>
      </c>
      <c r="B26" s="65" t="s">
        <v>388</v>
      </c>
      <c r="C26" s="61" t="s">
        <v>388</v>
      </c>
      <c r="D26" s="65" t="s">
        <v>367</v>
      </c>
      <c r="E26" s="61" t="s">
        <v>368</v>
      </c>
      <c r="F26" s="66">
        <v>54203</v>
      </c>
      <c r="G26" s="67" t="s">
        <v>379</v>
      </c>
      <c r="H26" s="68">
        <v>500</v>
      </c>
    </row>
    <row r="27" spans="1:14" ht="16.5" thickBot="1">
      <c r="A27" s="64">
        <v>1</v>
      </c>
      <c r="B27" s="65" t="s">
        <v>388</v>
      </c>
      <c r="C27" s="61" t="s">
        <v>388</v>
      </c>
      <c r="D27" s="65" t="s">
        <v>367</v>
      </c>
      <c r="E27" s="61" t="s">
        <v>368</v>
      </c>
      <c r="F27" s="66">
        <v>54301</v>
      </c>
      <c r="G27" s="67" t="s">
        <v>391</v>
      </c>
      <c r="H27" s="68">
        <v>0</v>
      </c>
    </row>
    <row r="28" spans="1:14" ht="16.5" thickBot="1">
      <c r="A28" s="64">
        <v>1</v>
      </c>
      <c r="B28" s="65" t="s">
        <v>388</v>
      </c>
      <c r="C28" s="61" t="s">
        <v>388</v>
      </c>
      <c r="D28" s="65" t="s">
        <v>367</v>
      </c>
      <c r="E28" s="61" t="s">
        <v>368</v>
      </c>
      <c r="F28" s="66">
        <v>54302</v>
      </c>
      <c r="G28" s="67" t="s">
        <v>380</v>
      </c>
      <c r="H28" s="68">
        <v>0</v>
      </c>
    </row>
    <row r="29" spans="1:14" ht="16.5" thickBot="1">
      <c r="A29" s="64">
        <v>1</v>
      </c>
      <c r="B29" s="65" t="s">
        <v>388</v>
      </c>
      <c r="C29" s="61" t="s">
        <v>388</v>
      </c>
      <c r="D29" s="65" t="s">
        <v>367</v>
      </c>
      <c r="E29" s="61" t="s">
        <v>368</v>
      </c>
      <c r="F29" s="66">
        <v>54307</v>
      </c>
      <c r="G29" s="67" t="s">
        <v>381</v>
      </c>
      <c r="H29" s="68">
        <v>600</v>
      </c>
      <c r="N29" s="99">
        <f>+H34</f>
        <v>89961.900000000009</v>
      </c>
    </row>
    <row r="30" spans="1:14" ht="16.5" thickBot="1">
      <c r="A30" s="64">
        <v>1</v>
      </c>
      <c r="B30" s="65" t="s">
        <v>388</v>
      </c>
      <c r="C30" s="61" t="s">
        <v>388</v>
      </c>
      <c r="D30" s="65" t="s">
        <v>367</v>
      </c>
      <c r="E30" s="61" t="s">
        <v>368</v>
      </c>
      <c r="F30" s="66">
        <v>54310</v>
      </c>
      <c r="G30" s="67" t="s">
        <v>382</v>
      </c>
      <c r="H30" s="68">
        <v>0</v>
      </c>
      <c r="I30" s="99">
        <f>SUM(H16:H30)</f>
        <v>14200</v>
      </c>
      <c r="N30" s="99">
        <f>+'FONDOS PROPIOS'!K59</f>
        <v>999.99999999989814</v>
      </c>
    </row>
    <row r="31" spans="1:14" ht="16.5" thickBot="1">
      <c r="A31" s="64">
        <v>1</v>
      </c>
      <c r="B31" s="65" t="s">
        <v>388</v>
      </c>
      <c r="C31" s="61" t="s">
        <v>388</v>
      </c>
      <c r="D31" s="65" t="s">
        <v>367</v>
      </c>
      <c r="E31" s="61" t="s">
        <v>368</v>
      </c>
      <c r="F31" s="66">
        <v>61101</v>
      </c>
      <c r="G31" s="67" t="s">
        <v>384</v>
      </c>
      <c r="H31" s="68">
        <v>666.32</v>
      </c>
    </row>
    <row r="32" spans="1:14" ht="15.75">
      <c r="A32" s="64">
        <v>1</v>
      </c>
      <c r="B32" s="65" t="s">
        <v>388</v>
      </c>
      <c r="C32" s="61" t="s">
        <v>388</v>
      </c>
      <c r="D32" s="65" t="s">
        <v>367</v>
      </c>
      <c r="E32" s="61" t="s">
        <v>368</v>
      </c>
      <c r="F32" s="69" t="s">
        <v>385</v>
      </c>
      <c r="G32" s="67" t="s">
        <v>386</v>
      </c>
      <c r="H32" s="68">
        <v>0</v>
      </c>
    </row>
    <row r="33" spans="1:27" ht="15.75">
      <c r="A33" s="64"/>
      <c r="B33" s="65"/>
      <c r="C33" s="65"/>
      <c r="D33" s="65"/>
      <c r="E33" s="65"/>
      <c r="F33" s="72"/>
      <c r="G33" s="73"/>
      <c r="H33" s="68"/>
    </row>
    <row r="34" spans="1:27" ht="32.25" thickBot="1">
      <c r="A34" s="74"/>
      <c r="B34" s="75"/>
      <c r="C34" s="75"/>
      <c r="D34" s="75"/>
      <c r="E34" s="75"/>
      <c r="F34" s="76"/>
      <c r="G34" s="70" t="s">
        <v>387</v>
      </c>
      <c r="H34" s="77">
        <f>SUM(H9:H33)</f>
        <v>89961.900000000009</v>
      </c>
      <c r="M34" s="666" t="s">
        <v>811</v>
      </c>
      <c r="N34" s="666"/>
      <c r="O34" s="666"/>
      <c r="P34" s="666"/>
      <c r="Q34" s="666"/>
      <c r="R34" s="666"/>
      <c r="S34" s="666"/>
      <c r="T34" s="666"/>
      <c r="U34" s="666"/>
      <c r="V34" s="666"/>
      <c r="W34" s="666"/>
      <c r="X34" s="666"/>
      <c r="Y34" s="666"/>
      <c r="Z34" s="666"/>
      <c r="AA34" s="666"/>
    </row>
    <row r="35" spans="1:27" ht="15.75">
      <c r="M35" s="657" t="s">
        <v>170</v>
      </c>
      <c r="N35" s="657" t="s">
        <v>171</v>
      </c>
      <c r="O35" s="655" t="s">
        <v>172</v>
      </c>
      <c r="P35" s="657" t="s">
        <v>173</v>
      </c>
      <c r="Q35" s="655" t="s">
        <v>174</v>
      </c>
      <c r="R35" s="655" t="s">
        <v>175</v>
      </c>
      <c r="S35" s="655"/>
      <c r="T35" s="655"/>
      <c r="U35" s="655"/>
      <c r="V35" s="36" t="s">
        <v>176</v>
      </c>
      <c r="W35" s="656" t="s">
        <v>177</v>
      </c>
      <c r="X35" s="656"/>
      <c r="Y35" s="656"/>
      <c r="Z35" s="656"/>
      <c r="AA35" s="657" t="s">
        <v>5</v>
      </c>
    </row>
    <row r="36" spans="1:27" ht="15.75">
      <c r="M36" s="657"/>
      <c r="N36" s="657"/>
      <c r="O36" s="655"/>
      <c r="P36" s="657"/>
      <c r="Q36" s="655"/>
      <c r="R36" s="36"/>
      <c r="S36" s="36"/>
      <c r="T36" s="36"/>
      <c r="U36" s="36"/>
      <c r="V36" s="36"/>
      <c r="W36" s="35"/>
      <c r="X36" s="35"/>
      <c r="Y36" s="35"/>
      <c r="Z36" s="35"/>
      <c r="AA36" s="657"/>
    </row>
    <row r="37" spans="1:27" ht="28.5">
      <c r="A37" s="269" t="s">
        <v>807</v>
      </c>
      <c r="B37" s="269"/>
      <c r="C37" s="269"/>
      <c r="D37" s="269" t="s">
        <v>807</v>
      </c>
      <c r="E37" s="269"/>
      <c r="F37" s="269"/>
      <c r="G37" s="303">
        <v>580563.34</v>
      </c>
      <c r="H37" s="269"/>
      <c r="I37" s="269"/>
      <c r="J37" s="269"/>
      <c r="K37" s="303"/>
      <c r="L37" s="270"/>
      <c r="M37" s="657"/>
      <c r="N37" s="657"/>
      <c r="O37" s="655"/>
      <c r="P37" s="657"/>
      <c r="Q37" s="655"/>
      <c r="R37" s="35" t="s">
        <v>180</v>
      </c>
      <c r="S37" s="35" t="s">
        <v>181</v>
      </c>
      <c r="T37" s="35" t="s">
        <v>180</v>
      </c>
      <c r="U37" s="35" t="s">
        <v>182</v>
      </c>
      <c r="V37" s="35" t="s">
        <v>183</v>
      </c>
      <c r="W37" s="35" t="s">
        <v>184</v>
      </c>
      <c r="X37" s="36" t="s">
        <v>185</v>
      </c>
      <c r="Y37" s="36" t="s">
        <v>186</v>
      </c>
      <c r="Z37" s="35" t="s">
        <v>187</v>
      </c>
      <c r="AA37" s="657"/>
    </row>
    <row r="38" spans="1:27" ht="24.75" customHeight="1">
      <c r="A38" s="269" t="s">
        <v>711</v>
      </c>
      <c r="G38" s="303">
        <v>9148.7199999999993</v>
      </c>
      <c r="H38" s="269"/>
      <c r="I38" s="269"/>
      <c r="J38" s="269"/>
      <c r="K38" s="303"/>
      <c r="L38" s="271"/>
      <c r="M38" s="37">
        <v>47</v>
      </c>
      <c r="N38" s="46" t="s">
        <v>288</v>
      </c>
      <c r="O38" s="46" t="s">
        <v>289</v>
      </c>
      <c r="P38" s="42" t="s">
        <v>290</v>
      </c>
      <c r="Q38" s="39" t="s">
        <v>291</v>
      </c>
      <c r="R38" s="40">
        <v>550</v>
      </c>
      <c r="S38" s="40">
        <v>0</v>
      </c>
      <c r="T38" s="40">
        <f t="shared" ref="T38:T52" si="0">+R38+S38</f>
        <v>550</v>
      </c>
      <c r="U38" s="40">
        <f>+T38*12</f>
        <v>6600</v>
      </c>
      <c r="V38" s="40">
        <f>+T38</f>
        <v>550</v>
      </c>
      <c r="W38" s="40">
        <f t="shared" ref="W38:W52" si="1">+V38*6.75%*12</f>
        <v>445.5</v>
      </c>
      <c r="X38" s="40">
        <v>0</v>
      </c>
      <c r="Y38" s="40">
        <f t="shared" ref="Y38:Y51" si="2">+V38*7.5%*12</f>
        <v>495</v>
      </c>
      <c r="Z38" s="40">
        <f t="shared" ref="Z38:Z52" si="3">SUM(W38:Y38)</f>
        <v>940.5</v>
      </c>
      <c r="AA38" s="41">
        <f t="shared" ref="AA38:AA52" si="4">ROUND((+U38+V38+Z38),2)</f>
        <v>8090.5</v>
      </c>
    </row>
    <row r="39" spans="1:27" ht="39" customHeight="1">
      <c r="A39" s="653" t="s">
        <v>810</v>
      </c>
      <c r="B39" s="653"/>
      <c r="C39" s="653"/>
      <c r="D39" s="653"/>
      <c r="G39" s="327">
        <v>20629.689999999999</v>
      </c>
      <c r="H39" s="303"/>
      <c r="I39" s="303"/>
      <c r="J39" s="303"/>
      <c r="K39" s="303"/>
      <c r="L39" s="271"/>
      <c r="M39" s="37">
        <v>48</v>
      </c>
      <c r="N39" s="46" t="s">
        <v>292</v>
      </c>
      <c r="O39" s="46" t="s">
        <v>293</v>
      </c>
      <c r="P39" s="42" t="s">
        <v>290</v>
      </c>
      <c r="Q39" s="39" t="s">
        <v>291</v>
      </c>
      <c r="R39" s="40">
        <v>280</v>
      </c>
      <c r="S39" s="40">
        <v>20</v>
      </c>
      <c r="T39" s="40">
        <f>+R39+S39</f>
        <v>300</v>
      </c>
      <c r="U39" s="40">
        <f>+T39*12-60</f>
        <v>3540</v>
      </c>
      <c r="V39" s="40">
        <f>+T39</f>
        <v>300</v>
      </c>
      <c r="W39" s="40">
        <f t="shared" si="1"/>
        <v>243</v>
      </c>
      <c r="X39" s="40">
        <v>0</v>
      </c>
      <c r="Y39" s="40">
        <f t="shared" si="2"/>
        <v>270</v>
      </c>
      <c r="Z39" s="40">
        <f t="shared" si="3"/>
        <v>513</v>
      </c>
      <c r="AA39" s="41">
        <f t="shared" si="4"/>
        <v>4353</v>
      </c>
    </row>
    <row r="40" spans="1:27" ht="21.75">
      <c r="A40" s="269" t="s">
        <v>712</v>
      </c>
      <c r="B40" s="269"/>
      <c r="C40" s="269"/>
      <c r="D40" s="269"/>
      <c r="G40" s="328">
        <f>SUM(G37:G39)</f>
        <v>610341.74999999988</v>
      </c>
      <c r="H40" s="269"/>
      <c r="I40" s="269"/>
      <c r="J40" s="269"/>
      <c r="K40" s="271"/>
      <c r="L40" s="272"/>
      <c r="M40" s="37">
        <v>49</v>
      </c>
      <c r="N40" s="46" t="s">
        <v>294</v>
      </c>
      <c r="O40" s="46" t="s">
        <v>295</v>
      </c>
      <c r="P40" s="42" t="s">
        <v>290</v>
      </c>
      <c r="Q40" s="39" t="s">
        <v>291</v>
      </c>
      <c r="R40" s="40">
        <v>280</v>
      </c>
      <c r="S40" s="40">
        <v>20</v>
      </c>
      <c r="T40" s="40">
        <f t="shared" si="0"/>
        <v>300</v>
      </c>
      <c r="U40" s="40">
        <f t="shared" ref="U40:U52" si="5">+T40*12-60</f>
        <v>3540</v>
      </c>
      <c r="V40" s="40">
        <f>+T40</f>
        <v>300</v>
      </c>
      <c r="W40" s="40">
        <f t="shared" si="1"/>
        <v>243</v>
      </c>
      <c r="X40" s="40">
        <v>0</v>
      </c>
      <c r="Y40" s="40">
        <f t="shared" si="2"/>
        <v>270</v>
      </c>
      <c r="Z40" s="40">
        <f t="shared" si="3"/>
        <v>513</v>
      </c>
      <c r="AA40" s="41">
        <f t="shared" si="4"/>
        <v>4353</v>
      </c>
    </row>
    <row r="41" spans="1:27" ht="39">
      <c r="M41" s="37">
        <v>50</v>
      </c>
      <c r="N41" s="46" t="s">
        <v>296</v>
      </c>
      <c r="O41" s="46" t="s">
        <v>297</v>
      </c>
      <c r="P41" s="42" t="s">
        <v>290</v>
      </c>
      <c r="Q41" s="39" t="s">
        <v>291</v>
      </c>
      <c r="R41" s="40">
        <v>300</v>
      </c>
      <c r="S41" s="40">
        <v>20</v>
      </c>
      <c r="T41" s="40">
        <f t="shared" si="0"/>
        <v>320</v>
      </c>
      <c r="U41" s="40">
        <f t="shared" si="5"/>
        <v>3780</v>
      </c>
      <c r="V41" s="40">
        <v>280</v>
      </c>
      <c r="W41" s="40">
        <f t="shared" si="1"/>
        <v>226.8</v>
      </c>
      <c r="X41" s="40">
        <v>0</v>
      </c>
      <c r="Y41" s="40">
        <f t="shared" si="2"/>
        <v>252</v>
      </c>
      <c r="Z41" s="40">
        <f t="shared" si="3"/>
        <v>478.8</v>
      </c>
      <c r="AA41" s="41">
        <f t="shared" si="4"/>
        <v>4538.8</v>
      </c>
    </row>
    <row r="42" spans="1:27" ht="39">
      <c r="M42" s="37">
        <v>51</v>
      </c>
      <c r="N42" s="46" t="s">
        <v>298</v>
      </c>
      <c r="O42" s="46" t="s">
        <v>297</v>
      </c>
      <c r="P42" s="42" t="s">
        <v>290</v>
      </c>
      <c r="Q42" s="39" t="s">
        <v>291</v>
      </c>
      <c r="R42" s="40">
        <v>300</v>
      </c>
      <c r="S42" s="40">
        <v>20</v>
      </c>
      <c r="T42" s="40">
        <f t="shared" si="0"/>
        <v>320</v>
      </c>
      <c r="U42" s="40">
        <f t="shared" si="5"/>
        <v>3780</v>
      </c>
      <c r="V42" s="40">
        <v>280</v>
      </c>
      <c r="W42" s="40">
        <f t="shared" si="1"/>
        <v>226.8</v>
      </c>
      <c r="X42" s="40">
        <v>0</v>
      </c>
      <c r="Y42" s="40">
        <f t="shared" si="2"/>
        <v>252</v>
      </c>
      <c r="Z42" s="40">
        <f t="shared" si="3"/>
        <v>478.8</v>
      </c>
      <c r="AA42" s="41">
        <f t="shared" si="4"/>
        <v>4538.8</v>
      </c>
    </row>
    <row r="43" spans="1:27" ht="58.5">
      <c r="M43" s="37">
        <v>52</v>
      </c>
      <c r="N43" s="46" t="s">
        <v>299</v>
      </c>
      <c r="O43" s="46" t="s">
        <v>216</v>
      </c>
      <c r="P43" s="42" t="s">
        <v>290</v>
      </c>
      <c r="Q43" s="39" t="s">
        <v>291</v>
      </c>
      <c r="R43" s="40">
        <v>322</v>
      </c>
      <c r="S43" s="40">
        <v>20</v>
      </c>
      <c r="T43" s="40">
        <f t="shared" si="0"/>
        <v>342</v>
      </c>
      <c r="U43" s="40">
        <f t="shared" si="5"/>
        <v>4044</v>
      </c>
      <c r="V43" s="40">
        <f t="shared" ref="V43:V52" si="6">+T43</f>
        <v>342</v>
      </c>
      <c r="W43" s="40">
        <f t="shared" si="1"/>
        <v>277.02</v>
      </c>
      <c r="X43" s="40">
        <v>0</v>
      </c>
      <c r="Y43" s="40">
        <f t="shared" si="2"/>
        <v>307.79999999999995</v>
      </c>
      <c r="Z43" s="40">
        <f t="shared" si="3"/>
        <v>584.81999999999994</v>
      </c>
      <c r="AA43" s="41">
        <f t="shared" si="4"/>
        <v>4970.82</v>
      </c>
    </row>
    <row r="44" spans="1:27" ht="58.5">
      <c r="M44" s="37">
        <v>53</v>
      </c>
      <c r="N44" s="46" t="s">
        <v>300</v>
      </c>
      <c r="O44" s="46" t="s">
        <v>216</v>
      </c>
      <c r="P44" s="42" t="s">
        <v>290</v>
      </c>
      <c r="Q44" s="39" t="s">
        <v>291</v>
      </c>
      <c r="R44" s="40">
        <v>302</v>
      </c>
      <c r="S44" s="40">
        <v>20</v>
      </c>
      <c r="T44" s="40">
        <f t="shared" si="0"/>
        <v>322</v>
      </c>
      <c r="U44" s="40">
        <f t="shared" si="5"/>
        <v>3804</v>
      </c>
      <c r="V44" s="40">
        <f t="shared" si="6"/>
        <v>322</v>
      </c>
      <c r="W44" s="40">
        <f t="shared" si="1"/>
        <v>260.82000000000005</v>
      </c>
      <c r="X44" s="40">
        <v>0</v>
      </c>
      <c r="Y44" s="40">
        <f t="shared" si="2"/>
        <v>289.79999999999995</v>
      </c>
      <c r="Z44" s="40">
        <f t="shared" si="3"/>
        <v>550.62</v>
      </c>
      <c r="AA44" s="41">
        <f t="shared" si="4"/>
        <v>4676.62</v>
      </c>
    </row>
    <row r="45" spans="1:27" ht="58.5">
      <c r="M45" s="37">
        <v>54</v>
      </c>
      <c r="N45" s="46" t="s">
        <v>301</v>
      </c>
      <c r="O45" s="46" t="s">
        <v>302</v>
      </c>
      <c r="P45" s="42" t="s">
        <v>290</v>
      </c>
      <c r="Q45" s="39" t="s">
        <v>291</v>
      </c>
      <c r="R45" s="40">
        <v>302</v>
      </c>
      <c r="S45" s="40">
        <v>20</v>
      </c>
      <c r="T45" s="40">
        <f t="shared" si="0"/>
        <v>322</v>
      </c>
      <c r="U45" s="40">
        <f t="shared" si="5"/>
        <v>3804</v>
      </c>
      <c r="V45" s="40">
        <f t="shared" si="6"/>
        <v>322</v>
      </c>
      <c r="W45" s="40">
        <f t="shared" si="1"/>
        <v>260.82000000000005</v>
      </c>
      <c r="X45" s="40">
        <v>0</v>
      </c>
      <c r="Y45" s="40">
        <f t="shared" si="2"/>
        <v>289.79999999999995</v>
      </c>
      <c r="Z45" s="40">
        <f t="shared" si="3"/>
        <v>550.62</v>
      </c>
      <c r="AA45" s="41">
        <f t="shared" si="4"/>
        <v>4676.62</v>
      </c>
    </row>
    <row r="46" spans="1:27" ht="58.5">
      <c r="M46" s="37">
        <v>55</v>
      </c>
      <c r="N46" s="46" t="s">
        <v>303</v>
      </c>
      <c r="O46" s="46" t="s">
        <v>216</v>
      </c>
      <c r="P46" s="42" t="s">
        <v>290</v>
      </c>
      <c r="Q46" s="39" t="s">
        <v>291</v>
      </c>
      <c r="R46" s="40">
        <v>302</v>
      </c>
      <c r="S46" s="40">
        <v>20</v>
      </c>
      <c r="T46" s="40">
        <f t="shared" si="0"/>
        <v>322</v>
      </c>
      <c r="U46" s="40">
        <f t="shared" si="5"/>
        <v>3804</v>
      </c>
      <c r="V46" s="40">
        <f t="shared" si="6"/>
        <v>322</v>
      </c>
      <c r="W46" s="40">
        <f t="shared" si="1"/>
        <v>260.82000000000005</v>
      </c>
      <c r="X46" s="40">
        <v>0</v>
      </c>
      <c r="Y46" s="40">
        <f t="shared" si="2"/>
        <v>289.79999999999995</v>
      </c>
      <c r="Z46" s="40">
        <f t="shared" si="3"/>
        <v>550.62</v>
      </c>
      <c r="AA46" s="41">
        <f t="shared" si="4"/>
        <v>4676.62</v>
      </c>
    </row>
    <row r="47" spans="1:27" ht="58.5">
      <c r="M47" s="37">
        <v>56</v>
      </c>
      <c r="N47" s="329" t="s">
        <v>447</v>
      </c>
      <c r="O47" s="46" t="s">
        <v>216</v>
      </c>
      <c r="P47" s="42" t="s">
        <v>290</v>
      </c>
      <c r="Q47" s="39" t="s">
        <v>291</v>
      </c>
      <c r="R47" s="40">
        <v>322</v>
      </c>
      <c r="S47" s="40">
        <v>20</v>
      </c>
      <c r="T47" s="40">
        <f t="shared" si="0"/>
        <v>342</v>
      </c>
      <c r="U47" s="40">
        <f t="shared" si="5"/>
        <v>4044</v>
      </c>
      <c r="V47" s="40">
        <f>+T47</f>
        <v>342</v>
      </c>
      <c r="W47" s="40">
        <f>+V47*6.75%*12</f>
        <v>277.02</v>
      </c>
      <c r="X47" s="40">
        <v>0</v>
      </c>
      <c r="Y47" s="40">
        <f>+V47*7.5%*12</f>
        <v>307.79999999999995</v>
      </c>
      <c r="Z47" s="40">
        <f>SUM(W47:Y47)</f>
        <v>584.81999999999994</v>
      </c>
      <c r="AA47" s="41">
        <f>ROUND((+U47+V47+Z47),2)</f>
        <v>4970.82</v>
      </c>
    </row>
    <row r="48" spans="1:27" ht="58.5">
      <c r="M48" s="37">
        <v>57</v>
      </c>
      <c r="N48" s="128"/>
      <c r="O48" s="128" t="s">
        <v>216</v>
      </c>
      <c r="P48" s="78" t="s">
        <v>190</v>
      </c>
      <c r="Q48" s="39" t="s">
        <v>191</v>
      </c>
      <c r="R48" s="80">
        <v>302</v>
      </c>
      <c r="S48" s="80">
        <v>0</v>
      </c>
      <c r="T48" s="80">
        <f t="shared" si="0"/>
        <v>302</v>
      </c>
      <c r="U48" s="80">
        <f>+T48*12</f>
        <v>3624</v>
      </c>
      <c r="V48" s="80">
        <f>+T48</f>
        <v>302</v>
      </c>
      <c r="W48" s="80">
        <f>+V48*6.75%*12</f>
        <v>244.62</v>
      </c>
      <c r="X48" s="80">
        <v>0</v>
      </c>
      <c r="Y48" s="80">
        <f>+V48*7.5%*12</f>
        <v>271.79999999999995</v>
      </c>
      <c r="Z48" s="80">
        <f>SUM(W48:Y48)</f>
        <v>516.41999999999996</v>
      </c>
      <c r="AA48" s="81">
        <f>ROUND((+U48+V48+Z48),2)</f>
        <v>4442.42</v>
      </c>
    </row>
    <row r="49" spans="13:27" ht="39">
      <c r="M49" s="37">
        <v>58</v>
      </c>
      <c r="N49" s="330" t="s">
        <v>304</v>
      </c>
      <c r="O49" s="46" t="s">
        <v>305</v>
      </c>
      <c r="P49" s="42" t="s">
        <v>290</v>
      </c>
      <c r="Q49" s="39" t="s">
        <v>291</v>
      </c>
      <c r="R49" s="40">
        <v>300</v>
      </c>
      <c r="S49" s="40">
        <v>20</v>
      </c>
      <c r="T49" s="40">
        <f t="shared" si="0"/>
        <v>320</v>
      </c>
      <c r="U49" s="40">
        <f t="shared" si="5"/>
        <v>3780</v>
      </c>
      <c r="V49" s="40">
        <f t="shared" si="6"/>
        <v>320</v>
      </c>
      <c r="W49" s="40">
        <f t="shared" si="1"/>
        <v>259.20000000000005</v>
      </c>
      <c r="X49" s="40">
        <v>0</v>
      </c>
      <c r="Y49" s="40">
        <f t="shared" si="2"/>
        <v>288</v>
      </c>
      <c r="Z49" s="40">
        <f t="shared" si="3"/>
        <v>547.20000000000005</v>
      </c>
      <c r="AA49" s="41">
        <f t="shared" si="4"/>
        <v>4647.2</v>
      </c>
    </row>
    <row r="50" spans="13:27" ht="39">
      <c r="M50" s="37">
        <v>59</v>
      </c>
      <c r="N50" s="330" t="s">
        <v>306</v>
      </c>
      <c r="O50" s="46" t="s">
        <v>305</v>
      </c>
      <c r="P50" s="42" t="s">
        <v>290</v>
      </c>
      <c r="Q50" s="39" t="s">
        <v>291</v>
      </c>
      <c r="R50" s="40">
        <v>300</v>
      </c>
      <c r="S50" s="40">
        <v>20</v>
      </c>
      <c r="T50" s="40">
        <f t="shared" si="0"/>
        <v>320</v>
      </c>
      <c r="U50" s="40">
        <f t="shared" si="5"/>
        <v>3780</v>
      </c>
      <c r="V50" s="40">
        <f t="shared" si="6"/>
        <v>320</v>
      </c>
      <c r="W50" s="40">
        <f t="shared" si="1"/>
        <v>259.20000000000005</v>
      </c>
      <c r="X50" s="40">
        <v>0</v>
      </c>
      <c r="Y50" s="40">
        <f t="shared" si="2"/>
        <v>288</v>
      </c>
      <c r="Z50" s="40">
        <f t="shared" si="3"/>
        <v>547.20000000000005</v>
      </c>
      <c r="AA50" s="41">
        <f t="shared" si="4"/>
        <v>4647.2</v>
      </c>
    </row>
    <row r="51" spans="13:27" ht="39">
      <c r="M51" s="37">
        <v>60</v>
      </c>
      <c r="N51" s="330" t="s">
        <v>307</v>
      </c>
      <c r="O51" s="46" t="s">
        <v>305</v>
      </c>
      <c r="P51" s="42" t="s">
        <v>290</v>
      </c>
      <c r="Q51" s="39" t="s">
        <v>291</v>
      </c>
      <c r="R51" s="40">
        <v>300</v>
      </c>
      <c r="S51" s="40">
        <v>20</v>
      </c>
      <c r="T51" s="40">
        <f t="shared" si="0"/>
        <v>320</v>
      </c>
      <c r="U51" s="40">
        <f t="shared" si="5"/>
        <v>3780</v>
      </c>
      <c r="V51" s="40">
        <f t="shared" si="6"/>
        <v>320</v>
      </c>
      <c r="W51" s="40">
        <f t="shared" si="1"/>
        <v>259.20000000000005</v>
      </c>
      <c r="X51" s="40">
        <v>0</v>
      </c>
      <c r="Y51" s="40">
        <f t="shared" si="2"/>
        <v>288</v>
      </c>
      <c r="Z51" s="40">
        <f t="shared" si="3"/>
        <v>547.20000000000005</v>
      </c>
      <c r="AA51" s="41">
        <f t="shared" si="4"/>
        <v>4647.2</v>
      </c>
    </row>
    <row r="52" spans="13:27" ht="39">
      <c r="M52" s="37">
        <v>61</v>
      </c>
      <c r="N52" s="330" t="s">
        <v>308</v>
      </c>
      <c r="O52" s="46" t="s">
        <v>305</v>
      </c>
      <c r="P52" s="42" t="s">
        <v>290</v>
      </c>
      <c r="Q52" s="39" t="s">
        <v>291</v>
      </c>
      <c r="R52" s="40">
        <v>300</v>
      </c>
      <c r="S52" s="40">
        <v>20</v>
      </c>
      <c r="T52" s="40">
        <f t="shared" si="0"/>
        <v>320</v>
      </c>
      <c r="U52" s="40">
        <f t="shared" si="5"/>
        <v>3780</v>
      </c>
      <c r="V52" s="40">
        <f t="shared" si="6"/>
        <v>320</v>
      </c>
      <c r="W52" s="40">
        <f t="shared" si="1"/>
        <v>259.20000000000005</v>
      </c>
      <c r="X52" s="40">
        <v>0</v>
      </c>
      <c r="Y52" s="40">
        <f>+V52*7.5%*12</f>
        <v>288</v>
      </c>
      <c r="Z52" s="40">
        <f t="shared" si="3"/>
        <v>547.20000000000005</v>
      </c>
      <c r="AA52" s="41">
        <f t="shared" si="4"/>
        <v>4647.2</v>
      </c>
    </row>
    <row r="53" spans="13:27" ht="19.5">
      <c r="M53" s="37"/>
      <c r="N53" s="44" t="s">
        <v>203</v>
      </c>
      <c r="O53" s="38"/>
      <c r="P53" s="42"/>
      <c r="Q53" s="39"/>
      <c r="R53" s="45">
        <f>SUM(R38:R52)</f>
        <v>4762</v>
      </c>
      <c r="S53" s="45">
        <f t="shared" ref="S53:AA53" si="7">SUM(S38:S52)</f>
        <v>260</v>
      </c>
      <c r="T53" s="45">
        <f t="shared" si="7"/>
        <v>5022</v>
      </c>
      <c r="U53" s="45">
        <f t="shared" si="7"/>
        <v>59484</v>
      </c>
      <c r="V53" s="45">
        <f t="shared" si="7"/>
        <v>4942</v>
      </c>
      <c r="W53" s="45">
        <f t="shared" si="7"/>
        <v>4003.0199999999995</v>
      </c>
      <c r="X53" s="45">
        <f t="shared" si="7"/>
        <v>0</v>
      </c>
      <c r="Y53" s="45">
        <f t="shared" si="7"/>
        <v>4447.8</v>
      </c>
      <c r="Z53" s="45">
        <f t="shared" si="7"/>
        <v>8450.82</v>
      </c>
      <c r="AA53" s="45">
        <f t="shared" si="7"/>
        <v>72876.819999999992</v>
      </c>
    </row>
  </sheetData>
  <mergeCells count="17">
    <mergeCell ref="A7:H7"/>
    <mergeCell ref="A8:H8"/>
    <mergeCell ref="M35:M37"/>
    <mergeCell ref="N35:N37"/>
    <mergeCell ref="O35:O37"/>
    <mergeCell ref="M34:AA34"/>
    <mergeCell ref="A2:H2"/>
    <mergeCell ref="A3:H3"/>
    <mergeCell ref="A4:H4"/>
    <mergeCell ref="A5:H5"/>
    <mergeCell ref="A6:H6"/>
    <mergeCell ref="A39:D39"/>
    <mergeCell ref="Q35:Q37"/>
    <mergeCell ref="R35:U35"/>
    <mergeCell ref="W35:Z35"/>
    <mergeCell ref="AA35:AA37"/>
    <mergeCell ref="P35:P37"/>
  </mergeCells>
  <pageMargins left="0.23622047244094491" right="0.23622047244094491" top="0.74803149606299213" bottom="0.74803149606299213" header="0.31496062992125984" footer="0.31496062992125984"/>
  <pageSetup scale="60" orientation="landscape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3"/>
  <sheetViews>
    <sheetView topLeftCell="A7" zoomScale="130" zoomScaleNormal="130" workbookViewId="0">
      <pane xSplit="2" ySplit="8" topLeftCell="C45" activePane="bottomRight" state="frozen"/>
      <selection activeCell="A7" sqref="A7"/>
      <selection pane="topRight" activeCell="C7" sqref="C7"/>
      <selection pane="bottomLeft" activeCell="A15" sqref="A15"/>
      <selection pane="bottomRight" activeCell="D52" sqref="D52"/>
    </sheetView>
  </sheetViews>
  <sheetFormatPr baseColWidth="10" defaultRowHeight="15"/>
  <cols>
    <col min="2" max="2" width="36.42578125" customWidth="1"/>
    <col min="3" max="3" width="15.140625" customWidth="1"/>
    <col min="4" max="4" width="16" customWidth="1"/>
    <col min="5" max="5" width="13.140625" customWidth="1"/>
    <col min="6" max="6" width="14.85546875" customWidth="1"/>
    <col min="7" max="7" width="14.7109375" customWidth="1"/>
    <col min="8" max="8" width="10" customWidth="1"/>
    <col min="11" max="11" width="17.7109375" customWidth="1"/>
    <col min="12" max="12" width="14.42578125" bestFit="1" customWidth="1"/>
  </cols>
  <sheetData>
    <row r="1" spans="1:11" ht="18.75">
      <c r="A1" s="52"/>
      <c r="B1" s="53"/>
      <c r="C1" s="53"/>
      <c r="D1" s="53"/>
      <c r="E1" s="53"/>
      <c r="F1" s="53"/>
      <c r="G1" s="53"/>
      <c r="H1" s="53"/>
      <c r="I1" s="53"/>
      <c r="J1" s="53"/>
      <c r="K1" s="134" t="s">
        <v>448</v>
      </c>
    </row>
    <row r="2" spans="1:11" ht="18.75">
      <c r="A2" s="664" t="s">
        <v>392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</row>
    <row r="3" spans="1:11" ht="18.75">
      <c r="A3" s="664" t="s">
        <v>393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</row>
    <row r="4" spans="1:11" ht="18.75">
      <c r="A4" s="664" t="s">
        <v>449</v>
      </c>
      <c r="B4" s="664"/>
      <c r="C4" s="664"/>
      <c r="D4" s="664"/>
      <c r="E4" s="664"/>
      <c r="F4" s="664"/>
      <c r="G4" s="664"/>
      <c r="H4" s="664"/>
      <c r="I4" s="664"/>
      <c r="J4" s="664"/>
      <c r="K4" s="664"/>
    </row>
    <row r="5" spans="1:11" ht="18.75">
      <c r="A5" s="664" t="s">
        <v>394</v>
      </c>
      <c r="B5" s="665"/>
      <c r="C5" s="665"/>
      <c r="D5" s="665"/>
      <c r="E5" s="665"/>
      <c r="F5" s="665"/>
      <c r="G5" s="665"/>
      <c r="H5" s="665"/>
      <c r="I5" s="665"/>
      <c r="J5" s="665"/>
      <c r="K5" s="665"/>
    </row>
    <row r="6" spans="1:11" ht="18.75">
      <c r="A6" s="664" t="s">
        <v>450</v>
      </c>
      <c r="B6" s="665"/>
      <c r="C6" s="665"/>
      <c r="D6" s="665"/>
      <c r="E6" s="665"/>
      <c r="F6" s="665"/>
      <c r="G6" s="665"/>
      <c r="H6" s="665"/>
      <c r="I6" s="665"/>
      <c r="J6" s="665"/>
      <c r="K6" s="665"/>
    </row>
    <row r="7" spans="1:11" ht="18.75">
      <c r="A7" s="664"/>
      <c r="B7" s="665"/>
      <c r="C7" s="665"/>
      <c r="D7" s="665"/>
      <c r="E7" s="665"/>
      <c r="F7" s="665"/>
      <c r="G7" s="665"/>
      <c r="H7" s="665"/>
      <c r="I7" s="665"/>
      <c r="J7" s="665"/>
      <c r="K7" s="665"/>
    </row>
    <row r="8" spans="1:11" ht="19.5" thickBot="1">
      <c r="A8" s="667" t="s">
        <v>451</v>
      </c>
      <c r="B8" s="667"/>
      <c r="C8" s="667"/>
      <c r="D8" s="667"/>
      <c r="E8" s="667"/>
      <c r="F8" s="667"/>
      <c r="G8" s="667"/>
      <c r="H8" s="667"/>
      <c r="I8" s="667"/>
      <c r="J8" s="667"/>
      <c r="K8" s="667"/>
    </row>
    <row r="9" spans="1:11" ht="18.75" thickBot="1">
      <c r="A9" s="668" t="s">
        <v>452</v>
      </c>
      <c r="B9" s="671" t="s">
        <v>453</v>
      </c>
      <c r="C9" s="674" t="s">
        <v>454</v>
      </c>
      <c r="D9" s="675"/>
      <c r="E9" s="675"/>
      <c r="F9" s="676"/>
      <c r="G9" s="677" t="s">
        <v>455</v>
      </c>
      <c r="H9" s="677" t="s">
        <v>456</v>
      </c>
      <c r="I9" s="677" t="s">
        <v>457</v>
      </c>
      <c r="J9" s="677" t="s">
        <v>458</v>
      </c>
      <c r="K9" s="680" t="s">
        <v>459</v>
      </c>
    </row>
    <row r="10" spans="1:11" ht="16.5" thickBot="1">
      <c r="A10" s="669"/>
      <c r="B10" s="672"/>
      <c r="C10" s="683" t="s">
        <v>460</v>
      </c>
      <c r="D10" s="684"/>
      <c r="E10" s="135" t="s">
        <v>461</v>
      </c>
      <c r="F10" s="688" t="s">
        <v>462</v>
      </c>
      <c r="G10" s="678"/>
      <c r="H10" s="678"/>
      <c r="I10" s="678"/>
      <c r="J10" s="678"/>
      <c r="K10" s="681"/>
    </row>
    <row r="11" spans="1:11" ht="52.5" thickBot="1">
      <c r="A11" s="670"/>
      <c r="B11" s="673"/>
      <c r="C11" s="136" t="s">
        <v>463</v>
      </c>
      <c r="D11" s="137" t="s">
        <v>464</v>
      </c>
      <c r="E11" s="138" t="s">
        <v>465</v>
      </c>
      <c r="F11" s="689"/>
      <c r="G11" s="679"/>
      <c r="H11" s="679"/>
      <c r="I11" s="679"/>
      <c r="J11" s="679"/>
      <c r="K11" s="682"/>
    </row>
    <row r="12" spans="1:11" ht="15.75" thickBot="1">
      <c r="A12" s="139" t="s">
        <v>466</v>
      </c>
      <c r="B12" s="140" t="s">
        <v>467</v>
      </c>
      <c r="C12" s="141">
        <v>0</v>
      </c>
      <c r="D12" s="141">
        <v>0</v>
      </c>
      <c r="E12" s="142">
        <v>0</v>
      </c>
      <c r="F12" s="142">
        <f>+C12+D12+E12</f>
        <v>0</v>
      </c>
      <c r="G12" s="141">
        <f>+'PROYECCION INGRESOS PROPIOS    '!I7</f>
        <v>17786.149999999998</v>
      </c>
      <c r="H12" s="141">
        <v>0</v>
      </c>
      <c r="I12" s="141">
        <v>0</v>
      </c>
      <c r="J12" s="141">
        <v>0</v>
      </c>
      <c r="K12" s="141">
        <f>+F12+G12+H12+I12+J12</f>
        <v>17786.149999999998</v>
      </c>
    </row>
    <row r="13" spans="1:11" ht="15.75" thickBot="1">
      <c r="A13" s="143" t="s">
        <v>468</v>
      </c>
      <c r="B13" s="144" t="s">
        <v>469</v>
      </c>
      <c r="C13" s="141">
        <v>0</v>
      </c>
      <c r="D13" s="141">
        <v>0</v>
      </c>
      <c r="E13" s="141">
        <v>0</v>
      </c>
      <c r="F13" s="142">
        <f t="shared" ref="F13:F53" si="0">+C13+D13+E13</f>
        <v>0</v>
      </c>
      <c r="G13" s="141">
        <f>+'PROYECCION INGRESOS PROPIOS    '!I8</f>
        <v>14881.76</v>
      </c>
      <c r="H13" s="141">
        <v>0</v>
      </c>
      <c r="I13" s="141">
        <v>0</v>
      </c>
      <c r="J13" s="141">
        <v>0</v>
      </c>
      <c r="K13" s="141">
        <f t="shared" ref="K13:K54" si="1">+F13+G13+H13+I13+J13</f>
        <v>14881.76</v>
      </c>
    </row>
    <row r="14" spans="1:11" ht="15.75" thickBot="1">
      <c r="A14" s="143" t="s">
        <v>552</v>
      </c>
      <c r="B14" s="144" t="s">
        <v>553</v>
      </c>
      <c r="C14" s="141"/>
      <c r="D14" s="141"/>
      <c r="E14" s="141"/>
      <c r="F14" s="142">
        <f t="shared" si="0"/>
        <v>0</v>
      </c>
      <c r="G14" s="141">
        <f>+'PROYECCION INGRESOS PROPIOS    '!I9</f>
        <v>11759.41</v>
      </c>
      <c r="H14" s="141"/>
      <c r="I14" s="141"/>
      <c r="J14" s="141"/>
      <c r="K14" s="141">
        <f t="shared" si="1"/>
        <v>11759.41</v>
      </c>
    </row>
    <row r="15" spans="1:11" ht="15.75" thickBot="1">
      <c r="A15" s="143" t="s">
        <v>470</v>
      </c>
      <c r="B15" s="144" t="s">
        <v>471</v>
      </c>
      <c r="C15" s="141">
        <v>0</v>
      </c>
      <c r="D15" s="141">
        <v>0</v>
      </c>
      <c r="E15" s="141">
        <v>0</v>
      </c>
      <c r="F15" s="142">
        <f t="shared" si="0"/>
        <v>0</v>
      </c>
      <c r="G15" s="141">
        <v>81490.289999999994</v>
      </c>
      <c r="H15" s="141">
        <v>0</v>
      </c>
      <c r="I15" s="141">
        <v>0</v>
      </c>
      <c r="J15" s="141">
        <v>0</v>
      </c>
      <c r="K15" s="141">
        <f t="shared" si="1"/>
        <v>81490.289999999994</v>
      </c>
    </row>
    <row r="16" spans="1:11" ht="15.75" thickBot="1">
      <c r="A16" s="145">
        <v>11806</v>
      </c>
      <c r="B16" s="146" t="s">
        <v>554</v>
      </c>
      <c r="C16" s="141">
        <v>0</v>
      </c>
      <c r="D16" s="141">
        <v>0</v>
      </c>
      <c r="E16" s="141">
        <v>0</v>
      </c>
      <c r="F16" s="142">
        <f t="shared" si="0"/>
        <v>0</v>
      </c>
      <c r="G16" s="141">
        <v>1057.1099999999999</v>
      </c>
      <c r="H16" s="141">
        <v>0</v>
      </c>
      <c r="I16" s="141">
        <v>0</v>
      </c>
      <c r="J16" s="141">
        <v>0</v>
      </c>
      <c r="K16" s="141">
        <f t="shared" si="1"/>
        <v>1057.1099999999999</v>
      </c>
    </row>
    <row r="17" spans="1:12" ht="15.75" thickBot="1">
      <c r="A17" s="145">
        <v>11815</v>
      </c>
      <c r="B17" s="146" t="s">
        <v>556</v>
      </c>
      <c r="C17" s="141"/>
      <c r="D17" s="141"/>
      <c r="E17" s="141"/>
      <c r="F17" s="142">
        <f t="shared" si="0"/>
        <v>0</v>
      </c>
      <c r="G17" s="141">
        <v>16405.060000000001</v>
      </c>
      <c r="H17" s="141"/>
      <c r="I17" s="141"/>
      <c r="J17" s="141"/>
      <c r="K17" s="141">
        <f t="shared" si="1"/>
        <v>16405.060000000001</v>
      </c>
    </row>
    <row r="18" spans="1:12" ht="15.75" thickBot="1">
      <c r="A18" s="145">
        <v>11816</v>
      </c>
      <c r="B18" s="146" t="s">
        <v>555</v>
      </c>
      <c r="C18" s="141"/>
      <c r="D18" s="141"/>
      <c r="E18" s="141"/>
      <c r="F18" s="142">
        <f t="shared" si="0"/>
        <v>0</v>
      </c>
      <c r="G18" s="141">
        <v>2662.93</v>
      </c>
      <c r="H18" s="141"/>
      <c r="I18" s="141"/>
      <c r="J18" s="141"/>
      <c r="K18" s="141">
        <f t="shared" si="1"/>
        <v>2662.93</v>
      </c>
    </row>
    <row r="19" spans="1:12" ht="15.75" thickBot="1">
      <c r="A19" s="145">
        <v>11817</v>
      </c>
      <c r="B19" s="146" t="s">
        <v>472</v>
      </c>
      <c r="C19" s="141"/>
      <c r="D19" s="141"/>
      <c r="E19" s="141"/>
      <c r="F19" s="142">
        <f t="shared" si="0"/>
        <v>0</v>
      </c>
      <c r="G19" s="141">
        <v>80.239999999999995</v>
      </c>
      <c r="H19" s="141"/>
      <c r="I19" s="141"/>
      <c r="J19" s="141"/>
      <c r="K19" s="141">
        <f t="shared" si="1"/>
        <v>80.239999999999995</v>
      </c>
    </row>
    <row r="20" spans="1:12" ht="15.75" thickBot="1">
      <c r="A20" s="145">
        <v>11818</v>
      </c>
      <c r="B20" s="146" t="s">
        <v>557</v>
      </c>
      <c r="C20" s="141"/>
      <c r="D20" s="141"/>
      <c r="E20" s="141"/>
      <c r="F20" s="142">
        <f t="shared" si="0"/>
        <v>0</v>
      </c>
      <c r="G20" s="141">
        <v>1838</v>
      </c>
      <c r="H20" s="141"/>
      <c r="I20" s="141"/>
      <c r="J20" s="141"/>
      <c r="K20" s="141">
        <f t="shared" si="1"/>
        <v>1838</v>
      </c>
    </row>
    <row r="21" spans="1:12" ht="15.75" thickBot="1">
      <c r="A21" s="145">
        <v>11899</v>
      </c>
      <c r="B21" s="146" t="s">
        <v>558</v>
      </c>
      <c r="C21" s="141"/>
      <c r="D21" s="141"/>
      <c r="E21" s="141"/>
      <c r="F21" s="142">
        <f t="shared" si="0"/>
        <v>0</v>
      </c>
      <c r="G21" s="141">
        <v>394.38</v>
      </c>
      <c r="H21" s="141"/>
      <c r="I21" s="141"/>
      <c r="J21" s="141"/>
      <c r="K21" s="141">
        <f t="shared" si="1"/>
        <v>394.38</v>
      </c>
      <c r="L21" s="402">
        <f>SUM(K12:K21)</f>
        <v>148355.32999999999</v>
      </c>
    </row>
    <row r="22" spans="1:12" ht="15.75" thickBot="1">
      <c r="A22" s="145">
        <v>12105</v>
      </c>
      <c r="B22" s="146" t="s">
        <v>473</v>
      </c>
      <c r="C22" s="141">
        <v>0</v>
      </c>
      <c r="D22" s="141">
        <v>0</v>
      </c>
      <c r="E22" s="141">
        <v>0</v>
      </c>
      <c r="F22" s="142">
        <f t="shared" si="0"/>
        <v>0</v>
      </c>
      <c r="G22" s="141">
        <v>47118.400000000001</v>
      </c>
      <c r="H22" s="141">
        <v>0</v>
      </c>
      <c r="I22" s="141">
        <v>0</v>
      </c>
      <c r="J22" s="141">
        <v>0</v>
      </c>
      <c r="K22" s="141">
        <f t="shared" si="1"/>
        <v>47118.400000000001</v>
      </c>
    </row>
    <row r="23" spans="1:12" ht="15.75" thickBot="1">
      <c r="A23" s="145">
        <v>12106</v>
      </c>
      <c r="B23" s="146" t="s">
        <v>559</v>
      </c>
      <c r="C23" s="141"/>
      <c r="D23" s="141"/>
      <c r="E23" s="141"/>
      <c r="F23" s="142">
        <f t="shared" si="0"/>
        <v>0</v>
      </c>
      <c r="G23" s="141">
        <v>588.37</v>
      </c>
      <c r="H23" s="141"/>
      <c r="I23" s="141"/>
      <c r="J23" s="141"/>
      <c r="K23" s="141">
        <f t="shared" si="1"/>
        <v>588.37</v>
      </c>
    </row>
    <row r="24" spans="1:12" ht="15.75" thickBot="1">
      <c r="A24" s="145">
        <v>12107</v>
      </c>
      <c r="B24" s="146" t="s">
        <v>560</v>
      </c>
      <c r="C24" s="141"/>
      <c r="D24" s="141"/>
      <c r="E24" s="141"/>
      <c r="F24" s="142">
        <f t="shared" si="0"/>
        <v>0</v>
      </c>
      <c r="G24" s="141">
        <v>57536.36</v>
      </c>
      <c r="H24" s="141"/>
      <c r="I24" s="141"/>
      <c r="J24" s="141"/>
      <c r="K24" s="141">
        <f t="shared" si="1"/>
        <v>57536.36</v>
      </c>
    </row>
    <row r="25" spans="1:12" ht="15.75" thickBot="1">
      <c r="A25" s="145">
        <v>12108</v>
      </c>
      <c r="B25" s="146" t="s">
        <v>474</v>
      </c>
      <c r="C25" s="141">
        <v>0</v>
      </c>
      <c r="D25" s="141">
        <v>0</v>
      </c>
      <c r="E25" s="141">
        <v>0</v>
      </c>
      <c r="F25" s="142">
        <f t="shared" si="0"/>
        <v>0</v>
      </c>
      <c r="G25" s="141">
        <v>22558.67</v>
      </c>
      <c r="H25" s="141">
        <v>0</v>
      </c>
      <c r="I25" s="141">
        <v>0</v>
      </c>
      <c r="J25" s="141">
        <v>0</v>
      </c>
      <c r="K25" s="141">
        <f t="shared" si="1"/>
        <v>22558.67</v>
      </c>
    </row>
    <row r="26" spans="1:12" ht="15.75" thickBot="1">
      <c r="A26" s="147" t="s">
        <v>475</v>
      </c>
      <c r="B26" s="146" t="s">
        <v>476</v>
      </c>
      <c r="C26" s="141">
        <v>0</v>
      </c>
      <c r="D26" s="141">
        <v>0</v>
      </c>
      <c r="E26" s="141">
        <v>0</v>
      </c>
      <c r="F26" s="142">
        <f t="shared" si="0"/>
        <v>0</v>
      </c>
      <c r="G26" s="141">
        <v>22264.67</v>
      </c>
      <c r="H26" s="141">
        <v>0</v>
      </c>
      <c r="I26" s="141">
        <v>0</v>
      </c>
      <c r="J26" s="141">
        <v>0</v>
      </c>
      <c r="K26" s="141">
        <f t="shared" si="1"/>
        <v>22264.67</v>
      </c>
    </row>
    <row r="27" spans="1:12" ht="15.75" thickBot="1">
      <c r="A27" s="147" t="s">
        <v>561</v>
      </c>
      <c r="B27" s="146" t="s">
        <v>562</v>
      </c>
      <c r="C27" s="141"/>
      <c r="D27" s="141"/>
      <c r="E27" s="141"/>
      <c r="F27" s="142">
        <f t="shared" si="0"/>
        <v>0</v>
      </c>
      <c r="G27" s="141">
        <v>13259.2</v>
      </c>
      <c r="H27" s="141"/>
      <c r="I27" s="141"/>
      <c r="J27" s="141"/>
      <c r="K27" s="141">
        <f t="shared" si="1"/>
        <v>13259.2</v>
      </c>
    </row>
    <row r="28" spans="1:12" ht="15.75" thickBot="1">
      <c r="A28" s="147" t="s">
        <v>563</v>
      </c>
      <c r="B28" s="146" t="s">
        <v>564</v>
      </c>
      <c r="C28" s="141"/>
      <c r="D28" s="141"/>
      <c r="E28" s="141"/>
      <c r="F28" s="142">
        <f t="shared" si="0"/>
        <v>0</v>
      </c>
      <c r="G28" s="141">
        <v>2011.87</v>
      </c>
      <c r="H28" s="141"/>
      <c r="I28" s="141"/>
      <c r="J28" s="141"/>
      <c r="K28" s="141">
        <f t="shared" si="1"/>
        <v>2011.87</v>
      </c>
    </row>
    <row r="29" spans="1:12" ht="15.75" thickBot="1">
      <c r="A29" s="147" t="s">
        <v>565</v>
      </c>
      <c r="B29" s="146" t="s">
        <v>566</v>
      </c>
      <c r="C29" s="141"/>
      <c r="D29" s="141"/>
      <c r="E29" s="141"/>
      <c r="F29" s="142">
        <f t="shared" si="0"/>
        <v>0</v>
      </c>
      <c r="G29" s="141">
        <v>20519.439999999999</v>
      </c>
      <c r="H29" s="141"/>
      <c r="I29" s="141"/>
      <c r="J29" s="141"/>
      <c r="K29" s="141">
        <f t="shared" si="1"/>
        <v>20519.439999999999</v>
      </c>
    </row>
    <row r="30" spans="1:12" ht="15.75" thickBot="1">
      <c r="A30" s="147" t="s">
        <v>567</v>
      </c>
      <c r="B30" s="146" t="s">
        <v>568</v>
      </c>
      <c r="C30" s="141"/>
      <c r="D30" s="141"/>
      <c r="E30" s="141"/>
      <c r="F30" s="142">
        <f t="shared" si="0"/>
        <v>0</v>
      </c>
      <c r="G30" s="141">
        <v>18470.560000000001</v>
      </c>
      <c r="H30" s="141"/>
      <c r="I30" s="141"/>
      <c r="J30" s="141"/>
      <c r="K30" s="141">
        <f t="shared" si="1"/>
        <v>18470.560000000001</v>
      </c>
    </row>
    <row r="31" spans="1:12" ht="15.75" thickBot="1">
      <c r="A31" s="147" t="s">
        <v>569</v>
      </c>
      <c r="B31" s="146" t="s">
        <v>570</v>
      </c>
      <c r="C31" s="141"/>
      <c r="D31" s="141"/>
      <c r="E31" s="141"/>
      <c r="F31" s="142">
        <f t="shared" si="0"/>
        <v>0</v>
      </c>
      <c r="G31" s="141">
        <v>46573.84</v>
      </c>
      <c r="H31" s="141"/>
      <c r="I31" s="141"/>
      <c r="J31" s="141"/>
      <c r="K31" s="141">
        <f t="shared" si="1"/>
        <v>46573.84</v>
      </c>
    </row>
    <row r="32" spans="1:12" ht="15.75" thickBot="1">
      <c r="A32" s="147" t="s">
        <v>571</v>
      </c>
      <c r="B32" s="146" t="s">
        <v>572</v>
      </c>
      <c r="C32" s="141"/>
      <c r="D32" s="141"/>
      <c r="E32" s="141"/>
      <c r="F32" s="142">
        <f t="shared" si="0"/>
        <v>0</v>
      </c>
      <c r="G32" s="141">
        <v>7773.91</v>
      </c>
      <c r="H32" s="141"/>
      <c r="I32" s="141"/>
      <c r="J32" s="141"/>
      <c r="K32" s="141">
        <f t="shared" si="1"/>
        <v>7773.91</v>
      </c>
    </row>
    <row r="33" spans="1:12" ht="15.75" thickBot="1">
      <c r="A33" s="147" t="s">
        <v>573</v>
      </c>
      <c r="B33" s="146" t="s">
        <v>574</v>
      </c>
      <c r="C33" s="141"/>
      <c r="D33" s="141"/>
      <c r="E33" s="141"/>
      <c r="F33" s="142">
        <f t="shared" si="0"/>
        <v>0</v>
      </c>
      <c r="G33" s="141">
        <v>58838.12</v>
      </c>
      <c r="H33" s="141"/>
      <c r="I33" s="141"/>
      <c r="J33" s="141"/>
      <c r="K33" s="141">
        <f t="shared" si="1"/>
        <v>58838.12</v>
      </c>
    </row>
    <row r="34" spans="1:12" ht="15.75" thickBot="1">
      <c r="A34" s="147" t="s">
        <v>575</v>
      </c>
      <c r="B34" s="146" t="s">
        <v>576</v>
      </c>
      <c r="C34" s="141"/>
      <c r="D34" s="141"/>
      <c r="E34" s="141"/>
      <c r="F34" s="142">
        <f t="shared" si="0"/>
        <v>0</v>
      </c>
      <c r="G34" s="141">
        <v>5729.17</v>
      </c>
      <c r="H34" s="141"/>
      <c r="I34" s="141"/>
      <c r="J34" s="141"/>
      <c r="K34" s="141">
        <f t="shared" si="1"/>
        <v>5729.17</v>
      </c>
    </row>
    <row r="35" spans="1:12" ht="15.75" thickBot="1">
      <c r="A35" s="147" t="s">
        <v>577</v>
      </c>
      <c r="B35" s="146" t="s">
        <v>578</v>
      </c>
      <c r="C35" s="141"/>
      <c r="D35" s="141"/>
      <c r="E35" s="141"/>
      <c r="F35" s="142">
        <f t="shared" si="0"/>
        <v>0</v>
      </c>
      <c r="G35" s="141">
        <v>26268.67</v>
      </c>
      <c r="H35" s="141"/>
      <c r="I35" s="141"/>
      <c r="J35" s="141"/>
      <c r="K35" s="141">
        <f t="shared" si="1"/>
        <v>26268.67</v>
      </c>
    </row>
    <row r="36" spans="1:12" ht="15.75" thickBot="1">
      <c r="A36" s="147" t="s">
        <v>477</v>
      </c>
      <c r="B36" s="146" t="s">
        <v>478</v>
      </c>
      <c r="C36" s="141"/>
      <c r="D36" s="141"/>
      <c r="E36" s="141"/>
      <c r="F36" s="142">
        <f t="shared" si="0"/>
        <v>0</v>
      </c>
      <c r="G36" s="141">
        <v>9578.5499999999993</v>
      </c>
      <c r="H36" s="141"/>
      <c r="I36" s="141"/>
      <c r="J36" s="141"/>
      <c r="K36" s="141">
        <f t="shared" si="1"/>
        <v>9578.5499999999993</v>
      </c>
    </row>
    <row r="37" spans="1:12" ht="15.75" thickBot="1">
      <c r="A37" s="147" t="s">
        <v>479</v>
      </c>
      <c r="B37" s="146" t="s">
        <v>480</v>
      </c>
      <c r="C37" s="141">
        <v>0</v>
      </c>
      <c r="D37" s="141">
        <v>0</v>
      </c>
      <c r="E37" s="141">
        <v>0</v>
      </c>
      <c r="F37" s="142">
        <f t="shared" si="0"/>
        <v>0</v>
      </c>
      <c r="G37" s="141">
        <v>1137.29</v>
      </c>
      <c r="H37" s="141">
        <v>0</v>
      </c>
      <c r="I37" s="141">
        <v>0</v>
      </c>
      <c r="J37" s="141">
        <v>0</v>
      </c>
      <c r="K37" s="141">
        <f t="shared" si="1"/>
        <v>1137.29</v>
      </c>
      <c r="L37" s="402">
        <f>SUM(K22:K37)</f>
        <v>360227.08999999997</v>
      </c>
    </row>
    <row r="38" spans="1:12" ht="15.75" thickBot="1">
      <c r="A38" s="147" t="s">
        <v>748</v>
      </c>
      <c r="B38" s="146" t="s">
        <v>484</v>
      </c>
      <c r="C38" s="141">
        <v>0</v>
      </c>
      <c r="D38" s="141"/>
      <c r="E38" s="141"/>
      <c r="F38" s="142"/>
      <c r="G38" s="141">
        <v>1052.67</v>
      </c>
      <c r="H38" s="141"/>
      <c r="I38" s="141"/>
      <c r="J38" s="141"/>
      <c r="K38" s="141">
        <f t="shared" si="1"/>
        <v>1052.67</v>
      </c>
    </row>
    <row r="39" spans="1:12" ht="15.75" thickBot="1">
      <c r="A39" s="147" t="s">
        <v>481</v>
      </c>
      <c r="B39" s="146" t="s">
        <v>482</v>
      </c>
      <c r="C39" s="141">
        <v>0</v>
      </c>
      <c r="D39" s="141">
        <v>0</v>
      </c>
      <c r="E39" s="141">
        <v>0</v>
      </c>
      <c r="F39" s="142">
        <f t="shared" si="0"/>
        <v>0</v>
      </c>
      <c r="G39" s="141">
        <v>4053.07</v>
      </c>
      <c r="H39" s="141">
        <v>0</v>
      </c>
      <c r="I39" s="141">
        <v>0</v>
      </c>
      <c r="J39" s="141">
        <v>0</v>
      </c>
      <c r="K39" s="141">
        <f t="shared" si="1"/>
        <v>4053.07</v>
      </c>
    </row>
    <row r="40" spans="1:12" ht="15.75" thickBot="1">
      <c r="A40" s="147" t="s">
        <v>483</v>
      </c>
      <c r="B40" s="146" t="s">
        <v>749</v>
      </c>
      <c r="C40" s="141">
        <v>0</v>
      </c>
      <c r="D40" s="141">
        <v>0</v>
      </c>
      <c r="E40" s="141">
        <v>0</v>
      </c>
      <c r="F40" s="142">
        <f t="shared" si="0"/>
        <v>0</v>
      </c>
      <c r="G40" s="141">
        <v>282.86</v>
      </c>
      <c r="H40" s="141">
        <v>0</v>
      </c>
      <c r="I40" s="141">
        <v>0</v>
      </c>
      <c r="J40" s="141">
        <v>0</v>
      </c>
      <c r="K40" s="141">
        <f t="shared" si="1"/>
        <v>282.86</v>
      </c>
      <c r="L40" s="402">
        <f>SUM(K38:K40)</f>
        <v>5388.5999999999995</v>
      </c>
    </row>
    <row r="41" spans="1:12" ht="15.75" thickBot="1">
      <c r="A41" s="147" t="s">
        <v>485</v>
      </c>
      <c r="B41" s="146" t="s">
        <v>486</v>
      </c>
      <c r="C41" s="141">
        <v>0</v>
      </c>
      <c r="D41" s="141">
        <v>0</v>
      </c>
      <c r="E41" s="141">
        <v>0</v>
      </c>
      <c r="F41" s="142">
        <f t="shared" si="0"/>
        <v>0</v>
      </c>
      <c r="G41" s="141">
        <v>4085.37</v>
      </c>
      <c r="H41" s="141">
        <v>0</v>
      </c>
      <c r="I41" s="141">
        <v>0</v>
      </c>
      <c r="J41" s="141">
        <v>0</v>
      </c>
      <c r="K41" s="141">
        <f t="shared" si="1"/>
        <v>4085.37</v>
      </c>
    </row>
    <row r="42" spans="1:12" ht="15.75" thickBot="1">
      <c r="A42" s="147" t="s">
        <v>487</v>
      </c>
      <c r="B42" s="146" t="s">
        <v>488</v>
      </c>
      <c r="C42" s="141">
        <v>0</v>
      </c>
      <c r="D42" s="141">
        <v>0</v>
      </c>
      <c r="E42" s="141">
        <v>0</v>
      </c>
      <c r="F42" s="142">
        <f t="shared" si="0"/>
        <v>0</v>
      </c>
      <c r="G42" s="141">
        <v>1210.17</v>
      </c>
      <c r="H42" s="141">
        <v>0</v>
      </c>
      <c r="I42" s="141">
        <v>0</v>
      </c>
      <c r="J42" s="141">
        <v>0</v>
      </c>
      <c r="K42" s="141">
        <f t="shared" si="1"/>
        <v>1210.17</v>
      </c>
    </row>
    <row r="43" spans="1:12" ht="15.75" thickBot="1">
      <c r="A43" s="148" t="s">
        <v>581</v>
      </c>
      <c r="B43" s="149" t="s">
        <v>582</v>
      </c>
      <c r="C43" s="141">
        <v>0</v>
      </c>
      <c r="D43" s="141"/>
      <c r="E43" s="141"/>
      <c r="F43" s="142">
        <f t="shared" si="0"/>
        <v>0</v>
      </c>
      <c r="G43" s="141">
        <v>1000.05</v>
      </c>
      <c r="H43" s="141"/>
      <c r="I43" s="141"/>
      <c r="J43" s="141"/>
      <c r="K43" s="141">
        <f t="shared" si="1"/>
        <v>1000.05</v>
      </c>
    </row>
    <row r="44" spans="1:12" ht="15.75" thickBot="1">
      <c r="A44" s="148" t="s">
        <v>583</v>
      </c>
      <c r="B44" s="149" t="s">
        <v>584</v>
      </c>
      <c r="C44" s="141"/>
      <c r="D44" s="141"/>
      <c r="E44" s="141"/>
      <c r="F44" s="142">
        <f t="shared" si="0"/>
        <v>0</v>
      </c>
      <c r="G44" s="141">
        <v>13.6</v>
      </c>
      <c r="H44" s="141"/>
      <c r="I44" s="141"/>
      <c r="J44" s="141"/>
      <c r="K44" s="141">
        <f t="shared" si="1"/>
        <v>13.6</v>
      </c>
    </row>
    <row r="45" spans="1:12" ht="15.75" thickBot="1">
      <c r="A45" s="148" t="s">
        <v>579</v>
      </c>
      <c r="B45" s="149" t="s">
        <v>580</v>
      </c>
      <c r="C45" s="141"/>
      <c r="D45" s="141"/>
      <c r="E45" s="141"/>
      <c r="F45" s="142">
        <f t="shared" si="0"/>
        <v>0</v>
      </c>
      <c r="G45" s="141">
        <v>11155.24</v>
      </c>
      <c r="H45" s="141"/>
      <c r="I45" s="141"/>
      <c r="J45" s="141"/>
      <c r="K45" s="141">
        <f t="shared" si="1"/>
        <v>11155.24</v>
      </c>
    </row>
    <row r="46" spans="1:12" ht="15.75" thickBot="1">
      <c r="A46" s="148" t="s">
        <v>587</v>
      </c>
      <c r="B46" s="149" t="s">
        <v>588</v>
      </c>
      <c r="C46" s="141"/>
      <c r="D46" s="141"/>
      <c r="E46" s="141"/>
      <c r="F46" s="142">
        <f t="shared" si="0"/>
        <v>0</v>
      </c>
      <c r="G46" s="141">
        <v>11310.67</v>
      </c>
      <c r="H46" s="141"/>
      <c r="I46" s="141"/>
      <c r="J46" s="141"/>
      <c r="K46" s="141">
        <f t="shared" si="1"/>
        <v>11310.67</v>
      </c>
      <c r="L46" s="402">
        <f>SUM(K41:K46)</f>
        <v>28775.1</v>
      </c>
    </row>
    <row r="47" spans="1:12" ht="15.75" thickBot="1">
      <c r="A47" s="148" t="s">
        <v>489</v>
      </c>
      <c r="B47" s="149" t="s">
        <v>490</v>
      </c>
      <c r="C47" s="141">
        <v>407920.68</v>
      </c>
      <c r="D47" s="141">
        <v>0</v>
      </c>
      <c r="E47" s="141">
        <v>0</v>
      </c>
      <c r="F47" s="142">
        <f t="shared" si="0"/>
        <v>407920.68</v>
      </c>
      <c r="G47" s="141">
        <v>0</v>
      </c>
      <c r="H47" s="141">
        <v>0</v>
      </c>
      <c r="I47" s="141">
        <v>0</v>
      </c>
      <c r="J47" s="141">
        <v>0</v>
      </c>
      <c r="K47" s="141">
        <f t="shared" si="1"/>
        <v>407920.68</v>
      </c>
      <c r="L47" s="402">
        <f>+K47</f>
        <v>407920.68</v>
      </c>
    </row>
    <row r="48" spans="1:12" ht="15.75" thickBot="1">
      <c r="A48" s="148" t="s">
        <v>585</v>
      </c>
      <c r="B48" s="149" t="s">
        <v>586</v>
      </c>
      <c r="C48" s="141"/>
      <c r="D48" s="141"/>
      <c r="E48" s="141"/>
      <c r="F48" s="142">
        <f t="shared" si="0"/>
        <v>0</v>
      </c>
      <c r="G48" s="141">
        <v>357.24</v>
      </c>
      <c r="H48" s="141"/>
      <c r="I48" s="141"/>
      <c r="J48" s="141"/>
      <c r="K48" s="141">
        <f t="shared" si="1"/>
        <v>357.24</v>
      </c>
    </row>
    <row r="49" spans="1:12" ht="15.75" thickBot="1">
      <c r="A49" s="148" t="s">
        <v>764</v>
      </c>
      <c r="B49" s="149" t="s">
        <v>765</v>
      </c>
      <c r="C49" s="141">
        <v>0</v>
      </c>
      <c r="D49" s="141">
        <v>0</v>
      </c>
      <c r="E49" s="141">
        <v>0</v>
      </c>
      <c r="F49" s="142">
        <f t="shared" si="0"/>
        <v>0</v>
      </c>
      <c r="G49" s="141">
        <v>37459.980000000003</v>
      </c>
      <c r="H49" s="141"/>
      <c r="I49" s="141"/>
      <c r="J49" s="141"/>
      <c r="K49" s="141">
        <f t="shared" si="1"/>
        <v>37459.980000000003</v>
      </c>
      <c r="L49" s="402">
        <f>SUM(K48:K49)</f>
        <v>37817.22</v>
      </c>
    </row>
    <row r="50" spans="1:12" ht="15.75" thickBot="1">
      <c r="A50" s="148" t="s">
        <v>491</v>
      </c>
      <c r="B50" s="149" t="s">
        <v>492</v>
      </c>
      <c r="C50" s="141">
        <v>0</v>
      </c>
      <c r="D50" s="141">
        <v>1223762.1399999999</v>
      </c>
      <c r="E50" s="141">
        <v>0</v>
      </c>
      <c r="F50" s="142">
        <f t="shared" si="0"/>
        <v>1223762.1399999999</v>
      </c>
      <c r="G50" s="141">
        <v>0</v>
      </c>
      <c r="H50" s="141">
        <v>0</v>
      </c>
      <c r="I50" s="141">
        <v>0</v>
      </c>
      <c r="J50" s="141">
        <v>0</v>
      </c>
      <c r="K50" s="141">
        <f t="shared" si="1"/>
        <v>1223762.1399999999</v>
      </c>
    </row>
    <row r="51" spans="1:12" ht="15.75" thickBot="1">
      <c r="A51" s="148" t="s">
        <v>493</v>
      </c>
      <c r="B51" s="149" t="s">
        <v>494</v>
      </c>
      <c r="C51" s="141">
        <v>0</v>
      </c>
      <c r="D51" s="141">
        <v>0</v>
      </c>
      <c r="E51" s="141">
        <v>0</v>
      </c>
      <c r="F51" s="142">
        <f t="shared" si="0"/>
        <v>0</v>
      </c>
      <c r="G51" s="141">
        <v>0</v>
      </c>
      <c r="H51" s="141">
        <v>0</v>
      </c>
      <c r="I51" s="141">
        <v>0</v>
      </c>
      <c r="J51" s="141">
        <v>0</v>
      </c>
      <c r="K51" s="141">
        <f t="shared" si="1"/>
        <v>0</v>
      </c>
    </row>
    <row r="52" spans="1:12" ht="15.75" thickBot="1">
      <c r="A52" s="148" t="s">
        <v>495</v>
      </c>
      <c r="B52" s="149" t="s">
        <v>496</v>
      </c>
      <c r="C52" s="141">
        <v>0</v>
      </c>
      <c r="D52" s="141">
        <v>0</v>
      </c>
      <c r="E52" s="141">
        <v>0</v>
      </c>
      <c r="F52" s="142">
        <f t="shared" si="0"/>
        <v>0</v>
      </c>
      <c r="G52" s="141">
        <v>0</v>
      </c>
      <c r="H52" s="141">
        <v>0</v>
      </c>
      <c r="I52" s="141">
        <v>0</v>
      </c>
      <c r="J52" s="141">
        <v>0</v>
      </c>
      <c r="K52" s="141">
        <f t="shared" si="1"/>
        <v>0</v>
      </c>
    </row>
    <row r="53" spans="1:12" ht="16.5" thickBot="1">
      <c r="A53" s="148" t="s">
        <v>812</v>
      </c>
      <c r="B53" s="150" t="s">
        <v>765</v>
      </c>
      <c r="C53" s="151"/>
      <c r="D53" s="151"/>
      <c r="E53" s="151"/>
      <c r="F53" s="142">
        <f t="shared" si="0"/>
        <v>0</v>
      </c>
      <c r="G53" s="151">
        <v>20629.689999999999</v>
      </c>
      <c r="H53" s="151"/>
      <c r="I53" s="151"/>
      <c r="J53" s="152"/>
      <c r="K53" s="141">
        <f t="shared" si="1"/>
        <v>20629.689999999999</v>
      </c>
      <c r="L53" s="402">
        <f>SUM(K50:K53)</f>
        <v>1244391.8299999998</v>
      </c>
    </row>
    <row r="54" spans="1:12" ht="16.5" thickBot="1">
      <c r="A54" s="331" t="s">
        <v>813</v>
      </c>
      <c r="B54" s="332" t="s">
        <v>814</v>
      </c>
      <c r="C54" s="333">
        <v>16825.13</v>
      </c>
      <c r="D54" s="333">
        <v>454265.95</v>
      </c>
      <c r="E54" s="333">
        <v>149102.34</v>
      </c>
      <c r="F54" s="142">
        <f>+C54+D54+E54</f>
        <v>620193.42000000004</v>
      </c>
      <c r="G54" s="333">
        <v>9148.7199999999993</v>
      </c>
      <c r="H54" s="333"/>
      <c r="I54" s="333"/>
      <c r="J54" s="334">
        <v>18061.490000000002</v>
      </c>
      <c r="K54" s="141">
        <f t="shared" si="1"/>
        <v>647403.63</v>
      </c>
    </row>
    <row r="55" spans="1:12" ht="15.75" thickBot="1">
      <c r="A55" s="153"/>
      <c r="B55" s="154" t="s">
        <v>497</v>
      </c>
      <c r="C55" s="155">
        <f>SUM(C12:C54)</f>
        <v>424745.81</v>
      </c>
      <c r="D55" s="188">
        <f>SUM(D12:D54)</f>
        <v>1678028.0899999999</v>
      </c>
      <c r="E55" s="188">
        <f>SUM(E12:E54)</f>
        <v>149102.34</v>
      </c>
      <c r="F55" s="188">
        <f>SUM(F12:F54)</f>
        <v>2251876.2399999998</v>
      </c>
      <c r="G55" s="188">
        <f>SUM(G12:G54)</f>
        <v>610341.74999999977</v>
      </c>
      <c r="H55" s="155">
        <f>SUM(H12:H53)</f>
        <v>0</v>
      </c>
      <c r="I55" s="155">
        <f>SUM(I12:I53)</f>
        <v>0</v>
      </c>
      <c r="J55" s="155">
        <f>SUM(J12:J54)</f>
        <v>18061.490000000002</v>
      </c>
      <c r="K55" s="189">
        <f>+SUM(K12:K54)</f>
        <v>2880279.4799999995</v>
      </c>
      <c r="L55">
        <f>SUM(L12:L54)</f>
        <v>2232875.8499999996</v>
      </c>
    </row>
    <row r="56" spans="1:12" ht="18">
      <c r="A56" s="156"/>
      <c r="B56" s="157"/>
      <c r="C56" s="52"/>
      <c r="D56" s="52"/>
      <c r="E56" s="52"/>
      <c r="F56" s="530"/>
      <c r="G56" s="52"/>
      <c r="H56" s="52"/>
      <c r="I56" s="52"/>
      <c r="J56" s="52"/>
      <c r="K56" s="531">
        <f>+F55+G55+H55+I55+J55</f>
        <v>2880279.4799999995</v>
      </c>
    </row>
    <row r="57" spans="1:12" ht="18">
      <c r="A57" s="159"/>
      <c r="B57" s="157"/>
      <c r="C57" s="52"/>
      <c r="D57" s="52"/>
      <c r="E57" s="52"/>
      <c r="F57" s="52"/>
      <c r="G57" s="52"/>
      <c r="H57" s="52"/>
      <c r="I57" s="52"/>
      <c r="J57" s="52"/>
      <c r="K57" s="158"/>
    </row>
    <row r="58" spans="1:12" ht="18">
      <c r="A58" s="160" t="s">
        <v>498</v>
      </c>
      <c r="B58" s="52"/>
      <c r="C58" s="52"/>
      <c r="D58" s="52"/>
      <c r="E58" s="52"/>
      <c r="F58" s="52"/>
      <c r="G58" s="52"/>
      <c r="H58" s="52"/>
      <c r="I58" s="52"/>
      <c r="J58" s="52"/>
      <c r="K58" s="158"/>
    </row>
    <row r="59" spans="1:12" ht="15.75">
      <c r="A59" s="685" t="s">
        <v>499</v>
      </c>
      <c r="B59" s="685"/>
      <c r="C59" s="685"/>
      <c r="D59" s="685"/>
      <c r="E59" s="685"/>
      <c r="F59" s="685"/>
      <c r="G59" s="685"/>
      <c r="H59" s="52"/>
      <c r="I59" s="52"/>
      <c r="J59" s="52"/>
      <c r="K59" s="158"/>
    </row>
    <row r="60" spans="1:12" ht="15.75">
      <c r="A60" s="685" t="s">
        <v>500</v>
      </c>
      <c r="B60" s="685"/>
      <c r="C60" s="685"/>
      <c r="D60" s="685"/>
      <c r="E60" s="685"/>
      <c r="F60" s="685"/>
      <c r="G60" s="685"/>
      <c r="H60" s="52"/>
      <c r="I60" s="52"/>
      <c r="J60" s="52"/>
      <c r="K60" s="158"/>
    </row>
    <row r="61" spans="1:12" ht="15.75">
      <c r="A61" s="685" t="s">
        <v>501</v>
      </c>
      <c r="B61" s="685"/>
      <c r="C61" s="685"/>
      <c r="D61" s="685"/>
      <c r="E61" s="685"/>
      <c r="F61" s="685"/>
      <c r="G61" s="685"/>
      <c r="H61" s="52"/>
      <c r="I61" s="52"/>
      <c r="J61" s="52"/>
      <c r="K61" s="158"/>
    </row>
    <row r="62" spans="1:12" ht="15.75">
      <c r="A62" s="685" t="s">
        <v>502</v>
      </c>
      <c r="B62" s="685"/>
      <c r="C62" s="685"/>
      <c r="D62" s="685"/>
      <c r="E62" s="685"/>
      <c r="F62" s="685"/>
      <c r="G62" s="685"/>
      <c r="H62" s="52"/>
      <c r="I62" s="52"/>
      <c r="J62" s="52"/>
      <c r="K62" s="158"/>
    </row>
    <row r="63" spans="1:12" ht="15.75">
      <c r="A63" s="685" t="s">
        <v>503</v>
      </c>
      <c r="B63" s="685"/>
      <c r="C63" s="685"/>
      <c r="D63" s="685"/>
      <c r="E63" s="685"/>
      <c r="F63" s="685"/>
      <c r="G63" s="685"/>
      <c r="H63" s="52"/>
      <c r="I63" s="52"/>
      <c r="J63" s="52"/>
      <c r="K63" s="158"/>
    </row>
    <row r="64" spans="1:12" ht="15.75">
      <c r="A64" s="685" t="s">
        <v>504</v>
      </c>
      <c r="B64" s="685"/>
      <c r="C64" s="685"/>
      <c r="D64" s="685"/>
      <c r="E64" s="685"/>
      <c r="F64" s="685"/>
      <c r="G64" s="685"/>
      <c r="H64" s="52"/>
      <c r="I64" s="52"/>
      <c r="J64" s="52"/>
      <c r="K64" s="158"/>
    </row>
    <row r="65" spans="1:11" ht="15.75">
      <c r="A65" s="156"/>
      <c r="B65" s="52"/>
      <c r="C65" s="52"/>
      <c r="D65" s="52"/>
      <c r="E65" s="52"/>
      <c r="F65" s="52"/>
      <c r="G65" s="52"/>
      <c r="H65" s="52"/>
      <c r="I65" s="52"/>
      <c r="J65" s="52"/>
      <c r="K65" s="158"/>
    </row>
    <row r="66" spans="1:11" ht="15.75">
      <c r="A66" s="156"/>
      <c r="B66" s="52"/>
      <c r="C66" s="52"/>
      <c r="D66" s="52"/>
      <c r="E66" s="52"/>
      <c r="F66" s="52"/>
      <c r="G66" s="52"/>
      <c r="H66" s="52"/>
      <c r="I66" s="52"/>
      <c r="J66" s="52"/>
      <c r="K66" s="158"/>
    </row>
    <row r="67" spans="1:11" ht="18">
      <c r="A67" s="686" t="s">
        <v>505</v>
      </c>
      <c r="B67" s="687"/>
      <c r="C67" s="687"/>
      <c r="D67" s="687"/>
      <c r="E67" s="687"/>
      <c r="F67" s="687"/>
      <c r="G67" s="687"/>
      <c r="H67" s="687"/>
      <c r="I67" s="687"/>
      <c r="J67" s="687"/>
      <c r="K67" s="687"/>
    </row>
    <row r="68" spans="1:11" ht="18">
      <c r="A68" s="161"/>
      <c r="B68" s="162"/>
      <c r="C68" s="162"/>
      <c r="D68" s="162"/>
      <c r="E68" s="162"/>
      <c r="F68" s="162"/>
      <c r="G68" s="162"/>
      <c r="H68" s="162"/>
      <c r="I68" s="162"/>
      <c r="J68" s="162"/>
      <c r="K68" s="162"/>
    </row>
    <row r="69" spans="1:11" ht="15.75">
      <c r="A69" s="163" t="s">
        <v>506</v>
      </c>
      <c r="B69" s="164"/>
      <c r="C69" s="164"/>
      <c r="D69" s="164"/>
      <c r="E69" s="164"/>
      <c r="F69" s="163" t="s">
        <v>507</v>
      </c>
      <c r="G69" s="164"/>
      <c r="H69" s="164"/>
      <c r="I69" s="164"/>
      <c r="J69" s="164"/>
      <c r="K69" s="158"/>
    </row>
    <row r="70" spans="1:11" ht="15.75">
      <c r="A70" s="163" t="s">
        <v>508</v>
      </c>
      <c r="B70" s="164"/>
      <c r="C70" s="164"/>
      <c r="D70" s="164"/>
      <c r="E70" s="164"/>
      <c r="F70" s="163" t="s">
        <v>509</v>
      </c>
      <c r="G70" s="164"/>
      <c r="H70" s="164"/>
      <c r="I70" s="164"/>
      <c r="J70" s="164"/>
      <c r="K70" s="158"/>
    </row>
    <row r="71" spans="1:11" ht="15.75">
      <c r="A71" s="163" t="s">
        <v>510</v>
      </c>
      <c r="B71" s="164"/>
      <c r="C71" s="164"/>
      <c r="D71" s="164"/>
      <c r="E71" s="164"/>
      <c r="F71" s="165" t="s">
        <v>511</v>
      </c>
      <c r="G71" s="164"/>
      <c r="H71" s="164"/>
      <c r="I71" s="164"/>
      <c r="J71" s="164"/>
      <c r="K71" s="158"/>
    </row>
    <row r="72" spans="1:11" ht="15.75">
      <c r="A72" s="166" t="s">
        <v>512</v>
      </c>
      <c r="B72" s="164"/>
      <c r="C72" s="164"/>
      <c r="D72" s="164"/>
      <c r="E72" s="164"/>
      <c r="F72" s="165" t="s">
        <v>513</v>
      </c>
      <c r="G72" s="164"/>
      <c r="H72" s="164"/>
      <c r="I72" s="164"/>
      <c r="J72" s="164"/>
      <c r="K72" s="158"/>
    </row>
    <row r="73" spans="1:11" ht="15.75">
      <c r="A73" s="163" t="s">
        <v>514</v>
      </c>
      <c r="B73" s="164"/>
      <c r="C73" s="164"/>
      <c r="D73" s="164"/>
      <c r="E73" s="164"/>
      <c r="F73" s="165" t="s">
        <v>515</v>
      </c>
      <c r="G73" s="164"/>
      <c r="H73" s="164"/>
      <c r="I73" s="164"/>
      <c r="J73" s="164"/>
      <c r="K73" s="158"/>
    </row>
    <row r="74" spans="1:11" ht="15.75">
      <c r="A74" s="163" t="s">
        <v>516</v>
      </c>
      <c r="B74" s="164"/>
      <c r="C74" s="164"/>
      <c r="D74" s="164"/>
      <c r="E74" s="164"/>
      <c r="F74" s="165" t="s">
        <v>517</v>
      </c>
      <c r="G74" s="164"/>
      <c r="H74" s="164"/>
      <c r="I74" s="164"/>
      <c r="J74" s="164"/>
      <c r="K74" s="158"/>
    </row>
    <row r="75" spans="1:11" ht="15.75">
      <c r="A75" s="163" t="s">
        <v>518</v>
      </c>
      <c r="B75" s="164"/>
      <c r="C75" s="164"/>
      <c r="D75" s="164"/>
      <c r="E75" s="164"/>
      <c r="F75" s="164" t="s">
        <v>519</v>
      </c>
      <c r="G75" s="164"/>
      <c r="H75" s="164"/>
      <c r="I75" s="164"/>
      <c r="J75" s="164"/>
      <c r="K75" s="158"/>
    </row>
    <row r="76" spans="1:11" ht="15.75">
      <c r="A76" s="163" t="s">
        <v>520</v>
      </c>
      <c r="B76" s="164"/>
      <c r="C76" s="164"/>
      <c r="D76" s="164"/>
      <c r="E76" s="164"/>
      <c r="F76" s="165" t="s">
        <v>521</v>
      </c>
      <c r="G76" s="164"/>
      <c r="H76" s="164"/>
      <c r="I76" s="164"/>
      <c r="J76" s="164"/>
      <c r="K76" s="158"/>
    </row>
    <row r="77" spans="1:11" ht="15.75">
      <c r="A77" s="167"/>
      <c r="B77" s="52"/>
      <c r="C77" s="52"/>
      <c r="D77" s="52"/>
      <c r="E77" s="52"/>
      <c r="F77" s="52"/>
      <c r="G77" s="52"/>
      <c r="H77" s="52"/>
      <c r="I77" s="52"/>
      <c r="J77" s="52"/>
      <c r="K77" s="158"/>
    </row>
    <row r="78" spans="1:11" ht="15.75">
      <c r="A78" s="167"/>
      <c r="B78" s="52"/>
      <c r="C78" s="52"/>
      <c r="D78" s="52"/>
      <c r="E78" s="52"/>
      <c r="F78" s="52"/>
      <c r="G78" s="52"/>
      <c r="H78" s="52"/>
      <c r="I78" s="52"/>
      <c r="J78" s="52"/>
      <c r="K78" s="158"/>
    </row>
    <row r="79" spans="1:11" ht="15.75">
      <c r="A79" s="167"/>
      <c r="B79" s="52"/>
      <c r="C79" s="52"/>
      <c r="D79" s="52"/>
      <c r="E79" s="52"/>
      <c r="F79" s="52"/>
      <c r="G79" s="52"/>
      <c r="H79" s="52"/>
      <c r="I79" s="52"/>
      <c r="J79" s="52"/>
      <c r="K79" s="158"/>
    </row>
    <row r="80" spans="1:11" ht="15.75">
      <c r="A80" s="167"/>
      <c r="B80" s="52"/>
      <c r="C80" s="52"/>
      <c r="D80" s="52"/>
      <c r="E80" s="52"/>
      <c r="F80" s="52"/>
      <c r="G80" s="52"/>
      <c r="H80" s="52"/>
      <c r="I80" s="52"/>
      <c r="J80" s="52"/>
      <c r="K80" s="158"/>
    </row>
    <row r="81" spans="1:11" ht="15.75">
      <c r="A81" s="167"/>
      <c r="B81" s="52"/>
      <c r="C81" s="52"/>
      <c r="D81" s="52"/>
      <c r="E81" s="52"/>
      <c r="F81" s="52"/>
      <c r="G81" s="52"/>
      <c r="H81" s="52"/>
      <c r="I81" s="52"/>
      <c r="J81" s="52"/>
      <c r="K81" s="158"/>
    </row>
    <row r="82" spans="1:11" ht="15.75">
      <c r="A82" s="167"/>
      <c r="B82" s="52"/>
      <c r="C82" s="52"/>
      <c r="D82" s="52"/>
      <c r="E82" s="52"/>
      <c r="F82" s="52"/>
      <c r="G82" s="52"/>
      <c r="H82" s="52"/>
      <c r="I82" s="52"/>
      <c r="J82" s="52"/>
      <c r="K82" s="158"/>
    </row>
    <row r="83" spans="1:11" ht="15.75">
      <c r="A83" s="167"/>
      <c r="B83" s="52"/>
      <c r="C83" s="52"/>
      <c r="D83" s="52"/>
      <c r="E83" s="52"/>
      <c r="F83" s="52"/>
      <c r="G83" s="52"/>
      <c r="H83" s="52"/>
      <c r="I83" s="52"/>
      <c r="J83" s="52"/>
      <c r="K83" s="158"/>
    </row>
  </sheetData>
  <mergeCells count="24">
    <mergeCell ref="A64:G64"/>
    <mergeCell ref="A67:K67"/>
    <mergeCell ref="F10:F11"/>
    <mergeCell ref="A59:G59"/>
    <mergeCell ref="A60:G60"/>
    <mergeCell ref="A61:G61"/>
    <mergeCell ref="A62:G62"/>
    <mergeCell ref="A63:G63"/>
    <mergeCell ref="A8:K8"/>
    <mergeCell ref="A9:A11"/>
    <mergeCell ref="B9:B11"/>
    <mergeCell ref="C9:F9"/>
    <mergeCell ref="G9:G11"/>
    <mergeCell ref="H9:H11"/>
    <mergeCell ref="I9:I11"/>
    <mergeCell ref="J9:J11"/>
    <mergeCell ref="K9:K11"/>
    <mergeCell ref="C10:D10"/>
    <mergeCell ref="A7:K7"/>
    <mergeCell ref="A2:K2"/>
    <mergeCell ref="A3:K3"/>
    <mergeCell ref="A4:K4"/>
    <mergeCell ref="A5:K5"/>
    <mergeCell ref="A6:K6"/>
  </mergeCells>
  <pageMargins left="3.937007874015748E-2" right="3.937007874015748E-2" top="0.35433070866141736" bottom="0.15748031496062992" header="0.31496062992125984" footer="0.31496062992125984"/>
  <pageSetup scale="80" orientation="landscape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550"/>
  <sheetViews>
    <sheetView tabSelected="1" topLeftCell="A85" zoomScale="80" zoomScaleNormal="80" workbookViewId="0">
      <selection activeCell="G74" sqref="G74"/>
    </sheetView>
  </sheetViews>
  <sheetFormatPr baseColWidth="10" defaultRowHeight="15"/>
  <cols>
    <col min="3" max="3" width="50.140625" customWidth="1"/>
    <col min="4" max="4" width="12.85546875" customWidth="1"/>
    <col min="5" max="5" width="25.42578125" customWidth="1"/>
    <col min="6" max="6" width="19" customWidth="1"/>
    <col min="7" max="7" width="38" customWidth="1"/>
    <col min="8" max="8" width="19.140625" bestFit="1" customWidth="1"/>
    <col min="9" max="9" width="22.5703125" customWidth="1"/>
    <col min="10" max="10" width="16.5703125" bestFit="1" customWidth="1"/>
    <col min="11" max="12" width="17.42578125" bestFit="1" customWidth="1"/>
    <col min="13" max="13" width="15.85546875" bestFit="1" customWidth="1"/>
    <col min="16" max="16" width="12.5703125" bestFit="1" customWidth="1"/>
    <col min="18" max="18" width="13.5703125" bestFit="1" customWidth="1"/>
  </cols>
  <sheetData>
    <row r="2" spans="1:18" ht="46.5">
      <c r="A2" s="691" t="s">
        <v>926</v>
      </c>
      <c r="B2" s="692"/>
      <c r="C2" s="692"/>
      <c r="D2" s="692"/>
      <c r="E2" s="692"/>
      <c r="F2" s="692"/>
      <c r="G2" s="693"/>
    </row>
    <row r="3" spans="1:18" ht="46.5">
      <c r="A3" s="172"/>
      <c r="B3" s="694" t="s">
        <v>528</v>
      </c>
      <c r="C3" s="694"/>
      <c r="D3" s="694"/>
      <c r="E3" s="694"/>
      <c r="F3" s="694"/>
      <c r="G3" s="694"/>
    </row>
    <row r="4" spans="1:18" ht="46.5">
      <c r="A4" s="172"/>
      <c r="B4" s="694" t="s">
        <v>392</v>
      </c>
      <c r="C4" s="694"/>
      <c r="D4" s="694"/>
      <c r="E4" s="694"/>
      <c r="F4" s="694"/>
      <c r="G4" s="694"/>
    </row>
    <row r="5" spans="1:18" ht="23.25">
      <c r="A5" s="173"/>
      <c r="B5" s="690" t="s">
        <v>529</v>
      </c>
      <c r="C5" s="690"/>
      <c r="D5" s="690"/>
      <c r="E5" s="690"/>
      <c r="F5" s="583"/>
      <c r="G5" s="583" t="s">
        <v>551</v>
      </c>
    </row>
    <row r="6" spans="1:18" ht="93">
      <c r="A6" s="173"/>
      <c r="B6" s="584" t="s">
        <v>6</v>
      </c>
      <c r="C6" s="584" t="s">
        <v>530</v>
      </c>
      <c r="D6" s="585" t="s">
        <v>531</v>
      </c>
      <c r="E6" s="585" t="s">
        <v>532</v>
      </c>
      <c r="F6" s="183"/>
      <c r="G6" s="183"/>
    </row>
    <row r="7" spans="1:18" ht="23.25">
      <c r="A7" s="173"/>
      <c r="B7" s="174">
        <v>61501</v>
      </c>
      <c r="C7" s="586" t="s">
        <v>533</v>
      </c>
      <c r="D7" s="587"/>
      <c r="E7" s="587">
        <v>37915.29</v>
      </c>
      <c r="F7" s="175"/>
      <c r="G7" s="183"/>
    </row>
    <row r="8" spans="1:18" ht="23.25">
      <c r="A8" s="173"/>
      <c r="B8" s="174">
        <v>61502</v>
      </c>
      <c r="C8" s="586" t="s">
        <v>534</v>
      </c>
      <c r="D8" s="587"/>
      <c r="E8" s="587">
        <v>14000</v>
      </c>
      <c r="F8" s="175"/>
      <c r="G8" s="183"/>
    </row>
    <row r="9" spans="1:18" ht="23.25">
      <c r="A9" s="173"/>
      <c r="B9" s="174">
        <v>61503</v>
      </c>
      <c r="C9" s="586" t="s">
        <v>535</v>
      </c>
      <c r="D9" s="587"/>
      <c r="E9" s="587">
        <v>8000</v>
      </c>
      <c r="F9" s="175"/>
      <c r="G9" s="183"/>
    </row>
    <row r="10" spans="1:18" ht="23.25">
      <c r="A10" s="173"/>
      <c r="B10" s="174">
        <v>61599</v>
      </c>
      <c r="C10" s="586" t="s">
        <v>536</v>
      </c>
      <c r="D10" s="582"/>
      <c r="E10" s="587">
        <v>5000</v>
      </c>
      <c r="F10" s="452"/>
      <c r="G10" s="183"/>
      <c r="I10" s="99"/>
    </row>
    <row r="11" spans="1:18" ht="23.25">
      <c r="A11" s="173"/>
      <c r="B11" s="176" t="s">
        <v>537</v>
      </c>
      <c r="C11" s="177"/>
      <c r="D11" s="177"/>
      <c r="E11" s="178">
        <f>SUM(E7:E10)</f>
        <v>64915.29</v>
      </c>
      <c r="F11" s="179"/>
      <c r="G11" s="180"/>
    </row>
    <row r="12" spans="1:18" ht="23.25">
      <c r="A12" s="173"/>
      <c r="B12" s="695" t="s">
        <v>538</v>
      </c>
      <c r="C12" s="695"/>
      <c r="D12" s="695"/>
      <c r="E12" s="695"/>
      <c r="F12" s="695"/>
      <c r="G12" s="695"/>
    </row>
    <row r="13" spans="1:18" ht="23.25">
      <c r="A13" s="173"/>
      <c r="B13" s="690" t="s">
        <v>539</v>
      </c>
      <c r="C13" s="690"/>
      <c r="D13" s="690"/>
      <c r="E13" s="690"/>
      <c r="F13" s="690"/>
      <c r="G13" s="690"/>
    </row>
    <row r="14" spans="1:18" ht="69.75">
      <c r="A14" s="181" t="s">
        <v>540</v>
      </c>
      <c r="B14" s="173"/>
      <c r="C14" s="588" t="s">
        <v>530</v>
      </c>
      <c r="D14" s="183"/>
      <c r="E14" s="589"/>
      <c r="F14" s="183"/>
      <c r="G14" s="590" t="s">
        <v>862</v>
      </c>
      <c r="I14" s="455"/>
      <c r="J14" s="455"/>
      <c r="K14" s="455"/>
      <c r="L14" s="455"/>
      <c r="M14" s="455"/>
      <c r="N14" s="455"/>
      <c r="O14" s="455"/>
      <c r="P14" s="455"/>
      <c r="Q14" s="455"/>
    </row>
    <row r="15" spans="1:18" ht="23.25">
      <c r="A15" s="173"/>
      <c r="B15" s="173"/>
      <c r="C15" s="185"/>
      <c r="D15" s="183"/>
      <c r="E15" s="173"/>
      <c r="F15" s="183"/>
      <c r="G15" s="183"/>
      <c r="I15" s="453"/>
      <c r="J15" s="456"/>
      <c r="K15" s="453"/>
      <c r="L15" s="453"/>
      <c r="M15" s="453"/>
      <c r="N15" s="99"/>
      <c r="O15" s="99"/>
      <c r="P15" s="99"/>
      <c r="Q15" s="454"/>
      <c r="R15" s="99"/>
    </row>
    <row r="16" spans="1:18" ht="23.25">
      <c r="A16" s="173"/>
      <c r="B16" s="173"/>
      <c r="C16" s="185" t="s">
        <v>973</v>
      </c>
      <c r="D16" s="183"/>
      <c r="E16" s="173"/>
      <c r="F16" s="183"/>
      <c r="G16" s="183">
        <v>6000</v>
      </c>
      <c r="I16" s="453"/>
      <c r="J16" s="456"/>
      <c r="K16" s="453"/>
      <c r="L16" s="453"/>
      <c r="M16" s="453"/>
      <c r="N16" s="99"/>
      <c r="O16" s="99"/>
      <c r="P16" s="99"/>
      <c r="Q16" s="454"/>
      <c r="R16" s="99"/>
    </row>
    <row r="17" spans="1:18" ht="46.5">
      <c r="A17" s="173"/>
      <c r="B17" s="173"/>
      <c r="C17" s="185" t="s">
        <v>972</v>
      </c>
      <c r="D17" s="183"/>
      <c r="E17" s="173"/>
      <c r="F17" s="183"/>
      <c r="G17" s="183">
        <v>6000</v>
      </c>
      <c r="I17" s="453"/>
      <c r="J17" s="456"/>
      <c r="K17" s="453"/>
      <c r="L17" s="453"/>
      <c r="M17" s="453"/>
      <c r="N17" s="99"/>
      <c r="O17" s="99"/>
      <c r="P17" s="99"/>
      <c r="Q17" s="454"/>
      <c r="R17" s="99"/>
    </row>
    <row r="18" spans="1:18" ht="48" customHeight="1">
      <c r="A18" s="173"/>
      <c r="B18" s="173">
        <v>61601</v>
      </c>
      <c r="C18" s="185" t="s">
        <v>974</v>
      </c>
      <c r="D18" s="183"/>
      <c r="E18" s="173"/>
      <c r="F18" s="183"/>
      <c r="G18" s="183">
        <v>8000</v>
      </c>
    </row>
    <row r="19" spans="1:18" ht="29.25" customHeight="1">
      <c r="A19" s="173" t="s">
        <v>913</v>
      </c>
      <c r="B19" s="173"/>
      <c r="C19" s="185" t="s">
        <v>979</v>
      </c>
      <c r="D19" s="183"/>
      <c r="E19" s="591"/>
      <c r="F19" s="183"/>
      <c r="G19" s="183">
        <v>7000</v>
      </c>
    </row>
    <row r="20" spans="1:18" ht="29.25" customHeight="1">
      <c r="A20" s="173"/>
      <c r="B20" s="173"/>
      <c r="C20" s="173" t="s">
        <v>927</v>
      </c>
      <c r="D20" s="183"/>
      <c r="E20" s="591"/>
      <c r="F20" s="183"/>
      <c r="G20" s="183">
        <v>5000</v>
      </c>
    </row>
    <row r="21" spans="1:18" ht="29.25" customHeight="1">
      <c r="A21" s="173"/>
      <c r="B21" s="173"/>
      <c r="C21" s="185" t="s">
        <v>929</v>
      </c>
      <c r="D21" s="183"/>
      <c r="E21" s="591"/>
      <c r="F21" s="183"/>
      <c r="G21" s="183">
        <v>3000</v>
      </c>
    </row>
    <row r="22" spans="1:18" ht="27" customHeight="1">
      <c r="A22" s="173"/>
      <c r="B22" s="173">
        <v>61601</v>
      </c>
      <c r="C22" s="581" t="s">
        <v>938</v>
      </c>
      <c r="D22" s="183"/>
      <c r="E22" s="173"/>
      <c r="F22" s="183"/>
      <c r="G22" s="592">
        <v>6000</v>
      </c>
    </row>
    <row r="23" spans="1:18" ht="27" customHeight="1">
      <c r="A23" s="173"/>
      <c r="B23" s="173"/>
      <c r="C23" s="581" t="s">
        <v>921</v>
      </c>
      <c r="D23" s="183"/>
      <c r="E23" s="173"/>
      <c r="F23" s="183"/>
      <c r="G23" s="592">
        <v>3000</v>
      </c>
    </row>
    <row r="24" spans="1:18" ht="27" customHeight="1">
      <c r="A24" s="173"/>
      <c r="B24" s="173"/>
      <c r="C24" s="581" t="s">
        <v>922</v>
      </c>
      <c r="D24" s="183"/>
      <c r="E24" s="173"/>
      <c r="F24" s="183"/>
      <c r="G24" s="592">
        <v>2000</v>
      </c>
    </row>
    <row r="25" spans="1:18" ht="27" customHeight="1">
      <c r="A25" s="173"/>
      <c r="B25" s="173"/>
      <c r="C25" s="581" t="s">
        <v>923</v>
      </c>
      <c r="D25" s="183"/>
      <c r="E25" s="173"/>
      <c r="F25" s="183"/>
      <c r="G25" s="592">
        <v>2000</v>
      </c>
    </row>
    <row r="26" spans="1:18" ht="27" customHeight="1">
      <c r="A26" s="173"/>
      <c r="B26" s="173"/>
      <c r="C26" s="581" t="s">
        <v>924</v>
      </c>
      <c r="D26" s="183"/>
      <c r="E26" s="173"/>
      <c r="F26" s="183"/>
      <c r="G26" s="592">
        <v>2000</v>
      </c>
    </row>
    <row r="27" spans="1:18" ht="51.75" customHeight="1">
      <c r="A27" s="173"/>
      <c r="B27" s="173"/>
      <c r="C27" s="173" t="s">
        <v>986</v>
      </c>
      <c r="D27" s="183"/>
      <c r="E27" s="173"/>
      <c r="F27" s="183"/>
      <c r="G27" s="183">
        <v>8000</v>
      </c>
    </row>
    <row r="28" spans="1:18" ht="24.75" customHeight="1">
      <c r="A28" s="173"/>
      <c r="B28" s="173">
        <v>61601</v>
      </c>
      <c r="C28" s="185" t="s">
        <v>975</v>
      </c>
      <c r="D28" s="183"/>
      <c r="E28" s="173"/>
      <c r="F28" s="183"/>
      <c r="G28" s="592" t="s">
        <v>941</v>
      </c>
    </row>
    <row r="29" spans="1:18" ht="53.25" customHeight="1">
      <c r="A29" s="173"/>
      <c r="B29" s="173"/>
      <c r="C29" s="185" t="s">
        <v>985</v>
      </c>
      <c r="D29" s="183"/>
      <c r="E29" s="591"/>
      <c r="F29" s="183"/>
      <c r="G29" s="183">
        <v>5000</v>
      </c>
    </row>
    <row r="30" spans="1:18" ht="33" customHeight="1">
      <c r="A30" s="173"/>
      <c r="B30" s="173"/>
      <c r="C30" s="185" t="s">
        <v>928</v>
      </c>
      <c r="D30" s="183"/>
      <c r="E30" s="173"/>
      <c r="F30" s="183"/>
      <c r="G30" s="183">
        <v>2500</v>
      </c>
    </row>
    <row r="31" spans="1:18" ht="33" customHeight="1">
      <c r="A31" s="173"/>
      <c r="B31" s="173"/>
      <c r="C31" s="185" t="s">
        <v>976</v>
      </c>
      <c r="D31" s="183"/>
      <c r="E31" s="173"/>
      <c r="F31" s="183"/>
      <c r="G31" s="183">
        <v>4000</v>
      </c>
    </row>
    <row r="32" spans="1:18" ht="33" customHeight="1">
      <c r="A32" s="173"/>
      <c r="B32" s="173"/>
      <c r="C32" s="185" t="s">
        <v>977</v>
      </c>
      <c r="D32" s="183"/>
      <c r="E32" s="173"/>
      <c r="F32" s="183"/>
      <c r="G32" s="183">
        <v>6000</v>
      </c>
    </row>
    <row r="33" spans="1:7" ht="78.75" customHeight="1">
      <c r="A33" s="173"/>
      <c r="B33" s="173">
        <v>61601</v>
      </c>
      <c r="C33" s="593" t="s">
        <v>981</v>
      </c>
      <c r="D33" s="594"/>
      <c r="E33" s="186"/>
      <c r="F33" s="580"/>
      <c r="G33" s="592">
        <v>2000</v>
      </c>
    </row>
    <row r="34" spans="1:7" ht="61.5" customHeight="1">
      <c r="A34" s="173"/>
      <c r="B34" s="173"/>
      <c r="C34" s="593" t="s">
        <v>982</v>
      </c>
      <c r="D34" s="594"/>
      <c r="E34" s="186"/>
      <c r="F34" s="580"/>
      <c r="G34" s="183">
        <v>3000</v>
      </c>
    </row>
    <row r="35" spans="1:7" ht="58.5" customHeight="1">
      <c r="A35" s="173"/>
      <c r="B35" s="173"/>
      <c r="C35" s="595" t="s">
        <v>987</v>
      </c>
      <c r="D35" s="594"/>
      <c r="E35" s="186"/>
      <c r="F35" s="580"/>
      <c r="G35" s="183">
        <v>6000</v>
      </c>
    </row>
    <row r="36" spans="1:7" ht="37.5" customHeight="1">
      <c r="A36" s="182"/>
      <c r="B36" s="173">
        <v>61601</v>
      </c>
      <c r="C36" s="581" t="s">
        <v>978</v>
      </c>
      <c r="D36" s="582"/>
      <c r="E36" s="186"/>
      <c r="F36" s="183"/>
      <c r="G36" s="183">
        <v>6000</v>
      </c>
    </row>
    <row r="37" spans="1:7" ht="49.5" customHeight="1">
      <c r="A37" s="576"/>
      <c r="B37" s="173"/>
      <c r="C37" s="581" t="s">
        <v>980</v>
      </c>
      <c r="D37" s="582"/>
      <c r="E37" s="186"/>
      <c r="F37" s="183"/>
      <c r="G37" s="183" t="s">
        <v>962</v>
      </c>
    </row>
    <row r="38" spans="1:7" ht="47.25" customHeight="1">
      <c r="A38" s="576"/>
      <c r="B38" s="173"/>
      <c r="C38" s="581" t="s">
        <v>971</v>
      </c>
      <c r="D38" s="582"/>
      <c r="E38" s="186"/>
      <c r="F38" s="183"/>
      <c r="G38" s="183">
        <v>22993.98</v>
      </c>
    </row>
    <row r="39" spans="1:7" ht="37.5" customHeight="1">
      <c r="A39" s="576"/>
      <c r="B39" s="173"/>
      <c r="C39" s="581" t="s">
        <v>965</v>
      </c>
      <c r="D39" s="582"/>
      <c r="E39" s="186"/>
      <c r="F39" s="183"/>
      <c r="G39" s="183">
        <v>12000</v>
      </c>
    </row>
    <row r="40" spans="1:7" ht="37.5" customHeight="1">
      <c r="A40" s="576"/>
      <c r="B40" s="173"/>
      <c r="C40" s="581" t="s">
        <v>963</v>
      </c>
      <c r="D40" s="582"/>
      <c r="E40" s="186"/>
      <c r="F40" s="183"/>
      <c r="G40" s="183" t="s">
        <v>945</v>
      </c>
    </row>
    <row r="41" spans="1:7" ht="51" customHeight="1">
      <c r="A41" s="576"/>
      <c r="B41" s="173"/>
      <c r="C41" s="581" t="s">
        <v>989</v>
      </c>
      <c r="D41" s="582"/>
      <c r="E41" s="186"/>
      <c r="F41" s="183"/>
      <c r="G41" s="183">
        <v>5000</v>
      </c>
    </row>
    <row r="42" spans="1:7" ht="37.5" customHeight="1">
      <c r="A42" s="576"/>
      <c r="B42" s="173"/>
      <c r="C42" s="581" t="s">
        <v>942</v>
      </c>
      <c r="D42" s="582"/>
      <c r="E42" s="186"/>
      <c r="F42" s="183"/>
      <c r="G42" s="183">
        <v>6000</v>
      </c>
    </row>
    <row r="43" spans="1:7" ht="37.5" customHeight="1">
      <c r="A43" s="576"/>
      <c r="B43" s="173"/>
      <c r="C43" s="581" t="s">
        <v>967</v>
      </c>
      <c r="D43" s="582"/>
      <c r="E43" s="186"/>
      <c r="F43" s="183"/>
      <c r="G43" s="183">
        <v>6000</v>
      </c>
    </row>
    <row r="44" spans="1:7" ht="37.5" customHeight="1">
      <c r="A44" s="576"/>
      <c r="B44" s="173"/>
      <c r="C44" s="581" t="s">
        <v>935</v>
      </c>
      <c r="D44" s="582"/>
      <c r="E44" s="186"/>
      <c r="F44" s="183"/>
      <c r="G44" s="183">
        <v>6000</v>
      </c>
    </row>
    <row r="45" spans="1:7" ht="48.75" customHeight="1">
      <c r="A45" s="576"/>
      <c r="B45" s="173"/>
      <c r="C45" s="581" t="s">
        <v>983</v>
      </c>
      <c r="D45" s="582"/>
      <c r="E45" s="186"/>
      <c r="F45" s="183"/>
      <c r="G45" s="183">
        <v>2000</v>
      </c>
    </row>
    <row r="46" spans="1:7" ht="37.5" customHeight="1">
      <c r="A46" s="576"/>
      <c r="B46" s="173"/>
      <c r="C46" s="581" t="s">
        <v>944</v>
      </c>
      <c r="D46" s="582"/>
      <c r="E46" s="186"/>
      <c r="F46" s="183"/>
      <c r="G46" s="183" t="s">
        <v>946</v>
      </c>
    </row>
    <row r="47" spans="1:7" ht="37.5" customHeight="1">
      <c r="A47" s="576"/>
      <c r="B47" s="173"/>
      <c r="C47" s="581" t="s">
        <v>949</v>
      </c>
      <c r="D47" s="582"/>
      <c r="E47" s="186"/>
      <c r="F47" s="183"/>
      <c r="G47" s="183" t="s">
        <v>943</v>
      </c>
    </row>
    <row r="48" spans="1:7" ht="37.5" customHeight="1">
      <c r="A48" s="576"/>
      <c r="B48" s="173"/>
      <c r="C48" s="581" t="s">
        <v>950</v>
      </c>
      <c r="D48" s="582"/>
      <c r="E48" s="186"/>
      <c r="F48" s="183"/>
      <c r="G48" s="743" t="s">
        <v>951</v>
      </c>
    </row>
    <row r="49" spans="1:9" ht="37.5" customHeight="1">
      <c r="A49" s="576"/>
      <c r="B49" s="173"/>
      <c r="C49" s="581" t="s">
        <v>952</v>
      </c>
      <c r="D49" s="582"/>
      <c r="E49" s="186"/>
      <c r="F49" s="183"/>
      <c r="G49" s="743" t="s">
        <v>953</v>
      </c>
    </row>
    <row r="50" spans="1:9" ht="37.5" customHeight="1">
      <c r="A50" s="576"/>
      <c r="B50" s="173"/>
      <c r="C50" s="581" t="s">
        <v>947</v>
      </c>
      <c r="D50" s="582"/>
      <c r="E50" s="186"/>
      <c r="F50" s="183"/>
      <c r="G50" s="183" t="s">
        <v>948</v>
      </c>
    </row>
    <row r="51" spans="1:9" ht="37.5" customHeight="1">
      <c r="A51" s="576"/>
      <c r="B51" s="173"/>
      <c r="C51" s="581" t="s">
        <v>954</v>
      </c>
      <c r="D51" s="582"/>
      <c r="E51" s="186"/>
      <c r="F51" s="183"/>
      <c r="G51" s="183" t="s">
        <v>955</v>
      </c>
    </row>
    <row r="52" spans="1:9" ht="37.5" customHeight="1">
      <c r="A52" s="576"/>
      <c r="B52" s="173"/>
      <c r="C52" s="581" t="s">
        <v>934</v>
      </c>
      <c r="D52" s="582"/>
      <c r="E52" s="186"/>
      <c r="F52" s="183"/>
      <c r="G52" s="183">
        <v>35000</v>
      </c>
    </row>
    <row r="53" spans="1:9" ht="122.25" customHeight="1">
      <c r="A53" s="170"/>
      <c r="B53" s="173"/>
      <c r="C53" s="579" t="s">
        <v>969</v>
      </c>
      <c r="D53" s="183"/>
      <c r="E53" s="186"/>
      <c r="F53" s="183"/>
      <c r="G53" s="183">
        <v>114516.02</v>
      </c>
      <c r="I53" s="596"/>
    </row>
    <row r="54" spans="1:9" ht="135.75" customHeight="1">
      <c r="A54" s="170"/>
      <c r="B54" s="173"/>
      <c r="C54" s="579" t="s">
        <v>970</v>
      </c>
      <c r="D54" s="183"/>
      <c r="E54" s="186"/>
      <c r="F54" s="183"/>
      <c r="G54" s="183">
        <v>100380.58</v>
      </c>
      <c r="I54" s="596"/>
    </row>
    <row r="55" spans="1:9" ht="61.5" customHeight="1">
      <c r="A55" s="173"/>
      <c r="B55" s="173">
        <v>61602</v>
      </c>
      <c r="C55" s="579" t="s">
        <v>541</v>
      </c>
      <c r="D55" s="183"/>
      <c r="E55" s="186"/>
      <c r="F55" s="183"/>
      <c r="G55" s="183">
        <v>21000</v>
      </c>
    </row>
    <row r="56" spans="1:9" ht="61.5" customHeight="1">
      <c r="A56" s="173"/>
      <c r="B56" s="173"/>
      <c r="C56" s="185" t="s">
        <v>925</v>
      </c>
      <c r="D56" s="183"/>
      <c r="E56" s="186"/>
      <c r="F56" s="183"/>
      <c r="G56" s="183">
        <v>15000</v>
      </c>
    </row>
    <row r="57" spans="1:9" ht="93">
      <c r="A57" s="173"/>
      <c r="B57" s="173">
        <v>61602</v>
      </c>
      <c r="C57" s="577" t="s">
        <v>542</v>
      </c>
      <c r="D57" s="183"/>
      <c r="E57" s="186"/>
      <c r="F57" s="183"/>
      <c r="G57" s="183">
        <v>60000</v>
      </c>
    </row>
    <row r="58" spans="1:9" ht="48" customHeight="1">
      <c r="A58" s="173"/>
      <c r="B58" s="173">
        <v>61602</v>
      </c>
      <c r="C58" s="579" t="s">
        <v>798</v>
      </c>
      <c r="D58" s="183"/>
      <c r="E58" s="186"/>
      <c r="F58" s="183"/>
      <c r="G58" s="183">
        <v>2000</v>
      </c>
    </row>
    <row r="59" spans="1:9" ht="23.25">
      <c r="A59" s="173"/>
      <c r="B59" s="578">
        <v>61602</v>
      </c>
      <c r="C59" s="578" t="s">
        <v>543</v>
      </c>
      <c r="D59" s="183"/>
      <c r="E59" s="186"/>
      <c r="F59" s="183"/>
      <c r="G59" s="597">
        <v>2000</v>
      </c>
    </row>
    <row r="60" spans="1:9" ht="36.75" customHeight="1">
      <c r="A60" s="173"/>
      <c r="B60" s="578">
        <v>61602</v>
      </c>
      <c r="C60" s="579" t="s">
        <v>916</v>
      </c>
      <c r="D60" s="183"/>
      <c r="E60" s="186"/>
      <c r="F60" s="183"/>
      <c r="G60" s="183">
        <v>6000</v>
      </c>
      <c r="I60" s="133"/>
    </row>
    <row r="61" spans="1:9" ht="45" customHeight="1">
      <c r="A61" s="173"/>
      <c r="B61" s="173">
        <v>61603</v>
      </c>
      <c r="C61" s="579" t="s">
        <v>915</v>
      </c>
      <c r="D61" s="582"/>
      <c r="E61" s="183"/>
      <c r="F61" s="582"/>
      <c r="G61" s="183">
        <v>4000</v>
      </c>
    </row>
    <row r="62" spans="1:9" ht="45" customHeight="1">
      <c r="A62" s="173"/>
      <c r="B62" s="578"/>
      <c r="C62" s="579" t="s">
        <v>919</v>
      </c>
      <c r="D62" s="582"/>
      <c r="E62" s="183"/>
      <c r="F62" s="582"/>
      <c r="G62" s="183">
        <v>5000</v>
      </c>
    </row>
    <row r="63" spans="1:9" ht="23.25">
      <c r="A63" s="173"/>
      <c r="B63" s="578">
        <v>61603</v>
      </c>
      <c r="C63" s="578" t="s">
        <v>797</v>
      </c>
      <c r="D63" s="183"/>
      <c r="E63" s="186"/>
      <c r="F63" s="183"/>
      <c r="G63" s="183">
        <v>18000</v>
      </c>
    </row>
    <row r="64" spans="1:9" ht="46.5">
      <c r="A64" s="173"/>
      <c r="B64" s="598">
        <v>61603</v>
      </c>
      <c r="C64" s="579" t="s">
        <v>801</v>
      </c>
      <c r="D64" s="183"/>
      <c r="E64" s="186"/>
      <c r="F64" s="599"/>
      <c r="G64" s="600">
        <v>12000</v>
      </c>
      <c r="I64" s="596"/>
    </row>
    <row r="65" spans="1:9" ht="23.25">
      <c r="A65" s="173"/>
      <c r="B65" s="598"/>
      <c r="C65" s="579" t="s">
        <v>939</v>
      </c>
      <c r="D65" s="183"/>
      <c r="E65" s="186"/>
      <c r="F65" s="599"/>
      <c r="G65" s="600">
        <v>6000</v>
      </c>
      <c r="I65" s="596"/>
    </row>
    <row r="66" spans="1:9" ht="46.5">
      <c r="A66" s="173"/>
      <c r="B66" s="598"/>
      <c r="C66" s="579" t="s">
        <v>936</v>
      </c>
      <c r="D66" s="183"/>
      <c r="E66" s="186"/>
      <c r="F66" s="599"/>
      <c r="G66" s="600">
        <v>10000</v>
      </c>
      <c r="I66" s="596"/>
    </row>
    <row r="67" spans="1:9" ht="23.25">
      <c r="A67" s="173"/>
      <c r="B67" s="598"/>
      <c r="C67" s="579" t="s">
        <v>918</v>
      </c>
      <c r="D67" s="183"/>
      <c r="E67" s="186"/>
      <c r="F67" s="599"/>
      <c r="G67" s="601">
        <v>10000</v>
      </c>
      <c r="I67" s="596"/>
    </row>
    <row r="68" spans="1:9" ht="42" customHeight="1">
      <c r="A68" s="173"/>
      <c r="B68" s="578">
        <v>61604</v>
      </c>
      <c r="C68" s="602" t="s">
        <v>544</v>
      </c>
      <c r="D68" s="183"/>
      <c r="E68" s="186"/>
      <c r="F68" s="183"/>
      <c r="G68" s="183">
        <v>5000</v>
      </c>
    </row>
    <row r="69" spans="1:9" ht="58.5" customHeight="1">
      <c r="B69" s="578">
        <v>61604</v>
      </c>
      <c r="C69" s="593" t="s">
        <v>931</v>
      </c>
      <c r="D69" s="183"/>
      <c r="E69" s="186"/>
      <c r="F69" s="183"/>
      <c r="G69" s="183">
        <v>8000</v>
      </c>
    </row>
    <row r="70" spans="1:9" ht="73.5" customHeight="1">
      <c r="A70" s="173"/>
      <c r="B70" s="578">
        <v>61604</v>
      </c>
      <c r="C70" s="603" t="s">
        <v>930</v>
      </c>
      <c r="D70" s="183"/>
      <c r="E70" s="186"/>
      <c r="F70" s="183"/>
      <c r="G70" s="183">
        <v>7000</v>
      </c>
    </row>
    <row r="71" spans="1:9" ht="73.5" customHeight="1">
      <c r="A71" s="173"/>
      <c r="B71" s="578"/>
      <c r="C71" s="603" t="s">
        <v>988</v>
      </c>
      <c r="D71" s="183"/>
      <c r="E71" s="186"/>
      <c r="F71" s="183"/>
      <c r="G71" s="183">
        <v>45000</v>
      </c>
    </row>
    <row r="72" spans="1:9" ht="70.5" customHeight="1">
      <c r="A72" s="173"/>
      <c r="B72" s="173">
        <v>61604</v>
      </c>
      <c r="C72" s="604" t="s">
        <v>966</v>
      </c>
      <c r="D72" s="183"/>
      <c r="E72" s="186"/>
      <c r="F72" s="183"/>
      <c r="G72" s="592" t="s">
        <v>940</v>
      </c>
    </row>
    <row r="73" spans="1:9" ht="51" customHeight="1">
      <c r="A73" s="173"/>
      <c r="B73" s="173">
        <v>61606</v>
      </c>
      <c r="C73" s="579" t="s">
        <v>957</v>
      </c>
      <c r="D73" s="183"/>
      <c r="E73" s="186"/>
      <c r="F73" s="183"/>
      <c r="G73" s="183">
        <v>25000</v>
      </c>
    </row>
    <row r="74" spans="1:9" ht="51" customHeight="1">
      <c r="A74" s="173"/>
      <c r="B74" s="173">
        <v>61606</v>
      </c>
      <c r="C74" s="187" t="s">
        <v>990</v>
      </c>
      <c r="D74" s="183"/>
      <c r="E74" s="186"/>
      <c r="F74" s="183"/>
      <c r="G74" s="592">
        <v>25000</v>
      </c>
      <c r="I74" s="133"/>
    </row>
    <row r="75" spans="1:9" ht="66.75" customHeight="1">
      <c r="A75" s="173"/>
      <c r="B75" s="173"/>
      <c r="C75" s="187" t="s">
        <v>984</v>
      </c>
      <c r="D75" s="183"/>
      <c r="E75" s="186"/>
      <c r="F75" s="183"/>
      <c r="G75" s="592">
        <v>3000</v>
      </c>
      <c r="I75" s="133"/>
    </row>
    <row r="76" spans="1:9" ht="25.5" customHeight="1">
      <c r="A76" s="173"/>
      <c r="B76" s="585">
        <v>61608</v>
      </c>
      <c r="C76" s="605" t="s">
        <v>545</v>
      </c>
      <c r="D76" s="606"/>
      <c r="E76" s="606"/>
      <c r="F76" s="606"/>
      <c r="G76" s="607">
        <v>43000</v>
      </c>
      <c r="I76" s="133"/>
    </row>
    <row r="77" spans="1:9" ht="23.25">
      <c r="A77" s="173"/>
      <c r="B77" s="184"/>
      <c r="C77" s="588" t="s">
        <v>937</v>
      </c>
      <c r="D77" s="588"/>
      <c r="E77" s="588"/>
      <c r="F77" s="588"/>
      <c r="G77" s="608">
        <v>40000</v>
      </c>
    </row>
    <row r="78" spans="1:9" ht="45.75" customHeight="1">
      <c r="A78" s="173"/>
      <c r="B78" s="578">
        <v>61699</v>
      </c>
      <c r="C78" s="579" t="s">
        <v>546</v>
      </c>
      <c r="D78" s="580"/>
      <c r="E78" s="186"/>
      <c r="F78" s="580"/>
      <c r="G78" s="580">
        <v>26000</v>
      </c>
      <c r="H78" s="609"/>
    </row>
    <row r="79" spans="1:9" ht="62.25" customHeight="1">
      <c r="A79" s="173"/>
      <c r="B79" s="578"/>
      <c r="C79" s="579" t="s">
        <v>932</v>
      </c>
      <c r="D79" s="580"/>
      <c r="E79" s="186"/>
      <c r="F79" s="580"/>
      <c r="G79" s="580">
        <v>8000</v>
      </c>
    </row>
    <row r="80" spans="1:9" ht="51" customHeight="1">
      <c r="A80" s="173"/>
      <c r="B80" s="578">
        <v>61699</v>
      </c>
      <c r="C80" s="579" t="s">
        <v>956</v>
      </c>
      <c r="D80" s="580"/>
      <c r="E80" s="186"/>
      <c r="F80" s="580"/>
      <c r="G80" s="580">
        <v>18000</v>
      </c>
    </row>
    <row r="81" spans="1:9" ht="70.5" customHeight="1">
      <c r="A81" s="173"/>
      <c r="B81" s="578">
        <v>61699</v>
      </c>
      <c r="C81" s="579" t="s">
        <v>547</v>
      </c>
      <c r="D81" s="580"/>
      <c r="E81" s="186"/>
      <c r="F81" s="580"/>
      <c r="G81" s="580">
        <v>8000</v>
      </c>
    </row>
    <row r="82" spans="1:9" ht="45" customHeight="1">
      <c r="A82" s="173"/>
      <c r="B82" s="578">
        <v>61699</v>
      </c>
      <c r="C82" s="579" t="s">
        <v>958</v>
      </c>
      <c r="D82" s="580"/>
      <c r="E82" s="186"/>
      <c r="F82" s="580"/>
      <c r="G82" s="580">
        <v>44000</v>
      </c>
    </row>
    <row r="83" spans="1:9" ht="51" customHeight="1">
      <c r="A83" s="173"/>
      <c r="B83" s="578">
        <v>61699</v>
      </c>
      <c r="C83" s="579" t="s">
        <v>548</v>
      </c>
      <c r="D83" s="580"/>
      <c r="E83" s="186"/>
      <c r="F83" s="580"/>
      <c r="G83" s="580">
        <v>15000</v>
      </c>
    </row>
    <row r="84" spans="1:9" ht="44.25" customHeight="1">
      <c r="A84" s="173"/>
      <c r="B84" s="578">
        <v>61699</v>
      </c>
      <c r="C84" s="579" t="s">
        <v>917</v>
      </c>
      <c r="D84" s="580"/>
      <c r="E84" s="186"/>
      <c r="F84" s="594"/>
      <c r="G84" s="580">
        <v>28000</v>
      </c>
    </row>
    <row r="85" spans="1:9" ht="70.5" customHeight="1">
      <c r="A85" s="173"/>
      <c r="B85" s="578">
        <v>61699</v>
      </c>
      <c r="C85" s="577" t="s">
        <v>549</v>
      </c>
      <c r="D85" s="580"/>
      <c r="E85" s="186"/>
      <c r="F85" s="594"/>
      <c r="G85" s="580">
        <v>16000</v>
      </c>
    </row>
    <row r="86" spans="1:9" ht="57" customHeight="1">
      <c r="A86" s="173"/>
      <c r="B86" s="578">
        <v>61699</v>
      </c>
      <c r="C86" s="579" t="s">
        <v>550</v>
      </c>
      <c r="D86" s="580"/>
      <c r="E86" s="186"/>
      <c r="F86" s="580"/>
      <c r="G86" s="580">
        <v>7000</v>
      </c>
    </row>
    <row r="87" spans="1:9" ht="57" customHeight="1">
      <c r="A87" s="173"/>
      <c r="B87" s="578"/>
      <c r="C87" s="579" t="s">
        <v>920</v>
      </c>
      <c r="D87" s="580"/>
      <c r="E87" s="186"/>
      <c r="F87" s="580"/>
      <c r="G87" s="580">
        <v>10000</v>
      </c>
    </row>
    <row r="88" spans="1:9" ht="57" customHeight="1">
      <c r="A88" s="173"/>
      <c r="B88" s="578"/>
      <c r="C88" s="579" t="s">
        <v>933</v>
      </c>
      <c r="D88" s="580"/>
      <c r="E88" s="186"/>
      <c r="F88" s="580"/>
      <c r="G88" s="580">
        <v>14000</v>
      </c>
    </row>
    <row r="89" spans="1:9" ht="57" customHeight="1">
      <c r="A89" s="173"/>
      <c r="B89" s="578"/>
      <c r="C89" s="579" t="s">
        <v>968</v>
      </c>
      <c r="D89" s="580"/>
      <c r="E89" s="186"/>
      <c r="F89" s="580"/>
      <c r="G89" s="580">
        <v>48000</v>
      </c>
    </row>
    <row r="90" spans="1:9" ht="101.25" customHeight="1">
      <c r="A90" s="173"/>
      <c r="B90" s="578">
        <v>61699</v>
      </c>
      <c r="C90" s="603" t="s">
        <v>959</v>
      </c>
      <c r="D90" s="580"/>
      <c r="E90" s="186"/>
      <c r="F90" s="580"/>
      <c r="G90" s="580">
        <v>19000</v>
      </c>
      <c r="H90" t="s">
        <v>964</v>
      </c>
      <c r="I90" s="133"/>
    </row>
    <row r="91" spans="1:9" ht="43.5" customHeight="1">
      <c r="A91" s="173"/>
      <c r="B91" s="173">
        <v>56201</v>
      </c>
      <c r="C91" s="579" t="s">
        <v>914</v>
      </c>
      <c r="D91" s="580"/>
      <c r="E91" s="186"/>
      <c r="F91" s="594"/>
      <c r="G91" s="580">
        <v>192000.12</v>
      </c>
      <c r="I91" s="610"/>
    </row>
    <row r="92" spans="1:9" ht="23.25">
      <c r="A92" s="173"/>
      <c r="C92" s="620" t="s">
        <v>961</v>
      </c>
      <c r="G92" s="590">
        <v>6000</v>
      </c>
    </row>
    <row r="93" spans="1:9" ht="23.25">
      <c r="A93" s="173"/>
      <c r="B93" s="184"/>
      <c r="C93" s="611" t="s">
        <v>960</v>
      </c>
      <c r="D93" s="590"/>
      <c r="E93" s="612"/>
      <c r="F93" s="613"/>
      <c r="G93" s="612">
        <f>SUM(G15:G92)</f>
        <v>1233390.7000000002</v>
      </c>
      <c r="H93" s="614">
        <f>+G95-G93</f>
        <v>0</v>
      </c>
      <c r="I93" s="168"/>
    </row>
    <row r="94" spans="1:9" ht="23.25">
      <c r="A94" s="184"/>
      <c r="B94" s="615"/>
      <c r="C94" s="616"/>
      <c r="D94" s="617"/>
      <c r="E94" s="618"/>
      <c r="F94" s="618"/>
      <c r="G94" s="618"/>
      <c r="I94" s="99"/>
    </row>
    <row r="95" spans="1:9" ht="23.25">
      <c r="A95" s="170"/>
      <c r="B95" s="170"/>
      <c r="C95" s="170"/>
      <c r="F95" s="619" t="s">
        <v>5</v>
      </c>
      <c r="G95" s="614">
        <v>1233390.7</v>
      </c>
    </row>
    <row r="96" spans="1:9" ht="23.25">
      <c r="A96" s="170"/>
      <c r="B96" s="170"/>
      <c r="C96" s="170"/>
      <c r="F96" s="314"/>
    </row>
    <row r="97" spans="1:6" ht="23.25">
      <c r="A97" s="170"/>
      <c r="B97" s="170"/>
      <c r="C97" s="170"/>
      <c r="F97" s="314"/>
    </row>
    <row r="98" spans="1:6" ht="23.25">
      <c r="A98" s="170"/>
      <c r="B98" s="170"/>
      <c r="C98" s="170"/>
      <c r="F98" s="314"/>
    </row>
    <row r="99" spans="1:6" ht="23.25">
      <c r="A99" s="170"/>
      <c r="B99" s="170"/>
      <c r="C99" s="170"/>
      <c r="F99" s="314"/>
    </row>
    <row r="100" spans="1:6" ht="23.25">
      <c r="A100" s="170"/>
      <c r="B100" s="170"/>
      <c r="C100" s="170"/>
      <c r="F100" s="314"/>
    </row>
    <row r="101" spans="1:6" ht="23.25">
      <c r="A101" s="170"/>
      <c r="B101" s="170"/>
      <c r="C101" s="170"/>
      <c r="F101" s="314"/>
    </row>
    <row r="102" spans="1:6" ht="23.25">
      <c r="A102" s="170"/>
      <c r="B102" s="170"/>
      <c r="C102" s="170"/>
      <c r="F102" s="314"/>
    </row>
    <row r="103" spans="1:6" ht="23.25">
      <c r="A103" s="170"/>
      <c r="B103" s="170"/>
      <c r="C103" s="170"/>
      <c r="F103" s="314"/>
    </row>
    <row r="104" spans="1:6" ht="23.25">
      <c r="A104" s="170"/>
      <c r="B104" s="170"/>
      <c r="C104" s="170"/>
      <c r="F104" s="314"/>
    </row>
    <row r="105" spans="1:6" ht="23.25">
      <c r="A105" s="170"/>
      <c r="B105" s="170"/>
      <c r="C105" s="170"/>
      <c r="F105" s="314"/>
    </row>
    <row r="106" spans="1:6" ht="23.25">
      <c r="A106" s="170"/>
      <c r="B106" s="170"/>
      <c r="C106" s="170"/>
      <c r="F106" s="314"/>
    </row>
    <row r="107" spans="1:6" ht="23.25">
      <c r="A107" s="170"/>
      <c r="B107" s="170"/>
      <c r="C107" s="170"/>
      <c r="F107" s="314"/>
    </row>
    <row r="108" spans="1:6" ht="23.25">
      <c r="A108" s="170"/>
      <c r="B108" s="170"/>
      <c r="C108" s="170"/>
      <c r="F108" s="314"/>
    </row>
    <row r="109" spans="1:6" ht="23.25">
      <c r="A109" s="170"/>
      <c r="B109" s="170"/>
      <c r="C109" s="170"/>
      <c r="F109" s="314"/>
    </row>
    <row r="110" spans="1:6" ht="23.25">
      <c r="A110" s="170"/>
      <c r="B110" s="170"/>
      <c r="C110" s="170"/>
      <c r="F110" s="314"/>
    </row>
    <row r="111" spans="1:6" ht="23.25">
      <c r="A111" s="170"/>
      <c r="B111" s="170"/>
      <c r="C111" s="170"/>
      <c r="F111" s="314"/>
    </row>
    <row r="112" spans="1:6" ht="23.25">
      <c r="A112" s="170"/>
      <c r="B112" s="170"/>
      <c r="C112" s="170"/>
      <c r="F112" s="314"/>
    </row>
    <row r="113" spans="1:6" ht="23.25">
      <c r="A113" s="170"/>
      <c r="B113" s="170"/>
      <c r="C113" s="170"/>
      <c r="F113" s="314"/>
    </row>
    <row r="114" spans="1:6" ht="23.25">
      <c r="F114" s="314"/>
    </row>
    <row r="115" spans="1:6" ht="23.25">
      <c r="F115" s="314"/>
    </row>
    <row r="116" spans="1:6" ht="23.25">
      <c r="F116" s="314"/>
    </row>
    <row r="117" spans="1:6" ht="23.25">
      <c r="F117" s="314"/>
    </row>
    <row r="118" spans="1:6" ht="23.25">
      <c r="F118" s="314"/>
    </row>
    <row r="119" spans="1:6" ht="23.25">
      <c r="F119" s="314"/>
    </row>
    <row r="120" spans="1:6" ht="23.25">
      <c r="F120" s="314"/>
    </row>
    <row r="121" spans="1:6" ht="23.25">
      <c r="F121" s="314"/>
    </row>
    <row r="122" spans="1:6" ht="23.25">
      <c r="F122" s="314"/>
    </row>
    <row r="123" spans="1:6" ht="23.25">
      <c r="F123" s="314"/>
    </row>
    <row r="124" spans="1:6" ht="23.25">
      <c r="F124" s="314"/>
    </row>
    <row r="125" spans="1:6" ht="23.25">
      <c r="F125" s="314"/>
    </row>
    <row r="126" spans="1:6" ht="23.25">
      <c r="F126" s="314"/>
    </row>
    <row r="127" spans="1:6" ht="23.25">
      <c r="F127" s="314"/>
    </row>
    <row r="128" spans="1:6" ht="23.25">
      <c r="F128" s="314"/>
    </row>
    <row r="129" spans="6:6" ht="23.25">
      <c r="F129" s="314"/>
    </row>
    <row r="130" spans="6:6" ht="23.25">
      <c r="F130" s="314"/>
    </row>
    <row r="131" spans="6:6" ht="23.25">
      <c r="F131" s="314"/>
    </row>
    <row r="132" spans="6:6" ht="23.25">
      <c r="F132" s="314"/>
    </row>
    <row r="133" spans="6:6" ht="23.25">
      <c r="F133" s="314"/>
    </row>
    <row r="134" spans="6:6" ht="23.25">
      <c r="F134" s="314"/>
    </row>
    <row r="135" spans="6:6" ht="23.25">
      <c r="F135" s="314"/>
    </row>
    <row r="136" spans="6:6" ht="23.25">
      <c r="F136" s="314"/>
    </row>
    <row r="137" spans="6:6" ht="23.25">
      <c r="F137" s="314"/>
    </row>
    <row r="138" spans="6:6" ht="23.25">
      <c r="F138" s="314"/>
    </row>
    <row r="139" spans="6:6" ht="23.25">
      <c r="F139" s="314"/>
    </row>
    <row r="140" spans="6:6" ht="23.25">
      <c r="F140" s="314"/>
    </row>
    <row r="141" spans="6:6" ht="23.25">
      <c r="F141" s="314"/>
    </row>
    <row r="142" spans="6:6" ht="23.25">
      <c r="F142" s="314"/>
    </row>
    <row r="143" spans="6:6" ht="23.25">
      <c r="F143" s="314"/>
    </row>
    <row r="144" spans="6:6" ht="23.25">
      <c r="F144" s="314"/>
    </row>
    <row r="145" spans="6:6" ht="23.25">
      <c r="F145" s="314"/>
    </row>
    <row r="146" spans="6:6" ht="23.25">
      <c r="F146" s="314"/>
    </row>
    <row r="147" spans="6:6" ht="23.25">
      <c r="F147" s="314"/>
    </row>
    <row r="148" spans="6:6" ht="23.25">
      <c r="F148" s="314"/>
    </row>
    <row r="149" spans="6:6" ht="23.25">
      <c r="F149" s="314"/>
    </row>
    <row r="150" spans="6:6" ht="23.25">
      <c r="F150" s="314"/>
    </row>
    <row r="151" spans="6:6" ht="23.25">
      <c r="F151" s="314"/>
    </row>
    <row r="152" spans="6:6" ht="23.25">
      <c r="F152" s="314"/>
    </row>
    <row r="153" spans="6:6" ht="23.25">
      <c r="F153" s="314"/>
    </row>
    <row r="154" spans="6:6" ht="23.25">
      <c r="F154" s="314"/>
    </row>
    <row r="155" spans="6:6" ht="23.25">
      <c r="F155" s="314"/>
    </row>
    <row r="156" spans="6:6" ht="23.25">
      <c r="F156" s="314"/>
    </row>
    <row r="157" spans="6:6" ht="23.25">
      <c r="F157" s="314"/>
    </row>
    <row r="158" spans="6:6" ht="23.25">
      <c r="F158" s="314"/>
    </row>
    <row r="159" spans="6:6" ht="23.25">
      <c r="F159" s="314"/>
    </row>
    <row r="160" spans="6:6" ht="23.25">
      <c r="F160" s="314"/>
    </row>
    <row r="161" spans="6:6" ht="23.25">
      <c r="F161" s="314"/>
    </row>
    <row r="162" spans="6:6" ht="23.25">
      <c r="F162" s="314"/>
    </row>
    <row r="163" spans="6:6" ht="23.25">
      <c r="F163" s="314"/>
    </row>
    <row r="164" spans="6:6" ht="23.25">
      <c r="F164" s="314"/>
    </row>
    <row r="165" spans="6:6" ht="23.25">
      <c r="F165" s="314"/>
    </row>
    <row r="166" spans="6:6" ht="23.25">
      <c r="F166" s="314"/>
    </row>
    <row r="167" spans="6:6" ht="23.25">
      <c r="F167" s="314"/>
    </row>
    <row r="168" spans="6:6" ht="23.25">
      <c r="F168" s="314"/>
    </row>
    <row r="169" spans="6:6" ht="23.25">
      <c r="F169" s="314"/>
    </row>
    <row r="170" spans="6:6" ht="23.25">
      <c r="F170" s="314"/>
    </row>
    <row r="171" spans="6:6" ht="23.25">
      <c r="F171" s="314"/>
    </row>
    <row r="172" spans="6:6" ht="23.25">
      <c r="F172" s="314"/>
    </row>
    <row r="173" spans="6:6" ht="23.25">
      <c r="F173" s="314"/>
    </row>
    <row r="174" spans="6:6" ht="23.25">
      <c r="F174" s="314"/>
    </row>
    <row r="175" spans="6:6" ht="23.25">
      <c r="F175" s="314"/>
    </row>
    <row r="176" spans="6:6" ht="23.25">
      <c r="F176" s="314"/>
    </row>
    <row r="177" spans="6:6" ht="23.25">
      <c r="F177" s="314"/>
    </row>
    <row r="178" spans="6:6" ht="23.25">
      <c r="F178" s="314"/>
    </row>
    <row r="179" spans="6:6" ht="23.25">
      <c r="F179" s="314"/>
    </row>
    <row r="180" spans="6:6" ht="23.25">
      <c r="F180" s="314"/>
    </row>
    <row r="181" spans="6:6" ht="23.25">
      <c r="F181" s="314"/>
    </row>
    <row r="182" spans="6:6" ht="23.25">
      <c r="F182" s="314"/>
    </row>
    <row r="183" spans="6:6" ht="23.25">
      <c r="F183" s="314"/>
    </row>
    <row r="184" spans="6:6" ht="23.25">
      <c r="F184" s="314"/>
    </row>
    <row r="185" spans="6:6" ht="23.25">
      <c r="F185" s="314"/>
    </row>
    <row r="186" spans="6:6" ht="23.25">
      <c r="F186" s="314"/>
    </row>
    <row r="187" spans="6:6" ht="23.25">
      <c r="F187" s="314"/>
    </row>
    <row r="188" spans="6:6" ht="23.25">
      <c r="F188" s="314"/>
    </row>
    <row r="189" spans="6:6" ht="23.25">
      <c r="F189" s="314"/>
    </row>
    <row r="190" spans="6:6" ht="23.25">
      <c r="F190" s="314"/>
    </row>
    <row r="191" spans="6:6" ht="23.25">
      <c r="F191" s="314"/>
    </row>
    <row r="192" spans="6:6" ht="23.25">
      <c r="F192" s="314"/>
    </row>
    <row r="193" spans="6:6" ht="23.25">
      <c r="F193" s="314"/>
    </row>
    <row r="194" spans="6:6" ht="23.25">
      <c r="F194" s="314"/>
    </row>
    <row r="195" spans="6:6" ht="23.25">
      <c r="F195" s="314"/>
    </row>
    <row r="196" spans="6:6" ht="23.25">
      <c r="F196" s="314"/>
    </row>
    <row r="197" spans="6:6" ht="23.25">
      <c r="F197" s="314"/>
    </row>
    <row r="198" spans="6:6" ht="23.25">
      <c r="F198" s="314"/>
    </row>
    <row r="199" spans="6:6" ht="23.25">
      <c r="F199" s="314"/>
    </row>
    <row r="200" spans="6:6" ht="23.25">
      <c r="F200" s="314"/>
    </row>
    <row r="201" spans="6:6" ht="23.25">
      <c r="F201" s="314"/>
    </row>
    <row r="202" spans="6:6" ht="23.25">
      <c r="F202" s="314"/>
    </row>
    <row r="203" spans="6:6" ht="23.25">
      <c r="F203" s="314"/>
    </row>
    <row r="204" spans="6:6" ht="23.25">
      <c r="F204" s="314"/>
    </row>
    <row r="205" spans="6:6" ht="23.25">
      <c r="F205" s="314"/>
    </row>
    <row r="206" spans="6:6" ht="23.25">
      <c r="F206" s="314"/>
    </row>
    <row r="207" spans="6:6" ht="23.25">
      <c r="F207" s="314"/>
    </row>
    <row r="208" spans="6:6" ht="23.25">
      <c r="F208" s="314"/>
    </row>
    <row r="209" spans="6:6" ht="23.25">
      <c r="F209" s="314"/>
    </row>
    <row r="210" spans="6:6" ht="23.25">
      <c r="F210" s="314"/>
    </row>
    <row r="211" spans="6:6" ht="23.25">
      <c r="F211" s="314"/>
    </row>
    <row r="212" spans="6:6" ht="23.25">
      <c r="F212" s="314"/>
    </row>
    <row r="213" spans="6:6" ht="23.25">
      <c r="F213" s="314"/>
    </row>
    <row r="214" spans="6:6" ht="23.25">
      <c r="F214" s="314"/>
    </row>
    <row r="215" spans="6:6" ht="23.25">
      <c r="F215" s="314"/>
    </row>
    <row r="216" spans="6:6" ht="23.25">
      <c r="F216" s="314"/>
    </row>
    <row r="217" spans="6:6" ht="23.25">
      <c r="F217" s="314"/>
    </row>
    <row r="218" spans="6:6" ht="23.25">
      <c r="F218" s="314"/>
    </row>
    <row r="219" spans="6:6" ht="23.25">
      <c r="F219" s="314"/>
    </row>
    <row r="220" spans="6:6" ht="23.25">
      <c r="F220" s="314"/>
    </row>
    <row r="221" spans="6:6" ht="23.25">
      <c r="F221" s="314"/>
    </row>
    <row r="222" spans="6:6" ht="23.25">
      <c r="F222" s="314"/>
    </row>
    <row r="223" spans="6:6" ht="23.25">
      <c r="F223" s="314"/>
    </row>
    <row r="224" spans="6:6" ht="23.25">
      <c r="F224" s="314"/>
    </row>
    <row r="225" spans="6:6" ht="23.25">
      <c r="F225" s="314"/>
    </row>
    <row r="226" spans="6:6" ht="23.25">
      <c r="F226" s="314"/>
    </row>
    <row r="227" spans="6:6" ht="23.25">
      <c r="F227" s="314"/>
    </row>
    <row r="228" spans="6:6" ht="23.25">
      <c r="F228" s="314"/>
    </row>
    <row r="229" spans="6:6" ht="23.25">
      <c r="F229" s="314"/>
    </row>
    <row r="230" spans="6:6" ht="23.25">
      <c r="F230" s="314"/>
    </row>
    <row r="231" spans="6:6" ht="23.25">
      <c r="F231" s="314"/>
    </row>
    <row r="232" spans="6:6" ht="23.25">
      <c r="F232" s="314"/>
    </row>
    <row r="233" spans="6:6" ht="23.25">
      <c r="F233" s="314"/>
    </row>
    <row r="234" spans="6:6" ht="23.25">
      <c r="F234" s="314"/>
    </row>
    <row r="235" spans="6:6" ht="23.25">
      <c r="F235" s="314"/>
    </row>
    <row r="236" spans="6:6" ht="23.25">
      <c r="F236" s="314"/>
    </row>
    <row r="237" spans="6:6" ht="23.25">
      <c r="F237" s="314"/>
    </row>
    <row r="238" spans="6:6" ht="23.25">
      <c r="F238" s="314"/>
    </row>
    <row r="239" spans="6:6" ht="23.25">
      <c r="F239" s="314"/>
    </row>
    <row r="240" spans="6:6" ht="23.25">
      <c r="F240" s="314"/>
    </row>
    <row r="241" spans="6:6" ht="23.25">
      <c r="F241" s="314"/>
    </row>
    <row r="242" spans="6:6" ht="23.25">
      <c r="F242" s="314"/>
    </row>
    <row r="243" spans="6:6" ht="23.25">
      <c r="F243" s="314"/>
    </row>
    <row r="244" spans="6:6" ht="23.25">
      <c r="F244" s="314"/>
    </row>
    <row r="245" spans="6:6" ht="23.25">
      <c r="F245" s="314"/>
    </row>
    <row r="246" spans="6:6" ht="23.25">
      <c r="F246" s="314"/>
    </row>
    <row r="247" spans="6:6" ht="23.25">
      <c r="F247" s="314"/>
    </row>
    <row r="248" spans="6:6" ht="23.25">
      <c r="F248" s="314"/>
    </row>
    <row r="249" spans="6:6" ht="23.25">
      <c r="F249" s="314"/>
    </row>
    <row r="250" spans="6:6" ht="23.25">
      <c r="F250" s="314"/>
    </row>
    <row r="251" spans="6:6" ht="23.25">
      <c r="F251" s="314"/>
    </row>
    <row r="252" spans="6:6" ht="23.25">
      <c r="F252" s="314"/>
    </row>
    <row r="253" spans="6:6" ht="23.25">
      <c r="F253" s="314"/>
    </row>
    <row r="254" spans="6:6" ht="23.25">
      <c r="F254" s="314"/>
    </row>
    <row r="255" spans="6:6" ht="23.25">
      <c r="F255" s="314"/>
    </row>
    <row r="256" spans="6:6" ht="23.25">
      <c r="F256" s="314"/>
    </row>
    <row r="257" spans="6:6" ht="23.25">
      <c r="F257" s="314"/>
    </row>
    <row r="258" spans="6:6" ht="23.25">
      <c r="F258" s="314"/>
    </row>
    <row r="259" spans="6:6" ht="23.25">
      <c r="F259" s="314"/>
    </row>
    <row r="260" spans="6:6" ht="23.25">
      <c r="F260" s="314"/>
    </row>
    <row r="261" spans="6:6" ht="23.25">
      <c r="F261" s="314"/>
    </row>
    <row r="262" spans="6:6" ht="23.25">
      <c r="F262" s="314"/>
    </row>
    <row r="263" spans="6:6" ht="23.25">
      <c r="F263" s="314"/>
    </row>
    <row r="264" spans="6:6" ht="23.25">
      <c r="F264" s="314"/>
    </row>
    <row r="265" spans="6:6" ht="23.25">
      <c r="F265" s="314"/>
    </row>
    <row r="266" spans="6:6" ht="23.25">
      <c r="F266" s="314"/>
    </row>
    <row r="267" spans="6:6" ht="23.25">
      <c r="F267" s="314"/>
    </row>
    <row r="268" spans="6:6" ht="23.25">
      <c r="F268" s="314"/>
    </row>
    <row r="269" spans="6:6" ht="23.25">
      <c r="F269" s="314"/>
    </row>
    <row r="270" spans="6:6" ht="23.25">
      <c r="F270" s="314"/>
    </row>
    <row r="271" spans="6:6" ht="23.25">
      <c r="F271" s="314"/>
    </row>
    <row r="272" spans="6:6" ht="23.25">
      <c r="F272" s="314"/>
    </row>
    <row r="273" spans="6:6" ht="23.25">
      <c r="F273" s="314"/>
    </row>
    <row r="274" spans="6:6" ht="23.25">
      <c r="F274" s="314"/>
    </row>
    <row r="275" spans="6:6" ht="23.25">
      <c r="F275" s="314"/>
    </row>
    <row r="276" spans="6:6" ht="23.25">
      <c r="F276" s="314"/>
    </row>
    <row r="277" spans="6:6" ht="23.25">
      <c r="F277" s="314"/>
    </row>
    <row r="278" spans="6:6" ht="23.25">
      <c r="F278" s="314"/>
    </row>
    <row r="279" spans="6:6" ht="23.25">
      <c r="F279" s="314"/>
    </row>
    <row r="280" spans="6:6" ht="23.25">
      <c r="F280" s="314"/>
    </row>
    <row r="281" spans="6:6" ht="23.25">
      <c r="F281" s="314"/>
    </row>
    <row r="282" spans="6:6" ht="23.25">
      <c r="F282" s="314"/>
    </row>
    <row r="283" spans="6:6" ht="23.25">
      <c r="F283" s="314"/>
    </row>
    <row r="284" spans="6:6" ht="23.25">
      <c r="F284" s="314"/>
    </row>
    <row r="285" spans="6:6" ht="23.25">
      <c r="F285" s="314"/>
    </row>
    <row r="286" spans="6:6" ht="23.25">
      <c r="F286" s="314"/>
    </row>
    <row r="287" spans="6:6" ht="23.25">
      <c r="F287" s="314"/>
    </row>
    <row r="288" spans="6:6" ht="23.25">
      <c r="F288" s="314"/>
    </row>
    <row r="289" spans="6:6" ht="23.25">
      <c r="F289" s="314"/>
    </row>
    <row r="290" spans="6:6" ht="23.25">
      <c r="F290" s="314"/>
    </row>
    <row r="291" spans="6:6" ht="23.25">
      <c r="F291" s="314"/>
    </row>
    <row r="292" spans="6:6" ht="23.25">
      <c r="F292" s="314"/>
    </row>
    <row r="293" spans="6:6" ht="23.25">
      <c r="F293" s="314"/>
    </row>
    <row r="294" spans="6:6" ht="23.25">
      <c r="F294" s="314"/>
    </row>
    <row r="295" spans="6:6" ht="23.25">
      <c r="F295" s="314"/>
    </row>
    <row r="296" spans="6:6" ht="23.25">
      <c r="F296" s="314"/>
    </row>
    <row r="297" spans="6:6" ht="23.25">
      <c r="F297" s="314"/>
    </row>
    <row r="298" spans="6:6" ht="23.25">
      <c r="F298" s="314"/>
    </row>
    <row r="299" spans="6:6" ht="23.25">
      <c r="F299" s="314"/>
    </row>
    <row r="300" spans="6:6" ht="23.25">
      <c r="F300" s="314"/>
    </row>
    <row r="301" spans="6:6" ht="23.25">
      <c r="F301" s="314"/>
    </row>
    <row r="302" spans="6:6" ht="23.25">
      <c r="F302" s="314"/>
    </row>
    <row r="303" spans="6:6" ht="23.25">
      <c r="F303" s="314"/>
    </row>
    <row r="304" spans="6:6" ht="23.25">
      <c r="F304" s="314"/>
    </row>
    <row r="305" spans="6:6" ht="23.25">
      <c r="F305" s="314"/>
    </row>
    <row r="306" spans="6:6" ht="23.25">
      <c r="F306" s="314"/>
    </row>
    <row r="307" spans="6:6" ht="23.25">
      <c r="F307" s="314"/>
    </row>
    <row r="308" spans="6:6" ht="23.25">
      <c r="F308" s="314"/>
    </row>
    <row r="309" spans="6:6" ht="23.25">
      <c r="F309" s="314"/>
    </row>
    <row r="310" spans="6:6" ht="23.25">
      <c r="F310" s="314"/>
    </row>
    <row r="311" spans="6:6" ht="23.25">
      <c r="F311" s="314"/>
    </row>
    <row r="312" spans="6:6" ht="23.25">
      <c r="F312" s="314"/>
    </row>
    <row r="313" spans="6:6" ht="23.25">
      <c r="F313" s="314"/>
    </row>
    <row r="314" spans="6:6" ht="23.25">
      <c r="F314" s="314"/>
    </row>
    <row r="315" spans="6:6" ht="23.25">
      <c r="F315" s="314"/>
    </row>
    <row r="316" spans="6:6" ht="23.25">
      <c r="F316" s="314"/>
    </row>
    <row r="317" spans="6:6" ht="23.25">
      <c r="F317" s="314"/>
    </row>
    <row r="318" spans="6:6" ht="23.25">
      <c r="F318" s="314"/>
    </row>
    <row r="319" spans="6:6" ht="23.25">
      <c r="F319" s="314"/>
    </row>
    <row r="320" spans="6:6" ht="23.25">
      <c r="F320" s="314"/>
    </row>
    <row r="321" spans="6:6" ht="23.25">
      <c r="F321" s="314"/>
    </row>
    <row r="322" spans="6:6" ht="23.25">
      <c r="F322" s="314"/>
    </row>
    <row r="323" spans="6:6" ht="23.25">
      <c r="F323" s="314"/>
    </row>
    <row r="324" spans="6:6" ht="23.25">
      <c r="F324" s="314"/>
    </row>
    <row r="325" spans="6:6" ht="23.25">
      <c r="F325" s="314"/>
    </row>
    <row r="326" spans="6:6" ht="23.25">
      <c r="F326" s="314"/>
    </row>
    <row r="327" spans="6:6" ht="23.25">
      <c r="F327" s="314"/>
    </row>
    <row r="328" spans="6:6" ht="23.25">
      <c r="F328" s="314"/>
    </row>
    <row r="329" spans="6:6" ht="23.25">
      <c r="F329" s="314"/>
    </row>
    <row r="330" spans="6:6" ht="23.25">
      <c r="F330" s="314"/>
    </row>
    <row r="331" spans="6:6" ht="23.25">
      <c r="F331" s="314"/>
    </row>
    <row r="332" spans="6:6" ht="23.25">
      <c r="F332" s="314"/>
    </row>
    <row r="333" spans="6:6" ht="23.25">
      <c r="F333" s="314"/>
    </row>
    <row r="334" spans="6:6" ht="23.25">
      <c r="F334" s="314"/>
    </row>
    <row r="335" spans="6:6" ht="23.25">
      <c r="F335" s="314"/>
    </row>
    <row r="336" spans="6:6" ht="23.25">
      <c r="F336" s="314"/>
    </row>
    <row r="337" spans="6:6" ht="23.25">
      <c r="F337" s="314"/>
    </row>
    <row r="338" spans="6:6" ht="23.25">
      <c r="F338" s="314"/>
    </row>
    <row r="339" spans="6:6" ht="23.25">
      <c r="F339" s="314"/>
    </row>
    <row r="340" spans="6:6" ht="23.25">
      <c r="F340" s="314"/>
    </row>
    <row r="341" spans="6:6" ht="23.25">
      <c r="F341" s="314"/>
    </row>
    <row r="342" spans="6:6" ht="23.25">
      <c r="F342" s="314"/>
    </row>
    <row r="343" spans="6:6" ht="23.25">
      <c r="F343" s="314"/>
    </row>
    <row r="344" spans="6:6" ht="23.25">
      <c r="F344" s="314"/>
    </row>
    <row r="345" spans="6:6" ht="23.25">
      <c r="F345" s="314"/>
    </row>
    <row r="346" spans="6:6" ht="23.25">
      <c r="F346" s="314"/>
    </row>
    <row r="347" spans="6:6" ht="23.25">
      <c r="F347" s="314"/>
    </row>
    <row r="348" spans="6:6" ht="23.25">
      <c r="F348" s="314"/>
    </row>
    <row r="349" spans="6:6" ht="23.25">
      <c r="F349" s="314"/>
    </row>
    <row r="350" spans="6:6" ht="23.25">
      <c r="F350" s="314"/>
    </row>
    <row r="351" spans="6:6" ht="23.25">
      <c r="F351" s="314"/>
    </row>
    <row r="352" spans="6:6" ht="23.25">
      <c r="F352" s="314"/>
    </row>
    <row r="353" spans="6:6" ht="23.25">
      <c r="F353" s="314"/>
    </row>
    <row r="354" spans="6:6" ht="23.25">
      <c r="F354" s="314"/>
    </row>
    <row r="355" spans="6:6" ht="23.25">
      <c r="F355" s="314"/>
    </row>
    <row r="356" spans="6:6" ht="23.25">
      <c r="F356" s="314"/>
    </row>
    <row r="357" spans="6:6" ht="23.25">
      <c r="F357" s="314"/>
    </row>
    <row r="358" spans="6:6" ht="23.25">
      <c r="F358" s="314"/>
    </row>
    <row r="359" spans="6:6" ht="23.25">
      <c r="F359" s="314"/>
    </row>
    <row r="360" spans="6:6" ht="23.25">
      <c r="F360" s="314"/>
    </row>
    <row r="361" spans="6:6" ht="23.25">
      <c r="F361" s="314"/>
    </row>
    <row r="362" spans="6:6" ht="23.25">
      <c r="F362" s="314"/>
    </row>
    <row r="363" spans="6:6" ht="23.25">
      <c r="F363" s="314"/>
    </row>
    <row r="364" spans="6:6" ht="23.25">
      <c r="F364" s="314"/>
    </row>
    <row r="365" spans="6:6" ht="23.25">
      <c r="F365" s="314"/>
    </row>
    <row r="366" spans="6:6" ht="23.25">
      <c r="F366" s="314"/>
    </row>
    <row r="367" spans="6:6" ht="23.25">
      <c r="F367" s="314"/>
    </row>
    <row r="368" spans="6:6" ht="23.25">
      <c r="F368" s="314"/>
    </row>
    <row r="369" spans="6:6" ht="23.25">
      <c r="F369" s="314"/>
    </row>
    <row r="370" spans="6:6" ht="23.25">
      <c r="F370" s="314"/>
    </row>
    <row r="371" spans="6:6" ht="23.25">
      <c r="F371" s="314"/>
    </row>
    <row r="372" spans="6:6" ht="23.25">
      <c r="F372" s="314"/>
    </row>
    <row r="373" spans="6:6" ht="23.25">
      <c r="F373" s="314"/>
    </row>
    <row r="374" spans="6:6" ht="23.25">
      <c r="F374" s="314"/>
    </row>
    <row r="375" spans="6:6" ht="23.25">
      <c r="F375" s="314"/>
    </row>
    <row r="376" spans="6:6" ht="23.25">
      <c r="F376" s="314"/>
    </row>
    <row r="377" spans="6:6" ht="23.25">
      <c r="F377" s="314"/>
    </row>
    <row r="378" spans="6:6" ht="23.25">
      <c r="F378" s="314"/>
    </row>
    <row r="379" spans="6:6" ht="23.25">
      <c r="F379" s="314"/>
    </row>
    <row r="380" spans="6:6" ht="23.25">
      <c r="F380" s="314"/>
    </row>
    <row r="381" spans="6:6" ht="23.25">
      <c r="F381" s="314"/>
    </row>
    <row r="382" spans="6:6" ht="23.25">
      <c r="F382" s="314"/>
    </row>
    <row r="383" spans="6:6" ht="23.25">
      <c r="F383" s="314"/>
    </row>
    <row r="384" spans="6:6" ht="23.25">
      <c r="F384" s="314"/>
    </row>
    <row r="385" spans="6:6" ht="23.25">
      <c r="F385" s="314"/>
    </row>
    <row r="386" spans="6:6" ht="23.25">
      <c r="F386" s="314"/>
    </row>
    <row r="387" spans="6:6" ht="23.25">
      <c r="F387" s="314"/>
    </row>
    <row r="388" spans="6:6" ht="23.25">
      <c r="F388" s="314"/>
    </row>
    <row r="389" spans="6:6" ht="23.25">
      <c r="F389" s="314"/>
    </row>
    <row r="390" spans="6:6" ht="23.25">
      <c r="F390" s="314"/>
    </row>
    <row r="391" spans="6:6" ht="23.25">
      <c r="F391" s="314"/>
    </row>
    <row r="392" spans="6:6" ht="23.25">
      <c r="F392" s="314"/>
    </row>
    <row r="393" spans="6:6" ht="23.25">
      <c r="F393" s="314"/>
    </row>
    <row r="394" spans="6:6" ht="23.25">
      <c r="F394" s="314"/>
    </row>
    <row r="395" spans="6:6" ht="23.25">
      <c r="F395" s="314"/>
    </row>
    <row r="396" spans="6:6" ht="23.25">
      <c r="F396" s="314"/>
    </row>
    <row r="397" spans="6:6" ht="23.25">
      <c r="F397" s="314"/>
    </row>
    <row r="398" spans="6:6" ht="23.25">
      <c r="F398" s="314"/>
    </row>
    <row r="399" spans="6:6" ht="23.25">
      <c r="F399" s="314"/>
    </row>
    <row r="400" spans="6:6" ht="23.25">
      <c r="F400" s="314"/>
    </row>
    <row r="401" spans="6:6" ht="23.25">
      <c r="F401" s="314"/>
    </row>
    <row r="402" spans="6:6" ht="23.25">
      <c r="F402" s="314"/>
    </row>
    <row r="403" spans="6:6" ht="23.25">
      <c r="F403" s="314"/>
    </row>
    <row r="404" spans="6:6" ht="23.25">
      <c r="F404" s="314"/>
    </row>
    <row r="405" spans="6:6" ht="23.25">
      <c r="F405" s="314"/>
    </row>
    <row r="406" spans="6:6" ht="23.25">
      <c r="F406" s="314"/>
    </row>
    <row r="407" spans="6:6" ht="23.25">
      <c r="F407" s="314"/>
    </row>
    <row r="408" spans="6:6" ht="23.25">
      <c r="F408" s="314"/>
    </row>
    <row r="409" spans="6:6" ht="23.25">
      <c r="F409" s="314"/>
    </row>
    <row r="410" spans="6:6" ht="23.25">
      <c r="F410" s="314"/>
    </row>
    <row r="411" spans="6:6" ht="23.25">
      <c r="F411" s="314"/>
    </row>
    <row r="412" spans="6:6" ht="23.25">
      <c r="F412" s="314"/>
    </row>
    <row r="413" spans="6:6" ht="23.25">
      <c r="F413" s="314"/>
    </row>
    <row r="414" spans="6:6" ht="23.25">
      <c r="F414" s="314"/>
    </row>
    <row r="415" spans="6:6" ht="23.25">
      <c r="F415" s="314"/>
    </row>
    <row r="416" spans="6:6" ht="23.25">
      <c r="F416" s="314"/>
    </row>
    <row r="417" spans="6:6" ht="23.25">
      <c r="F417" s="314"/>
    </row>
    <row r="418" spans="6:6" ht="23.25">
      <c r="F418" s="314"/>
    </row>
    <row r="419" spans="6:6" ht="23.25">
      <c r="F419" s="314"/>
    </row>
    <row r="420" spans="6:6" ht="23.25">
      <c r="F420" s="314"/>
    </row>
    <row r="421" spans="6:6" ht="23.25">
      <c r="F421" s="314"/>
    </row>
    <row r="422" spans="6:6" ht="23.25">
      <c r="F422" s="314"/>
    </row>
    <row r="423" spans="6:6" ht="23.25">
      <c r="F423" s="314"/>
    </row>
    <row r="424" spans="6:6" ht="23.25">
      <c r="F424" s="314"/>
    </row>
    <row r="425" spans="6:6" ht="23.25">
      <c r="F425" s="314"/>
    </row>
    <row r="426" spans="6:6" ht="23.25">
      <c r="F426" s="314"/>
    </row>
    <row r="427" spans="6:6" ht="23.25">
      <c r="F427" s="314"/>
    </row>
    <row r="428" spans="6:6" ht="23.25">
      <c r="F428" s="314"/>
    </row>
    <row r="429" spans="6:6" ht="23.25">
      <c r="F429" s="314"/>
    </row>
    <row r="430" spans="6:6" ht="23.25">
      <c r="F430" s="314"/>
    </row>
    <row r="431" spans="6:6" ht="23.25">
      <c r="F431" s="314"/>
    </row>
    <row r="432" spans="6:6" ht="23.25">
      <c r="F432" s="314"/>
    </row>
    <row r="433" spans="6:6" ht="23.25">
      <c r="F433" s="314"/>
    </row>
    <row r="434" spans="6:6" ht="23.25">
      <c r="F434" s="314"/>
    </row>
    <row r="435" spans="6:6" ht="23.25">
      <c r="F435" s="314"/>
    </row>
    <row r="436" spans="6:6" ht="23.25">
      <c r="F436" s="314"/>
    </row>
    <row r="437" spans="6:6" ht="23.25">
      <c r="F437" s="314"/>
    </row>
    <row r="438" spans="6:6" ht="23.25">
      <c r="F438" s="314"/>
    </row>
    <row r="439" spans="6:6" ht="23.25">
      <c r="F439" s="314"/>
    </row>
    <row r="440" spans="6:6" ht="23.25">
      <c r="F440" s="314"/>
    </row>
    <row r="441" spans="6:6" ht="23.25">
      <c r="F441" s="314"/>
    </row>
    <row r="442" spans="6:6" ht="23.25">
      <c r="F442" s="314"/>
    </row>
    <row r="443" spans="6:6" ht="23.25">
      <c r="F443" s="314"/>
    </row>
    <row r="444" spans="6:6" ht="23.25">
      <c r="F444" s="314"/>
    </row>
    <row r="445" spans="6:6" ht="23.25">
      <c r="F445" s="314"/>
    </row>
    <row r="446" spans="6:6" ht="23.25">
      <c r="F446" s="314"/>
    </row>
    <row r="447" spans="6:6" ht="23.25">
      <c r="F447" s="314"/>
    </row>
    <row r="448" spans="6:6" ht="23.25">
      <c r="F448" s="314"/>
    </row>
    <row r="449" spans="6:6" ht="23.25">
      <c r="F449" s="314"/>
    </row>
    <row r="450" spans="6:6" ht="23.25">
      <c r="F450" s="314"/>
    </row>
    <row r="451" spans="6:6" ht="23.25">
      <c r="F451" s="314"/>
    </row>
    <row r="452" spans="6:6" ht="23.25">
      <c r="F452" s="314"/>
    </row>
    <row r="453" spans="6:6" ht="23.25">
      <c r="F453" s="314"/>
    </row>
    <row r="454" spans="6:6" ht="23.25">
      <c r="F454" s="314"/>
    </row>
    <row r="455" spans="6:6" ht="23.25">
      <c r="F455" s="314"/>
    </row>
    <row r="456" spans="6:6" ht="23.25">
      <c r="F456" s="314"/>
    </row>
    <row r="457" spans="6:6" ht="23.25">
      <c r="F457" s="314"/>
    </row>
    <row r="458" spans="6:6" ht="23.25">
      <c r="F458" s="314"/>
    </row>
    <row r="459" spans="6:6" ht="23.25">
      <c r="F459" s="314"/>
    </row>
    <row r="460" spans="6:6" ht="23.25">
      <c r="F460" s="314"/>
    </row>
    <row r="461" spans="6:6" ht="23.25">
      <c r="F461" s="314"/>
    </row>
    <row r="462" spans="6:6" ht="23.25">
      <c r="F462" s="314"/>
    </row>
    <row r="463" spans="6:6" ht="23.25">
      <c r="F463" s="314"/>
    </row>
    <row r="464" spans="6:6" ht="23.25">
      <c r="F464" s="314"/>
    </row>
    <row r="465" spans="6:6" ht="23.25">
      <c r="F465" s="314"/>
    </row>
    <row r="466" spans="6:6" ht="23.25">
      <c r="F466" s="314"/>
    </row>
    <row r="467" spans="6:6" ht="23.25">
      <c r="F467" s="314"/>
    </row>
    <row r="468" spans="6:6" ht="23.25">
      <c r="F468" s="314"/>
    </row>
    <row r="469" spans="6:6" ht="23.25">
      <c r="F469" s="314"/>
    </row>
    <row r="470" spans="6:6" ht="23.25">
      <c r="F470" s="314"/>
    </row>
    <row r="471" spans="6:6" ht="23.25">
      <c r="F471" s="314"/>
    </row>
    <row r="472" spans="6:6" ht="23.25">
      <c r="F472" s="314"/>
    </row>
    <row r="473" spans="6:6" ht="23.25">
      <c r="F473" s="314"/>
    </row>
    <row r="474" spans="6:6" ht="23.25">
      <c r="F474" s="314"/>
    </row>
    <row r="475" spans="6:6" ht="23.25">
      <c r="F475" s="314"/>
    </row>
    <row r="476" spans="6:6" ht="23.25">
      <c r="F476" s="314"/>
    </row>
    <row r="477" spans="6:6" ht="23.25">
      <c r="F477" s="314"/>
    </row>
    <row r="478" spans="6:6" ht="23.25">
      <c r="F478" s="314"/>
    </row>
    <row r="479" spans="6:6" ht="23.25">
      <c r="F479" s="314"/>
    </row>
    <row r="480" spans="6:6" ht="23.25">
      <c r="F480" s="314"/>
    </row>
    <row r="481" spans="6:6" ht="23.25">
      <c r="F481" s="314"/>
    </row>
    <row r="482" spans="6:6" ht="23.25">
      <c r="F482" s="314"/>
    </row>
    <row r="483" spans="6:6" ht="23.25">
      <c r="F483" s="314"/>
    </row>
    <row r="484" spans="6:6" ht="23.25">
      <c r="F484" s="314"/>
    </row>
    <row r="485" spans="6:6" ht="23.25">
      <c r="F485" s="314"/>
    </row>
    <row r="486" spans="6:6" ht="23.25">
      <c r="F486" s="314"/>
    </row>
    <row r="487" spans="6:6" ht="23.25">
      <c r="F487" s="314"/>
    </row>
    <row r="488" spans="6:6" ht="23.25">
      <c r="F488" s="314"/>
    </row>
    <row r="489" spans="6:6" ht="23.25">
      <c r="F489" s="314"/>
    </row>
    <row r="490" spans="6:6" ht="23.25">
      <c r="F490" s="314"/>
    </row>
    <row r="491" spans="6:6" ht="23.25">
      <c r="F491" s="314"/>
    </row>
    <row r="492" spans="6:6" ht="23.25">
      <c r="F492" s="314"/>
    </row>
    <row r="493" spans="6:6" ht="23.25">
      <c r="F493" s="314"/>
    </row>
    <row r="494" spans="6:6" ht="23.25">
      <c r="F494" s="314"/>
    </row>
    <row r="495" spans="6:6" ht="23.25">
      <c r="F495" s="314"/>
    </row>
    <row r="496" spans="6:6" ht="23.25">
      <c r="F496" s="314"/>
    </row>
    <row r="497" spans="6:6" ht="23.25">
      <c r="F497" s="314"/>
    </row>
    <row r="498" spans="6:6" ht="23.25">
      <c r="F498" s="314"/>
    </row>
    <row r="499" spans="6:6" ht="23.25">
      <c r="F499" s="314"/>
    </row>
    <row r="500" spans="6:6" ht="23.25">
      <c r="F500" s="314"/>
    </row>
    <row r="501" spans="6:6" ht="23.25">
      <c r="F501" s="314"/>
    </row>
    <row r="502" spans="6:6" ht="23.25">
      <c r="F502" s="314"/>
    </row>
    <row r="503" spans="6:6" ht="23.25">
      <c r="F503" s="314"/>
    </row>
    <row r="504" spans="6:6" ht="23.25">
      <c r="F504" s="314"/>
    </row>
    <row r="505" spans="6:6" ht="23.25">
      <c r="F505" s="314"/>
    </row>
    <row r="506" spans="6:6" ht="23.25">
      <c r="F506" s="314"/>
    </row>
    <row r="507" spans="6:6" ht="23.25">
      <c r="F507" s="314"/>
    </row>
    <row r="508" spans="6:6" ht="23.25">
      <c r="F508" s="314"/>
    </row>
    <row r="509" spans="6:6" ht="23.25">
      <c r="F509" s="314"/>
    </row>
    <row r="510" spans="6:6" ht="23.25">
      <c r="F510" s="314"/>
    </row>
    <row r="511" spans="6:6" ht="23.25">
      <c r="F511" s="314"/>
    </row>
    <row r="512" spans="6:6" ht="23.25">
      <c r="F512" s="314"/>
    </row>
    <row r="513" spans="6:6" ht="23.25">
      <c r="F513" s="314"/>
    </row>
    <row r="514" spans="6:6" ht="23.25">
      <c r="F514" s="314"/>
    </row>
    <row r="515" spans="6:6" ht="23.25">
      <c r="F515" s="314"/>
    </row>
    <row r="516" spans="6:6" ht="23.25">
      <c r="F516" s="314"/>
    </row>
    <row r="517" spans="6:6" ht="23.25">
      <c r="F517" s="314"/>
    </row>
    <row r="518" spans="6:6" ht="23.25">
      <c r="F518" s="314"/>
    </row>
    <row r="519" spans="6:6" ht="23.25">
      <c r="F519" s="314"/>
    </row>
    <row r="520" spans="6:6" ht="23.25">
      <c r="F520" s="314"/>
    </row>
    <row r="521" spans="6:6" ht="23.25">
      <c r="F521" s="314"/>
    </row>
    <row r="522" spans="6:6" ht="23.25">
      <c r="F522" s="314"/>
    </row>
    <row r="523" spans="6:6" ht="23.25">
      <c r="F523" s="314"/>
    </row>
    <row r="524" spans="6:6" ht="23.25">
      <c r="F524" s="314"/>
    </row>
    <row r="525" spans="6:6" ht="23.25">
      <c r="F525" s="314"/>
    </row>
    <row r="526" spans="6:6" ht="23.25">
      <c r="F526" s="314"/>
    </row>
    <row r="527" spans="6:6" ht="23.25">
      <c r="F527" s="314"/>
    </row>
    <row r="528" spans="6:6" ht="23.25">
      <c r="F528" s="314"/>
    </row>
    <row r="529" spans="6:6" ht="23.25">
      <c r="F529" s="314"/>
    </row>
    <row r="530" spans="6:6" ht="23.25">
      <c r="F530" s="314"/>
    </row>
    <row r="531" spans="6:6" ht="23.25">
      <c r="F531" s="314"/>
    </row>
    <row r="532" spans="6:6" ht="23.25">
      <c r="F532" s="314"/>
    </row>
    <row r="533" spans="6:6" ht="23.25">
      <c r="F533" s="314"/>
    </row>
    <row r="534" spans="6:6" ht="23.25">
      <c r="F534" s="314"/>
    </row>
    <row r="535" spans="6:6" ht="23.25">
      <c r="F535" s="314"/>
    </row>
    <row r="536" spans="6:6" ht="23.25">
      <c r="F536" s="314"/>
    </row>
    <row r="537" spans="6:6" ht="23.25">
      <c r="F537" s="314"/>
    </row>
    <row r="538" spans="6:6" ht="23.25">
      <c r="F538" s="314"/>
    </row>
    <row r="539" spans="6:6" ht="23.25">
      <c r="F539" s="314"/>
    </row>
    <row r="540" spans="6:6" ht="23.25">
      <c r="F540" s="314"/>
    </row>
    <row r="541" spans="6:6" ht="23.25">
      <c r="F541" s="314"/>
    </row>
    <row r="542" spans="6:6" ht="23.25">
      <c r="F542" s="314"/>
    </row>
    <row r="543" spans="6:6" ht="23.25">
      <c r="F543" s="314"/>
    </row>
    <row r="544" spans="6:6" ht="23.25">
      <c r="F544" s="314"/>
    </row>
    <row r="545" spans="6:6" ht="23.25">
      <c r="F545" s="314"/>
    </row>
    <row r="546" spans="6:6" ht="23.25">
      <c r="F546" s="314"/>
    </row>
    <row r="547" spans="6:6" ht="23.25">
      <c r="F547" s="314"/>
    </row>
    <row r="548" spans="6:6" ht="23.25">
      <c r="F548" s="314"/>
    </row>
    <row r="549" spans="6:6" ht="23.25">
      <c r="F549" s="314"/>
    </row>
    <row r="550" spans="6:6" ht="23.25">
      <c r="F550" s="314"/>
    </row>
  </sheetData>
  <mergeCells count="6">
    <mergeCell ref="B13:G13"/>
    <mergeCell ref="A2:G2"/>
    <mergeCell ref="B3:G3"/>
    <mergeCell ref="B4:G4"/>
    <mergeCell ref="B5:E5"/>
    <mergeCell ref="B12:G12"/>
  </mergeCells>
  <pageMargins left="0.43307086614173229" right="3.937007874015748E-2" top="0.74803149606299213" bottom="0.15748031496062992" header="0.31496062992125984" footer="0.31496062992125984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170"/>
  <sheetViews>
    <sheetView topLeftCell="A7" workbookViewId="0">
      <selection activeCell="G36" sqref="G36"/>
    </sheetView>
  </sheetViews>
  <sheetFormatPr baseColWidth="10" defaultRowHeight="15"/>
  <cols>
    <col min="1" max="2" width="8.5703125" customWidth="1"/>
    <col min="3" max="3" width="9.42578125" customWidth="1"/>
    <col min="7" max="7" width="39.42578125" customWidth="1"/>
    <col min="8" max="8" width="18.5703125" customWidth="1"/>
  </cols>
  <sheetData>
    <row r="2" spans="1:8" ht="18">
      <c r="A2" s="52"/>
      <c r="B2" s="53"/>
      <c r="C2" s="54"/>
      <c r="D2" s="54"/>
      <c r="E2" s="54"/>
      <c r="F2" s="54"/>
      <c r="G2" s="54"/>
      <c r="H2" s="55" t="s">
        <v>593</v>
      </c>
    </row>
    <row r="3" spans="1:8" ht="18.75">
      <c r="A3" s="664" t="s">
        <v>392</v>
      </c>
      <c r="B3" s="665"/>
      <c r="C3" s="665"/>
      <c r="D3" s="665"/>
      <c r="E3" s="665"/>
      <c r="F3" s="665"/>
      <c r="G3" s="665"/>
      <c r="H3" s="665"/>
    </row>
    <row r="4" spans="1:8" ht="18.75">
      <c r="A4" s="664" t="s">
        <v>393</v>
      </c>
      <c r="B4" s="665"/>
      <c r="C4" s="665"/>
      <c r="D4" s="665"/>
      <c r="E4" s="665"/>
      <c r="F4" s="665"/>
      <c r="G4" s="665"/>
      <c r="H4" s="665"/>
    </row>
    <row r="5" spans="1:8" ht="18.75">
      <c r="A5" s="664" t="s">
        <v>353</v>
      </c>
      <c r="B5" s="665"/>
      <c r="C5" s="665"/>
      <c r="D5" s="665"/>
      <c r="E5" s="665"/>
      <c r="F5" s="665"/>
      <c r="G5" s="665"/>
      <c r="H5" s="665"/>
    </row>
    <row r="6" spans="1:8" ht="18.75">
      <c r="A6" s="664" t="s">
        <v>394</v>
      </c>
      <c r="B6" s="665"/>
      <c r="C6" s="665"/>
      <c r="D6" s="665"/>
      <c r="E6" s="665"/>
      <c r="F6" s="665"/>
      <c r="G6" s="665"/>
      <c r="H6" s="665"/>
    </row>
    <row r="7" spans="1:8" ht="18.75">
      <c r="A7" s="664" t="s">
        <v>354</v>
      </c>
      <c r="B7" s="665"/>
      <c r="C7" s="665"/>
      <c r="D7" s="665"/>
      <c r="E7" s="665"/>
      <c r="F7" s="665"/>
      <c r="G7" s="665"/>
      <c r="H7" s="665"/>
    </row>
    <row r="8" spans="1:8" ht="19.5" thickBot="1">
      <c r="A8" s="660" t="s">
        <v>594</v>
      </c>
      <c r="B8" s="660"/>
      <c r="C8" s="660"/>
      <c r="D8" s="660"/>
      <c r="E8" s="660"/>
      <c r="F8" s="660"/>
      <c r="G8" s="660"/>
      <c r="H8" s="660"/>
    </row>
    <row r="9" spans="1:8" ht="16.5" thickBot="1">
      <c r="A9" s="647" t="s">
        <v>357</v>
      </c>
      <c r="B9" s="648"/>
      <c r="C9" s="648"/>
      <c r="D9" s="648"/>
      <c r="E9" s="648"/>
      <c r="F9" s="648"/>
      <c r="G9" s="649" t="s">
        <v>358</v>
      </c>
      <c r="H9" s="651" t="s">
        <v>359</v>
      </c>
    </row>
    <row r="10" spans="1:8" ht="96" thickBot="1">
      <c r="A10" s="56" t="s">
        <v>360</v>
      </c>
      <c r="B10" s="57" t="s">
        <v>361</v>
      </c>
      <c r="C10" s="57" t="s">
        <v>362</v>
      </c>
      <c r="D10" s="57" t="s">
        <v>363</v>
      </c>
      <c r="E10" s="58" t="s">
        <v>364</v>
      </c>
      <c r="F10" s="59" t="s">
        <v>365</v>
      </c>
      <c r="G10" s="696"/>
      <c r="H10" s="697"/>
    </row>
    <row r="11" spans="1:8" ht="16.5" thickBot="1">
      <c r="A11" s="60">
        <v>5</v>
      </c>
      <c r="B11" s="61" t="s">
        <v>595</v>
      </c>
      <c r="C11" s="61" t="s">
        <v>366</v>
      </c>
      <c r="D11" s="61" t="s">
        <v>423</v>
      </c>
      <c r="E11" s="61" t="s">
        <v>596</v>
      </c>
      <c r="F11" s="191" t="s">
        <v>597</v>
      </c>
      <c r="G11" s="63" t="s">
        <v>598</v>
      </c>
      <c r="H11" s="192">
        <v>120000</v>
      </c>
    </row>
    <row r="12" spans="1:8" ht="15.75">
      <c r="A12" s="64">
        <v>5</v>
      </c>
      <c r="B12" s="65" t="s">
        <v>595</v>
      </c>
      <c r="C12" s="65" t="s">
        <v>366</v>
      </c>
      <c r="D12" s="65" t="s">
        <v>423</v>
      </c>
      <c r="E12" s="65" t="s">
        <v>596</v>
      </c>
      <c r="F12" s="193" t="s">
        <v>599</v>
      </c>
      <c r="G12" s="63" t="s">
        <v>598</v>
      </c>
      <c r="H12" s="192">
        <v>30000</v>
      </c>
    </row>
    <row r="13" spans="1:8" ht="15.75">
      <c r="A13" s="64"/>
      <c r="B13" s="65"/>
      <c r="C13" s="65"/>
      <c r="D13" s="65"/>
      <c r="E13" s="65"/>
      <c r="F13" s="193"/>
      <c r="G13" s="194"/>
      <c r="H13" s="195"/>
    </row>
    <row r="14" spans="1:8" ht="15.75">
      <c r="A14" s="64"/>
      <c r="B14" s="65"/>
      <c r="C14" s="65"/>
      <c r="D14" s="65"/>
      <c r="E14" s="65"/>
      <c r="F14" s="193"/>
      <c r="G14" s="194"/>
      <c r="H14" s="195"/>
    </row>
    <row r="15" spans="1:8" ht="15.75">
      <c r="A15" s="196"/>
      <c r="B15" s="65"/>
      <c r="C15" s="65"/>
      <c r="D15" s="65"/>
      <c r="E15" s="65"/>
      <c r="F15" s="193"/>
      <c r="G15" s="197"/>
      <c r="H15" s="198"/>
    </row>
    <row r="16" spans="1:8" ht="15.75" thickBot="1">
      <c r="A16" s="199"/>
      <c r="B16" s="200"/>
      <c r="C16" s="200"/>
      <c r="D16" s="200"/>
      <c r="E16" s="200"/>
      <c r="F16" s="201"/>
      <c r="G16" s="202" t="s">
        <v>600</v>
      </c>
      <c r="H16" s="203">
        <f>SUM(H11:H15)</f>
        <v>150000</v>
      </c>
    </row>
    <row r="17" spans="1:8" ht="15.75">
      <c r="A17" s="159"/>
      <c r="B17" s="159"/>
      <c r="C17" s="204"/>
      <c r="D17" s="156"/>
      <c r="E17" s="156"/>
      <c r="F17" s="156"/>
      <c r="G17" s="52"/>
      <c r="H17" s="158"/>
    </row>
    <row r="18" spans="1:8" ht="18">
      <c r="A18" s="698" t="s">
        <v>498</v>
      </c>
      <c r="B18" s="698"/>
      <c r="C18" s="698"/>
      <c r="D18" s="698"/>
      <c r="E18" s="698"/>
      <c r="F18" s="698"/>
      <c r="G18" s="52"/>
      <c r="H18" s="158"/>
    </row>
    <row r="19" spans="1:8" ht="15.75">
      <c r="A19" s="685" t="s">
        <v>601</v>
      </c>
      <c r="B19" s="685"/>
      <c r="C19" s="685"/>
      <c r="D19" s="685"/>
      <c r="E19" s="685"/>
      <c r="F19" s="685"/>
      <c r="G19" s="685"/>
      <c r="H19" s="158"/>
    </row>
    <row r="20" spans="1:8" ht="15.75">
      <c r="A20" s="685" t="s">
        <v>602</v>
      </c>
      <c r="B20" s="685"/>
      <c r="C20" s="685"/>
      <c r="D20" s="685"/>
      <c r="E20" s="685"/>
      <c r="F20" s="685"/>
      <c r="G20" s="685"/>
      <c r="H20" s="158"/>
    </row>
    <row r="21" spans="1:8" ht="15.75">
      <c r="A21" s="159"/>
      <c r="B21" s="159"/>
      <c r="C21" s="204"/>
      <c r="D21" s="156"/>
      <c r="E21" s="156"/>
      <c r="F21" s="156"/>
      <c r="G21" s="52"/>
      <c r="H21" s="158"/>
    </row>
    <row r="22" spans="1:8" ht="18">
      <c r="A22" s="205" t="s">
        <v>603</v>
      </c>
      <c r="B22" s="162"/>
      <c r="C22" s="204"/>
      <c r="D22" s="156"/>
      <c r="E22" s="156"/>
      <c r="F22" s="156"/>
      <c r="G22" s="52"/>
      <c r="H22" s="158"/>
    </row>
    <row r="23" spans="1:8" ht="18">
      <c r="A23" s="205"/>
      <c r="B23" s="162"/>
      <c r="C23" s="204"/>
      <c r="D23" s="156"/>
      <c r="E23" s="156"/>
      <c r="F23" s="156"/>
      <c r="G23" s="52"/>
      <c r="H23" s="158"/>
    </row>
    <row r="24" spans="1:8" ht="15.75">
      <c r="A24" s="163" t="s">
        <v>604</v>
      </c>
      <c r="B24" s="164"/>
      <c r="C24" s="204"/>
      <c r="D24" s="156"/>
      <c r="E24" s="156"/>
      <c r="F24" s="156"/>
      <c r="G24" s="52"/>
      <c r="H24" s="158"/>
    </row>
    <row r="25" spans="1:8" ht="15.75">
      <c r="A25" s="163" t="s">
        <v>605</v>
      </c>
      <c r="B25" s="159"/>
      <c r="C25" s="204"/>
      <c r="D25" s="156"/>
      <c r="E25" s="156"/>
      <c r="F25" s="156"/>
      <c r="G25" s="52"/>
      <c r="H25" s="158"/>
    </row>
    <row r="26" spans="1:8" ht="15.75">
      <c r="A26" s="163" t="s">
        <v>606</v>
      </c>
      <c r="B26" s="159"/>
      <c r="C26" s="204"/>
      <c r="D26" s="156"/>
      <c r="E26" s="156"/>
      <c r="F26" s="156"/>
      <c r="G26" s="52"/>
      <c r="H26" s="158"/>
    </row>
    <row r="27" spans="1:8" ht="15.75">
      <c r="A27" s="163" t="s">
        <v>607</v>
      </c>
      <c r="B27" s="159"/>
      <c r="C27" s="204"/>
      <c r="D27" s="156"/>
      <c r="E27" s="156"/>
      <c r="F27" s="156"/>
      <c r="G27" s="52"/>
      <c r="H27" s="158"/>
    </row>
    <row r="28" spans="1:8" ht="15.75">
      <c r="A28" s="163" t="s">
        <v>608</v>
      </c>
      <c r="B28" s="159"/>
      <c r="C28" s="204"/>
      <c r="D28" s="156"/>
      <c r="E28" s="156"/>
      <c r="F28" s="156"/>
      <c r="G28" s="52"/>
      <c r="H28" s="158"/>
    </row>
    <row r="29" spans="1:8" ht="15.75">
      <c r="A29" s="163" t="s">
        <v>609</v>
      </c>
      <c r="B29" s="159"/>
      <c r="C29" s="204"/>
      <c r="D29" s="156"/>
      <c r="E29" s="156"/>
      <c r="F29" s="156"/>
      <c r="G29" s="52"/>
      <c r="H29" s="158"/>
    </row>
    <row r="30" spans="1:8" ht="15.75">
      <c r="A30" s="163" t="s">
        <v>610</v>
      </c>
      <c r="B30" s="159"/>
      <c r="C30" s="204"/>
      <c r="D30" s="156"/>
      <c r="E30" s="156"/>
      <c r="F30" s="156"/>
      <c r="G30" s="52"/>
      <c r="H30" s="158"/>
    </row>
    <row r="31" spans="1:8" ht="15.75">
      <c r="A31" s="165" t="s">
        <v>611</v>
      </c>
      <c r="B31" s="159"/>
      <c r="C31" s="204"/>
      <c r="D31" s="156"/>
      <c r="E31" s="156"/>
      <c r="F31" s="156"/>
      <c r="G31" s="52"/>
      <c r="H31" s="158"/>
    </row>
    <row r="32" spans="1:8" ht="15.75">
      <c r="A32" s="165" t="s">
        <v>612</v>
      </c>
      <c r="B32" s="159"/>
      <c r="C32" s="204"/>
      <c r="D32" s="156"/>
      <c r="E32" s="156"/>
      <c r="F32" s="156"/>
      <c r="G32" s="52"/>
      <c r="H32" s="158"/>
    </row>
    <row r="33" spans="1:8" ht="15.75">
      <c r="A33" s="166"/>
      <c r="B33" s="159"/>
      <c r="C33" s="204"/>
      <c r="D33" s="156"/>
      <c r="E33" s="156"/>
      <c r="F33" s="156"/>
      <c r="G33" s="52"/>
      <c r="H33" s="158"/>
    </row>
    <row r="34" spans="1:8" ht="15.75">
      <c r="A34" s="159"/>
      <c r="B34" s="159"/>
      <c r="C34" s="204"/>
      <c r="D34" s="156"/>
      <c r="E34" s="156"/>
      <c r="F34" s="156"/>
      <c r="G34" s="52"/>
      <c r="H34" s="158"/>
    </row>
    <row r="35" spans="1:8" ht="15.75">
      <c r="A35" s="53"/>
      <c r="B35" s="53"/>
      <c r="C35" s="190"/>
      <c r="D35" s="167"/>
      <c r="E35" s="167"/>
      <c r="F35" s="167"/>
      <c r="G35" s="52"/>
      <c r="H35" s="158"/>
    </row>
    <row r="36" spans="1:8" ht="15.75">
      <c r="A36" s="53"/>
      <c r="B36" s="53"/>
      <c r="C36" s="190"/>
      <c r="D36" s="167"/>
      <c r="E36" s="167"/>
      <c r="F36" s="167"/>
      <c r="G36" s="52"/>
      <c r="H36" s="158"/>
    </row>
    <row r="37" spans="1:8" ht="15.75">
      <c r="A37" s="53"/>
      <c r="B37" s="53"/>
      <c r="C37" s="190"/>
      <c r="D37" s="167"/>
      <c r="E37" s="167"/>
      <c r="F37" s="167"/>
      <c r="G37" s="52"/>
      <c r="H37" s="158"/>
    </row>
    <row r="38" spans="1:8" ht="15.75">
      <c r="A38" s="53"/>
      <c r="B38" s="53"/>
      <c r="C38" s="190"/>
      <c r="D38" s="167"/>
      <c r="E38" s="167"/>
      <c r="F38" s="167"/>
      <c r="G38" s="52"/>
      <c r="H38" s="158"/>
    </row>
    <row r="39" spans="1:8" ht="15.75">
      <c r="A39" s="53"/>
      <c r="B39" s="53"/>
      <c r="C39" s="190"/>
      <c r="D39" s="167"/>
      <c r="E39" s="167"/>
      <c r="F39" s="167"/>
      <c r="G39" s="52"/>
      <c r="H39" s="158"/>
    </row>
    <row r="40" spans="1:8" ht="15.75">
      <c r="A40" s="53"/>
      <c r="B40" s="53"/>
      <c r="C40" s="190"/>
      <c r="D40" s="167"/>
      <c r="E40" s="167"/>
      <c r="F40" s="167"/>
      <c r="G40" s="52"/>
      <c r="H40" s="158"/>
    </row>
    <row r="41" spans="1:8" ht="15.75">
      <c r="A41" s="53"/>
      <c r="B41" s="53"/>
      <c r="C41" s="190"/>
      <c r="D41" s="167"/>
      <c r="E41" s="167"/>
      <c r="F41" s="167"/>
      <c r="G41" s="52"/>
      <c r="H41" s="158"/>
    </row>
    <row r="42" spans="1:8" ht="15.75">
      <c r="A42" s="53"/>
      <c r="B42" s="53"/>
      <c r="C42" s="190"/>
      <c r="D42" s="167"/>
      <c r="E42" s="167"/>
      <c r="F42" s="167"/>
      <c r="G42" s="52"/>
      <c r="H42" s="158"/>
    </row>
    <row r="43" spans="1:8" ht="15.75">
      <c r="A43" s="53"/>
      <c r="B43" s="53"/>
      <c r="C43" s="190"/>
      <c r="D43" s="167"/>
      <c r="E43" s="167"/>
      <c r="F43" s="167"/>
      <c r="G43" s="52"/>
      <c r="H43" s="158"/>
    </row>
    <row r="44" spans="1:8" ht="15.75">
      <c r="A44" s="53"/>
      <c r="B44" s="53"/>
      <c r="C44" s="190"/>
      <c r="D44" s="167"/>
      <c r="E44" s="167"/>
      <c r="F44" s="167"/>
      <c r="G44" s="52"/>
      <c r="H44" s="158"/>
    </row>
    <row r="45" spans="1:8" ht="15.75">
      <c r="A45" s="53"/>
      <c r="B45" s="53"/>
      <c r="C45" s="190"/>
      <c r="D45" s="167"/>
      <c r="E45" s="167"/>
      <c r="F45" s="167"/>
      <c r="G45" s="52"/>
      <c r="H45" s="158"/>
    </row>
    <row r="46" spans="1:8" ht="15.75">
      <c r="A46" s="53"/>
      <c r="B46" s="53"/>
      <c r="C46" s="190"/>
      <c r="D46" s="167"/>
      <c r="E46" s="167"/>
      <c r="F46" s="167"/>
      <c r="G46" s="52"/>
      <c r="H46" s="158"/>
    </row>
    <row r="47" spans="1:8" ht="15.75">
      <c r="A47" s="53"/>
      <c r="B47" s="53"/>
      <c r="C47" s="190"/>
      <c r="D47" s="167"/>
      <c r="E47" s="167"/>
      <c r="F47" s="167"/>
      <c r="G47" s="52"/>
      <c r="H47" s="158"/>
    </row>
    <row r="48" spans="1:8" ht="15.75">
      <c r="A48" s="53"/>
      <c r="B48" s="53"/>
      <c r="C48" s="190"/>
      <c r="D48" s="167"/>
      <c r="E48" s="167"/>
      <c r="F48" s="167"/>
      <c r="G48" s="52"/>
      <c r="H48" s="158"/>
    </row>
    <row r="49" spans="1:8" ht="15.75">
      <c r="A49" s="53"/>
      <c r="B49" s="53"/>
      <c r="C49" s="190"/>
      <c r="D49" s="167"/>
      <c r="E49" s="167"/>
      <c r="F49" s="167"/>
      <c r="G49" s="52"/>
      <c r="H49" s="158"/>
    </row>
    <row r="50" spans="1:8" ht="15.75">
      <c r="A50" s="53"/>
      <c r="B50" s="53"/>
      <c r="C50" s="190"/>
      <c r="D50" s="167"/>
      <c r="E50" s="167"/>
      <c r="F50" s="167"/>
      <c r="G50" s="52"/>
      <c r="H50" s="158"/>
    </row>
    <row r="51" spans="1:8" ht="15.75">
      <c r="A51" s="53"/>
      <c r="B51" s="53"/>
      <c r="C51" s="190"/>
      <c r="D51" s="167"/>
      <c r="E51" s="167"/>
      <c r="F51" s="167"/>
      <c r="G51" s="52"/>
      <c r="H51" s="158"/>
    </row>
    <row r="52" spans="1:8" ht="15.75">
      <c r="A52" s="53"/>
      <c r="B52" s="53"/>
      <c r="C52" s="190"/>
      <c r="D52" s="167"/>
      <c r="E52" s="167"/>
      <c r="F52" s="167"/>
      <c r="G52" s="52"/>
      <c r="H52" s="158"/>
    </row>
    <row r="53" spans="1:8" ht="15.75">
      <c r="A53" s="53"/>
      <c r="B53" s="53"/>
      <c r="C53" s="190"/>
      <c r="D53" s="167"/>
      <c r="E53" s="167"/>
      <c r="F53" s="167"/>
      <c r="G53" s="52"/>
      <c r="H53" s="158"/>
    </row>
    <row r="54" spans="1:8" ht="15.75">
      <c r="A54" s="53"/>
      <c r="B54" s="53"/>
      <c r="C54" s="190"/>
      <c r="D54" s="167"/>
      <c r="E54" s="167"/>
      <c r="F54" s="167"/>
      <c r="G54" s="52"/>
      <c r="H54" s="158"/>
    </row>
    <row r="55" spans="1:8" ht="15.75">
      <c r="A55" s="53"/>
      <c r="B55" s="53"/>
      <c r="C55" s="190"/>
      <c r="D55" s="167"/>
      <c r="E55" s="167"/>
      <c r="F55" s="167"/>
      <c r="G55" s="52"/>
      <c r="H55" s="158"/>
    </row>
    <row r="56" spans="1:8" ht="15.75">
      <c r="A56" s="53"/>
      <c r="B56" s="53"/>
      <c r="C56" s="190"/>
      <c r="D56" s="167"/>
      <c r="E56" s="167"/>
      <c r="F56" s="167"/>
      <c r="G56" s="52"/>
      <c r="H56" s="158"/>
    </row>
    <row r="57" spans="1:8" ht="15.75">
      <c r="A57" s="53"/>
      <c r="B57" s="53"/>
      <c r="C57" s="190"/>
      <c r="D57" s="167"/>
      <c r="E57" s="167"/>
      <c r="F57" s="167"/>
      <c r="G57" s="52"/>
      <c r="H57" s="158"/>
    </row>
    <row r="58" spans="1:8" ht="15.75">
      <c r="A58" s="53"/>
      <c r="B58" s="53"/>
      <c r="C58" s="190"/>
      <c r="D58" s="167"/>
      <c r="E58" s="167"/>
      <c r="F58" s="167"/>
      <c r="G58" s="52"/>
      <c r="H58" s="158"/>
    </row>
    <row r="59" spans="1:8" ht="15.75">
      <c r="A59" s="53"/>
      <c r="B59" s="53"/>
      <c r="C59" s="190"/>
      <c r="D59" s="167"/>
      <c r="E59" s="167"/>
      <c r="F59" s="167"/>
      <c r="G59" s="52"/>
      <c r="H59" s="158"/>
    </row>
    <row r="60" spans="1:8" ht="15.75">
      <c r="A60" s="53"/>
      <c r="B60" s="53"/>
      <c r="C60" s="190"/>
      <c r="D60" s="167"/>
      <c r="E60" s="167"/>
      <c r="F60" s="167"/>
      <c r="G60" s="52"/>
      <c r="H60" s="158"/>
    </row>
    <row r="61" spans="1:8" ht="15.75">
      <c r="A61" s="53"/>
      <c r="B61" s="53"/>
      <c r="C61" s="190"/>
      <c r="D61" s="167"/>
      <c r="E61" s="167"/>
      <c r="F61" s="167"/>
      <c r="G61" s="52"/>
      <c r="H61" s="158"/>
    </row>
    <row r="62" spans="1:8" ht="15.75">
      <c r="A62" s="53"/>
      <c r="B62" s="53"/>
      <c r="C62" s="190"/>
      <c r="D62" s="167"/>
      <c r="E62" s="167"/>
      <c r="F62" s="167"/>
      <c r="G62" s="52"/>
      <c r="H62" s="158"/>
    </row>
    <row r="63" spans="1:8" ht="15.75">
      <c r="A63" s="53"/>
      <c r="B63" s="53"/>
      <c r="C63" s="190"/>
      <c r="D63" s="167"/>
      <c r="E63" s="167"/>
      <c r="F63" s="167"/>
      <c r="G63" s="52"/>
      <c r="H63" s="158"/>
    </row>
    <row r="64" spans="1:8" ht="15.75">
      <c r="A64" s="53"/>
      <c r="B64" s="53"/>
      <c r="C64" s="190"/>
      <c r="D64" s="167"/>
      <c r="E64" s="167"/>
      <c r="F64" s="167"/>
      <c r="G64" s="52"/>
      <c r="H64" s="158"/>
    </row>
    <row r="65" spans="1:8" ht="15.75">
      <c r="A65" s="53"/>
      <c r="B65" s="53"/>
      <c r="C65" s="190"/>
      <c r="D65" s="167"/>
      <c r="E65" s="167"/>
      <c r="F65" s="167"/>
      <c r="G65" s="52"/>
      <c r="H65" s="158"/>
    </row>
    <row r="66" spans="1:8" ht="15.75">
      <c r="A66" s="53"/>
      <c r="B66" s="53"/>
      <c r="C66" s="190"/>
      <c r="D66" s="167"/>
      <c r="E66" s="167"/>
      <c r="F66" s="167"/>
      <c r="G66" s="52"/>
      <c r="H66" s="158"/>
    </row>
    <row r="67" spans="1:8" ht="15.75">
      <c r="A67" s="53"/>
      <c r="B67" s="53"/>
      <c r="C67" s="190"/>
      <c r="D67" s="167"/>
      <c r="E67" s="167"/>
      <c r="F67" s="167"/>
      <c r="G67" s="52"/>
      <c r="H67" s="158"/>
    </row>
    <row r="68" spans="1:8" ht="15.75">
      <c r="A68" s="53"/>
      <c r="B68" s="53"/>
      <c r="C68" s="190"/>
      <c r="D68" s="167"/>
      <c r="E68" s="167"/>
      <c r="F68" s="167"/>
      <c r="G68" s="52"/>
      <c r="H68" s="158"/>
    </row>
    <row r="69" spans="1:8" ht="15.75">
      <c r="A69" s="53"/>
      <c r="B69" s="53"/>
      <c r="C69" s="190"/>
      <c r="D69" s="167"/>
      <c r="E69" s="167"/>
      <c r="F69" s="167"/>
      <c r="G69" s="52"/>
      <c r="H69" s="158"/>
    </row>
    <row r="70" spans="1:8" ht="15.75">
      <c r="A70" s="53"/>
      <c r="B70" s="53"/>
      <c r="C70" s="190"/>
      <c r="D70" s="167"/>
      <c r="E70" s="167"/>
      <c r="F70" s="167"/>
      <c r="G70" s="52"/>
      <c r="H70" s="158"/>
    </row>
    <row r="71" spans="1:8" ht="15.75">
      <c r="A71" s="53"/>
      <c r="B71" s="53"/>
      <c r="C71" s="190"/>
      <c r="D71" s="167"/>
      <c r="E71" s="167"/>
      <c r="F71" s="167"/>
      <c r="G71" s="52"/>
      <c r="H71" s="158"/>
    </row>
    <row r="72" spans="1:8" ht="15.75">
      <c r="A72" s="53"/>
      <c r="B72" s="53"/>
      <c r="C72" s="190"/>
      <c r="D72" s="167"/>
      <c r="E72" s="167"/>
      <c r="F72" s="167"/>
      <c r="G72" s="52"/>
      <c r="H72" s="158"/>
    </row>
    <row r="73" spans="1:8" ht="15.75">
      <c r="A73" s="53"/>
      <c r="B73" s="53"/>
      <c r="C73" s="190"/>
      <c r="D73" s="167"/>
      <c r="E73" s="167"/>
      <c r="F73" s="167"/>
      <c r="G73" s="52"/>
      <c r="H73" s="158"/>
    </row>
    <row r="74" spans="1:8" ht="15.75">
      <c r="A74" s="53"/>
      <c r="B74" s="53"/>
      <c r="C74" s="190"/>
      <c r="D74" s="167"/>
      <c r="E74" s="167"/>
      <c r="F74" s="167"/>
      <c r="G74" s="52"/>
      <c r="H74" s="158"/>
    </row>
    <row r="75" spans="1:8" ht="15.75">
      <c r="A75" s="53"/>
      <c r="B75" s="53"/>
      <c r="C75" s="190"/>
      <c r="D75" s="167"/>
      <c r="E75" s="167"/>
      <c r="F75" s="167"/>
      <c r="G75" s="52"/>
      <c r="H75" s="158"/>
    </row>
    <row r="76" spans="1:8" ht="15.75">
      <c r="A76" s="53"/>
      <c r="B76" s="53"/>
      <c r="C76" s="190"/>
      <c r="D76" s="167"/>
      <c r="E76" s="167"/>
      <c r="F76" s="167"/>
      <c r="G76" s="52"/>
      <c r="H76" s="158"/>
    </row>
    <row r="77" spans="1:8" ht="15.75">
      <c r="A77" s="53"/>
      <c r="B77" s="53"/>
      <c r="C77" s="190"/>
      <c r="D77" s="167"/>
      <c r="E77" s="167"/>
      <c r="F77" s="167"/>
      <c r="G77" s="52"/>
      <c r="H77" s="158"/>
    </row>
    <row r="78" spans="1:8" ht="15.75">
      <c r="A78" s="53"/>
      <c r="B78" s="53"/>
      <c r="C78" s="190"/>
      <c r="D78" s="167"/>
      <c r="E78" s="167"/>
      <c r="F78" s="167"/>
      <c r="G78" s="52"/>
      <c r="H78" s="158"/>
    </row>
    <row r="79" spans="1:8" ht="15.75">
      <c r="A79" s="53"/>
      <c r="B79" s="53"/>
      <c r="C79" s="190"/>
      <c r="D79" s="167"/>
      <c r="E79" s="167"/>
      <c r="F79" s="167"/>
      <c r="G79" s="52"/>
      <c r="H79" s="158"/>
    </row>
    <row r="80" spans="1:8" ht="15.75">
      <c r="A80" s="53"/>
      <c r="B80" s="53"/>
      <c r="C80" s="190"/>
      <c r="D80" s="167"/>
      <c r="E80" s="167"/>
      <c r="F80" s="167"/>
      <c r="G80" s="52"/>
      <c r="H80" s="158"/>
    </row>
    <row r="81" spans="1:8" ht="15.75">
      <c r="A81" s="53"/>
      <c r="B81" s="53"/>
      <c r="C81" s="190"/>
      <c r="D81" s="167"/>
      <c r="E81" s="167"/>
      <c r="F81" s="167"/>
      <c r="G81" s="52"/>
      <c r="H81" s="158"/>
    </row>
    <row r="82" spans="1:8" ht="15.75">
      <c r="A82" s="53"/>
      <c r="B82" s="53"/>
      <c r="C82" s="190"/>
      <c r="D82" s="167"/>
      <c r="E82" s="167"/>
      <c r="F82" s="167"/>
      <c r="G82" s="52"/>
      <c r="H82" s="158"/>
    </row>
    <row r="83" spans="1:8" ht="15.75">
      <c r="A83" s="53"/>
      <c r="B83" s="53"/>
      <c r="C83" s="190"/>
      <c r="D83" s="167"/>
      <c r="E83" s="167"/>
      <c r="F83" s="167"/>
      <c r="G83" s="52"/>
      <c r="H83" s="158"/>
    </row>
    <row r="84" spans="1:8" ht="15.75">
      <c r="A84" s="53"/>
      <c r="B84" s="53"/>
      <c r="C84" s="190"/>
      <c r="D84" s="167"/>
      <c r="E84" s="167"/>
      <c r="F84" s="167"/>
      <c r="G84" s="52"/>
      <c r="H84" s="158"/>
    </row>
    <row r="85" spans="1:8" ht="15.75">
      <c r="A85" s="53"/>
      <c r="B85" s="53"/>
      <c r="C85" s="190"/>
      <c r="D85" s="167"/>
      <c r="E85" s="167"/>
      <c r="F85" s="167"/>
      <c r="G85" s="52"/>
      <c r="H85" s="158"/>
    </row>
    <row r="86" spans="1:8" ht="15.75">
      <c r="A86" s="53"/>
      <c r="B86" s="53"/>
      <c r="C86" s="190"/>
      <c r="D86" s="167"/>
      <c r="E86" s="167"/>
      <c r="F86" s="167"/>
      <c r="G86" s="52"/>
      <c r="H86" s="158"/>
    </row>
    <row r="87" spans="1:8" ht="15.75">
      <c r="A87" s="53"/>
      <c r="B87" s="53"/>
      <c r="C87" s="190"/>
      <c r="D87" s="167"/>
      <c r="E87" s="167"/>
      <c r="F87" s="167"/>
      <c r="G87" s="52"/>
      <c r="H87" s="158"/>
    </row>
    <row r="88" spans="1:8" ht="15.75">
      <c r="A88" s="53"/>
      <c r="B88" s="53"/>
      <c r="C88" s="190"/>
      <c r="D88" s="167"/>
      <c r="E88" s="167"/>
      <c r="F88" s="167"/>
      <c r="G88" s="52"/>
      <c r="H88" s="158"/>
    </row>
    <row r="89" spans="1:8" ht="15.75">
      <c r="A89" s="53"/>
      <c r="B89" s="53"/>
      <c r="C89" s="190"/>
      <c r="D89" s="167"/>
      <c r="E89" s="167"/>
      <c r="F89" s="167"/>
      <c r="G89" s="52"/>
      <c r="H89" s="158"/>
    </row>
    <row r="90" spans="1:8" ht="15.75">
      <c r="A90" s="53"/>
      <c r="B90" s="53"/>
      <c r="C90" s="190"/>
      <c r="D90" s="167"/>
      <c r="E90" s="167"/>
      <c r="F90" s="167"/>
      <c r="G90" s="52"/>
      <c r="H90" s="158"/>
    </row>
    <row r="91" spans="1:8" ht="15.75">
      <c r="A91" s="53"/>
      <c r="B91" s="53"/>
      <c r="C91" s="190"/>
      <c r="D91" s="167"/>
      <c r="E91" s="167"/>
      <c r="F91" s="167"/>
      <c r="G91" s="52"/>
      <c r="H91" s="158"/>
    </row>
    <row r="92" spans="1:8" ht="15.75">
      <c r="A92" s="53"/>
      <c r="B92" s="53"/>
      <c r="C92" s="190"/>
      <c r="D92" s="167"/>
      <c r="E92" s="167"/>
      <c r="F92" s="167"/>
      <c r="G92" s="52"/>
      <c r="H92" s="158"/>
    </row>
    <row r="93" spans="1:8" ht="15.75">
      <c r="A93" s="53"/>
      <c r="B93" s="53"/>
      <c r="C93" s="190"/>
      <c r="D93" s="167"/>
      <c r="E93" s="167"/>
      <c r="F93" s="167"/>
      <c r="G93" s="52"/>
      <c r="H93" s="158"/>
    </row>
    <row r="94" spans="1:8" ht="15.75">
      <c r="A94" s="53"/>
      <c r="B94" s="53"/>
      <c r="C94" s="190"/>
      <c r="D94" s="167"/>
      <c r="E94" s="167"/>
      <c r="F94" s="167"/>
      <c r="G94" s="52"/>
      <c r="H94" s="158"/>
    </row>
    <row r="95" spans="1:8" ht="15.75">
      <c r="A95" s="53"/>
      <c r="B95" s="53"/>
      <c r="C95" s="190"/>
      <c r="D95" s="167"/>
      <c r="E95" s="167"/>
      <c r="F95" s="167"/>
      <c r="G95" s="52"/>
      <c r="H95" s="158"/>
    </row>
    <row r="96" spans="1:8" ht="15.75">
      <c r="A96" s="53"/>
      <c r="B96" s="53"/>
      <c r="C96" s="190"/>
      <c r="D96" s="167"/>
      <c r="E96" s="167"/>
      <c r="F96" s="167"/>
      <c r="G96" s="52"/>
      <c r="H96" s="158"/>
    </row>
    <row r="97" spans="1:8" ht="15.75">
      <c r="A97" s="53"/>
      <c r="B97" s="53"/>
      <c r="C97" s="190"/>
      <c r="D97" s="167"/>
      <c r="E97" s="167"/>
      <c r="F97" s="167"/>
      <c r="G97" s="52"/>
      <c r="H97" s="158"/>
    </row>
    <row r="98" spans="1:8" ht="15.75">
      <c r="A98" s="53"/>
      <c r="B98" s="53"/>
      <c r="C98" s="190"/>
      <c r="D98" s="167"/>
      <c r="E98" s="167"/>
      <c r="F98" s="167"/>
      <c r="G98" s="52"/>
      <c r="H98" s="158"/>
    </row>
    <row r="99" spans="1:8" ht="15.75">
      <c r="A99" s="53"/>
      <c r="B99" s="53"/>
      <c r="C99" s="190"/>
      <c r="D99" s="167"/>
      <c r="E99" s="167"/>
      <c r="F99" s="167"/>
      <c r="G99" s="52"/>
      <c r="H99" s="158"/>
    </row>
    <row r="100" spans="1:8" ht="15.75">
      <c r="A100" s="53"/>
      <c r="B100" s="53"/>
      <c r="C100" s="190"/>
      <c r="D100" s="167"/>
      <c r="E100" s="167"/>
      <c r="F100" s="167"/>
      <c r="G100" s="52"/>
      <c r="H100" s="158"/>
    </row>
    <row r="101" spans="1:8" ht="15.75">
      <c r="A101" s="53"/>
      <c r="B101" s="53"/>
      <c r="C101" s="190"/>
      <c r="D101" s="167"/>
      <c r="E101" s="167"/>
      <c r="F101" s="167"/>
      <c r="G101" s="52"/>
      <c r="H101" s="158"/>
    </row>
    <row r="102" spans="1:8" ht="15.75">
      <c r="A102" s="53"/>
      <c r="B102" s="53"/>
      <c r="C102" s="190"/>
      <c r="D102" s="167"/>
      <c r="E102" s="167"/>
      <c r="F102" s="167"/>
      <c r="G102" s="52"/>
      <c r="H102" s="158"/>
    </row>
    <row r="103" spans="1:8" ht="15.75">
      <c r="A103" s="53"/>
      <c r="B103" s="53"/>
      <c r="C103" s="190"/>
      <c r="D103" s="167"/>
      <c r="E103" s="167"/>
      <c r="F103" s="167"/>
      <c r="G103" s="52"/>
      <c r="H103" s="158"/>
    </row>
    <row r="104" spans="1:8" ht="15.75">
      <c r="A104" s="53"/>
      <c r="B104" s="53"/>
      <c r="C104" s="190"/>
      <c r="D104" s="167"/>
      <c r="E104" s="167"/>
      <c r="F104" s="167"/>
      <c r="G104" s="52"/>
      <c r="H104" s="158"/>
    </row>
    <row r="105" spans="1:8" ht="15.75">
      <c r="A105" s="53"/>
      <c r="B105" s="53"/>
      <c r="C105" s="190"/>
      <c r="D105" s="167"/>
      <c r="E105" s="167"/>
      <c r="F105" s="167"/>
      <c r="G105" s="52"/>
      <c r="H105" s="158"/>
    </row>
    <row r="106" spans="1:8" ht="15.75">
      <c r="A106" s="53"/>
      <c r="B106" s="53"/>
      <c r="C106" s="190"/>
      <c r="D106" s="167"/>
      <c r="E106" s="167"/>
      <c r="F106" s="167"/>
      <c r="G106" s="52"/>
      <c r="H106" s="158"/>
    </row>
    <row r="107" spans="1:8" ht="15.75">
      <c r="A107" s="53"/>
      <c r="B107" s="53"/>
      <c r="C107" s="190"/>
      <c r="D107" s="167"/>
      <c r="E107" s="167"/>
      <c r="F107" s="167"/>
      <c r="G107" s="52"/>
      <c r="H107" s="158"/>
    </row>
    <row r="108" spans="1:8" ht="15.75">
      <c r="A108" s="53"/>
      <c r="B108" s="53"/>
      <c r="C108" s="190"/>
      <c r="D108" s="167"/>
      <c r="E108" s="167"/>
      <c r="F108" s="167"/>
      <c r="G108" s="52"/>
      <c r="H108" s="158"/>
    </row>
    <row r="109" spans="1:8" ht="15.75">
      <c r="A109" s="53"/>
      <c r="B109" s="53"/>
      <c r="C109" s="190"/>
      <c r="D109" s="167"/>
      <c r="E109" s="167"/>
      <c r="F109" s="167"/>
      <c r="G109" s="52"/>
      <c r="H109" s="158"/>
    </row>
    <row r="110" spans="1:8" ht="15.75">
      <c r="A110" s="53"/>
      <c r="B110" s="53"/>
      <c r="C110" s="190"/>
      <c r="D110" s="167"/>
      <c r="E110" s="167"/>
      <c r="F110" s="167"/>
      <c r="G110" s="52"/>
      <c r="H110" s="158"/>
    </row>
    <row r="111" spans="1:8" ht="15.75">
      <c r="A111" s="53"/>
      <c r="B111" s="53"/>
      <c r="C111" s="190"/>
      <c r="D111" s="167"/>
      <c r="E111" s="167"/>
      <c r="F111" s="167"/>
      <c r="G111" s="52"/>
      <c r="H111" s="158"/>
    </row>
    <row r="112" spans="1:8" ht="15.75">
      <c r="A112" s="53"/>
      <c r="B112" s="53"/>
      <c r="C112" s="190"/>
      <c r="D112" s="167"/>
      <c r="E112" s="167"/>
      <c r="F112" s="167"/>
      <c r="G112" s="52"/>
      <c r="H112" s="158"/>
    </row>
    <row r="113" spans="1:8" ht="15.75">
      <c r="A113" s="53"/>
      <c r="B113" s="53"/>
      <c r="C113" s="190"/>
      <c r="D113" s="167"/>
      <c r="E113" s="167"/>
      <c r="F113" s="167"/>
      <c r="G113" s="52"/>
      <c r="H113" s="158"/>
    </row>
    <row r="114" spans="1:8" ht="15.75">
      <c r="A114" s="53"/>
      <c r="B114" s="53"/>
      <c r="C114" s="190"/>
      <c r="D114" s="167"/>
      <c r="E114" s="167"/>
      <c r="F114" s="167"/>
      <c r="G114" s="52"/>
      <c r="H114" s="158"/>
    </row>
    <row r="115" spans="1:8" ht="15.75">
      <c r="A115" s="53"/>
      <c r="B115" s="53"/>
      <c r="C115" s="190"/>
      <c r="D115" s="167"/>
      <c r="E115" s="167"/>
      <c r="F115" s="167"/>
      <c r="G115" s="52"/>
      <c r="H115" s="158"/>
    </row>
    <row r="116" spans="1:8" ht="15.75">
      <c r="A116" s="53"/>
      <c r="B116" s="53"/>
      <c r="C116" s="190"/>
      <c r="D116" s="167"/>
      <c r="E116" s="167"/>
      <c r="F116" s="167"/>
      <c r="G116" s="52"/>
      <c r="H116" s="158"/>
    </row>
    <row r="117" spans="1:8" ht="15.75">
      <c r="A117" s="53"/>
      <c r="B117" s="53"/>
      <c r="C117" s="190"/>
      <c r="D117" s="167"/>
      <c r="E117" s="167"/>
      <c r="F117" s="167"/>
      <c r="G117" s="52"/>
      <c r="H117" s="158"/>
    </row>
    <row r="118" spans="1:8" ht="15.75">
      <c r="A118" s="53"/>
      <c r="B118" s="53"/>
      <c r="C118" s="190"/>
      <c r="D118" s="167"/>
      <c r="E118" s="167"/>
      <c r="F118" s="167"/>
      <c r="G118" s="52"/>
      <c r="H118" s="158"/>
    </row>
    <row r="119" spans="1:8" ht="15.75">
      <c r="A119" s="53"/>
      <c r="B119" s="53"/>
      <c r="C119" s="190"/>
      <c r="D119" s="167"/>
      <c r="E119" s="167"/>
      <c r="F119" s="167"/>
      <c r="G119" s="52"/>
      <c r="H119" s="158"/>
    </row>
    <row r="120" spans="1:8" ht="15.75">
      <c r="A120" s="53"/>
      <c r="B120" s="53"/>
      <c r="C120" s="190"/>
      <c r="D120" s="167"/>
      <c r="E120" s="167"/>
      <c r="F120" s="167"/>
      <c r="G120" s="52"/>
      <c r="H120" s="158"/>
    </row>
    <row r="121" spans="1:8" ht="15.75">
      <c r="A121" s="53"/>
      <c r="B121" s="53"/>
      <c r="C121" s="190"/>
      <c r="D121" s="167"/>
      <c r="E121" s="167"/>
      <c r="F121" s="167"/>
      <c r="G121" s="52"/>
      <c r="H121" s="158"/>
    </row>
    <row r="122" spans="1:8" ht="15.75">
      <c r="A122" s="53"/>
      <c r="B122" s="53"/>
      <c r="C122" s="190"/>
      <c r="D122" s="167"/>
      <c r="E122" s="167"/>
      <c r="F122" s="167"/>
      <c r="G122" s="52"/>
      <c r="H122" s="158"/>
    </row>
    <row r="123" spans="1:8" ht="15.75">
      <c r="A123" s="53"/>
      <c r="B123" s="53"/>
      <c r="C123" s="190"/>
      <c r="D123" s="167"/>
      <c r="E123" s="167"/>
      <c r="F123" s="167"/>
      <c r="G123" s="52"/>
      <c r="H123" s="158"/>
    </row>
    <row r="124" spans="1:8" ht="15.75">
      <c r="A124" s="53"/>
      <c r="B124" s="53"/>
      <c r="C124" s="190"/>
      <c r="D124" s="167"/>
      <c r="E124" s="167"/>
      <c r="F124" s="167"/>
      <c r="G124" s="52"/>
      <c r="H124" s="158"/>
    </row>
    <row r="125" spans="1:8" ht="15.75">
      <c r="A125" s="53"/>
      <c r="B125" s="53"/>
      <c r="C125" s="190"/>
      <c r="D125" s="167"/>
      <c r="E125" s="167"/>
      <c r="F125" s="167"/>
      <c r="G125" s="52"/>
      <c r="H125" s="158"/>
    </row>
    <row r="126" spans="1:8" ht="15.75">
      <c r="A126" s="53"/>
      <c r="B126" s="53"/>
      <c r="C126" s="190"/>
      <c r="D126" s="167"/>
      <c r="E126" s="167"/>
      <c r="F126" s="167"/>
      <c r="G126" s="52"/>
      <c r="H126" s="158"/>
    </row>
    <row r="127" spans="1:8" ht="15.75">
      <c r="A127" s="53"/>
      <c r="B127" s="53"/>
      <c r="C127" s="190"/>
      <c r="D127" s="167"/>
      <c r="E127" s="167"/>
      <c r="F127" s="167"/>
      <c r="G127" s="52"/>
      <c r="H127" s="158"/>
    </row>
    <row r="128" spans="1:8" ht="15.75">
      <c r="A128" s="53"/>
      <c r="B128" s="53"/>
      <c r="C128" s="190"/>
      <c r="D128" s="167"/>
      <c r="E128" s="167"/>
      <c r="F128" s="167"/>
      <c r="G128" s="52"/>
      <c r="H128" s="158"/>
    </row>
    <row r="129" spans="1:8" ht="15.75">
      <c r="A129" s="53"/>
      <c r="B129" s="53"/>
      <c r="C129" s="190"/>
      <c r="D129" s="167"/>
      <c r="E129" s="167"/>
      <c r="F129" s="167"/>
      <c r="G129" s="52"/>
      <c r="H129" s="158"/>
    </row>
    <row r="130" spans="1:8" ht="15.75">
      <c r="A130" s="53"/>
      <c r="B130" s="53"/>
      <c r="C130" s="190"/>
      <c r="D130" s="167"/>
      <c r="E130" s="167"/>
      <c r="F130" s="167"/>
      <c r="G130" s="52"/>
      <c r="H130" s="158"/>
    </row>
    <row r="131" spans="1:8" ht="15.75">
      <c r="A131" s="53"/>
      <c r="B131" s="53"/>
      <c r="C131" s="190"/>
      <c r="D131" s="167"/>
      <c r="E131" s="167"/>
      <c r="F131" s="167"/>
      <c r="G131" s="52"/>
      <c r="H131" s="158"/>
    </row>
    <row r="132" spans="1:8" ht="15.75">
      <c r="A132" s="53"/>
      <c r="B132" s="53"/>
      <c r="C132" s="190"/>
      <c r="D132" s="167"/>
      <c r="E132" s="167"/>
      <c r="F132" s="167"/>
      <c r="G132" s="52"/>
      <c r="H132" s="158"/>
    </row>
    <row r="133" spans="1:8" ht="15.75">
      <c r="A133" s="53"/>
      <c r="B133" s="53"/>
      <c r="C133" s="190"/>
      <c r="D133" s="167"/>
      <c r="E133" s="167"/>
      <c r="F133" s="167"/>
      <c r="G133" s="52"/>
      <c r="H133" s="158"/>
    </row>
    <row r="134" spans="1:8" ht="15.75">
      <c r="A134" s="53"/>
      <c r="B134" s="53"/>
      <c r="C134" s="190"/>
      <c r="D134" s="167"/>
      <c r="E134" s="167"/>
      <c r="F134" s="167"/>
      <c r="G134" s="52"/>
      <c r="H134" s="158"/>
    </row>
    <row r="135" spans="1:8" ht="15.75">
      <c r="A135" s="53"/>
      <c r="B135" s="53"/>
      <c r="C135" s="190"/>
      <c r="D135" s="167"/>
      <c r="E135" s="167"/>
      <c r="F135" s="167"/>
      <c r="G135" s="52"/>
      <c r="H135" s="158"/>
    </row>
    <row r="136" spans="1:8" ht="15.75">
      <c r="A136" s="53"/>
      <c r="B136" s="53"/>
      <c r="C136" s="190"/>
      <c r="D136" s="167"/>
      <c r="E136" s="167"/>
      <c r="F136" s="167"/>
      <c r="G136" s="52"/>
      <c r="H136" s="158"/>
    </row>
    <row r="137" spans="1:8" ht="15.75">
      <c r="A137" s="53"/>
      <c r="B137" s="53"/>
      <c r="C137" s="190"/>
      <c r="D137" s="167"/>
      <c r="E137" s="167"/>
      <c r="F137" s="167"/>
      <c r="G137" s="52"/>
      <c r="H137" s="158"/>
    </row>
    <row r="138" spans="1:8" ht="15.75">
      <c r="A138" s="53"/>
      <c r="B138" s="53"/>
      <c r="C138" s="190"/>
      <c r="D138" s="167"/>
      <c r="E138" s="167"/>
      <c r="F138" s="167"/>
      <c r="G138" s="52"/>
      <c r="H138" s="158"/>
    </row>
    <row r="139" spans="1:8" ht="15.75">
      <c r="A139" s="53"/>
      <c r="B139" s="53"/>
      <c r="C139" s="190"/>
      <c r="D139" s="167"/>
      <c r="E139" s="167"/>
      <c r="F139" s="167"/>
      <c r="G139" s="52"/>
      <c r="H139" s="158"/>
    </row>
    <row r="140" spans="1:8" ht="15.75">
      <c r="A140" s="53"/>
      <c r="B140" s="53"/>
      <c r="C140" s="190"/>
      <c r="D140" s="167"/>
      <c r="E140" s="167"/>
      <c r="F140" s="167"/>
      <c r="G140" s="52"/>
      <c r="H140" s="158"/>
    </row>
    <row r="141" spans="1:8" ht="15.75">
      <c r="A141" s="53"/>
      <c r="B141" s="53"/>
      <c r="C141" s="190"/>
      <c r="D141" s="167"/>
      <c r="E141" s="167"/>
      <c r="F141" s="167"/>
      <c r="G141" s="52"/>
      <c r="H141" s="158"/>
    </row>
    <row r="142" spans="1:8" ht="15.75">
      <c r="A142" s="53"/>
      <c r="B142" s="53"/>
      <c r="C142" s="190"/>
      <c r="D142" s="167"/>
      <c r="E142" s="167"/>
      <c r="F142" s="167"/>
      <c r="G142" s="52"/>
      <c r="H142" s="158"/>
    </row>
    <row r="143" spans="1:8" ht="15.75">
      <c r="A143" s="53"/>
      <c r="B143" s="53"/>
      <c r="C143" s="190"/>
      <c r="D143" s="167"/>
      <c r="E143" s="167"/>
      <c r="F143" s="167"/>
      <c r="G143" s="52"/>
      <c r="H143" s="158"/>
    </row>
    <row r="144" spans="1:8" ht="15.75">
      <c r="A144" s="53"/>
      <c r="B144" s="53"/>
      <c r="C144" s="190"/>
      <c r="D144" s="167"/>
      <c r="E144" s="167"/>
      <c r="F144" s="167"/>
      <c r="G144" s="52"/>
      <c r="H144" s="158"/>
    </row>
    <row r="145" spans="1:8" ht="15.75">
      <c r="A145" s="53"/>
      <c r="B145" s="53"/>
      <c r="C145" s="190"/>
      <c r="D145" s="167"/>
      <c r="E145" s="167"/>
      <c r="F145" s="167"/>
      <c r="G145" s="52"/>
      <c r="H145" s="158"/>
    </row>
    <row r="146" spans="1:8" ht="15.75">
      <c r="A146" s="53"/>
      <c r="B146" s="53"/>
      <c r="C146" s="190"/>
      <c r="D146" s="167"/>
      <c r="E146" s="167"/>
      <c r="F146" s="167"/>
      <c r="G146" s="52"/>
      <c r="H146" s="158"/>
    </row>
    <row r="147" spans="1:8" ht="15.75">
      <c r="A147" s="53"/>
      <c r="B147" s="53"/>
      <c r="C147" s="190"/>
      <c r="D147" s="167"/>
      <c r="E147" s="167"/>
      <c r="F147" s="167"/>
      <c r="G147" s="52"/>
      <c r="H147" s="158"/>
    </row>
    <row r="148" spans="1:8" ht="15.75">
      <c r="A148" s="53"/>
      <c r="B148" s="53"/>
      <c r="C148" s="190"/>
      <c r="D148" s="167"/>
      <c r="E148" s="167"/>
      <c r="F148" s="167"/>
      <c r="G148" s="52"/>
      <c r="H148" s="158"/>
    </row>
    <row r="149" spans="1:8" ht="15.75">
      <c r="A149" s="53"/>
      <c r="B149" s="53"/>
      <c r="C149" s="190"/>
      <c r="D149" s="167"/>
      <c r="E149" s="167"/>
      <c r="F149" s="167"/>
      <c r="G149" s="52"/>
      <c r="H149" s="158"/>
    </row>
    <row r="150" spans="1:8" ht="15.75">
      <c r="A150" s="53"/>
      <c r="B150" s="53"/>
      <c r="C150" s="190"/>
      <c r="D150" s="167"/>
      <c r="E150" s="167"/>
      <c r="F150" s="167"/>
      <c r="G150" s="52"/>
      <c r="H150" s="158"/>
    </row>
    <row r="151" spans="1:8" ht="15.75">
      <c r="A151" s="53"/>
      <c r="B151" s="53"/>
      <c r="C151" s="190"/>
      <c r="D151" s="167"/>
      <c r="E151" s="167"/>
      <c r="F151" s="167"/>
      <c r="G151" s="52"/>
      <c r="H151" s="158"/>
    </row>
    <row r="152" spans="1:8" ht="15.75">
      <c r="A152" s="53"/>
      <c r="B152" s="53"/>
      <c r="C152" s="190"/>
      <c r="D152" s="167"/>
      <c r="E152" s="167"/>
      <c r="F152" s="167"/>
      <c r="G152" s="52"/>
      <c r="H152" s="158"/>
    </row>
    <row r="153" spans="1:8" ht="15.75">
      <c r="A153" s="53"/>
      <c r="B153" s="53"/>
      <c r="C153" s="190"/>
      <c r="D153" s="167"/>
      <c r="E153" s="167"/>
      <c r="F153" s="167"/>
      <c r="G153" s="52"/>
      <c r="H153" s="158"/>
    </row>
    <row r="154" spans="1:8" ht="15.75">
      <c r="A154" s="53"/>
      <c r="B154" s="53"/>
      <c r="C154" s="190"/>
      <c r="D154" s="167"/>
      <c r="E154" s="167"/>
      <c r="F154" s="167"/>
      <c r="G154" s="52"/>
      <c r="H154" s="158"/>
    </row>
    <row r="155" spans="1:8" ht="15.75">
      <c r="A155" s="53"/>
      <c r="B155" s="53"/>
      <c r="C155" s="190"/>
      <c r="D155" s="167"/>
      <c r="E155" s="167"/>
      <c r="F155" s="167"/>
      <c r="G155" s="52"/>
      <c r="H155" s="158"/>
    </row>
    <row r="156" spans="1:8" ht="15.75">
      <c r="A156" s="53"/>
      <c r="B156" s="53"/>
      <c r="C156" s="190"/>
      <c r="D156" s="167"/>
      <c r="E156" s="167"/>
      <c r="F156" s="167"/>
      <c r="G156" s="52"/>
      <c r="H156" s="158"/>
    </row>
    <row r="157" spans="1:8" ht="15.75">
      <c r="A157" s="53"/>
      <c r="B157" s="53"/>
      <c r="C157" s="190"/>
      <c r="D157" s="167"/>
      <c r="E157" s="167"/>
      <c r="F157" s="167"/>
      <c r="G157" s="52"/>
      <c r="H157" s="158"/>
    </row>
    <row r="158" spans="1:8" ht="15.75">
      <c r="A158" s="53"/>
      <c r="B158" s="53"/>
      <c r="C158" s="190"/>
      <c r="D158" s="167"/>
      <c r="E158" s="167"/>
      <c r="F158" s="167"/>
      <c r="G158" s="52"/>
      <c r="H158" s="158"/>
    </row>
    <row r="159" spans="1:8" ht="15.75">
      <c r="A159" s="53"/>
      <c r="B159" s="53"/>
      <c r="C159" s="190"/>
      <c r="D159" s="167"/>
      <c r="E159" s="167"/>
      <c r="F159" s="167"/>
      <c r="G159" s="52"/>
      <c r="H159" s="158"/>
    </row>
    <row r="160" spans="1:8" ht="15.75">
      <c r="A160" s="53"/>
      <c r="B160" s="53"/>
      <c r="C160" s="190"/>
      <c r="D160" s="167"/>
      <c r="E160" s="167"/>
      <c r="F160" s="167"/>
      <c r="G160" s="52"/>
      <c r="H160" s="158"/>
    </row>
    <row r="161" spans="1:8" ht="15.75">
      <c r="A161" s="53"/>
      <c r="B161" s="53"/>
      <c r="C161" s="190"/>
      <c r="D161" s="167"/>
      <c r="E161" s="167"/>
      <c r="F161" s="167"/>
      <c r="G161" s="52"/>
      <c r="H161" s="158"/>
    </row>
    <row r="162" spans="1:8" ht="15.75">
      <c r="A162" s="53"/>
      <c r="B162" s="53"/>
      <c r="C162" s="190"/>
      <c r="D162" s="167"/>
      <c r="E162" s="167"/>
      <c r="F162" s="167"/>
      <c r="G162" s="52"/>
      <c r="H162" s="158"/>
    </row>
    <row r="163" spans="1:8" ht="15.75">
      <c r="A163" s="53"/>
      <c r="B163" s="53"/>
      <c r="C163" s="190"/>
      <c r="D163" s="167"/>
      <c r="E163" s="167"/>
      <c r="F163" s="167"/>
      <c r="G163" s="52"/>
      <c r="H163" s="158"/>
    </row>
    <row r="164" spans="1:8" ht="15.75">
      <c r="A164" s="53"/>
      <c r="B164" s="53"/>
      <c r="C164" s="190"/>
      <c r="D164" s="167"/>
      <c r="E164" s="167"/>
      <c r="F164" s="167"/>
      <c r="G164" s="52"/>
      <c r="H164" s="158"/>
    </row>
    <row r="165" spans="1:8" ht="15.75">
      <c r="A165" s="53"/>
      <c r="B165" s="53"/>
      <c r="C165" s="190"/>
      <c r="D165" s="167"/>
      <c r="E165" s="167"/>
      <c r="F165" s="167"/>
      <c r="G165" s="52"/>
      <c r="H165" s="158"/>
    </row>
    <row r="166" spans="1:8" ht="15.75">
      <c r="A166" s="53"/>
      <c r="B166" s="53"/>
      <c r="C166" s="190"/>
      <c r="D166" s="167"/>
      <c r="E166" s="167"/>
      <c r="F166" s="167"/>
      <c r="G166" s="52"/>
      <c r="H166" s="158"/>
    </row>
    <row r="167" spans="1:8" ht="15.75">
      <c r="A167" s="53"/>
      <c r="B167" s="53"/>
      <c r="C167" s="190"/>
      <c r="D167" s="167"/>
      <c r="E167" s="167"/>
      <c r="F167" s="167"/>
      <c r="G167" s="52"/>
      <c r="H167" s="158"/>
    </row>
    <row r="168" spans="1:8" ht="15.75">
      <c r="A168" s="53"/>
      <c r="B168" s="53"/>
      <c r="C168" s="190"/>
      <c r="D168" s="167"/>
      <c r="E168" s="167"/>
      <c r="F168" s="167"/>
      <c r="G168" s="52"/>
      <c r="H168" s="158"/>
    </row>
    <row r="169" spans="1:8" ht="15.75">
      <c r="A169" s="53"/>
      <c r="B169" s="53"/>
      <c r="C169" s="190"/>
      <c r="D169" s="167"/>
      <c r="E169" s="167"/>
      <c r="F169" s="167"/>
      <c r="G169" s="52"/>
      <c r="H169" s="158"/>
    </row>
    <row r="170" spans="1:8" ht="15.75">
      <c r="A170" s="53"/>
      <c r="B170" s="53"/>
      <c r="C170" s="190"/>
      <c r="D170" s="167"/>
      <c r="E170" s="167"/>
      <c r="F170" s="167"/>
      <c r="G170" s="52"/>
      <c r="H170" s="158"/>
    </row>
  </sheetData>
  <mergeCells count="12">
    <mergeCell ref="A20:G20"/>
    <mergeCell ref="A3:H3"/>
    <mergeCell ref="A4:H4"/>
    <mergeCell ref="A5:H5"/>
    <mergeCell ref="A6:H6"/>
    <mergeCell ref="A7:H7"/>
    <mergeCell ref="A8:H8"/>
    <mergeCell ref="A9:F9"/>
    <mergeCell ref="G9:G10"/>
    <mergeCell ref="H9:H10"/>
    <mergeCell ref="A18:F18"/>
    <mergeCell ref="A19:G19"/>
  </mergeCells>
  <pageMargins left="0.7" right="0.7" top="0.75" bottom="0.75" header="0.3" footer="0.3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N88"/>
  <sheetViews>
    <sheetView workbookViewId="0">
      <pane xSplit="2" ySplit="6" topLeftCell="G22" activePane="bottomRight" state="frozen"/>
      <selection pane="topRight" activeCell="C1" sqref="C1"/>
      <selection pane="bottomLeft" activeCell="A7" sqref="A7"/>
      <selection pane="bottomRight" activeCell="A7" sqref="A7:B47"/>
    </sheetView>
  </sheetViews>
  <sheetFormatPr baseColWidth="10" defaultRowHeight="15"/>
  <cols>
    <col min="2" max="2" width="58.85546875" customWidth="1"/>
    <col min="3" max="3" width="19.140625" customWidth="1"/>
    <col min="4" max="4" width="21.7109375" customWidth="1"/>
    <col min="5" max="5" width="20.85546875" customWidth="1"/>
    <col min="6" max="6" width="21.42578125" customWidth="1"/>
    <col min="7" max="7" width="19.140625" customWidth="1"/>
    <col min="8" max="8" width="18.28515625" customWidth="1"/>
    <col min="9" max="9" width="20.7109375" customWidth="1"/>
    <col min="10" max="10" width="25.42578125" customWidth="1"/>
    <col min="13" max="13" width="22.140625" customWidth="1"/>
    <col min="14" max="14" width="23.42578125" customWidth="1"/>
  </cols>
  <sheetData>
    <row r="3" spans="1:14" ht="23.25">
      <c r="A3" s="700" t="s">
        <v>651</v>
      </c>
      <c r="B3" s="700"/>
      <c r="C3" s="700"/>
      <c r="D3" s="700"/>
      <c r="E3" s="700"/>
      <c r="F3" s="700"/>
      <c r="G3" s="700"/>
      <c r="H3" s="700"/>
      <c r="I3" s="700"/>
    </row>
    <row r="4" spans="1:14" ht="23.25">
      <c r="A4" s="700" t="s">
        <v>652</v>
      </c>
      <c r="B4" s="700"/>
      <c r="C4" s="700"/>
      <c r="D4" s="700"/>
      <c r="E4" s="700"/>
      <c r="F4" s="700"/>
      <c r="G4" s="700"/>
      <c r="H4" s="700"/>
      <c r="I4" s="700"/>
    </row>
    <row r="5" spans="1:14" ht="23.25">
      <c r="A5" s="700" t="s">
        <v>653</v>
      </c>
      <c r="B5" s="700"/>
      <c r="C5" s="700"/>
      <c r="D5" s="700"/>
      <c r="E5" s="700"/>
      <c r="F5" s="700"/>
      <c r="G5" s="700"/>
      <c r="H5" s="700"/>
      <c r="I5" s="700"/>
    </row>
    <row r="6" spans="1:14" ht="18.75">
      <c r="A6" s="247" t="s">
        <v>654</v>
      </c>
      <c r="B6" s="248" t="s">
        <v>655</v>
      </c>
      <c r="C6" s="249">
        <v>2011</v>
      </c>
      <c r="D6" s="250">
        <v>2012</v>
      </c>
      <c r="E6" s="249">
        <v>2013</v>
      </c>
      <c r="F6" s="249">
        <v>2014</v>
      </c>
      <c r="G6" s="249">
        <v>2015</v>
      </c>
      <c r="H6" s="251">
        <v>0.1908</v>
      </c>
      <c r="I6" s="249">
        <v>2016</v>
      </c>
      <c r="K6" s="701" t="s">
        <v>656</v>
      </c>
      <c r="L6" s="701"/>
      <c r="M6" s="701"/>
      <c r="N6" s="701"/>
    </row>
    <row r="7" spans="1:14" ht="18.75" thickBot="1">
      <c r="A7" s="252">
        <v>11801</v>
      </c>
      <c r="B7" s="253" t="s">
        <v>657</v>
      </c>
      <c r="C7" s="254">
        <v>13722.94</v>
      </c>
      <c r="D7" s="255">
        <v>15823.67</v>
      </c>
      <c r="E7" s="255">
        <v>16054.35</v>
      </c>
      <c r="F7" s="255">
        <v>12999.6</v>
      </c>
      <c r="G7" s="255">
        <v>14936.3</v>
      </c>
      <c r="H7" s="256">
        <f>ROUND((G7*19.08%),2)</f>
        <v>2849.85</v>
      </c>
      <c r="I7" s="257">
        <f>+G7+H7</f>
        <v>17786.149999999998</v>
      </c>
      <c r="K7" s="702" t="s">
        <v>658</v>
      </c>
      <c r="L7" s="702"/>
      <c r="M7" s="702"/>
      <c r="N7" s="702"/>
    </row>
    <row r="8" spans="1:14" ht="18.75" thickBot="1">
      <c r="A8" s="252">
        <v>11802</v>
      </c>
      <c r="B8" s="253" t="s">
        <v>659</v>
      </c>
      <c r="C8" s="254">
        <v>11655.95</v>
      </c>
      <c r="D8" s="255">
        <v>12777.43</v>
      </c>
      <c r="E8" s="255">
        <v>5987.56</v>
      </c>
      <c r="F8" s="255">
        <v>4016.49</v>
      </c>
      <c r="G8" s="255">
        <v>12497.28</v>
      </c>
      <c r="H8" s="256">
        <f t="shared" ref="H8:H46" si="0">ROUND((G8*19.08%),2)</f>
        <v>2384.48</v>
      </c>
      <c r="I8" s="257">
        <f t="shared" ref="I8:I46" si="1">+G8+H8</f>
        <v>14881.76</v>
      </c>
      <c r="K8" s="460" t="s">
        <v>660</v>
      </c>
      <c r="L8" s="461" t="s">
        <v>661</v>
      </c>
      <c r="M8" s="461" t="s">
        <v>662</v>
      </c>
      <c r="N8" s="462" t="s">
        <v>663</v>
      </c>
    </row>
    <row r="9" spans="1:14" ht="18">
      <c r="A9" s="252">
        <v>11803</v>
      </c>
      <c r="B9" s="253" t="s">
        <v>664</v>
      </c>
      <c r="C9" s="254">
        <v>7685</v>
      </c>
      <c r="D9" s="255">
        <v>8857.67</v>
      </c>
      <c r="E9" s="255">
        <v>12452.27</v>
      </c>
      <c r="F9" s="255">
        <v>11569.27</v>
      </c>
      <c r="G9" s="255">
        <v>9875.2199999999993</v>
      </c>
      <c r="H9" s="256">
        <f t="shared" si="0"/>
        <v>1884.19</v>
      </c>
      <c r="I9" s="257">
        <f t="shared" si="1"/>
        <v>11759.41</v>
      </c>
      <c r="K9" s="463">
        <v>-2</v>
      </c>
      <c r="L9" s="464">
        <v>2011</v>
      </c>
      <c r="M9" s="465">
        <f>+C47</f>
        <v>328511.45000000007</v>
      </c>
      <c r="N9" s="466">
        <f>+M9*K9</f>
        <v>-657022.90000000014</v>
      </c>
    </row>
    <row r="10" spans="1:14" ht="18">
      <c r="A10" s="252">
        <v>11804</v>
      </c>
      <c r="B10" s="253" t="s">
        <v>665</v>
      </c>
      <c r="C10" s="254">
        <v>56571.26</v>
      </c>
      <c r="D10" s="255">
        <v>26347.919999999998</v>
      </c>
      <c r="E10" s="255">
        <v>44592.27</v>
      </c>
      <c r="F10" s="255">
        <v>78745.740000000005</v>
      </c>
      <c r="G10" s="255">
        <v>68433.23</v>
      </c>
      <c r="H10" s="256">
        <f t="shared" si="0"/>
        <v>13057.06</v>
      </c>
      <c r="I10" s="257">
        <f t="shared" si="1"/>
        <v>81490.289999999994</v>
      </c>
      <c r="K10" s="467">
        <v>-1</v>
      </c>
      <c r="L10" s="464">
        <v>2012</v>
      </c>
      <c r="M10" s="465">
        <f>+D47</f>
        <v>458786.21999999991</v>
      </c>
      <c r="N10" s="466">
        <f>+M10*K10</f>
        <v>-458786.21999999991</v>
      </c>
    </row>
    <row r="11" spans="1:14" ht="18">
      <c r="A11" s="252">
        <v>11806</v>
      </c>
      <c r="B11" s="253" t="s">
        <v>666</v>
      </c>
      <c r="C11" s="254">
        <v>683.95</v>
      </c>
      <c r="D11" s="255">
        <v>763.11</v>
      </c>
      <c r="E11" s="255">
        <v>921.14</v>
      </c>
      <c r="F11" s="255">
        <v>692.2</v>
      </c>
      <c r="G11" s="255">
        <v>887.73</v>
      </c>
      <c r="H11" s="256">
        <f t="shared" si="0"/>
        <v>169.38</v>
      </c>
      <c r="I11" s="257">
        <f t="shared" si="1"/>
        <v>1057.1100000000001</v>
      </c>
      <c r="K11" s="467">
        <v>0</v>
      </c>
      <c r="L11" s="464">
        <v>2013</v>
      </c>
      <c r="M11" s="468">
        <f>+E47</f>
        <v>390645.61</v>
      </c>
      <c r="N11" s="465">
        <f>+M11*K11</f>
        <v>0</v>
      </c>
    </row>
    <row r="12" spans="1:14" ht="18.75" thickBot="1">
      <c r="A12" s="252">
        <v>11815</v>
      </c>
      <c r="B12" s="253" t="s">
        <v>667</v>
      </c>
      <c r="C12" s="254">
        <v>0</v>
      </c>
      <c r="D12" s="255">
        <v>0</v>
      </c>
      <c r="E12" s="255">
        <v>0</v>
      </c>
      <c r="F12" s="255">
        <v>0</v>
      </c>
      <c r="G12" s="255">
        <v>13776.5</v>
      </c>
      <c r="H12" s="256">
        <f t="shared" si="0"/>
        <v>2628.56</v>
      </c>
      <c r="I12" s="257">
        <f t="shared" si="1"/>
        <v>16405.060000000001</v>
      </c>
      <c r="K12" s="469">
        <v>1</v>
      </c>
      <c r="L12" s="464">
        <v>2014</v>
      </c>
      <c r="M12" s="468">
        <f>+F47</f>
        <v>455666.57000000012</v>
      </c>
      <c r="N12" s="465">
        <f>+M12*K12</f>
        <v>455666.57000000012</v>
      </c>
    </row>
    <row r="13" spans="1:14" ht="18.75" thickBot="1">
      <c r="A13" s="252">
        <v>11816</v>
      </c>
      <c r="B13" s="253" t="s">
        <v>668</v>
      </c>
      <c r="C13" s="254">
        <v>473.94</v>
      </c>
      <c r="D13" s="255">
        <v>638.52</v>
      </c>
      <c r="E13" s="255">
        <v>576.71</v>
      </c>
      <c r="F13" s="255">
        <v>2815.48</v>
      </c>
      <c r="G13" s="255">
        <v>2236.25</v>
      </c>
      <c r="H13" s="256">
        <f t="shared" si="0"/>
        <v>426.68</v>
      </c>
      <c r="I13" s="257">
        <f t="shared" si="1"/>
        <v>2662.93</v>
      </c>
      <c r="K13" s="470">
        <v>2</v>
      </c>
      <c r="L13" s="464">
        <v>2015</v>
      </c>
      <c r="M13" s="468">
        <f>+G47</f>
        <v>487540.57000000007</v>
      </c>
      <c r="N13" s="465">
        <f>+M13*K13</f>
        <v>975081.14000000013</v>
      </c>
    </row>
    <row r="14" spans="1:14" ht="18.75" thickBot="1">
      <c r="A14" s="252">
        <v>11817</v>
      </c>
      <c r="B14" s="253" t="s">
        <v>669</v>
      </c>
      <c r="C14" s="254">
        <v>5.71</v>
      </c>
      <c r="D14" s="255">
        <v>45.6</v>
      </c>
      <c r="E14" s="255">
        <v>0</v>
      </c>
      <c r="F14" s="255">
        <v>102.96</v>
      </c>
      <c r="G14" s="255">
        <v>67.38</v>
      </c>
      <c r="H14" s="256">
        <f t="shared" si="0"/>
        <v>12.86</v>
      </c>
      <c r="I14" s="257">
        <f t="shared" si="1"/>
        <v>80.239999999999995</v>
      </c>
      <c r="K14" s="470"/>
      <c r="L14" s="464"/>
      <c r="M14" s="468"/>
      <c r="N14" s="465"/>
    </row>
    <row r="15" spans="1:14" ht="18.75" thickBot="1">
      <c r="A15" s="252">
        <v>11818</v>
      </c>
      <c r="B15" s="253" t="s">
        <v>670</v>
      </c>
      <c r="C15" s="254">
        <v>1392.08</v>
      </c>
      <c r="D15" s="255">
        <v>1859</v>
      </c>
      <c r="E15" s="255">
        <v>1979.11</v>
      </c>
      <c r="F15" s="255">
        <v>2067.15</v>
      </c>
      <c r="G15" s="255">
        <v>1543.5</v>
      </c>
      <c r="H15" s="256">
        <f t="shared" si="0"/>
        <v>294.5</v>
      </c>
      <c r="I15" s="257">
        <f t="shared" si="1"/>
        <v>1838</v>
      </c>
      <c r="K15" s="470"/>
      <c r="L15" s="471"/>
      <c r="M15" s="472"/>
      <c r="N15" s="473"/>
    </row>
    <row r="16" spans="1:14" ht="18.75" thickBot="1">
      <c r="A16" s="252">
        <v>11899</v>
      </c>
      <c r="B16" s="253" t="s">
        <v>671</v>
      </c>
      <c r="C16" s="254">
        <v>352.77</v>
      </c>
      <c r="D16" s="255">
        <v>812.61</v>
      </c>
      <c r="E16" s="255">
        <v>488.71</v>
      </c>
      <c r="F16" s="255">
        <v>336.8</v>
      </c>
      <c r="G16" s="255">
        <v>331.19</v>
      </c>
      <c r="H16" s="256">
        <f t="shared" si="0"/>
        <v>63.19</v>
      </c>
      <c r="I16" s="257">
        <f t="shared" si="1"/>
        <v>394.38</v>
      </c>
      <c r="J16" s="99"/>
      <c r="K16" s="470"/>
      <c r="L16" s="474"/>
      <c r="M16" s="475"/>
      <c r="N16" s="476"/>
    </row>
    <row r="17" spans="1:14" ht="43.5" customHeight="1" thickBot="1">
      <c r="A17" s="252">
        <v>12105</v>
      </c>
      <c r="B17" s="258" t="s">
        <v>672</v>
      </c>
      <c r="C17" s="254">
        <v>25798.560000000001</v>
      </c>
      <c r="D17" s="255">
        <v>29338.68</v>
      </c>
      <c r="E17" s="255">
        <v>35565.629999999997</v>
      </c>
      <c r="F17" s="255">
        <v>39182.129999999997</v>
      </c>
      <c r="G17" s="255">
        <v>39568.69</v>
      </c>
      <c r="H17" s="256">
        <f t="shared" si="0"/>
        <v>7549.71</v>
      </c>
      <c r="I17" s="257">
        <f t="shared" si="1"/>
        <v>47118.400000000001</v>
      </c>
      <c r="K17" s="470"/>
      <c r="L17" s="474"/>
      <c r="M17" s="477"/>
      <c r="N17" s="478"/>
    </row>
    <row r="18" spans="1:14" ht="18.75" thickBot="1">
      <c r="A18" s="252">
        <v>12106</v>
      </c>
      <c r="B18" s="253" t="s">
        <v>673</v>
      </c>
      <c r="C18" s="254">
        <v>140.31</v>
      </c>
      <c r="D18" s="255">
        <v>94.07</v>
      </c>
      <c r="E18" s="255">
        <v>153.33000000000001</v>
      </c>
      <c r="F18" s="255">
        <v>433.45</v>
      </c>
      <c r="G18" s="255">
        <v>494.1</v>
      </c>
      <c r="H18" s="256">
        <f t="shared" si="0"/>
        <v>94.27</v>
      </c>
      <c r="I18" s="257">
        <f t="shared" si="1"/>
        <v>588.37</v>
      </c>
      <c r="K18" s="470"/>
      <c r="L18" s="474"/>
      <c r="M18" s="477"/>
      <c r="N18" s="478"/>
    </row>
    <row r="19" spans="1:14" ht="18.75" thickBot="1">
      <c r="A19" s="252">
        <v>12107</v>
      </c>
      <c r="B19" s="253" t="s">
        <v>674</v>
      </c>
      <c r="C19" s="254">
        <v>27558.3</v>
      </c>
      <c r="D19" s="255">
        <v>35835.25</v>
      </c>
      <c r="E19" s="255">
        <v>36283.01</v>
      </c>
      <c r="F19" s="255">
        <v>29434</v>
      </c>
      <c r="G19" s="255">
        <v>48317.4</v>
      </c>
      <c r="H19" s="256">
        <f t="shared" si="0"/>
        <v>9218.9599999999991</v>
      </c>
      <c r="I19" s="257">
        <f t="shared" si="1"/>
        <v>57536.36</v>
      </c>
      <c r="K19" s="479"/>
      <c r="L19" s="480"/>
      <c r="M19" s="481">
        <f>SUM(M9:M13)</f>
        <v>2121150.42</v>
      </c>
      <c r="N19" s="482">
        <f>SUM(N9:N13)</f>
        <v>314938.59000000008</v>
      </c>
    </row>
    <row r="20" spans="1:14" ht="18">
      <c r="A20" s="252">
        <v>12108</v>
      </c>
      <c r="B20" s="253" t="s">
        <v>62</v>
      </c>
      <c r="C20" s="254">
        <v>13276.92</v>
      </c>
      <c r="D20" s="255">
        <v>16655.54</v>
      </c>
      <c r="E20" s="255">
        <v>17765.18</v>
      </c>
      <c r="F20" s="255">
        <v>19772.66</v>
      </c>
      <c r="G20" s="255">
        <v>18944.13</v>
      </c>
      <c r="H20" s="256">
        <f t="shared" si="0"/>
        <v>3614.54</v>
      </c>
      <c r="I20" s="257">
        <f t="shared" si="1"/>
        <v>22558.670000000002</v>
      </c>
      <c r="K20" s="429"/>
      <c r="L20" s="429"/>
      <c r="M20" s="483"/>
      <c r="N20" s="483"/>
    </row>
    <row r="21" spans="1:14" ht="18">
      <c r="A21" s="252">
        <v>12109</v>
      </c>
      <c r="B21" s="253" t="s">
        <v>675</v>
      </c>
      <c r="C21" s="254">
        <v>10490.84</v>
      </c>
      <c r="D21" s="255">
        <v>12468.55</v>
      </c>
      <c r="E21" s="255">
        <v>13692.73</v>
      </c>
      <c r="F21" s="255">
        <v>18665.07</v>
      </c>
      <c r="G21" s="255">
        <v>18697.240000000002</v>
      </c>
      <c r="H21" s="256">
        <f t="shared" si="0"/>
        <v>3567.43</v>
      </c>
      <c r="I21" s="257">
        <f t="shared" si="1"/>
        <v>22264.670000000002</v>
      </c>
      <c r="K21" s="429"/>
      <c r="L21" s="429"/>
      <c r="M21" s="483"/>
      <c r="N21" s="483"/>
    </row>
    <row r="22" spans="1:14" ht="18.75">
      <c r="A22" s="252">
        <v>12110</v>
      </c>
      <c r="B22" s="253" t="s">
        <v>676</v>
      </c>
      <c r="C22" s="254">
        <v>207.6</v>
      </c>
      <c r="D22" s="255">
        <v>0</v>
      </c>
      <c r="E22" s="255">
        <v>0</v>
      </c>
      <c r="F22" s="255">
        <v>0</v>
      </c>
      <c r="G22" s="255">
        <v>0</v>
      </c>
      <c r="H22" s="256">
        <f t="shared" si="0"/>
        <v>0</v>
      </c>
      <c r="I22" s="257">
        <f t="shared" si="1"/>
        <v>0</v>
      </c>
      <c r="K22" s="112"/>
      <c r="L22" s="429"/>
      <c r="M22" s="483"/>
      <c r="N22" s="483"/>
    </row>
    <row r="23" spans="1:14" ht="18.75">
      <c r="A23" s="252">
        <v>12111</v>
      </c>
      <c r="B23" s="253" t="s">
        <v>677</v>
      </c>
      <c r="C23" s="254">
        <v>5440.02</v>
      </c>
      <c r="D23" s="255">
        <v>5370.22</v>
      </c>
      <c r="E23" s="255">
        <v>7355.27</v>
      </c>
      <c r="F23" s="255">
        <v>8536.73</v>
      </c>
      <c r="G23" s="255">
        <v>11134.7</v>
      </c>
      <c r="H23" s="256">
        <f t="shared" si="0"/>
        <v>2124.5</v>
      </c>
      <c r="I23" s="257">
        <f t="shared" si="1"/>
        <v>13259.2</v>
      </c>
      <c r="K23" s="112"/>
      <c r="L23" s="112"/>
      <c r="M23" s="112"/>
      <c r="N23" s="112"/>
    </row>
    <row r="24" spans="1:14" ht="18.75">
      <c r="A24" s="252">
        <v>12112</v>
      </c>
      <c r="B24" s="253" t="s">
        <v>678</v>
      </c>
      <c r="C24" s="254">
        <v>0</v>
      </c>
      <c r="D24" s="255">
        <v>0</v>
      </c>
      <c r="E24" s="255">
        <v>1996.6</v>
      </c>
      <c r="F24" s="255">
        <v>1993.05</v>
      </c>
      <c r="G24" s="255">
        <v>1689.51</v>
      </c>
      <c r="H24" s="256">
        <f t="shared" si="0"/>
        <v>322.36</v>
      </c>
      <c r="I24" s="257">
        <f t="shared" si="1"/>
        <v>2011.87</v>
      </c>
      <c r="K24" s="112"/>
      <c r="L24" s="112"/>
      <c r="M24" s="112"/>
      <c r="N24" s="112"/>
    </row>
    <row r="25" spans="1:14" ht="18.75">
      <c r="A25" s="252">
        <v>12113</v>
      </c>
      <c r="B25" s="253" t="s">
        <v>679</v>
      </c>
      <c r="C25" s="254">
        <v>13098.5</v>
      </c>
      <c r="D25" s="255">
        <v>16901.5</v>
      </c>
      <c r="E25" s="255">
        <v>18146.5</v>
      </c>
      <c r="F25" s="255">
        <v>15902</v>
      </c>
      <c r="G25" s="255">
        <v>17231.64</v>
      </c>
      <c r="H25" s="256">
        <f t="shared" si="0"/>
        <v>3287.8</v>
      </c>
      <c r="I25" s="257">
        <f t="shared" si="1"/>
        <v>20519.439999999999</v>
      </c>
      <c r="K25" s="112"/>
      <c r="L25" s="112"/>
      <c r="M25" s="112"/>
      <c r="N25" s="112"/>
    </row>
    <row r="26" spans="1:14" ht="18.75">
      <c r="A26" s="252">
        <v>12114</v>
      </c>
      <c r="B26" s="253" t="s">
        <v>680</v>
      </c>
      <c r="C26" s="254">
        <v>9514.82</v>
      </c>
      <c r="D26" s="255">
        <v>11392.76</v>
      </c>
      <c r="E26" s="255">
        <v>12297.04</v>
      </c>
      <c r="F26" s="255">
        <v>15242.84</v>
      </c>
      <c r="G26" s="255">
        <v>15511.05</v>
      </c>
      <c r="H26" s="256">
        <f t="shared" si="0"/>
        <v>2959.51</v>
      </c>
      <c r="I26" s="257">
        <f t="shared" si="1"/>
        <v>18470.559999999998</v>
      </c>
      <c r="K26" s="112"/>
      <c r="L26" s="429" t="s">
        <v>681</v>
      </c>
      <c r="M26" s="484">
        <f>+M19/5</f>
        <v>424230.08399999997</v>
      </c>
      <c r="N26" s="112"/>
    </row>
    <row r="27" spans="1:14" ht="18.75">
      <c r="A27" s="252">
        <v>12115</v>
      </c>
      <c r="B27" s="253" t="s">
        <v>682</v>
      </c>
      <c r="C27" s="254">
        <v>16211.3</v>
      </c>
      <c r="D27" s="255">
        <v>19701.71</v>
      </c>
      <c r="E27" s="255">
        <v>37031.56</v>
      </c>
      <c r="F27" s="255">
        <v>46835.6</v>
      </c>
      <c r="G27" s="255">
        <v>39111.39</v>
      </c>
      <c r="H27" s="256">
        <f t="shared" si="0"/>
        <v>7462.45</v>
      </c>
      <c r="I27" s="257">
        <f t="shared" si="1"/>
        <v>46573.84</v>
      </c>
      <c r="K27" s="112"/>
      <c r="L27" s="429"/>
      <c r="M27" s="484"/>
      <c r="N27" s="112"/>
    </row>
    <row r="28" spans="1:14" ht="18.75">
      <c r="A28" s="252">
        <v>12117</v>
      </c>
      <c r="B28" s="253" t="s">
        <v>683</v>
      </c>
      <c r="C28" s="254">
        <v>5114.53</v>
      </c>
      <c r="D28" s="255">
        <v>6408.75</v>
      </c>
      <c r="E28" s="255">
        <v>6458.47</v>
      </c>
      <c r="F28" s="255">
        <v>6593.56</v>
      </c>
      <c r="G28" s="255">
        <v>6528.31</v>
      </c>
      <c r="H28" s="256">
        <f t="shared" si="0"/>
        <v>1245.5999999999999</v>
      </c>
      <c r="I28" s="257">
        <f t="shared" si="1"/>
        <v>7773.91</v>
      </c>
      <c r="K28" s="112"/>
      <c r="L28" s="429" t="s">
        <v>684</v>
      </c>
      <c r="M28" s="484">
        <f>+N19/10</f>
        <v>31493.859000000008</v>
      </c>
      <c r="N28" s="112"/>
    </row>
    <row r="29" spans="1:14" ht="18.75">
      <c r="A29" s="252">
        <v>12118</v>
      </c>
      <c r="B29" s="253" t="s">
        <v>685</v>
      </c>
      <c r="C29" s="254">
        <v>17933.03</v>
      </c>
      <c r="D29" s="255">
        <v>73857.070000000007</v>
      </c>
      <c r="E29" s="255">
        <v>49021.05</v>
      </c>
      <c r="F29" s="255">
        <v>50826.02</v>
      </c>
      <c r="G29" s="255">
        <v>49410.58</v>
      </c>
      <c r="H29" s="256">
        <f t="shared" si="0"/>
        <v>9427.5400000000009</v>
      </c>
      <c r="I29" s="257">
        <f t="shared" si="1"/>
        <v>58838.12</v>
      </c>
      <c r="K29" s="112"/>
      <c r="L29" s="429" t="s">
        <v>686</v>
      </c>
      <c r="M29" s="112"/>
      <c r="N29" s="112"/>
    </row>
    <row r="30" spans="1:14" ht="18.75">
      <c r="A30" s="252">
        <v>12119</v>
      </c>
      <c r="B30" s="253" t="s">
        <v>687</v>
      </c>
      <c r="C30" s="254">
        <v>2748.06</v>
      </c>
      <c r="D30" s="255">
        <v>2084.36</v>
      </c>
      <c r="E30" s="255">
        <v>5751.98</v>
      </c>
      <c r="F30" s="255">
        <v>5594.12</v>
      </c>
      <c r="G30" s="255">
        <v>4811.1899999999996</v>
      </c>
      <c r="H30" s="256">
        <f t="shared" si="0"/>
        <v>917.98</v>
      </c>
      <c r="I30" s="257">
        <f t="shared" si="1"/>
        <v>5729.17</v>
      </c>
      <c r="K30" s="112"/>
      <c r="L30" s="429" t="s">
        <v>688</v>
      </c>
      <c r="M30" s="483">
        <f>+(M26+M28)*3</f>
        <v>1367171.8289999999</v>
      </c>
      <c r="N30" s="112"/>
    </row>
    <row r="31" spans="1:14" ht="18.75">
      <c r="A31" s="252">
        <v>12123</v>
      </c>
      <c r="B31" s="253" t="s">
        <v>689</v>
      </c>
      <c r="C31" s="254">
        <v>11349.73</v>
      </c>
      <c r="D31" s="255">
        <v>15085.04</v>
      </c>
      <c r="E31" s="255">
        <v>19195.63</v>
      </c>
      <c r="F31" s="255">
        <v>20524.2</v>
      </c>
      <c r="G31" s="255">
        <v>22059.68</v>
      </c>
      <c r="H31" s="256">
        <f t="shared" si="0"/>
        <v>4208.99</v>
      </c>
      <c r="I31" s="257">
        <f t="shared" si="1"/>
        <v>26268.67</v>
      </c>
      <c r="J31" s="99"/>
      <c r="K31" s="112"/>
      <c r="L31" s="429" t="s">
        <v>690</v>
      </c>
      <c r="M31" s="485">
        <v>0.1908</v>
      </c>
      <c r="N31" s="112" t="s">
        <v>691</v>
      </c>
    </row>
    <row r="32" spans="1:14" ht="18.75">
      <c r="A32" s="252">
        <v>12210</v>
      </c>
      <c r="B32" s="253" t="s">
        <v>692</v>
      </c>
      <c r="C32" s="254">
        <v>6418.05</v>
      </c>
      <c r="D32" s="255">
        <v>7759.55</v>
      </c>
      <c r="E32" s="255">
        <v>6567.91</v>
      </c>
      <c r="F32" s="255">
        <v>5711.27</v>
      </c>
      <c r="G32" s="255">
        <v>8043.79</v>
      </c>
      <c r="H32" s="256">
        <f t="shared" si="0"/>
        <v>1534.76</v>
      </c>
      <c r="I32" s="257">
        <f t="shared" si="1"/>
        <v>9578.5499999999993</v>
      </c>
      <c r="K32" s="112"/>
      <c r="L32" s="112"/>
      <c r="M32" s="112"/>
      <c r="N32" s="112" t="s">
        <v>693</v>
      </c>
    </row>
    <row r="33" spans="1:14" ht="18.75">
      <c r="A33" s="252">
        <v>12211</v>
      </c>
      <c r="B33" s="253" t="s">
        <v>694</v>
      </c>
      <c r="C33" s="254">
        <v>1076.17</v>
      </c>
      <c r="D33" s="255">
        <v>1210.8</v>
      </c>
      <c r="E33" s="255">
        <v>1235.28</v>
      </c>
      <c r="F33" s="255">
        <v>2080.5100000000002</v>
      </c>
      <c r="G33" s="255">
        <v>955.06</v>
      </c>
      <c r="H33" s="256">
        <f t="shared" si="0"/>
        <v>182.23</v>
      </c>
      <c r="I33" s="257">
        <f t="shared" si="1"/>
        <v>1137.29</v>
      </c>
      <c r="J33" s="99"/>
      <c r="K33" s="112"/>
      <c r="L33" s="112"/>
      <c r="M33" s="112"/>
      <c r="N33" s="112" t="s">
        <v>695</v>
      </c>
    </row>
    <row r="34" spans="1:14" ht="18.75">
      <c r="A34" s="252">
        <v>14199</v>
      </c>
      <c r="B34" s="253" t="s">
        <v>696</v>
      </c>
      <c r="C34" s="254">
        <v>1265.5</v>
      </c>
      <c r="D34" s="255">
        <v>286.49</v>
      </c>
      <c r="E34" s="255">
        <v>0</v>
      </c>
      <c r="F34" s="255">
        <v>0</v>
      </c>
      <c r="G34" s="255">
        <v>884</v>
      </c>
      <c r="H34" s="256">
        <f t="shared" si="0"/>
        <v>168.67</v>
      </c>
      <c r="I34" s="257">
        <f t="shared" si="1"/>
        <v>1052.67</v>
      </c>
      <c r="K34" s="112"/>
      <c r="L34" s="112"/>
      <c r="M34" s="112"/>
      <c r="N34" s="112" t="s">
        <v>697</v>
      </c>
    </row>
    <row r="35" spans="1:14" ht="18.75">
      <c r="A35" s="252">
        <v>14299</v>
      </c>
      <c r="B35" s="259" t="s">
        <v>94</v>
      </c>
      <c r="C35" s="254">
        <v>8326.08</v>
      </c>
      <c r="D35" s="255">
        <v>2006.01</v>
      </c>
      <c r="E35" s="255">
        <v>2855.85</v>
      </c>
      <c r="F35" s="255">
        <v>2825.53</v>
      </c>
      <c r="G35" s="255">
        <v>3403.65</v>
      </c>
      <c r="H35" s="256">
        <f t="shared" si="0"/>
        <v>649.41999999999996</v>
      </c>
      <c r="I35" s="257">
        <f t="shared" si="1"/>
        <v>4053.07</v>
      </c>
      <c r="K35" s="112"/>
      <c r="L35" s="112"/>
      <c r="M35" s="112"/>
      <c r="N35" s="112"/>
    </row>
    <row r="36" spans="1:14" ht="18">
      <c r="A36" s="252">
        <v>14399</v>
      </c>
      <c r="B36" s="253" t="s">
        <v>698</v>
      </c>
      <c r="C36" s="254">
        <v>13552.15</v>
      </c>
      <c r="D36" s="255">
        <v>2705.62</v>
      </c>
      <c r="E36" s="255">
        <v>1397.5</v>
      </c>
      <c r="F36" s="255">
        <v>366.75</v>
      </c>
      <c r="G36" s="255">
        <v>237.54</v>
      </c>
      <c r="H36" s="256">
        <f t="shared" si="0"/>
        <v>45.32</v>
      </c>
      <c r="I36" s="257">
        <f t="shared" si="1"/>
        <v>282.86</v>
      </c>
      <c r="J36" s="99"/>
    </row>
    <row r="37" spans="1:14" ht="18">
      <c r="A37" s="252">
        <v>15402</v>
      </c>
      <c r="B37" s="253" t="s">
        <v>699</v>
      </c>
      <c r="C37" s="254">
        <v>9707</v>
      </c>
      <c r="D37" s="255">
        <v>12462.85</v>
      </c>
      <c r="E37" s="255">
        <v>9945.06</v>
      </c>
      <c r="F37" s="255">
        <v>8724.17</v>
      </c>
      <c r="G37" s="255">
        <v>9367.85</v>
      </c>
      <c r="H37" s="256">
        <f t="shared" si="0"/>
        <v>1787.39</v>
      </c>
      <c r="I37" s="257">
        <f t="shared" si="1"/>
        <v>11155.24</v>
      </c>
    </row>
    <row r="38" spans="1:14" ht="18">
      <c r="A38" s="252">
        <v>15499</v>
      </c>
      <c r="B38" s="253" t="s">
        <v>700</v>
      </c>
      <c r="C38" s="254">
        <v>0</v>
      </c>
      <c r="D38" s="255">
        <v>823.18</v>
      </c>
      <c r="E38" s="255">
        <v>283.10000000000002</v>
      </c>
      <c r="F38" s="255">
        <v>25</v>
      </c>
      <c r="G38" s="255">
        <v>0</v>
      </c>
      <c r="H38" s="256">
        <f t="shared" si="0"/>
        <v>0</v>
      </c>
      <c r="I38" s="257">
        <f t="shared" si="1"/>
        <v>0</v>
      </c>
    </row>
    <row r="39" spans="1:14" ht="18">
      <c r="A39" s="252">
        <v>15301</v>
      </c>
      <c r="B39" s="253" t="s">
        <v>701</v>
      </c>
      <c r="C39" s="254">
        <v>1472.16</v>
      </c>
      <c r="D39" s="255">
        <v>1334.93</v>
      </c>
      <c r="E39" s="255">
        <v>1863.87</v>
      </c>
      <c r="F39" s="255">
        <v>1342.74</v>
      </c>
      <c r="G39" s="255">
        <v>3430.78</v>
      </c>
      <c r="H39" s="256">
        <f t="shared" si="0"/>
        <v>654.59</v>
      </c>
      <c r="I39" s="257">
        <f t="shared" si="1"/>
        <v>4085.3700000000003</v>
      </c>
    </row>
    <row r="40" spans="1:14" ht="18">
      <c r="A40" s="252">
        <v>15302</v>
      </c>
      <c r="B40" s="253" t="s">
        <v>702</v>
      </c>
      <c r="C40" s="254">
        <v>324.27999999999997</v>
      </c>
      <c r="D40" s="255">
        <v>331.11</v>
      </c>
      <c r="E40" s="255">
        <v>667.31</v>
      </c>
      <c r="F40" s="255">
        <v>305.42</v>
      </c>
      <c r="G40" s="255">
        <v>1016.27</v>
      </c>
      <c r="H40" s="256">
        <f t="shared" si="0"/>
        <v>193.9</v>
      </c>
      <c r="I40" s="257">
        <f t="shared" si="1"/>
        <v>1210.17</v>
      </c>
    </row>
    <row r="41" spans="1:14" ht="18">
      <c r="A41" s="252">
        <v>15310</v>
      </c>
      <c r="B41" s="253" t="s">
        <v>703</v>
      </c>
      <c r="C41" s="254">
        <v>41.82</v>
      </c>
      <c r="D41" s="255">
        <v>1.37</v>
      </c>
      <c r="E41" s="255">
        <v>0</v>
      </c>
      <c r="F41" s="255">
        <v>0</v>
      </c>
      <c r="G41" s="255">
        <v>0</v>
      </c>
      <c r="H41" s="256">
        <f t="shared" si="0"/>
        <v>0</v>
      </c>
      <c r="I41" s="257">
        <f t="shared" si="1"/>
        <v>0</v>
      </c>
      <c r="N41" s="260"/>
    </row>
    <row r="42" spans="1:14" ht="18">
      <c r="A42" s="252">
        <v>15312</v>
      </c>
      <c r="B42" s="253" t="s">
        <v>704</v>
      </c>
      <c r="C42" s="254">
        <v>1179.9000000000001</v>
      </c>
      <c r="D42" s="255">
        <v>843.63</v>
      </c>
      <c r="E42" s="255">
        <v>988.29</v>
      </c>
      <c r="F42" s="255">
        <v>830.7</v>
      </c>
      <c r="G42" s="255">
        <v>839.81</v>
      </c>
      <c r="H42" s="256">
        <f t="shared" si="0"/>
        <v>160.24</v>
      </c>
      <c r="I42" s="257">
        <f t="shared" si="1"/>
        <v>1000.05</v>
      </c>
    </row>
    <row r="43" spans="1:14" ht="18">
      <c r="A43" s="261">
        <v>15314</v>
      </c>
      <c r="B43" s="262" t="s">
        <v>705</v>
      </c>
      <c r="C43" s="254">
        <v>881.19</v>
      </c>
      <c r="D43" s="255">
        <v>8234.6</v>
      </c>
      <c r="E43" s="255">
        <v>501.82</v>
      </c>
      <c r="F43" s="255">
        <v>1869.39</v>
      </c>
      <c r="G43" s="255">
        <v>11.42</v>
      </c>
      <c r="H43" s="256">
        <f t="shared" si="0"/>
        <v>2.1800000000000002</v>
      </c>
      <c r="I43" s="257">
        <f t="shared" si="1"/>
        <v>13.6</v>
      </c>
      <c r="J43" s="99">
        <f>SUM(I37:I43)+I45</f>
        <v>28775.099999999995</v>
      </c>
    </row>
    <row r="44" spans="1:14" ht="18">
      <c r="A44" s="261">
        <v>21201</v>
      </c>
      <c r="B44" s="262" t="s">
        <v>706</v>
      </c>
      <c r="C44" s="254">
        <v>0</v>
      </c>
      <c r="D44" s="255">
        <v>200</v>
      </c>
      <c r="E44" s="255">
        <v>0</v>
      </c>
      <c r="F44" s="255">
        <v>0</v>
      </c>
      <c r="G44" s="255">
        <v>300</v>
      </c>
      <c r="H44" s="256">
        <f t="shared" si="0"/>
        <v>57.24</v>
      </c>
      <c r="I44" s="257">
        <f t="shared" si="1"/>
        <v>357.24</v>
      </c>
      <c r="M44" s="260"/>
    </row>
    <row r="45" spans="1:14" ht="18">
      <c r="A45" s="261">
        <v>15799</v>
      </c>
      <c r="B45" s="262" t="s">
        <v>707</v>
      </c>
      <c r="C45" s="254">
        <v>3464.39</v>
      </c>
      <c r="D45" s="255">
        <v>10528.53</v>
      </c>
      <c r="E45" s="255">
        <v>6851.56</v>
      </c>
      <c r="F45" s="255">
        <v>8484.2800000000007</v>
      </c>
      <c r="G45" s="255">
        <v>9498.3799999999992</v>
      </c>
      <c r="H45" s="256">
        <f t="shared" si="0"/>
        <v>1812.29</v>
      </c>
      <c r="I45" s="257">
        <f t="shared" si="1"/>
        <v>11310.669999999998</v>
      </c>
      <c r="M45" s="263"/>
    </row>
    <row r="46" spans="1:14" ht="18">
      <c r="A46" s="261">
        <v>22551</v>
      </c>
      <c r="B46" s="262" t="s">
        <v>708</v>
      </c>
      <c r="C46" s="254">
        <v>29376.639999999999</v>
      </c>
      <c r="D46" s="255">
        <v>96938.52</v>
      </c>
      <c r="E46" s="255">
        <v>13348.02</v>
      </c>
      <c r="F46" s="255">
        <f>3924.22+26295.47</f>
        <v>30219.690000000002</v>
      </c>
      <c r="G46" s="255">
        <v>31457.83</v>
      </c>
      <c r="H46" s="256">
        <f t="shared" si="0"/>
        <v>6002.15</v>
      </c>
      <c r="I46" s="257">
        <f t="shared" si="1"/>
        <v>37459.980000000003</v>
      </c>
      <c r="M46" s="260"/>
    </row>
    <row r="47" spans="1:14" ht="18">
      <c r="A47" s="264"/>
      <c r="B47" s="265" t="s">
        <v>709</v>
      </c>
      <c r="C47" s="266">
        <f>SUM(C7:C46)</f>
        <v>328511.45000000007</v>
      </c>
      <c r="D47" s="267">
        <f>SUM(D7:D46)</f>
        <v>458786.21999999991</v>
      </c>
      <c r="E47" s="267">
        <v>390645.61</v>
      </c>
      <c r="F47" s="267">
        <f>SUM(F7:F46)</f>
        <v>455666.57000000012</v>
      </c>
      <c r="G47" s="267">
        <f>SUM(G7:G46)</f>
        <v>487540.57000000007</v>
      </c>
      <c r="H47" s="268">
        <f>SUM(H7:H46)</f>
        <v>93022.76999999999</v>
      </c>
      <c r="I47" s="268">
        <f>SUM(I7:I46)</f>
        <v>580563.34</v>
      </c>
    </row>
    <row r="49" spans="1:11" ht="21">
      <c r="A49" s="269" t="s">
        <v>710</v>
      </c>
      <c r="B49" s="269"/>
      <c r="C49" s="269"/>
      <c r="D49" s="269"/>
      <c r="E49" s="269"/>
      <c r="F49" s="270">
        <f>+I47</f>
        <v>580563.34</v>
      </c>
      <c r="G49" s="269"/>
      <c r="H49" s="269"/>
      <c r="I49" s="269"/>
    </row>
    <row r="50" spans="1:11" ht="21">
      <c r="A50" s="269" t="s">
        <v>711</v>
      </c>
      <c r="B50" s="269"/>
      <c r="C50" s="269"/>
      <c r="D50" s="269"/>
      <c r="E50" s="269"/>
      <c r="F50" s="271">
        <v>9148.7199999999993</v>
      </c>
      <c r="G50" s="269"/>
      <c r="H50" s="269"/>
      <c r="I50" s="269"/>
      <c r="K50" s="99">
        <f>+I45+I46</f>
        <v>48770.65</v>
      </c>
    </row>
    <row r="51" spans="1:11" ht="21">
      <c r="A51" s="653" t="s">
        <v>808</v>
      </c>
      <c r="B51" s="653"/>
      <c r="C51" s="653"/>
      <c r="D51" s="653"/>
      <c r="E51" s="269"/>
      <c r="F51" s="271">
        <v>20629.689999999999</v>
      </c>
      <c r="G51" s="269"/>
      <c r="H51" s="269"/>
      <c r="I51" s="269"/>
      <c r="K51" s="99"/>
    </row>
    <row r="52" spans="1:11" ht="21">
      <c r="A52" s="269" t="s">
        <v>712</v>
      </c>
      <c r="B52" s="269"/>
      <c r="C52" s="269"/>
      <c r="D52" s="269"/>
      <c r="E52" s="269"/>
      <c r="F52" s="272">
        <f>SUM(F49:F51)</f>
        <v>610341.74999999988</v>
      </c>
      <c r="G52" s="273">
        <v>0</v>
      </c>
      <c r="H52" s="274">
        <f>+F52+G52</f>
        <v>610341.74999999988</v>
      </c>
      <c r="I52" s="269"/>
    </row>
    <row r="53" spans="1:11" ht="21">
      <c r="A53" s="269" t="s">
        <v>713</v>
      </c>
      <c r="B53" s="269"/>
      <c r="C53" s="269"/>
      <c r="D53" s="269"/>
      <c r="E53" s="269"/>
      <c r="F53" s="275">
        <v>254621.56</v>
      </c>
      <c r="G53" s="276"/>
      <c r="H53" s="276"/>
      <c r="I53" s="276"/>
    </row>
    <row r="54" spans="1:11" ht="21">
      <c r="A54" s="269" t="s">
        <v>714</v>
      </c>
      <c r="B54" s="269"/>
      <c r="C54" s="269"/>
      <c r="D54" s="269"/>
      <c r="E54" s="269"/>
      <c r="F54" s="275">
        <v>1162574.03</v>
      </c>
      <c r="G54" s="276"/>
      <c r="H54" s="276"/>
      <c r="I54" s="276"/>
    </row>
    <row r="55" spans="1:11" ht="21">
      <c r="A55" s="269" t="s">
        <v>715</v>
      </c>
      <c r="B55" s="269"/>
      <c r="C55" s="269"/>
      <c r="D55" s="269"/>
      <c r="E55" s="269"/>
      <c r="F55" s="277">
        <f>SUM(F53:F54)</f>
        <v>1417195.59</v>
      </c>
      <c r="G55" s="276"/>
      <c r="H55" s="276"/>
      <c r="I55" s="276"/>
    </row>
    <row r="56" spans="1:11" ht="21">
      <c r="A56" s="269" t="s">
        <v>716</v>
      </c>
      <c r="B56" s="269"/>
      <c r="C56" s="269"/>
      <c r="D56" s="269"/>
      <c r="E56" s="269"/>
      <c r="F56" s="275">
        <v>27152.080000000002</v>
      </c>
      <c r="G56" s="276"/>
      <c r="H56" s="276"/>
      <c r="I56" s="276"/>
    </row>
    <row r="57" spans="1:11" ht="21">
      <c r="A57" s="269" t="s">
        <v>717</v>
      </c>
      <c r="B57" s="269"/>
      <c r="C57" s="269"/>
      <c r="D57" s="269"/>
      <c r="E57" s="269"/>
      <c r="F57" s="275">
        <v>61188</v>
      </c>
      <c r="G57" s="276"/>
      <c r="H57" s="276"/>
      <c r="I57" s="404">
        <f>+F71-F52</f>
        <v>2269937.62</v>
      </c>
    </row>
    <row r="58" spans="1:11" ht="21">
      <c r="A58" s="269" t="s">
        <v>718</v>
      </c>
      <c r="B58" s="269"/>
      <c r="C58" s="269"/>
      <c r="D58" s="269"/>
      <c r="E58" s="269"/>
      <c r="F58" s="278">
        <f>SUM(F56:F57)</f>
        <v>88340.08</v>
      </c>
      <c r="G58" s="276"/>
      <c r="H58" s="276"/>
      <c r="I58" s="404">
        <f>+F52</f>
        <v>610341.74999999988</v>
      </c>
    </row>
    <row r="59" spans="1:11" ht="21">
      <c r="A59" s="269" t="s">
        <v>719</v>
      </c>
      <c r="B59" s="269"/>
      <c r="C59" s="269"/>
      <c r="D59" s="269"/>
      <c r="E59" s="269"/>
      <c r="F59" s="275">
        <v>16825.13</v>
      </c>
      <c r="G59" s="276"/>
      <c r="H59" s="276"/>
      <c r="I59" s="404">
        <f>SUM(I57:I58)</f>
        <v>2880279.37</v>
      </c>
    </row>
    <row r="60" spans="1:11" ht="21">
      <c r="A60" s="269" t="s">
        <v>720</v>
      </c>
      <c r="B60" s="269"/>
      <c r="C60" s="269"/>
      <c r="D60" s="269"/>
      <c r="E60" s="269"/>
      <c r="F60" s="275">
        <v>407920.68</v>
      </c>
      <c r="G60" s="276"/>
      <c r="H60" s="276"/>
      <c r="I60" s="276"/>
    </row>
    <row r="61" spans="1:11" ht="21">
      <c r="A61" s="269" t="s">
        <v>721</v>
      </c>
      <c r="B61" s="269"/>
      <c r="C61" s="269"/>
      <c r="D61" s="269"/>
      <c r="E61" s="269"/>
      <c r="F61" s="277">
        <f>SUM(F59:F60)</f>
        <v>424745.81</v>
      </c>
      <c r="G61" s="276"/>
      <c r="H61" s="276"/>
      <c r="I61" s="276"/>
    </row>
    <row r="62" spans="1:11" ht="21">
      <c r="A62" s="269" t="s">
        <v>722</v>
      </c>
      <c r="B62" s="269"/>
      <c r="C62" s="269"/>
      <c r="D62" s="269"/>
      <c r="E62" s="269"/>
      <c r="F62" s="411">
        <v>6239.92</v>
      </c>
      <c r="G62" s="269"/>
      <c r="H62" s="269"/>
      <c r="I62" s="269"/>
    </row>
    <row r="63" spans="1:11" ht="21">
      <c r="A63" s="703" t="s">
        <v>751</v>
      </c>
      <c r="B63" s="703"/>
      <c r="C63" s="269"/>
      <c r="D63" s="269"/>
      <c r="E63" s="269"/>
      <c r="F63" s="412">
        <v>140580.09</v>
      </c>
      <c r="G63" s="269"/>
      <c r="H63" s="269"/>
      <c r="I63" s="269"/>
    </row>
    <row r="64" spans="1:11" ht="21">
      <c r="A64" s="653" t="s">
        <v>753</v>
      </c>
      <c r="B64" s="653"/>
      <c r="C64" s="653"/>
      <c r="D64" s="653"/>
      <c r="E64" s="653"/>
      <c r="F64" s="412">
        <v>121.89</v>
      </c>
      <c r="G64" s="269"/>
      <c r="H64" s="269"/>
      <c r="I64" s="413">
        <f>+F55+F58+F61+F66+F72</f>
        <v>2251876.1300000004</v>
      </c>
    </row>
    <row r="65" spans="1:11" ht="44.25" customHeight="1">
      <c r="A65" s="704" t="s">
        <v>750</v>
      </c>
      <c r="B65" s="704"/>
      <c r="C65" s="704"/>
      <c r="D65" s="704"/>
      <c r="E65" s="704"/>
      <c r="F65" s="412">
        <v>2160.44</v>
      </c>
      <c r="G65" s="269"/>
      <c r="H65" s="269"/>
      <c r="I65" s="269"/>
    </row>
    <row r="66" spans="1:11" ht="26.25" customHeight="1">
      <c r="A66" s="704" t="s">
        <v>865</v>
      </c>
      <c r="B66" s="704"/>
      <c r="C66" s="704"/>
      <c r="D66" s="704"/>
      <c r="E66" s="704"/>
      <c r="F66" s="279">
        <f>SUM(F62:F65)</f>
        <v>149102.34000000003</v>
      </c>
      <c r="G66" s="269"/>
      <c r="H66" s="269"/>
      <c r="I66" s="269"/>
    </row>
    <row r="67" spans="1:11" ht="21">
      <c r="A67" s="653" t="s">
        <v>723</v>
      </c>
      <c r="B67" s="653"/>
      <c r="C67" s="653"/>
      <c r="D67" s="653"/>
      <c r="E67" s="653"/>
      <c r="F67" s="412">
        <v>4624.91</v>
      </c>
      <c r="G67" s="269"/>
      <c r="H67" s="269"/>
      <c r="I67" s="269"/>
    </row>
    <row r="68" spans="1:11" ht="21">
      <c r="A68" s="703" t="s">
        <v>752</v>
      </c>
      <c r="B68" s="703"/>
      <c r="C68" s="703"/>
      <c r="D68" s="703"/>
      <c r="E68" s="703"/>
      <c r="F68" s="412">
        <v>13436.58</v>
      </c>
      <c r="G68" s="269"/>
      <c r="H68" s="269"/>
      <c r="I68" s="269"/>
    </row>
    <row r="69" spans="1:11" ht="21">
      <c r="A69" s="704" t="s">
        <v>866</v>
      </c>
      <c r="B69" s="704"/>
      <c r="C69" s="704"/>
      <c r="D69" s="704"/>
      <c r="E69" s="704"/>
      <c r="F69" s="279">
        <f>SUM(F67:F68)</f>
        <v>18061.489999999998</v>
      </c>
      <c r="G69" s="269"/>
      <c r="H69" s="269"/>
      <c r="I69" s="269"/>
    </row>
    <row r="70" spans="1:11" ht="21">
      <c r="A70" s="269" t="s">
        <v>724</v>
      </c>
      <c r="B70" s="269"/>
      <c r="C70" s="269"/>
      <c r="D70" s="269"/>
      <c r="E70" s="269"/>
      <c r="F70" s="279">
        <v>0</v>
      </c>
      <c r="G70" s="269"/>
      <c r="H70" s="403"/>
      <c r="I70" s="269"/>
    </row>
    <row r="71" spans="1:11" ht="24" thickBot="1">
      <c r="A71" s="269" t="s">
        <v>725</v>
      </c>
      <c r="B71" s="269"/>
      <c r="C71" s="269"/>
      <c r="D71" s="269"/>
      <c r="E71" s="269"/>
      <c r="F71" s="280">
        <f>+F52+F55+F58+F61+F66+F69+F72</f>
        <v>2880279.37</v>
      </c>
      <c r="G71" s="269"/>
      <c r="H71" s="269"/>
      <c r="I71" s="269"/>
    </row>
    <row r="72" spans="1:11" ht="21.75" thickTop="1">
      <c r="A72" s="269" t="s">
        <v>726</v>
      </c>
      <c r="B72" s="269"/>
      <c r="C72" s="269"/>
      <c r="D72" s="269"/>
      <c r="E72" s="269"/>
      <c r="F72" s="270">
        <v>172492.31</v>
      </c>
      <c r="G72" s="269"/>
      <c r="H72" s="269"/>
      <c r="I72" s="269"/>
    </row>
    <row r="73" spans="1:11" ht="21">
      <c r="A73" s="269" t="s">
        <v>809</v>
      </c>
      <c r="B73" s="269"/>
      <c r="C73" s="269"/>
      <c r="D73" s="269"/>
      <c r="E73" s="269"/>
      <c r="F73" s="270">
        <f>+F51</f>
        <v>20629.689999999999</v>
      </c>
      <c r="G73" s="269"/>
      <c r="H73" s="269"/>
      <c r="I73" s="403">
        <f>+F55+F58+F72</f>
        <v>1678027.9800000002</v>
      </c>
    </row>
    <row r="74" spans="1:11" ht="23.25">
      <c r="A74" s="269"/>
      <c r="B74" s="269"/>
      <c r="C74" s="269"/>
      <c r="D74" s="269"/>
      <c r="E74" s="269"/>
      <c r="F74" s="323"/>
      <c r="G74" s="269"/>
      <c r="H74" s="269"/>
      <c r="I74" s="269"/>
    </row>
    <row r="75" spans="1:11" ht="21">
      <c r="A75" s="653" t="s">
        <v>796</v>
      </c>
      <c r="B75" s="653"/>
      <c r="C75" s="653"/>
      <c r="D75" s="653"/>
      <c r="E75" s="269"/>
      <c r="F75" s="270"/>
      <c r="G75" s="269"/>
      <c r="H75" s="269"/>
      <c r="I75" s="269"/>
    </row>
    <row r="77" spans="1:11" ht="26.25">
      <c r="A77" s="699" t="s">
        <v>727</v>
      </c>
      <c r="B77" s="699"/>
      <c r="C77" s="699"/>
      <c r="D77" s="699"/>
      <c r="F77" s="281" t="s">
        <v>727</v>
      </c>
      <c r="G77" s="281"/>
      <c r="H77" s="281"/>
      <c r="I77" s="281"/>
      <c r="K77" s="263"/>
    </row>
    <row r="78" spans="1:11" ht="26.25">
      <c r="A78" s="282" t="s">
        <v>728</v>
      </c>
      <c r="B78" s="699" t="s">
        <v>729</v>
      </c>
      <c r="C78" s="699"/>
      <c r="D78" s="281" t="s">
        <v>730</v>
      </c>
      <c r="E78" s="283"/>
      <c r="F78" s="282" t="s">
        <v>728</v>
      </c>
      <c r="G78" s="708" t="s">
        <v>731</v>
      </c>
      <c r="H78" s="709"/>
      <c r="I78" s="281" t="s">
        <v>730</v>
      </c>
    </row>
    <row r="79" spans="1:11" ht="26.25">
      <c r="A79" s="284" t="s">
        <v>732</v>
      </c>
      <c r="B79" s="710" t="s">
        <v>733</v>
      </c>
      <c r="C79" s="710"/>
      <c r="D79" s="285">
        <v>5623.04</v>
      </c>
      <c r="F79" s="286"/>
      <c r="G79" s="286" t="s">
        <v>734</v>
      </c>
      <c r="H79" s="286"/>
      <c r="I79" s="287">
        <v>2937.78</v>
      </c>
    </row>
    <row r="80" spans="1:11" ht="26.25">
      <c r="A80" s="284" t="s">
        <v>732</v>
      </c>
      <c r="B80" s="288" t="s">
        <v>735</v>
      </c>
      <c r="C80" s="289"/>
      <c r="D80" s="285">
        <v>2208.4699999999998</v>
      </c>
      <c r="F80" s="290"/>
      <c r="G80" s="290" t="s">
        <v>736</v>
      </c>
      <c r="H80" s="290"/>
      <c r="I80" s="291">
        <v>3302.14</v>
      </c>
    </row>
    <row r="81" spans="1:9" ht="26.25">
      <c r="A81" s="284" t="s">
        <v>732</v>
      </c>
      <c r="B81" s="288" t="s">
        <v>737</v>
      </c>
      <c r="C81" s="289"/>
      <c r="D81" s="285">
        <v>425.23</v>
      </c>
      <c r="F81" s="292"/>
      <c r="G81" s="292"/>
      <c r="H81" s="292"/>
      <c r="I81" s="293">
        <f>SUM(I79:I80)</f>
        <v>6239.92</v>
      </c>
    </row>
    <row r="82" spans="1:9" ht="26.25">
      <c r="A82" s="284" t="s">
        <v>732</v>
      </c>
      <c r="B82" s="288" t="s">
        <v>738</v>
      </c>
      <c r="C82" s="289"/>
      <c r="D82" s="285">
        <v>891.98</v>
      </c>
      <c r="F82" s="294"/>
      <c r="G82" s="294"/>
      <c r="H82" s="294"/>
      <c r="I82" s="295"/>
    </row>
    <row r="83" spans="1:9" ht="26.25">
      <c r="A83" s="286"/>
      <c r="B83" s="296" t="s">
        <v>739</v>
      </c>
      <c r="C83" s="297"/>
      <c r="D83" s="298">
        <f>SUM(D78:D82)</f>
        <v>9148.7199999999993</v>
      </c>
      <c r="F83" s="699" t="s">
        <v>727</v>
      </c>
      <c r="G83" s="699"/>
      <c r="H83" s="699"/>
      <c r="I83" s="699"/>
    </row>
    <row r="84" spans="1:9" ht="26.25">
      <c r="A84" s="299"/>
      <c r="B84" s="299"/>
      <c r="C84" s="300"/>
      <c r="D84" s="301"/>
      <c r="F84" s="711" t="s">
        <v>740</v>
      </c>
      <c r="G84" s="699" t="s">
        <v>741</v>
      </c>
      <c r="H84" s="699"/>
      <c r="I84" s="281" t="s">
        <v>730</v>
      </c>
    </row>
    <row r="85" spans="1:9" ht="26.25">
      <c r="A85" s="302"/>
      <c r="B85" s="302"/>
      <c r="C85" s="295"/>
      <c r="D85" s="303"/>
      <c r="F85" s="712"/>
      <c r="G85" s="713" t="s">
        <v>742</v>
      </c>
      <c r="H85" s="713"/>
      <c r="I85" s="285">
        <v>16825.13</v>
      </c>
    </row>
    <row r="86" spans="1:9" ht="26.25">
      <c r="A86" s="705"/>
      <c r="B86" s="705"/>
      <c r="C86" s="705"/>
      <c r="D86" s="705"/>
      <c r="F86" s="288"/>
      <c r="G86" s="288" t="s">
        <v>754</v>
      </c>
      <c r="H86" s="304"/>
      <c r="I86" s="305">
        <v>407920.68</v>
      </c>
    </row>
    <row r="87" spans="1:9" ht="26.25">
      <c r="A87" s="294"/>
      <c r="B87" s="706"/>
      <c r="C87" s="706"/>
      <c r="D87" s="306"/>
      <c r="F87" s="296"/>
      <c r="G87" s="307"/>
      <c r="H87" s="307"/>
      <c r="I87" s="308">
        <f>SUM(I85:I86)</f>
        <v>424745.81</v>
      </c>
    </row>
    <row r="88" spans="1:9" ht="26.25">
      <c r="A88" s="309"/>
      <c r="B88" s="707"/>
      <c r="C88" s="707"/>
      <c r="D88" s="295"/>
      <c r="F88" s="299"/>
      <c r="G88" s="299"/>
      <c r="H88" s="299"/>
      <c r="I88" s="310"/>
    </row>
  </sheetData>
  <mergeCells count="25">
    <mergeCell ref="A86:D86"/>
    <mergeCell ref="B87:C87"/>
    <mergeCell ref="B88:C88"/>
    <mergeCell ref="B78:C78"/>
    <mergeCell ref="G78:H78"/>
    <mergeCell ref="B79:C79"/>
    <mergeCell ref="F83:I83"/>
    <mergeCell ref="F84:F85"/>
    <mergeCell ref="G84:H84"/>
    <mergeCell ref="G85:H85"/>
    <mergeCell ref="A77:D77"/>
    <mergeCell ref="A3:I3"/>
    <mergeCell ref="A4:I4"/>
    <mergeCell ref="A5:I5"/>
    <mergeCell ref="K6:N6"/>
    <mergeCell ref="K7:N7"/>
    <mergeCell ref="A63:B63"/>
    <mergeCell ref="A68:E68"/>
    <mergeCell ref="A67:E67"/>
    <mergeCell ref="A64:E64"/>
    <mergeCell ref="A65:E65"/>
    <mergeCell ref="A51:D51"/>
    <mergeCell ref="A75:D75"/>
    <mergeCell ref="A66:E66"/>
    <mergeCell ref="A69:E69"/>
  </mergeCells>
  <pageMargins left="0.23622047244094491" right="3.937007874015748E-2" top="0.74803149606299213" bottom="0.15748031496062992" header="0.31496062992125984" footer="0.31496062992125984"/>
  <pageSetup scale="85" orientation="landscape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CONSOLIDADO EGRESOS 2015</vt:lpstr>
      <vt:lpstr>PROY.RECURSOS HUMANOS 2015</vt:lpstr>
      <vt:lpstr>FONDOS FODES 25%</vt:lpstr>
      <vt:lpstr>FONDOS PROPIOS</vt:lpstr>
      <vt:lpstr>PUERTO SAN JUAN</vt:lpstr>
      <vt:lpstr>CONSOLIDADO DE INGRESOS FF</vt:lpstr>
      <vt:lpstr>PROYECTOS 2016</vt:lpstr>
      <vt:lpstr>SERVICIO DE LA DEUDA </vt:lpstr>
      <vt:lpstr>PROYECCION INGRESOS PROPIOS    </vt:lpstr>
      <vt:lpstr>CONSOLIDADO EGRESOS 2016</vt:lpstr>
      <vt:lpstr>RESUMEN GENERAL</vt:lpstr>
      <vt:lpstr>CUADRO RESUMEN FF</vt:lpstr>
      <vt:lpstr>CUADRO CLASIFICACIONES ING Y EG</vt:lpstr>
      <vt:lpstr>CONSOLIDADO EGRESOS</vt:lpstr>
      <vt:lpstr>DONACIONES</vt:lpstr>
      <vt:lpstr>FODES 75%</vt:lpstr>
      <vt:lpstr>ESTRUCTURA PRESUPUESTARIA</vt:lpstr>
      <vt:lpstr>FODES PREINVERSION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UNIDAD DE TURISMO</cp:lastModifiedBy>
  <cp:lastPrinted>2018-12-19T14:14:30Z</cp:lastPrinted>
  <dcterms:created xsi:type="dcterms:W3CDTF">2015-12-01T17:49:49Z</dcterms:created>
  <dcterms:modified xsi:type="dcterms:W3CDTF">2019-04-02T21:13:50Z</dcterms:modified>
</cp:coreProperties>
</file>