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8115" windowHeight="2835" firstSheet="13" activeTab="17"/>
  </bookViews>
  <sheets>
    <sheet name="CONSOLIDADO INGRESOS 2016" sheetId="2" r:id="rId1"/>
    <sheet name="RESUMEN GEBERAK" sheetId="4" r:id="rId2"/>
    <sheet name="CUADRO RESUMEN FUENTES FINANCIA" sheetId="18" r:id="rId3"/>
    <sheet name="CUADRO RESUMEN INGRESOS Y EGRES" sheetId="17" r:id="rId4"/>
    <sheet name="ESTRUCTURA PRESUPUESTEARIA" sheetId="16" r:id="rId5"/>
    <sheet name="DETALLE CONSOLIDADO INGRESOS FF" sheetId="15" r:id="rId6"/>
    <sheet name="EGRESOS POR DEPENDENCIA" sheetId="6" r:id="rId7"/>
    <sheet name="PROYECCION INGRESOS 2017" sheetId="7" r:id="rId8"/>
    <sheet name="PROYECCION RECURSO HUMANO" sheetId="8" r:id="rId9"/>
    <sheet name="Hoja1" sheetId="22" r:id="rId10"/>
    <sheet name="FODES 25%" sheetId="9" r:id="rId11"/>
    <sheet name="FONDO MUNICIPAL" sheetId="10" r:id="rId12"/>
    <sheet name="PUERTO SAN JUAN" sheetId="11" r:id="rId13"/>
    <sheet name="FONDOS DONACIONES" sheetId="12" r:id="rId14"/>
    <sheet name="FODES 75%" sheetId="13" r:id="rId15"/>
    <sheet name="PREINVERSION 5% FODES" sheetId="14" r:id="rId16"/>
    <sheet name="SERVICIO DE LA DEUDA" sheetId="19" r:id="rId17"/>
    <sheet name="PROYECTOS 2017" sheetId="20" r:id="rId18"/>
    <sheet name="Hoja2" sheetId="21" r:id="rId19"/>
  </sheets>
  <externalReferences>
    <externalReference r:id="rId20"/>
  </externalReferences>
  <calcPr calcId="144525"/>
</workbook>
</file>

<file path=xl/calcChain.xml><?xml version="1.0" encoding="utf-8"?>
<calcChain xmlns="http://schemas.openxmlformats.org/spreadsheetml/2006/main">
  <c r="F47" i="15" l="1"/>
  <c r="D55" i="15"/>
  <c r="H103" i="22" l="1"/>
  <c r="I103" i="22" s="1"/>
  <c r="J103" i="22"/>
  <c r="M103" i="22" s="1"/>
  <c r="K103" i="22"/>
  <c r="N103" i="22" s="1"/>
  <c r="O103" i="22" s="1"/>
  <c r="H102" i="22"/>
  <c r="I102" i="22" s="1"/>
  <c r="J102" i="22"/>
  <c r="M102" i="22" s="1"/>
  <c r="K102" i="22"/>
  <c r="L104" i="22"/>
  <c r="G104" i="22"/>
  <c r="F104" i="22"/>
  <c r="N102" i="22" l="1"/>
  <c r="O102" i="22" s="1"/>
  <c r="D131" i="20"/>
  <c r="G131" i="20" s="1"/>
  <c r="H101" i="22" l="1"/>
  <c r="J101" i="22" s="1"/>
  <c r="H100" i="22"/>
  <c r="I100" i="22" s="1"/>
  <c r="H99" i="22"/>
  <c r="J99" i="22" s="1"/>
  <c r="H98" i="22"/>
  <c r="I98" i="22" s="1"/>
  <c r="H97" i="22"/>
  <c r="I97" i="22" s="1"/>
  <c r="H96" i="22"/>
  <c r="I96" i="22" s="1"/>
  <c r="H95" i="22"/>
  <c r="I95" i="22" s="1"/>
  <c r="H94" i="22"/>
  <c r="I94" i="22" s="1"/>
  <c r="I99" i="22" l="1"/>
  <c r="J95" i="22"/>
  <c r="K95" i="22" s="1"/>
  <c r="J97" i="22"/>
  <c r="M97" i="22" s="1"/>
  <c r="M101" i="22"/>
  <c r="K101" i="22"/>
  <c r="I101" i="22"/>
  <c r="J100" i="22"/>
  <c r="M99" i="22"/>
  <c r="K99" i="22"/>
  <c r="J98" i="22"/>
  <c r="K97" i="22"/>
  <c r="N97" i="22" s="1"/>
  <c r="O97" i="22" s="1"/>
  <c r="P97" i="22" s="1"/>
  <c r="J96" i="22"/>
  <c r="J94" i="22"/>
  <c r="M95" i="22" l="1"/>
  <c r="N95" i="22" s="1"/>
  <c r="O95" i="22" s="1"/>
  <c r="P95" i="22" s="1"/>
  <c r="N99" i="22"/>
  <c r="O99" i="22" s="1"/>
  <c r="P99" i="22" s="1"/>
  <c r="N101" i="22"/>
  <c r="O101" i="22" s="1"/>
  <c r="P101" i="22" s="1"/>
  <c r="M100" i="22"/>
  <c r="K100" i="22"/>
  <c r="M98" i="22"/>
  <c r="K98" i="22"/>
  <c r="K96" i="22"/>
  <c r="M96" i="22"/>
  <c r="M94" i="22"/>
  <c r="K94" i="22"/>
  <c r="G104" i="20"/>
  <c r="I104" i="20" s="1"/>
  <c r="N96" i="22" l="1"/>
  <c r="O96" i="22" s="1"/>
  <c r="P96" i="22" s="1"/>
  <c r="N94" i="22"/>
  <c r="O94" i="22" s="1"/>
  <c r="P94" i="22" s="1"/>
  <c r="N100" i="22"/>
  <c r="O100" i="22" s="1"/>
  <c r="P100" i="22" s="1"/>
  <c r="N98" i="22"/>
  <c r="O98" i="22" s="1"/>
  <c r="P98" i="22" s="1"/>
  <c r="D25" i="22"/>
  <c r="I46" i="20"/>
  <c r="G21" i="22" l="1"/>
  <c r="H17" i="22"/>
  <c r="I17" i="22"/>
  <c r="L18" i="22"/>
  <c r="G18" i="22"/>
  <c r="F18" i="22"/>
  <c r="H5" i="22"/>
  <c r="I5" i="22" s="1"/>
  <c r="L139" i="22"/>
  <c r="G139" i="22"/>
  <c r="F139" i="22"/>
  <c r="H138" i="22"/>
  <c r="J138" i="22" s="1"/>
  <c r="K138" i="22" s="1"/>
  <c r="H137" i="22"/>
  <c r="J137" i="22" s="1"/>
  <c r="M137" i="22" s="1"/>
  <c r="H136" i="22"/>
  <c r="J136" i="22" s="1"/>
  <c r="M136" i="22" s="1"/>
  <c r="H135" i="22"/>
  <c r="J135" i="22" s="1"/>
  <c r="H134" i="22"/>
  <c r="J134" i="22" s="1"/>
  <c r="H133" i="22"/>
  <c r="J133" i="22" s="1"/>
  <c r="M133" i="22" s="1"/>
  <c r="H132" i="22"/>
  <c r="J132" i="22" s="1"/>
  <c r="M132" i="22" s="1"/>
  <c r="H131" i="22"/>
  <c r="J131" i="22" s="1"/>
  <c r="H130" i="22"/>
  <c r="J130" i="22" s="1"/>
  <c r="H129" i="22"/>
  <c r="J129" i="22" s="1"/>
  <c r="M129" i="22" s="1"/>
  <c r="H128" i="22"/>
  <c r="J128" i="22" s="1"/>
  <c r="M128" i="22" s="1"/>
  <c r="H127" i="22"/>
  <c r="J127" i="22" s="1"/>
  <c r="H126" i="22"/>
  <c r="J126" i="22" s="1"/>
  <c r="H125" i="22"/>
  <c r="J125" i="22" s="1"/>
  <c r="M125" i="22" s="1"/>
  <c r="H124" i="22"/>
  <c r="I124" i="22" s="1"/>
  <c r="P123" i="22"/>
  <c r="P122" i="22"/>
  <c r="C115" i="22"/>
  <c r="F112" i="22"/>
  <c r="H93" i="22"/>
  <c r="I93" i="22" s="1"/>
  <c r="H92" i="22"/>
  <c r="I92" i="22" s="1"/>
  <c r="H91" i="22"/>
  <c r="I91" i="22" s="1"/>
  <c r="H90" i="22"/>
  <c r="I90" i="22" s="1"/>
  <c r="H89" i="22"/>
  <c r="I89" i="22" s="1"/>
  <c r="H88" i="22"/>
  <c r="J88" i="22" s="1"/>
  <c r="H87" i="22"/>
  <c r="J87" i="22" s="1"/>
  <c r="H86" i="22"/>
  <c r="J86" i="22" s="1"/>
  <c r="M86" i="22" s="1"/>
  <c r="H85" i="22"/>
  <c r="J85" i="22" s="1"/>
  <c r="H84" i="22"/>
  <c r="J84" i="22" s="1"/>
  <c r="M84" i="22" s="1"/>
  <c r="H83" i="22"/>
  <c r="J83" i="22" s="1"/>
  <c r="H82" i="22"/>
  <c r="J82" i="22" s="1"/>
  <c r="M82" i="22" s="1"/>
  <c r="H81" i="22"/>
  <c r="I81" i="22" s="1"/>
  <c r="H80" i="22"/>
  <c r="J80" i="22" s="1"/>
  <c r="M80" i="22" s="1"/>
  <c r="H79" i="22"/>
  <c r="J79" i="22" s="1"/>
  <c r="H78" i="22"/>
  <c r="J78" i="22" s="1"/>
  <c r="M78" i="22" s="1"/>
  <c r="H77" i="22"/>
  <c r="J77" i="22" s="1"/>
  <c r="H76" i="22"/>
  <c r="J76" i="22" s="1"/>
  <c r="M76" i="22" s="1"/>
  <c r="H75" i="22"/>
  <c r="J75" i="22" s="1"/>
  <c r="H74" i="22"/>
  <c r="J74" i="22" s="1"/>
  <c r="M74" i="22" s="1"/>
  <c r="H73" i="22"/>
  <c r="I73" i="22" s="1"/>
  <c r="H72" i="22"/>
  <c r="I72" i="22" s="1"/>
  <c r="H71" i="22"/>
  <c r="I71" i="22" s="1"/>
  <c r="H70" i="22"/>
  <c r="I70" i="22" s="1"/>
  <c r="H69" i="22"/>
  <c r="J69" i="22" s="1"/>
  <c r="M69" i="22" s="1"/>
  <c r="H68" i="22"/>
  <c r="I68" i="22" s="1"/>
  <c r="H67" i="22"/>
  <c r="I67" i="22" s="1"/>
  <c r="H66" i="22"/>
  <c r="I66" i="22" s="1"/>
  <c r="H65" i="22"/>
  <c r="I65" i="22" s="1"/>
  <c r="H64" i="22"/>
  <c r="I64" i="22" s="1"/>
  <c r="H63" i="22"/>
  <c r="I63" i="22" s="1"/>
  <c r="H62" i="22"/>
  <c r="J62" i="22" s="1"/>
  <c r="H61" i="22"/>
  <c r="I61" i="22" s="1"/>
  <c r="H60" i="22"/>
  <c r="I60" i="22" s="1"/>
  <c r="H59" i="22"/>
  <c r="I59" i="22" s="1"/>
  <c r="H58" i="22"/>
  <c r="J58" i="22" s="1"/>
  <c r="M57" i="22"/>
  <c r="H57" i="22"/>
  <c r="I57" i="22" s="1"/>
  <c r="M56" i="22"/>
  <c r="H56" i="22"/>
  <c r="I56" i="22" s="1"/>
  <c r="H55" i="22"/>
  <c r="I55" i="22" s="1"/>
  <c r="H54" i="22"/>
  <c r="I54" i="22" s="1"/>
  <c r="H53" i="22"/>
  <c r="I53" i="22" s="1"/>
  <c r="H52" i="22"/>
  <c r="I52" i="22" s="1"/>
  <c r="H51" i="22"/>
  <c r="I51" i="22" s="1"/>
  <c r="H50" i="22"/>
  <c r="I50" i="22" s="1"/>
  <c r="H49" i="22"/>
  <c r="H48" i="22"/>
  <c r="J48" i="22" s="1"/>
  <c r="M48" i="22" s="1"/>
  <c r="H47" i="22"/>
  <c r="I47" i="22" s="1"/>
  <c r="H46" i="22"/>
  <c r="I46" i="22" s="1"/>
  <c r="H45" i="22"/>
  <c r="I45" i="22" s="1"/>
  <c r="H44" i="22"/>
  <c r="I44" i="22" s="1"/>
  <c r="H43" i="22"/>
  <c r="I43" i="22" s="1"/>
  <c r="H42" i="22"/>
  <c r="J42" i="22" s="1"/>
  <c r="M42" i="22" s="1"/>
  <c r="H41" i="22"/>
  <c r="I41" i="22" s="1"/>
  <c r="M40" i="22"/>
  <c r="H40" i="22"/>
  <c r="I40" i="22" s="1"/>
  <c r="M39" i="22"/>
  <c r="H39" i="22"/>
  <c r="I39" i="22" s="1"/>
  <c r="H38" i="22"/>
  <c r="I38" i="22" s="1"/>
  <c r="M37" i="22"/>
  <c r="K37" i="22"/>
  <c r="N37" i="22" s="1"/>
  <c r="H37" i="22"/>
  <c r="I37" i="22" s="1"/>
  <c r="H36" i="22"/>
  <c r="H16" i="22"/>
  <c r="H15" i="22"/>
  <c r="H14" i="22"/>
  <c r="I14" i="22" s="1"/>
  <c r="H13" i="22"/>
  <c r="J13" i="22" s="1"/>
  <c r="M13" i="22" s="1"/>
  <c r="H12" i="22"/>
  <c r="I12" i="22" s="1"/>
  <c r="H11" i="22"/>
  <c r="J11" i="22" s="1"/>
  <c r="M11" i="22" s="1"/>
  <c r="H10" i="22"/>
  <c r="I10" i="22" s="1"/>
  <c r="H9" i="22"/>
  <c r="H8" i="22"/>
  <c r="I8" i="22" s="1"/>
  <c r="M7" i="22"/>
  <c r="H7" i="22"/>
  <c r="I7" i="22" s="1"/>
  <c r="H6" i="22"/>
  <c r="M5" i="22"/>
  <c r="J5" i="22"/>
  <c r="K5" i="22" s="1"/>
  <c r="I36" i="22" l="1"/>
  <c r="H104" i="22"/>
  <c r="J124" i="22"/>
  <c r="K125" i="22"/>
  <c r="N125" i="22" s="1"/>
  <c r="K129" i="22"/>
  <c r="N129" i="22" s="1"/>
  <c r="K132" i="22"/>
  <c r="N132" i="22" s="1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49" i="22"/>
  <c r="I75" i="22"/>
  <c r="I79" i="22"/>
  <c r="J49" i="22"/>
  <c r="K74" i="22"/>
  <c r="N74" i="22" s="1"/>
  <c r="K76" i="22"/>
  <c r="N76" i="22" s="1"/>
  <c r="K78" i="22"/>
  <c r="N78" i="22" s="1"/>
  <c r="K80" i="22"/>
  <c r="N80" i="22" s="1"/>
  <c r="K82" i="22"/>
  <c r="N82" i="22" s="1"/>
  <c r="K84" i="22"/>
  <c r="N84" i="22" s="1"/>
  <c r="K86" i="22"/>
  <c r="N86" i="22" s="1"/>
  <c r="I80" i="22"/>
  <c r="O80" i="22" s="1"/>
  <c r="P80" i="22" s="1"/>
  <c r="I62" i="22"/>
  <c r="I85" i="22"/>
  <c r="J60" i="22"/>
  <c r="K60" i="22" s="1"/>
  <c r="J41" i="22"/>
  <c r="M41" i="22" s="1"/>
  <c r="I84" i="22"/>
  <c r="J40" i="22"/>
  <c r="K40" i="22" s="1"/>
  <c r="N40" i="22" s="1"/>
  <c r="J56" i="22"/>
  <c r="K56" i="22" s="1"/>
  <c r="N56" i="22" s="1"/>
  <c r="J8" i="22"/>
  <c r="M8" i="22" s="1"/>
  <c r="J39" i="22"/>
  <c r="K39" i="22" s="1"/>
  <c r="N39" i="22" s="1"/>
  <c r="J45" i="22"/>
  <c r="M45" i="22" s="1"/>
  <c r="I76" i="22"/>
  <c r="I87" i="22"/>
  <c r="J47" i="22"/>
  <c r="M47" i="22" s="1"/>
  <c r="J43" i="22"/>
  <c r="M43" i="22" s="1"/>
  <c r="J51" i="22"/>
  <c r="M51" i="22" s="1"/>
  <c r="I77" i="22"/>
  <c r="I83" i="22"/>
  <c r="I88" i="22"/>
  <c r="I58" i="22"/>
  <c r="J54" i="22"/>
  <c r="K54" i="22" s="1"/>
  <c r="J66" i="22"/>
  <c r="M66" i="22" s="1"/>
  <c r="I42" i="22"/>
  <c r="I48" i="22"/>
  <c r="I69" i="22"/>
  <c r="J38" i="22"/>
  <c r="M38" i="22" s="1"/>
  <c r="J44" i="22"/>
  <c r="M44" i="22" s="1"/>
  <c r="J46" i="22"/>
  <c r="M46" i="22" s="1"/>
  <c r="J50" i="22"/>
  <c r="M50" i="22" s="1"/>
  <c r="J52" i="22"/>
  <c r="M52" i="22" s="1"/>
  <c r="J64" i="22"/>
  <c r="M64" i="22" s="1"/>
  <c r="K69" i="22"/>
  <c r="N69" i="22" s="1"/>
  <c r="I74" i="22"/>
  <c r="I78" i="22"/>
  <c r="I82" i="22"/>
  <c r="I86" i="22"/>
  <c r="J9" i="22"/>
  <c r="M9" i="22" s="1"/>
  <c r="I9" i="22"/>
  <c r="J6" i="22"/>
  <c r="K6" i="22" s="1"/>
  <c r="I6" i="22"/>
  <c r="K137" i="22"/>
  <c r="N137" i="22" s="1"/>
  <c r="O137" i="22" s="1"/>
  <c r="P137" i="22" s="1"/>
  <c r="I13" i="22"/>
  <c r="H18" i="22"/>
  <c r="J7" i="22"/>
  <c r="K7" i="22" s="1"/>
  <c r="N7" i="22" s="1"/>
  <c r="J10" i="22"/>
  <c r="M10" i="22" s="1"/>
  <c r="J14" i="22"/>
  <c r="M14" i="22" s="1"/>
  <c r="K128" i="22"/>
  <c r="N128" i="22" s="1"/>
  <c r="K133" i="22"/>
  <c r="N133" i="22" s="1"/>
  <c r="K136" i="22"/>
  <c r="N136" i="22" s="1"/>
  <c r="O136" i="22" s="1"/>
  <c r="P136" i="22" s="1"/>
  <c r="I11" i="22"/>
  <c r="J12" i="22"/>
  <c r="M12" i="22" s="1"/>
  <c r="O37" i="22"/>
  <c r="P37" i="22" s="1"/>
  <c r="J15" i="22"/>
  <c r="I15" i="22"/>
  <c r="M54" i="22"/>
  <c r="J70" i="22"/>
  <c r="J73" i="22"/>
  <c r="O39" i="22"/>
  <c r="P39" i="22" s="1"/>
  <c r="J17" i="22"/>
  <c r="M62" i="22"/>
  <c r="K62" i="22"/>
  <c r="J71" i="22"/>
  <c r="M131" i="22"/>
  <c r="K131" i="22"/>
  <c r="N5" i="22"/>
  <c r="O5" i="22" s="1"/>
  <c r="J16" i="22"/>
  <c r="I16" i="22"/>
  <c r="J36" i="22"/>
  <c r="M88" i="22"/>
  <c r="N88" i="22" s="1"/>
  <c r="M58" i="22"/>
  <c r="K58" i="22"/>
  <c r="K66" i="22"/>
  <c r="J81" i="22"/>
  <c r="J72" i="22"/>
  <c r="M79" i="22"/>
  <c r="K79" i="22"/>
  <c r="M87" i="22"/>
  <c r="K87" i="22"/>
  <c r="J90" i="22"/>
  <c r="J92" i="22"/>
  <c r="O125" i="22"/>
  <c r="P125" i="22" s="1"/>
  <c r="M130" i="22"/>
  <c r="K130" i="22"/>
  <c r="O133" i="22"/>
  <c r="P133" i="22" s="1"/>
  <c r="M138" i="22"/>
  <c r="N138" i="22"/>
  <c r="O138" i="22" s="1"/>
  <c r="P138" i="22" s="1"/>
  <c r="K11" i="22"/>
  <c r="N11" i="22" s="1"/>
  <c r="K38" i="22"/>
  <c r="N38" i="22" s="1"/>
  <c r="O38" i="22" s="1"/>
  <c r="P38" i="22" s="1"/>
  <c r="K42" i="22"/>
  <c r="N42" i="22" s="1"/>
  <c r="K48" i="22"/>
  <c r="N48" i="22" s="1"/>
  <c r="J53" i="22"/>
  <c r="J55" i="22"/>
  <c r="J57" i="22"/>
  <c r="K57" i="22" s="1"/>
  <c r="N57" i="22" s="1"/>
  <c r="J59" i="22"/>
  <c r="J61" i="22"/>
  <c r="J63" i="22"/>
  <c r="J65" i="22"/>
  <c r="J67" i="22"/>
  <c r="M77" i="22"/>
  <c r="K77" i="22"/>
  <c r="M85" i="22"/>
  <c r="K85" i="22"/>
  <c r="J139" i="22"/>
  <c r="K124" i="22"/>
  <c r="M127" i="22"/>
  <c r="K127" i="22"/>
  <c r="M135" i="22"/>
  <c r="K135" i="22"/>
  <c r="K13" i="22"/>
  <c r="N13" i="22" s="1"/>
  <c r="J68" i="22"/>
  <c r="M75" i="22"/>
  <c r="K75" i="22"/>
  <c r="M83" i="22"/>
  <c r="K83" i="22"/>
  <c r="J89" i="22"/>
  <c r="J91" i="22"/>
  <c r="J93" i="22"/>
  <c r="M124" i="22"/>
  <c r="M126" i="22"/>
  <c r="K126" i="22"/>
  <c r="O129" i="22"/>
  <c r="P129" i="22" s="1"/>
  <c r="M134" i="22"/>
  <c r="K134" i="22"/>
  <c r="N134" i="22" s="1"/>
  <c r="O134" i="22" s="1"/>
  <c r="P134" i="22" s="1"/>
  <c r="H139" i="22"/>
  <c r="O128" i="22"/>
  <c r="P128" i="22" s="1"/>
  <c r="O132" i="22"/>
  <c r="P132" i="22" s="1"/>
  <c r="J104" i="22" l="1"/>
  <c r="I104" i="22"/>
  <c r="N79" i="22"/>
  <c r="O79" i="22" s="1"/>
  <c r="P79" i="22" s="1"/>
  <c r="K64" i="22"/>
  <c r="O48" i="22"/>
  <c r="P48" i="22" s="1"/>
  <c r="M60" i="22"/>
  <c r="N60" i="22" s="1"/>
  <c r="O60" i="22" s="1"/>
  <c r="P60" i="22" s="1"/>
  <c r="O84" i="22"/>
  <c r="P84" i="22" s="1"/>
  <c r="O74" i="22"/>
  <c r="P74" i="22" s="1"/>
  <c r="M6" i="22"/>
  <c r="N6" i="22" s="1"/>
  <c r="O6" i="22" s="1"/>
  <c r="P6" i="22" s="1"/>
  <c r="O56" i="22"/>
  <c r="P56" i="22" s="1"/>
  <c r="M49" i="22"/>
  <c r="K45" i="22"/>
  <c r="N45" i="22" s="1"/>
  <c r="O45" i="22" s="1"/>
  <c r="P45" i="22" s="1"/>
  <c r="O13" i="22"/>
  <c r="P13" i="22" s="1"/>
  <c r="O82" i="22"/>
  <c r="P82" i="22" s="1"/>
  <c r="K14" i="22"/>
  <c r="N14" i="22" s="1"/>
  <c r="O14" i="22" s="1"/>
  <c r="P14" i="22" s="1"/>
  <c r="N85" i="22"/>
  <c r="O85" i="22" s="1"/>
  <c r="P85" i="22" s="1"/>
  <c r="K49" i="22"/>
  <c r="K41" i="22"/>
  <c r="N41" i="22" s="1"/>
  <c r="O41" i="22" s="1"/>
  <c r="P41" i="22" s="1"/>
  <c r="K52" i="22"/>
  <c r="O76" i="22"/>
  <c r="P76" i="22" s="1"/>
  <c r="O88" i="22"/>
  <c r="P88" i="22" s="1"/>
  <c r="N66" i="22"/>
  <c r="O66" i="22" s="1"/>
  <c r="P66" i="22" s="1"/>
  <c r="O40" i="22"/>
  <c r="P40" i="22" s="1"/>
  <c r="K10" i="22"/>
  <c r="N10" i="22" s="1"/>
  <c r="O10" i="22" s="1"/>
  <c r="P10" i="22" s="1"/>
  <c r="K43" i="22"/>
  <c r="N43" i="22" s="1"/>
  <c r="O43" i="22" s="1"/>
  <c r="P43" i="22" s="1"/>
  <c r="K44" i="22"/>
  <c r="N44" i="22" s="1"/>
  <c r="O44" i="22" s="1"/>
  <c r="P44" i="22" s="1"/>
  <c r="K47" i="22"/>
  <c r="N47" i="22" s="1"/>
  <c r="O47" i="22" s="1"/>
  <c r="P47" i="22" s="1"/>
  <c r="K51" i="22"/>
  <c r="N51" i="22" s="1"/>
  <c r="O51" i="22" s="1"/>
  <c r="P51" i="22" s="1"/>
  <c r="N83" i="22"/>
  <c r="O83" i="22" s="1"/>
  <c r="P83" i="22" s="1"/>
  <c r="K12" i="22"/>
  <c r="N12" i="22" s="1"/>
  <c r="O12" i="22" s="1"/>
  <c r="P12" i="22" s="1"/>
  <c r="K50" i="22"/>
  <c r="N50" i="22" s="1"/>
  <c r="O50" i="22" s="1"/>
  <c r="P50" i="22" s="1"/>
  <c r="K46" i="22"/>
  <c r="N46" i="22" s="1"/>
  <c r="O46" i="22" s="1"/>
  <c r="P46" i="22" s="1"/>
  <c r="O42" i="22"/>
  <c r="P42" i="22" s="1"/>
  <c r="N87" i="22"/>
  <c r="O87" i="22" s="1"/>
  <c r="P87" i="22" s="1"/>
  <c r="N62" i="22"/>
  <c r="O62" i="22" s="1"/>
  <c r="P62" i="22" s="1"/>
  <c r="K9" i="22"/>
  <c r="N9" i="22" s="1"/>
  <c r="O9" i="22" s="1"/>
  <c r="P9" i="22" s="1"/>
  <c r="K8" i="22"/>
  <c r="N8" i="22" s="1"/>
  <c r="O8" i="22" s="1"/>
  <c r="P8" i="22" s="1"/>
  <c r="N75" i="22"/>
  <c r="O75" i="22" s="1"/>
  <c r="P75" i="22" s="1"/>
  <c r="N58" i="22"/>
  <c r="O58" i="22" s="1"/>
  <c r="P58" i="22" s="1"/>
  <c r="I18" i="22"/>
  <c r="O69" i="22"/>
  <c r="P69" i="22" s="1"/>
  <c r="J18" i="22"/>
  <c r="N127" i="22"/>
  <c r="O127" i="22" s="1"/>
  <c r="P127" i="22" s="1"/>
  <c r="N131" i="22"/>
  <c r="O131" i="22" s="1"/>
  <c r="P131" i="22" s="1"/>
  <c r="N135" i="22"/>
  <c r="O135" i="22" s="1"/>
  <c r="P135" i="22" s="1"/>
  <c r="O11" i="22"/>
  <c r="P11" i="22" s="1"/>
  <c r="O7" i="22"/>
  <c r="P7" i="22" s="1"/>
  <c r="K15" i="22"/>
  <c r="M15" i="22"/>
  <c r="O86" i="22"/>
  <c r="P86" i="22" s="1"/>
  <c r="M139" i="22"/>
  <c r="M68" i="22"/>
  <c r="K68" i="22"/>
  <c r="N77" i="22"/>
  <c r="O77" i="22" s="1"/>
  <c r="P77" i="22" s="1"/>
  <c r="K63" i="22"/>
  <c r="M63" i="22"/>
  <c r="K55" i="22"/>
  <c r="M55" i="22"/>
  <c r="M81" i="22"/>
  <c r="K81" i="22"/>
  <c r="N52" i="22"/>
  <c r="O52" i="22" s="1"/>
  <c r="P52" i="22" s="1"/>
  <c r="K17" i="22"/>
  <c r="M17" i="22"/>
  <c r="M73" i="22"/>
  <c r="K73" i="22"/>
  <c r="N54" i="22"/>
  <c r="O54" i="22" s="1"/>
  <c r="P54" i="22" s="1"/>
  <c r="K65" i="22"/>
  <c r="M65" i="22"/>
  <c r="K16" i="22"/>
  <c r="M16" i="22"/>
  <c r="O57" i="22"/>
  <c r="P57" i="22" s="1"/>
  <c r="O78" i="22"/>
  <c r="P78" i="22" s="1"/>
  <c r="K61" i="22"/>
  <c r="M61" i="22"/>
  <c r="K53" i="22"/>
  <c r="M53" i="22"/>
  <c r="K92" i="22"/>
  <c r="M92" i="22"/>
  <c r="P5" i="22"/>
  <c r="K91" i="22"/>
  <c r="M91" i="22"/>
  <c r="K90" i="22"/>
  <c r="M90" i="22"/>
  <c r="K93" i="22"/>
  <c r="M93" i="22"/>
  <c r="K89" i="22"/>
  <c r="M89" i="22"/>
  <c r="I139" i="22"/>
  <c r="N126" i="22"/>
  <c r="O126" i="22" s="1"/>
  <c r="P126" i="22" s="1"/>
  <c r="N124" i="22"/>
  <c r="K139" i="22"/>
  <c r="K67" i="22"/>
  <c r="M67" i="22"/>
  <c r="K59" i="22"/>
  <c r="M59" i="22"/>
  <c r="N130" i="22"/>
  <c r="O130" i="22" s="1"/>
  <c r="P130" i="22" s="1"/>
  <c r="M72" i="22"/>
  <c r="K72" i="22"/>
  <c r="N64" i="22"/>
  <c r="O64" i="22" s="1"/>
  <c r="P64" i="22" s="1"/>
  <c r="K36" i="22"/>
  <c r="M36" i="22"/>
  <c r="M71" i="22"/>
  <c r="K71" i="22"/>
  <c r="P35" i="22"/>
  <c r="M70" i="22"/>
  <c r="K70" i="22"/>
  <c r="M104" i="22" l="1"/>
  <c r="K104" i="22"/>
  <c r="N139" i="22"/>
  <c r="N49" i="22"/>
  <c r="N81" i="22"/>
  <c r="O81" i="22" s="1"/>
  <c r="P81" i="22" s="1"/>
  <c r="N68" i="22"/>
  <c r="O68" i="22" s="1"/>
  <c r="P68" i="22" s="1"/>
  <c r="N92" i="22"/>
  <c r="O92" i="22" s="1"/>
  <c r="P92" i="22" s="1"/>
  <c r="N61" i="22"/>
  <c r="O61" i="22" s="1"/>
  <c r="P61" i="22" s="1"/>
  <c r="N15" i="22"/>
  <c r="O15" i="22" s="1"/>
  <c r="P15" i="22" s="1"/>
  <c r="N59" i="22"/>
  <c r="O59" i="22" s="1"/>
  <c r="P59" i="22" s="1"/>
  <c r="N91" i="22"/>
  <c r="O91" i="22" s="1"/>
  <c r="P91" i="22" s="1"/>
  <c r="N53" i="22"/>
  <c r="O53" i="22" s="1"/>
  <c r="P53" i="22" s="1"/>
  <c r="H13" i="9"/>
  <c r="D23" i="22"/>
  <c r="N67" i="22"/>
  <c r="O67" i="22" s="1"/>
  <c r="P67" i="22" s="1"/>
  <c r="J20" i="22"/>
  <c r="M18" i="22"/>
  <c r="K18" i="22"/>
  <c r="N93" i="22"/>
  <c r="O93" i="22" s="1"/>
  <c r="P93" i="22" s="1"/>
  <c r="N65" i="22"/>
  <c r="O65" i="22" s="1"/>
  <c r="P65" i="22" s="1"/>
  <c r="N55" i="22"/>
  <c r="O55" i="22" s="1"/>
  <c r="P55" i="22" s="1"/>
  <c r="N17" i="22"/>
  <c r="O17" i="22" s="1"/>
  <c r="O124" i="22"/>
  <c r="O139" i="22" s="1"/>
  <c r="N70" i="22"/>
  <c r="O70" i="22" s="1"/>
  <c r="P70" i="22" s="1"/>
  <c r="N71" i="22"/>
  <c r="O71" i="22" s="1"/>
  <c r="P71" i="22" s="1"/>
  <c r="N36" i="22"/>
  <c r="N72" i="22"/>
  <c r="O72" i="22" s="1"/>
  <c r="P72" i="22" s="1"/>
  <c r="N89" i="22"/>
  <c r="O89" i="22" s="1"/>
  <c r="P89" i="22" s="1"/>
  <c r="N90" i="22"/>
  <c r="O90" i="22" s="1"/>
  <c r="P90" i="22" s="1"/>
  <c r="N16" i="22"/>
  <c r="N73" i="22"/>
  <c r="O73" i="22" s="1"/>
  <c r="P73" i="22" s="1"/>
  <c r="N63" i="22"/>
  <c r="O63" i="22" s="1"/>
  <c r="P63" i="22" s="1"/>
  <c r="O36" i="22" l="1"/>
  <c r="N104" i="22"/>
  <c r="O49" i="22"/>
  <c r="D27" i="22"/>
  <c r="H17" i="9"/>
  <c r="D26" i="22"/>
  <c r="H16" i="9"/>
  <c r="N18" i="22"/>
  <c r="P17" i="22"/>
  <c r="O16" i="22"/>
  <c r="O18" i="22" s="1"/>
  <c r="P36" i="22" l="1"/>
  <c r="O104" i="22"/>
  <c r="P49" i="22"/>
  <c r="H11" i="9"/>
  <c r="I18" i="9" s="1"/>
  <c r="D21" i="22"/>
  <c r="D29" i="22" s="1"/>
  <c r="P16" i="22"/>
  <c r="P34" i="22"/>
  <c r="P104" i="22" s="1"/>
  <c r="Q14" i="22" l="1"/>
  <c r="P18" i="22"/>
  <c r="E10" i="20" l="1"/>
  <c r="G10" i="20" s="1"/>
  <c r="I43" i="9" l="1"/>
  <c r="J43" i="9" s="1"/>
  <c r="H41" i="9"/>
  <c r="H38" i="9"/>
  <c r="I38" i="9" s="1"/>
  <c r="D11" i="18" l="1"/>
  <c r="H12" i="14"/>
  <c r="H11" i="14"/>
  <c r="H10" i="14"/>
  <c r="H9" i="14"/>
  <c r="G14" i="16" l="1"/>
  <c r="H16" i="19"/>
  <c r="F20" i="16" s="1"/>
  <c r="G19" i="16" s="1"/>
  <c r="L9" i="11"/>
  <c r="L8" i="11"/>
  <c r="L10" i="11" s="1"/>
  <c r="K15" i="9"/>
  <c r="K14" i="9"/>
  <c r="G34" i="9"/>
  <c r="K17" i="9"/>
  <c r="K16" i="9"/>
  <c r="H22" i="17" s="1"/>
  <c r="C28" i="17" s="1"/>
  <c r="N14" i="10"/>
  <c r="N13" i="10"/>
  <c r="N12" i="10"/>
  <c r="N11" i="10"/>
  <c r="H20" i="17" l="1"/>
  <c r="C26" i="17" s="1"/>
  <c r="H21" i="17"/>
  <c r="C27" i="17" s="1"/>
  <c r="I118" i="8"/>
  <c r="O65" i="2"/>
  <c r="O64" i="2"/>
  <c r="O63" i="2"/>
  <c r="O62" i="2"/>
  <c r="O61" i="2"/>
  <c r="O60" i="2"/>
  <c r="O58" i="2"/>
  <c r="O57" i="2"/>
  <c r="O56" i="2"/>
  <c r="O54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P50" i="2" l="1"/>
  <c r="C54" i="15"/>
  <c r="J52" i="15"/>
  <c r="E50" i="15"/>
  <c r="F50" i="15" s="1"/>
  <c r="K50" i="15" s="1"/>
  <c r="H88" i="15"/>
  <c r="H87" i="15"/>
  <c r="H86" i="15"/>
  <c r="H85" i="15"/>
  <c r="G54" i="15"/>
  <c r="I55" i="15"/>
  <c r="H55" i="15"/>
  <c r="F26" i="15"/>
  <c r="K47" i="15"/>
  <c r="K26" i="15"/>
  <c r="F42" i="15"/>
  <c r="K42" i="15" s="1"/>
  <c r="F53" i="15"/>
  <c r="K53" i="15" s="1"/>
  <c r="F52" i="15"/>
  <c r="K52" i="15" s="1"/>
  <c r="F51" i="15"/>
  <c r="K51" i="15" s="1"/>
  <c r="F49" i="15"/>
  <c r="K49" i="15" s="1"/>
  <c r="F48" i="15"/>
  <c r="K48" i="15" s="1"/>
  <c r="F46" i="15"/>
  <c r="K46" i="15" s="1"/>
  <c r="F45" i="15"/>
  <c r="K45" i="15" s="1"/>
  <c r="F44" i="15"/>
  <c r="K44" i="15" s="1"/>
  <c r="F43" i="15"/>
  <c r="K43" i="15" s="1"/>
  <c r="F41" i="15"/>
  <c r="K41" i="15" s="1"/>
  <c r="F40" i="15"/>
  <c r="K40" i="15" s="1"/>
  <c r="F39" i="15"/>
  <c r="K39" i="15" s="1"/>
  <c r="F38" i="15"/>
  <c r="K38" i="15" s="1"/>
  <c r="F37" i="15"/>
  <c r="K37" i="15" s="1"/>
  <c r="F36" i="15"/>
  <c r="K36" i="15" s="1"/>
  <c r="F35" i="15"/>
  <c r="K35" i="15" s="1"/>
  <c r="F34" i="15"/>
  <c r="K34" i="15" s="1"/>
  <c r="F33" i="15"/>
  <c r="K33" i="15" s="1"/>
  <c r="F32" i="15"/>
  <c r="K32" i="15" s="1"/>
  <c r="F31" i="15"/>
  <c r="K31" i="15" s="1"/>
  <c r="F30" i="15"/>
  <c r="K30" i="15" s="1"/>
  <c r="F29" i="15"/>
  <c r="K29" i="15" s="1"/>
  <c r="F28" i="15"/>
  <c r="K28" i="15" s="1"/>
  <c r="F27" i="15"/>
  <c r="K27" i="15" s="1"/>
  <c r="F25" i="15"/>
  <c r="K25" i="15" s="1"/>
  <c r="F24" i="15"/>
  <c r="K24" i="15" s="1"/>
  <c r="F23" i="15"/>
  <c r="K23" i="15" s="1"/>
  <c r="F22" i="15"/>
  <c r="K22" i="15" s="1"/>
  <c r="F21" i="15"/>
  <c r="K21" i="15" s="1"/>
  <c r="F20" i="15"/>
  <c r="K20" i="15" s="1"/>
  <c r="F19" i="15"/>
  <c r="K19" i="15" s="1"/>
  <c r="F18" i="15"/>
  <c r="K18" i="15" s="1"/>
  <c r="F17" i="15"/>
  <c r="K17" i="15" s="1"/>
  <c r="F16" i="15"/>
  <c r="K16" i="15" s="1"/>
  <c r="F15" i="15"/>
  <c r="K15" i="15" s="1"/>
  <c r="F14" i="15"/>
  <c r="K14" i="15" s="1"/>
  <c r="F13" i="15"/>
  <c r="K13" i="15" s="1"/>
  <c r="F12" i="15"/>
  <c r="K12" i="15" s="1"/>
  <c r="F11" i="15"/>
  <c r="K11" i="15" s="1"/>
  <c r="C19" i="17"/>
  <c r="D15" i="18"/>
  <c r="C22" i="4"/>
  <c r="M111" i="8"/>
  <c r="M7" i="8"/>
  <c r="J118" i="8"/>
  <c r="K118" i="8" s="1"/>
  <c r="M118" i="8" l="1"/>
  <c r="N118" i="8" s="1"/>
  <c r="O118" i="8" s="1"/>
  <c r="C55" i="15"/>
  <c r="F54" i="15"/>
  <c r="E55" i="15"/>
  <c r="F22" i="16" s="1"/>
  <c r="G21" i="16" s="1"/>
  <c r="J55" i="15"/>
  <c r="H9" i="12"/>
  <c r="K54" i="15"/>
  <c r="K55" i="15" s="1"/>
  <c r="G55" i="15"/>
  <c r="F55" i="15"/>
  <c r="C21" i="18" l="1"/>
  <c r="C8" i="4"/>
  <c r="K56" i="15"/>
  <c r="D23" i="18"/>
  <c r="C10" i="4"/>
  <c r="C12" i="4" s="1"/>
  <c r="C23" i="18"/>
  <c r="D25" i="18"/>
  <c r="F18" i="16"/>
  <c r="C25" i="18"/>
  <c r="D29" i="18" l="1"/>
  <c r="C29" i="18"/>
  <c r="G17" i="16"/>
  <c r="H63" i="10"/>
  <c r="H62" i="10"/>
  <c r="H61" i="10"/>
  <c r="H60" i="10"/>
  <c r="S208" i="6"/>
  <c r="X102" i="6" l="1"/>
  <c r="W102" i="6"/>
  <c r="L65" i="8"/>
  <c r="G65" i="8"/>
  <c r="F65" i="8"/>
  <c r="H60" i="8"/>
  <c r="J60" i="8" s="1"/>
  <c r="H104" i="8"/>
  <c r="I104" i="8" s="1"/>
  <c r="H107" i="8"/>
  <c r="J107" i="8" s="1"/>
  <c r="H106" i="8"/>
  <c r="J106" i="8" s="1"/>
  <c r="H105" i="8"/>
  <c r="J105" i="8" s="1"/>
  <c r="M105" i="8" s="1"/>
  <c r="H103" i="8"/>
  <c r="I103" i="8" s="1"/>
  <c r="I115" i="8"/>
  <c r="I114" i="8"/>
  <c r="I113" i="8"/>
  <c r="I112" i="8"/>
  <c r="I111" i="8"/>
  <c r="I37" i="8"/>
  <c r="L39" i="8"/>
  <c r="G39" i="8"/>
  <c r="F39" i="8"/>
  <c r="L26" i="8"/>
  <c r="G26" i="8"/>
  <c r="F26" i="8"/>
  <c r="L82" i="8"/>
  <c r="G82" i="8"/>
  <c r="F82" i="8"/>
  <c r="H81" i="8"/>
  <c r="H80" i="8"/>
  <c r="H13" i="14"/>
  <c r="H18" i="13"/>
  <c r="H10" i="12"/>
  <c r="I80" i="8" l="1"/>
  <c r="J80" i="8"/>
  <c r="I81" i="8"/>
  <c r="J81" i="8"/>
  <c r="K106" i="8"/>
  <c r="M106" i="8"/>
  <c r="K107" i="8"/>
  <c r="M107" i="8"/>
  <c r="K60" i="8"/>
  <c r="M60" i="8"/>
  <c r="I60" i="8"/>
  <c r="J104" i="8"/>
  <c r="M104" i="8" s="1"/>
  <c r="M80" i="8"/>
  <c r="K104" i="8"/>
  <c r="N104" i="8" s="1"/>
  <c r="O104" i="8" s="1"/>
  <c r="I106" i="8"/>
  <c r="J103" i="8"/>
  <c r="M103" i="8" s="1"/>
  <c r="I107" i="8"/>
  <c r="N107" i="8"/>
  <c r="N106" i="8"/>
  <c r="O106" i="8" s="1"/>
  <c r="K105" i="8"/>
  <c r="I105" i="8"/>
  <c r="O120" i="8"/>
  <c r="L116" i="8"/>
  <c r="G116" i="8"/>
  <c r="F116" i="8"/>
  <c r="J115" i="8"/>
  <c r="J114" i="8"/>
  <c r="J113" i="8"/>
  <c r="J112" i="8"/>
  <c r="H110" i="8"/>
  <c r="I110" i="8" s="1"/>
  <c r="H109" i="8"/>
  <c r="H108" i="8"/>
  <c r="I108" i="8" s="1"/>
  <c r="H102" i="8"/>
  <c r="H101" i="8"/>
  <c r="I101" i="8" s="1"/>
  <c r="H100" i="8"/>
  <c r="H99" i="8"/>
  <c r="I99" i="8" s="1"/>
  <c r="H98" i="8"/>
  <c r="H97" i="8"/>
  <c r="I97" i="8" s="1"/>
  <c r="H96" i="8"/>
  <c r="H95" i="8"/>
  <c r="I95" i="8" s="1"/>
  <c r="H94" i="8"/>
  <c r="H93" i="8"/>
  <c r="I93" i="8" s="1"/>
  <c r="H92" i="8"/>
  <c r="H91" i="8"/>
  <c r="I91" i="8" s="1"/>
  <c r="H90" i="8"/>
  <c r="H89" i="8"/>
  <c r="I89" i="8" s="1"/>
  <c r="H88" i="8"/>
  <c r="L87" i="8"/>
  <c r="G87" i="8"/>
  <c r="F87" i="8"/>
  <c r="H86" i="8"/>
  <c r="I86" i="8" s="1"/>
  <c r="L85" i="8"/>
  <c r="G85" i="8"/>
  <c r="F85" i="8"/>
  <c r="H84" i="8"/>
  <c r="H83" i="8"/>
  <c r="I83" i="8" s="1"/>
  <c r="H79" i="8"/>
  <c r="J79" i="8" s="1"/>
  <c r="H78" i="8"/>
  <c r="H77" i="8"/>
  <c r="J77" i="8" s="1"/>
  <c r="H76" i="8"/>
  <c r="H75" i="8"/>
  <c r="J75" i="8" s="1"/>
  <c r="H74" i="8"/>
  <c r="J74" i="8" s="1"/>
  <c r="H73" i="8"/>
  <c r="H72" i="8"/>
  <c r="H71" i="8"/>
  <c r="H70" i="8"/>
  <c r="H69" i="8"/>
  <c r="I69" i="8" s="1"/>
  <c r="H68" i="8"/>
  <c r="I68" i="8" s="1"/>
  <c r="L67" i="8"/>
  <c r="G67" i="8"/>
  <c r="F67" i="8"/>
  <c r="H66" i="8"/>
  <c r="I66" i="8" s="1"/>
  <c r="H64" i="8"/>
  <c r="H63" i="8"/>
  <c r="I63" i="8" s="1"/>
  <c r="H62" i="8"/>
  <c r="H61" i="8"/>
  <c r="L59" i="8"/>
  <c r="G59" i="8"/>
  <c r="F59" i="8"/>
  <c r="M58" i="8"/>
  <c r="H58" i="8"/>
  <c r="I58" i="8" s="1"/>
  <c r="M57" i="8"/>
  <c r="H57" i="8"/>
  <c r="H56" i="8"/>
  <c r="I56" i="8" s="1"/>
  <c r="L55" i="8"/>
  <c r="G55" i="8"/>
  <c r="F55" i="8"/>
  <c r="H54" i="8"/>
  <c r="H53" i="8"/>
  <c r="I53" i="8" s="1"/>
  <c r="H52" i="8"/>
  <c r="I52" i="8" s="1"/>
  <c r="H51" i="8"/>
  <c r="I51" i="8" s="1"/>
  <c r="L50" i="8"/>
  <c r="G50" i="8"/>
  <c r="F50" i="8"/>
  <c r="H49" i="8"/>
  <c r="H48" i="8"/>
  <c r="I48" i="8" s="1"/>
  <c r="L47" i="8"/>
  <c r="G47" i="8"/>
  <c r="F47" i="8"/>
  <c r="H46" i="8"/>
  <c r="L45" i="8"/>
  <c r="G45" i="8"/>
  <c r="F45" i="8"/>
  <c r="H44" i="8"/>
  <c r="I44" i="8" s="1"/>
  <c r="L43" i="8"/>
  <c r="G43" i="8"/>
  <c r="F43" i="8"/>
  <c r="H42" i="8"/>
  <c r="L41" i="8"/>
  <c r="G41" i="8"/>
  <c r="F41" i="8"/>
  <c r="H40" i="8"/>
  <c r="H38" i="8"/>
  <c r="J37" i="8"/>
  <c r="L36" i="8"/>
  <c r="G36" i="8"/>
  <c r="F36" i="8"/>
  <c r="H35" i="8"/>
  <c r="H34" i="8"/>
  <c r="H33" i="8"/>
  <c r="L32" i="8"/>
  <c r="G32" i="8"/>
  <c r="F32" i="8"/>
  <c r="M31" i="8"/>
  <c r="M32" i="8" s="1"/>
  <c r="H31" i="8"/>
  <c r="L30" i="8"/>
  <c r="G30" i="8"/>
  <c r="F30" i="8"/>
  <c r="M29" i="8"/>
  <c r="H29" i="8"/>
  <c r="I29" i="8" s="1"/>
  <c r="H28" i="8"/>
  <c r="H27" i="8"/>
  <c r="H25" i="8"/>
  <c r="I25" i="8" s="1"/>
  <c r="H24" i="8"/>
  <c r="I24" i="8" s="1"/>
  <c r="H23" i="8"/>
  <c r="H22" i="8"/>
  <c r="H21" i="8"/>
  <c r="I21" i="8" s="1"/>
  <c r="H20" i="8"/>
  <c r="L19" i="8"/>
  <c r="J19" i="8"/>
  <c r="G19" i="8"/>
  <c r="F19" i="8"/>
  <c r="M18" i="8"/>
  <c r="M19" i="8" s="1"/>
  <c r="K18" i="8"/>
  <c r="K19" i="8" s="1"/>
  <c r="H18" i="8"/>
  <c r="G17" i="8"/>
  <c r="F17" i="8"/>
  <c r="H16" i="8"/>
  <c r="I16" i="8" s="1"/>
  <c r="H15" i="8"/>
  <c r="H14" i="8"/>
  <c r="I14" i="8" s="1"/>
  <c r="L13" i="8"/>
  <c r="G13" i="8"/>
  <c r="F13" i="8"/>
  <c r="H12" i="8"/>
  <c r="I12" i="8" s="1"/>
  <c r="H11" i="8"/>
  <c r="H10" i="8"/>
  <c r="M9" i="8"/>
  <c r="H9" i="8"/>
  <c r="I9" i="8" s="1"/>
  <c r="H8" i="8"/>
  <c r="H7" i="8"/>
  <c r="I71" i="8" l="1"/>
  <c r="J71" i="8"/>
  <c r="I72" i="8"/>
  <c r="J72" i="8"/>
  <c r="I73" i="8"/>
  <c r="J73" i="8"/>
  <c r="I76" i="8"/>
  <c r="J76" i="8"/>
  <c r="I78" i="8"/>
  <c r="J78" i="8"/>
  <c r="K112" i="8"/>
  <c r="M112" i="8"/>
  <c r="K113" i="8"/>
  <c r="M113" i="8"/>
  <c r="K114" i="8"/>
  <c r="M114" i="8"/>
  <c r="K115" i="8"/>
  <c r="M115" i="8"/>
  <c r="N115" i="8" s="1"/>
  <c r="N60" i="8"/>
  <c r="H65" i="8"/>
  <c r="K80" i="8"/>
  <c r="N80" i="8" s="1"/>
  <c r="O80" i="8"/>
  <c r="O107" i="8"/>
  <c r="K103" i="8"/>
  <c r="N105" i="8"/>
  <c r="O105" i="8" s="1"/>
  <c r="J12" i="8"/>
  <c r="M12" i="8" s="1"/>
  <c r="J10" i="8"/>
  <c r="K10" i="8" s="1"/>
  <c r="I10" i="8"/>
  <c r="L15" i="8"/>
  <c r="L17" i="8" s="1"/>
  <c r="I15" i="8"/>
  <c r="H19" i="8"/>
  <c r="I18" i="8"/>
  <c r="I19" i="8" s="1"/>
  <c r="I20" i="8"/>
  <c r="H26" i="8"/>
  <c r="J35" i="8"/>
  <c r="K35" i="8" s="1"/>
  <c r="I35" i="8"/>
  <c r="K37" i="8"/>
  <c r="H50" i="8"/>
  <c r="I49" i="8"/>
  <c r="I50" i="8" s="1"/>
  <c r="J54" i="8"/>
  <c r="M54" i="8" s="1"/>
  <c r="I54" i="8"/>
  <c r="J61" i="8"/>
  <c r="M61" i="8" s="1"/>
  <c r="I61" i="8"/>
  <c r="J64" i="8"/>
  <c r="M64" i="8" s="1"/>
  <c r="I64" i="8"/>
  <c r="H82" i="8"/>
  <c r="J8" i="8"/>
  <c r="M8" i="8" s="1"/>
  <c r="I8" i="8"/>
  <c r="J11" i="8"/>
  <c r="M11" i="8" s="1"/>
  <c r="I11" i="8"/>
  <c r="J31" i="8"/>
  <c r="J32" i="8" s="1"/>
  <c r="I31" i="8"/>
  <c r="I38" i="8"/>
  <c r="I39" i="8" s="1"/>
  <c r="H39" i="8"/>
  <c r="J51" i="8"/>
  <c r="K51" i="8" s="1"/>
  <c r="J62" i="8"/>
  <c r="M62" i="8" s="1"/>
  <c r="I62" i="8"/>
  <c r="I65" i="8" s="1"/>
  <c r="M77" i="8"/>
  <c r="I77" i="8"/>
  <c r="J84" i="8"/>
  <c r="M84" i="8" s="1"/>
  <c r="I84" i="8"/>
  <c r="J88" i="8"/>
  <c r="I88" i="8"/>
  <c r="J92" i="8"/>
  <c r="I92" i="8"/>
  <c r="J96" i="8"/>
  <c r="M96" i="8" s="1"/>
  <c r="I96" i="8"/>
  <c r="J100" i="8"/>
  <c r="M100" i="8" s="1"/>
  <c r="I100" i="8"/>
  <c r="I109" i="8"/>
  <c r="O115" i="8"/>
  <c r="J22" i="8"/>
  <c r="K22" i="8" s="1"/>
  <c r="I22" i="8"/>
  <c r="J27" i="8"/>
  <c r="M27" i="8" s="1"/>
  <c r="I27" i="8"/>
  <c r="J33" i="8"/>
  <c r="M33" i="8" s="1"/>
  <c r="I33" i="8"/>
  <c r="H41" i="8"/>
  <c r="I40" i="8"/>
  <c r="I41" i="8" s="1"/>
  <c r="J70" i="8"/>
  <c r="M70" i="8" s="1"/>
  <c r="I70" i="8"/>
  <c r="I82" i="8" s="1"/>
  <c r="K74" i="8"/>
  <c r="I74" i="8"/>
  <c r="J109" i="8"/>
  <c r="M109" i="8" s="1"/>
  <c r="N109" i="8" s="1"/>
  <c r="J7" i="8"/>
  <c r="K7" i="8" s="1"/>
  <c r="I7" i="8"/>
  <c r="J23" i="8"/>
  <c r="M23" i="8" s="1"/>
  <c r="I23" i="8"/>
  <c r="J28" i="8"/>
  <c r="M28" i="8" s="1"/>
  <c r="I28" i="8"/>
  <c r="J34" i="8"/>
  <c r="M34" i="8" s="1"/>
  <c r="I34" i="8"/>
  <c r="J42" i="8"/>
  <c r="K42" i="8" s="1"/>
  <c r="K43" i="8" s="1"/>
  <c r="I42" i="8"/>
  <c r="I43" i="8" s="1"/>
  <c r="H47" i="8"/>
  <c r="I46" i="8"/>
  <c r="M75" i="8"/>
  <c r="I75" i="8"/>
  <c r="M79" i="8"/>
  <c r="I79" i="8"/>
  <c r="J90" i="8"/>
  <c r="M90" i="8" s="1"/>
  <c r="I90" i="8"/>
  <c r="J94" i="8"/>
  <c r="M94" i="8" s="1"/>
  <c r="I94" i="8"/>
  <c r="J98" i="8"/>
  <c r="M98" i="8" s="1"/>
  <c r="I98" i="8"/>
  <c r="J102" i="8"/>
  <c r="M102" i="8" s="1"/>
  <c r="I102" i="8"/>
  <c r="J57" i="8"/>
  <c r="K57" i="8" s="1"/>
  <c r="N57" i="8" s="1"/>
  <c r="I57" i="8"/>
  <c r="I47" i="8"/>
  <c r="M37" i="8"/>
  <c r="N37" i="8" s="1"/>
  <c r="J46" i="8"/>
  <c r="M46" i="8" s="1"/>
  <c r="M47" i="8" s="1"/>
  <c r="J49" i="8"/>
  <c r="M49" i="8" s="1"/>
  <c r="J52" i="8"/>
  <c r="M52" i="8" s="1"/>
  <c r="N18" i="8"/>
  <c r="N19" i="8" s="1"/>
  <c r="J48" i="8"/>
  <c r="K48" i="8" s="1"/>
  <c r="J58" i="8"/>
  <c r="K58" i="8" s="1"/>
  <c r="N58" i="8" s="1"/>
  <c r="J108" i="8"/>
  <c r="M108" i="8" s="1"/>
  <c r="K81" i="8"/>
  <c r="M81" i="8"/>
  <c r="J68" i="8"/>
  <c r="J9" i="8"/>
  <c r="K9" i="8" s="1"/>
  <c r="N9" i="8" s="1"/>
  <c r="J101" i="8"/>
  <c r="J95" i="8"/>
  <c r="M95" i="8" s="1"/>
  <c r="J93" i="8"/>
  <c r="M93" i="8" s="1"/>
  <c r="K76" i="8"/>
  <c r="K62" i="8"/>
  <c r="N62" i="8" s="1"/>
  <c r="H43" i="8"/>
  <c r="J40" i="8"/>
  <c r="M40" i="8" s="1"/>
  <c r="M41" i="8" s="1"/>
  <c r="J38" i="8"/>
  <c r="J39" i="8" s="1"/>
  <c r="J29" i="8"/>
  <c r="K29" i="8" s="1"/>
  <c r="N29" i="8" s="1"/>
  <c r="J25" i="8"/>
  <c r="M25" i="8" s="1"/>
  <c r="J24" i="8"/>
  <c r="M24" i="8" s="1"/>
  <c r="J21" i="8"/>
  <c r="M21" i="8" s="1"/>
  <c r="J20" i="8"/>
  <c r="J16" i="8"/>
  <c r="M16" i="8" s="1"/>
  <c r="J15" i="8"/>
  <c r="M15" i="8" s="1"/>
  <c r="H17" i="8"/>
  <c r="M10" i="8"/>
  <c r="K34" i="8"/>
  <c r="K27" i="8"/>
  <c r="H13" i="8"/>
  <c r="H30" i="8"/>
  <c r="H36" i="8"/>
  <c r="J83" i="8"/>
  <c r="J89" i="8"/>
  <c r="M89" i="8" s="1"/>
  <c r="G117" i="8"/>
  <c r="H32" i="8"/>
  <c r="J63" i="8"/>
  <c r="J69" i="8"/>
  <c r="H87" i="8"/>
  <c r="J86" i="8"/>
  <c r="J91" i="8"/>
  <c r="M91" i="8" s="1"/>
  <c r="J97" i="8"/>
  <c r="M97" i="8" s="1"/>
  <c r="J14" i="8"/>
  <c r="H45" i="8"/>
  <c r="H55" i="8"/>
  <c r="H59" i="8"/>
  <c r="H67" i="8"/>
  <c r="J66" i="8"/>
  <c r="J99" i="8"/>
  <c r="M99" i="8" s="1"/>
  <c r="J110" i="8"/>
  <c r="M110" i="8" s="1"/>
  <c r="J44" i="8"/>
  <c r="J53" i="8"/>
  <c r="J56" i="8"/>
  <c r="H85" i="8"/>
  <c r="F117" i="8"/>
  <c r="H116" i="8"/>
  <c r="K101" i="8" l="1"/>
  <c r="M101" i="8"/>
  <c r="K92" i="8"/>
  <c r="M92" i="8"/>
  <c r="M88" i="8"/>
  <c r="J116" i="8"/>
  <c r="L117" i="8"/>
  <c r="N114" i="8"/>
  <c r="O114" i="8" s="1"/>
  <c r="N113" i="8"/>
  <c r="O113" i="8" s="1"/>
  <c r="N112" i="8"/>
  <c r="O112" i="8" s="1"/>
  <c r="M72" i="8"/>
  <c r="K72" i="8"/>
  <c r="N72" i="8" s="1"/>
  <c r="O72" i="8" s="1"/>
  <c r="M71" i="8"/>
  <c r="K71" i="8"/>
  <c r="N71" i="8" s="1"/>
  <c r="O71" i="8" s="1"/>
  <c r="J43" i="8"/>
  <c r="K28" i="8"/>
  <c r="K94" i="8"/>
  <c r="N94" i="8" s="1"/>
  <c r="O94" i="8" s="1"/>
  <c r="K79" i="8"/>
  <c r="N79" i="8" s="1"/>
  <c r="O79" i="8" s="1"/>
  <c r="K52" i="8"/>
  <c r="N52" i="8" s="1"/>
  <c r="O52" i="8" s="1"/>
  <c r="O60" i="8"/>
  <c r="K61" i="8"/>
  <c r="J65" i="8"/>
  <c r="K84" i="8"/>
  <c r="N84" i="8" s="1"/>
  <c r="O84" i="8" s="1"/>
  <c r="J47" i="8"/>
  <c r="K93" i="8"/>
  <c r="N93" i="8" s="1"/>
  <c r="O93" i="8" s="1"/>
  <c r="K33" i="8"/>
  <c r="K36" i="8" s="1"/>
  <c r="M35" i="8"/>
  <c r="M36" i="8" s="1"/>
  <c r="M48" i="8"/>
  <c r="I36" i="8"/>
  <c r="I30" i="8"/>
  <c r="K46" i="8"/>
  <c r="O109" i="8"/>
  <c r="J36" i="8"/>
  <c r="K64" i="8"/>
  <c r="N64" i="8" s="1"/>
  <c r="K108" i="8"/>
  <c r="K54" i="8"/>
  <c r="N54" i="8" s="1"/>
  <c r="O54" i="8" s="1"/>
  <c r="M51" i="8"/>
  <c r="N51" i="8" s="1"/>
  <c r="O51" i="8" s="1"/>
  <c r="J30" i="8"/>
  <c r="N15" i="8"/>
  <c r="O15" i="8" s="1"/>
  <c r="O64" i="8"/>
  <c r="N103" i="8"/>
  <c r="O103" i="8" s="1"/>
  <c r="K31" i="8"/>
  <c r="K32" i="8" s="1"/>
  <c r="O57" i="8"/>
  <c r="K100" i="8"/>
  <c r="N100" i="8" s="1"/>
  <c r="O100" i="8" s="1"/>
  <c r="K102" i="8"/>
  <c r="N102" i="8" s="1"/>
  <c r="O102" i="8" s="1"/>
  <c r="K11" i="8"/>
  <c r="K24" i="8"/>
  <c r="N24" i="8" s="1"/>
  <c r="O24" i="8" s="1"/>
  <c r="M22" i="8"/>
  <c r="N22" i="8" s="1"/>
  <c r="O22" i="8" s="1"/>
  <c r="K70" i="8"/>
  <c r="N70" i="8" s="1"/>
  <c r="O70" i="8" s="1"/>
  <c r="K96" i="8"/>
  <c r="N96" i="8" s="1"/>
  <c r="O96" i="8" s="1"/>
  <c r="K23" i="8"/>
  <c r="N23" i="8" s="1"/>
  <c r="O23" i="8" s="1"/>
  <c r="K12" i="8"/>
  <c r="N12" i="8" s="1"/>
  <c r="O12" i="8" s="1"/>
  <c r="K8" i="8"/>
  <c r="K95" i="8"/>
  <c r="N95" i="8" s="1"/>
  <c r="O95" i="8" s="1"/>
  <c r="K77" i="8"/>
  <c r="N77" i="8" s="1"/>
  <c r="O77" i="8" s="1"/>
  <c r="K25" i="8"/>
  <c r="N25" i="8" s="1"/>
  <c r="O25" i="8" s="1"/>
  <c r="M74" i="8"/>
  <c r="N74" i="8" s="1"/>
  <c r="O74" i="8" s="1"/>
  <c r="I26" i="8"/>
  <c r="K75" i="8"/>
  <c r="N75" i="8" s="1"/>
  <c r="O75" i="8" s="1"/>
  <c r="K98" i="8"/>
  <c r="N98" i="8" s="1"/>
  <c r="O98" i="8" s="1"/>
  <c r="K88" i="8"/>
  <c r="N88" i="8" s="1"/>
  <c r="O88" i="8" s="1"/>
  <c r="M68" i="8"/>
  <c r="J82" i="8"/>
  <c r="S16" i="8" s="1"/>
  <c r="O58" i="8"/>
  <c r="O18" i="8"/>
  <c r="O19" i="8" s="1"/>
  <c r="I55" i="8"/>
  <c r="M42" i="8"/>
  <c r="O37" i="8"/>
  <c r="K20" i="8"/>
  <c r="J26" i="8"/>
  <c r="J55" i="8"/>
  <c r="K40" i="8"/>
  <c r="N40" i="8" s="1"/>
  <c r="K90" i="8"/>
  <c r="N108" i="8"/>
  <c r="O108" i="8" s="1"/>
  <c r="J50" i="8"/>
  <c r="N101" i="8"/>
  <c r="O101" i="8" s="1"/>
  <c r="J41" i="8"/>
  <c r="K49" i="8"/>
  <c r="M20" i="8"/>
  <c r="M50" i="8"/>
  <c r="N28" i="8"/>
  <c r="O28" i="8" s="1"/>
  <c r="N81" i="8"/>
  <c r="O81" i="8" s="1"/>
  <c r="K68" i="8"/>
  <c r="J13" i="8"/>
  <c r="K21" i="8"/>
  <c r="N21" i="8" s="1"/>
  <c r="O21" i="8" s="1"/>
  <c r="M13" i="8"/>
  <c r="O9" i="8"/>
  <c r="I116" i="8"/>
  <c r="N92" i="8"/>
  <c r="O92" i="8" s="1"/>
  <c r="M76" i="8"/>
  <c r="N76" i="8" s="1"/>
  <c r="O76" i="8" s="1"/>
  <c r="O62" i="8"/>
  <c r="M38" i="8"/>
  <c r="M39" i="8" s="1"/>
  <c r="K38" i="8"/>
  <c r="K39" i="8" s="1"/>
  <c r="N35" i="8"/>
  <c r="O35" i="8" s="1"/>
  <c r="O29" i="8"/>
  <c r="H117" i="8"/>
  <c r="K16" i="8"/>
  <c r="N16" i="8" s="1"/>
  <c r="O16" i="8" s="1"/>
  <c r="K47" i="8"/>
  <c r="N46" i="8"/>
  <c r="I67" i="8"/>
  <c r="J87" i="8"/>
  <c r="K86" i="8"/>
  <c r="M86" i="8"/>
  <c r="M87" i="8" s="1"/>
  <c r="K83" i="8"/>
  <c r="J85" i="8"/>
  <c r="M83" i="8"/>
  <c r="M85" i="8" s="1"/>
  <c r="K30" i="8"/>
  <c r="N27" i="8"/>
  <c r="K56" i="8"/>
  <c r="J59" i="8"/>
  <c r="M56" i="8"/>
  <c r="M59" i="8" s="1"/>
  <c r="I45" i="8"/>
  <c r="K14" i="8"/>
  <c r="M14" i="8"/>
  <c r="M17" i="8" s="1"/>
  <c r="J17" i="8"/>
  <c r="K97" i="8"/>
  <c r="K91" i="8"/>
  <c r="I87" i="8"/>
  <c r="K69" i="8"/>
  <c r="M69" i="8"/>
  <c r="K41" i="8"/>
  <c r="I17" i="8"/>
  <c r="I85" i="8"/>
  <c r="N61" i="8"/>
  <c r="M30" i="8"/>
  <c r="N10" i="8"/>
  <c r="O10" i="8" s="1"/>
  <c r="I59" i="8"/>
  <c r="K89" i="8"/>
  <c r="N7" i="8"/>
  <c r="N31" i="8"/>
  <c r="N32" i="8" s="1"/>
  <c r="K78" i="8"/>
  <c r="M78" i="8"/>
  <c r="M53" i="8"/>
  <c r="K53" i="8"/>
  <c r="J45" i="8"/>
  <c r="M44" i="8"/>
  <c r="M45" i="8" s="1"/>
  <c r="K44" i="8"/>
  <c r="K110" i="8"/>
  <c r="K99" i="8"/>
  <c r="K73" i="8"/>
  <c r="M73" i="8"/>
  <c r="J67" i="8"/>
  <c r="K66" i="8"/>
  <c r="M66" i="8"/>
  <c r="M67" i="8" s="1"/>
  <c r="N48" i="8"/>
  <c r="K63" i="8"/>
  <c r="M63" i="8"/>
  <c r="M65" i="8" s="1"/>
  <c r="I32" i="8"/>
  <c r="O7" i="8"/>
  <c r="I13" i="8"/>
  <c r="Q14" i="8" s="1"/>
  <c r="N34" i="8"/>
  <c r="O34" i="8" s="1"/>
  <c r="R14" i="8" l="1"/>
  <c r="R16" i="8"/>
  <c r="Q16" i="8"/>
  <c r="N8" i="8"/>
  <c r="O8" i="8" s="1"/>
  <c r="K65" i="8"/>
  <c r="M55" i="8"/>
  <c r="N33" i="8"/>
  <c r="M26" i="8"/>
  <c r="Q21" i="8" s="1"/>
  <c r="K13" i="8"/>
  <c r="N11" i="8"/>
  <c r="O11" i="8" s="1"/>
  <c r="K26" i="8"/>
  <c r="N68" i="8"/>
  <c r="K82" i="8"/>
  <c r="S19" i="8" s="1"/>
  <c r="M43" i="8"/>
  <c r="R21" i="8" s="1"/>
  <c r="N42" i="8"/>
  <c r="N20" i="8"/>
  <c r="N26" i="8" s="1"/>
  <c r="N90" i="8"/>
  <c r="O90" i="8" s="1"/>
  <c r="M82" i="8"/>
  <c r="S21" i="8" s="1"/>
  <c r="H37" i="11" s="1"/>
  <c r="F13" i="16" s="1"/>
  <c r="N91" i="8"/>
  <c r="O91" i="8" s="1"/>
  <c r="N53" i="8"/>
  <c r="N49" i="8"/>
  <c r="O49" i="8" s="1"/>
  <c r="K50" i="8"/>
  <c r="N78" i="8"/>
  <c r="O78" i="8" s="1"/>
  <c r="N38" i="8"/>
  <c r="N39" i="8" s="1"/>
  <c r="I117" i="8"/>
  <c r="O48" i="8"/>
  <c r="N69" i="8"/>
  <c r="N30" i="8"/>
  <c r="O27" i="8"/>
  <c r="O30" i="8" s="1"/>
  <c r="N73" i="8"/>
  <c r="O73" i="8" s="1"/>
  <c r="K55" i="8"/>
  <c r="N63" i="8"/>
  <c r="N66" i="8"/>
  <c r="K67" i="8"/>
  <c r="N44" i="8"/>
  <c r="K45" i="8"/>
  <c r="J117" i="8"/>
  <c r="N97" i="8"/>
  <c r="O97" i="8" s="1"/>
  <c r="N36" i="8"/>
  <c r="O33" i="8"/>
  <c r="O36" i="8" s="1"/>
  <c r="N83" i="8"/>
  <c r="K85" i="8"/>
  <c r="O31" i="8"/>
  <c r="O32" i="8" s="1"/>
  <c r="N99" i="8"/>
  <c r="O99" i="8" s="1"/>
  <c r="O61" i="8"/>
  <c r="N56" i="8"/>
  <c r="K59" i="8"/>
  <c r="N47" i="8"/>
  <c r="O46" i="8"/>
  <c r="O47" i="8" s="1"/>
  <c r="M116" i="8"/>
  <c r="N41" i="8"/>
  <c r="O40" i="8"/>
  <c r="O41" i="8" s="1"/>
  <c r="N110" i="8"/>
  <c r="O110" i="8" s="1"/>
  <c r="N89" i="8"/>
  <c r="K116" i="8"/>
  <c r="K17" i="8"/>
  <c r="N14" i="8"/>
  <c r="N86" i="8"/>
  <c r="K87" i="8"/>
  <c r="O13" i="8" l="1"/>
  <c r="K13" i="9"/>
  <c r="R19" i="8"/>
  <c r="N10" i="10" s="1"/>
  <c r="N15" i="10" s="1"/>
  <c r="Q19" i="8"/>
  <c r="O63" i="8"/>
  <c r="O65" i="8" s="1"/>
  <c r="N65" i="8"/>
  <c r="O50" i="8"/>
  <c r="N50" i="8"/>
  <c r="O20" i="8"/>
  <c r="O26" i="8" s="1"/>
  <c r="N13" i="8"/>
  <c r="O68" i="8"/>
  <c r="N82" i="8"/>
  <c r="N43" i="8"/>
  <c r="O42" i="8"/>
  <c r="O43" i="8" s="1"/>
  <c r="N55" i="8"/>
  <c r="O53" i="8"/>
  <c r="O55" i="8" s="1"/>
  <c r="O38" i="8"/>
  <c r="O39" i="8" s="1"/>
  <c r="K117" i="8"/>
  <c r="N85" i="8"/>
  <c r="O83" i="8"/>
  <c r="O85" i="8" s="1"/>
  <c r="M117" i="8"/>
  <c r="N59" i="8"/>
  <c r="O56" i="8"/>
  <c r="O59" i="8" s="1"/>
  <c r="N67" i="8"/>
  <c r="O66" i="8"/>
  <c r="O67" i="8" s="1"/>
  <c r="O69" i="8"/>
  <c r="O82" i="8" s="1"/>
  <c r="S14" i="8" s="1"/>
  <c r="N17" i="8"/>
  <c r="O14" i="8"/>
  <c r="O17" i="8" s="1"/>
  <c r="N87" i="8"/>
  <c r="O86" i="8"/>
  <c r="O87" i="8" s="1"/>
  <c r="N116" i="8"/>
  <c r="O89" i="8"/>
  <c r="O116" i="8" s="1"/>
  <c r="N45" i="8"/>
  <c r="O44" i="8"/>
  <c r="O45" i="8" s="1"/>
  <c r="Q26" i="8" l="1"/>
  <c r="F10" i="16"/>
  <c r="H44" i="9"/>
  <c r="H45" i="9" s="1"/>
  <c r="K42" i="9"/>
  <c r="H19" i="17"/>
  <c r="C25" i="17" s="1"/>
  <c r="K18" i="9"/>
  <c r="O117" i="8"/>
  <c r="N117" i="8"/>
  <c r="G9" i="16" l="1"/>
  <c r="H55" i="10"/>
  <c r="H58" i="10" s="1"/>
  <c r="C33" i="17"/>
  <c r="H27" i="17" s="1"/>
  <c r="U102" i="6"/>
  <c r="T102" i="6"/>
  <c r="S102" i="6"/>
  <c r="R102" i="6"/>
  <c r="F12" i="16" l="1"/>
  <c r="Y101" i="6"/>
  <c r="Y100" i="6"/>
  <c r="Y99" i="6"/>
  <c r="Y98" i="6"/>
  <c r="Y97" i="6"/>
  <c r="Y96" i="6"/>
  <c r="Y95" i="6"/>
  <c r="Y94" i="6"/>
  <c r="Y93" i="6"/>
  <c r="Y92" i="6"/>
  <c r="Y91" i="6"/>
  <c r="Y90" i="6"/>
  <c r="Y89" i="6"/>
  <c r="Y88" i="6"/>
  <c r="Y87" i="6"/>
  <c r="Y86" i="6"/>
  <c r="Y85" i="6"/>
  <c r="Y84" i="6"/>
  <c r="Y83" i="6"/>
  <c r="Y82" i="6"/>
  <c r="Y81" i="6"/>
  <c r="Y80" i="6"/>
  <c r="Y79" i="6"/>
  <c r="Y78" i="6"/>
  <c r="Y77" i="6"/>
  <c r="Y76" i="6"/>
  <c r="Y75" i="6"/>
  <c r="Y74" i="6"/>
  <c r="Y73" i="6"/>
  <c r="Y72" i="6"/>
  <c r="Y71" i="6"/>
  <c r="Y70" i="6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Y4" i="6"/>
  <c r="Y3" i="6"/>
  <c r="Y2" i="6"/>
  <c r="F102" i="6"/>
  <c r="V102" i="6"/>
  <c r="Q102" i="6"/>
  <c r="P102" i="6"/>
  <c r="O102" i="6"/>
  <c r="N102" i="6"/>
  <c r="M102" i="6"/>
  <c r="L102" i="6"/>
  <c r="K102" i="6"/>
  <c r="J102" i="6"/>
  <c r="I102" i="6"/>
  <c r="H102" i="6"/>
  <c r="G102" i="6"/>
  <c r="E102" i="6"/>
  <c r="D102" i="6"/>
  <c r="C102" i="6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I11" i="7" s="1"/>
  <c r="H10" i="7"/>
  <c r="H9" i="7"/>
  <c r="H8" i="7"/>
  <c r="H7" i="7"/>
  <c r="H6" i="7"/>
  <c r="H5" i="7"/>
  <c r="I5" i="7" s="1"/>
  <c r="G11" i="16" l="1"/>
  <c r="F23" i="16"/>
  <c r="Y102" i="6"/>
  <c r="Q17" i="7"/>
  <c r="G23" i="16" l="1"/>
  <c r="H8" i="16"/>
  <c r="M9" i="7" l="1"/>
  <c r="N9" i="7" s="1"/>
  <c r="E41" i="7"/>
  <c r="G42" i="7"/>
  <c r="M11" i="7" s="1"/>
  <c r="N11" i="7" s="1"/>
  <c r="F42" i="7"/>
  <c r="M10" i="7" s="1"/>
  <c r="N10" i="7" s="1"/>
  <c r="D42" i="7"/>
  <c r="M8" i="7" s="1"/>
  <c r="N8" i="7" s="1"/>
  <c r="C42" i="7"/>
  <c r="M7" i="7" s="1"/>
  <c r="M17" i="7" s="1"/>
  <c r="M24" i="7" s="1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U12" i="7" s="1"/>
  <c r="I14" i="7"/>
  <c r="I13" i="7"/>
  <c r="I12" i="7"/>
  <c r="I10" i="7"/>
  <c r="I9" i="7"/>
  <c r="I8" i="7"/>
  <c r="I7" i="7"/>
  <c r="I6" i="7"/>
  <c r="U11" i="7" l="1"/>
  <c r="I42" i="7"/>
  <c r="C44" i="7" s="1"/>
  <c r="C47" i="7" s="1"/>
  <c r="H59" i="10" s="1"/>
  <c r="H64" i="10" s="1"/>
  <c r="H65" i="10" s="1"/>
  <c r="H42" i="7"/>
  <c r="N7" i="7"/>
  <c r="N17" i="7" s="1"/>
  <c r="M26" i="7" s="1"/>
  <c r="M28" i="7" s="1"/>
  <c r="Q29" i="7" s="1"/>
  <c r="Q30" i="7" s="1"/>
  <c r="L53" i="2" l="1"/>
  <c r="C53" i="2" l="1"/>
  <c r="E59" i="2"/>
  <c r="O59" i="2" s="1"/>
  <c r="E55" i="2"/>
  <c r="O55" i="2" s="1"/>
  <c r="E50" i="2"/>
  <c r="E52" i="2" s="1"/>
  <c r="N53" i="2" l="1"/>
  <c r="M53" i="2"/>
  <c r="K53" i="2"/>
  <c r="J53" i="2"/>
  <c r="I53" i="2"/>
  <c r="H53" i="2"/>
  <c r="G53" i="2"/>
  <c r="F53" i="2"/>
  <c r="E53" i="2"/>
  <c r="D53" i="2"/>
  <c r="O53" i="2" s="1"/>
  <c r="N50" i="2" l="1"/>
  <c r="N52" i="2" s="1"/>
  <c r="M50" i="2"/>
  <c r="M52" i="2" s="1"/>
  <c r="L50" i="2"/>
  <c r="L52" i="2" s="1"/>
  <c r="K50" i="2"/>
  <c r="K52" i="2" s="1"/>
  <c r="J50" i="2"/>
  <c r="J52" i="2" s="1"/>
  <c r="I50" i="2"/>
  <c r="I52" i="2" s="1"/>
  <c r="H50" i="2"/>
  <c r="H52" i="2" s="1"/>
  <c r="G50" i="2"/>
  <c r="G52" i="2" s="1"/>
  <c r="F50" i="2"/>
  <c r="F52" i="2" s="1"/>
  <c r="D50" i="2"/>
  <c r="D52" i="2" s="1"/>
  <c r="C50" i="2"/>
  <c r="C52" i="2" l="1"/>
  <c r="O52" i="2" s="1"/>
  <c r="O66" i="2" s="1"/>
  <c r="O50" i="2"/>
</calcChain>
</file>

<file path=xl/sharedStrings.xml><?xml version="1.0" encoding="utf-8"?>
<sst xmlns="http://schemas.openxmlformats.org/spreadsheetml/2006/main" count="2397" uniqueCount="988">
  <si>
    <t>COMERCIOS</t>
  </si>
  <si>
    <t>INDUSTRIAS</t>
  </si>
  <si>
    <t>FINANCIERAS</t>
  </si>
  <si>
    <t>SERVICIOS</t>
  </si>
  <si>
    <t>BARES Y RESTAURANTES</t>
  </si>
  <si>
    <t>SERVICIOS DE ESPARCIMIENTO</t>
  </si>
  <si>
    <t>TRANSPORTE</t>
  </si>
  <si>
    <t>VALLAS PUBLICITARIAS</t>
  </si>
  <si>
    <t>VIALIDAD</t>
  </si>
  <si>
    <t>IMPUESTOS MUNICIPALES DIVERSOS</t>
  </si>
  <si>
    <t>POR SERVICIOS DE CERTIFICACION O VISADO DE DOCUMENTOS</t>
  </si>
  <si>
    <t>POR EXPEDICION DE DOCUMENTOS DE IDENTIFICACION</t>
  </si>
  <si>
    <t>POR ACCESO A LUGARES PUBLICOS</t>
  </si>
  <si>
    <t>ALUMBRADO PUBLICO</t>
  </si>
  <si>
    <t>ASEO PUBLICO</t>
  </si>
  <si>
    <t>CASETAS TELEFONICAS</t>
  </si>
  <si>
    <t>CEMENTERIOS MUNICIPALES</t>
  </si>
  <si>
    <t>DESECHOS</t>
  </si>
  <si>
    <t>ESTACIONAMIENTOS Y PARQUIMETROS</t>
  </si>
  <si>
    <t xml:space="preserve"> 5% FIESTAS PATRONALES</t>
  </si>
  <si>
    <t>PAVIMENTACION</t>
  </si>
  <si>
    <t>POSTES, TORRES Y ANTENAS</t>
  </si>
  <si>
    <t>BAÑOS Y LAVADEROS PUBLICOS</t>
  </si>
  <si>
    <t>PERMISOS Y LICENCIAS MUNICIPALES</t>
  </si>
  <si>
    <t>COTEJO DE FIERROS</t>
  </si>
  <si>
    <t>SERVICIOS DIVERSOS</t>
  </si>
  <si>
    <t>ARRENDAMIENTOS BIENES INMUEBLES</t>
  </si>
  <si>
    <t>ARRENDAMIENTO DE BIENES DIVERSOS</t>
  </si>
  <si>
    <t>MULTAS POR MORA DE IMPUESTOS</t>
  </si>
  <si>
    <t>INTERESES POR MORA DE IMPUESTOS</t>
  </si>
  <si>
    <t>MULTAS POR DECLARACION EXTEMPORANEA</t>
  </si>
  <si>
    <t>MULTAS DEL REGISTRO ESTADO FAM.</t>
  </si>
  <si>
    <t>OTRAS MULTAS MUNICIPALES</t>
  </si>
  <si>
    <t>INGRESOS DIVERSOS</t>
  </si>
  <si>
    <t>TOTAL INGRESO ANUAL</t>
  </si>
  <si>
    <t>MERCADOS MUNICIPALES PUESTOS FIJOS</t>
  </si>
  <si>
    <t>VENTA DE BIENES DIVERSOS (ABONO ORGANICO)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</si>
  <si>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</si>
  <si>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</si>
  <si>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</si>
  <si>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</si>
  <si>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</si>
  <si>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</si>
  <si>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</si>
  <si>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</si>
  <si>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</si>
  <si>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</si>
  <si>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NOVIEMBRE</t>
  </si>
  <si>
    <t>DICIEMBRE</t>
  </si>
  <si>
    <t>FUNCIONAMIENTO 25% FODES ENERO 2016</t>
  </si>
  <si>
    <t>INGRESOS PERCIBIDOS DE ENERO A DICIEMBRE DEL 2016</t>
  </si>
  <si>
    <t>MUNICIPALIDAD DE SUCHITOTO, DEPARTAMENTO DE CUSCATLAN</t>
  </si>
  <si>
    <t>INVERSION 75% FODES ENERO 2016</t>
  </si>
  <si>
    <t>TOTAL DE INGRESOS PROPIOS…………………………</t>
  </si>
  <si>
    <t>TOTAL FONDOS FODES……………………………………….</t>
  </si>
  <si>
    <t>De Organismos sin Fines de Lucro (CONCERTACION DE MUJERES, donativo para proy.agua Pueblo Viejo)</t>
  </si>
  <si>
    <t>MINISTERIO DE HACIENDA (2o.DESEMBOLSO PROY.FORTALECIMIENTO GOBIERNOS LOCALES PFGL COMPONENTE 2)</t>
  </si>
  <si>
    <t>TOTAL FONDOS PFGL……………………………………….</t>
  </si>
  <si>
    <t>TOTAL FONDOS DONATIVO PROY. AGUA PUEBLO VIEJO…………………………………</t>
  </si>
  <si>
    <t>DEUDORES MONETARIOS X PERCIBIR (RECUPERACION DE MORA)</t>
  </si>
  <si>
    <t>AGOSTO</t>
  </si>
  <si>
    <t>CODIGO</t>
  </si>
  <si>
    <t>CONCEPTO</t>
  </si>
  <si>
    <t xml:space="preserve">FISDL  (SEGUNDO DESEMBOLSO PARA PROY. AMPLIACION DEL SISTEMA DE AGUA POTABLE CANTON SAN JUAN SECTOR LOS ACOSTA, EL ZAPOTILLO Y CALLE ANTIGUA </t>
  </si>
  <si>
    <t>TOTAL FONDOS FISDL SISTEMA AGUA POTABLE</t>
  </si>
  <si>
    <t>TOTALES</t>
  </si>
  <si>
    <t>ASOCIACION DE DESARROLLO COMUNAL SITIO CENICERO (CONSTR.SISTEMA SANEAMIENTO SERVICIO DE LAVAR, FOSA SEPTICA, BIOJARDINERA CENTRO ESCOLAR SITIO CENICERO)</t>
  </si>
  <si>
    <t>RASTRO Y TIANGUE  MPAL.</t>
  </si>
  <si>
    <t>TOTAL FONDOS APORTE ASOCIACION COMUNAL SITIO CENICERO SISTEMA SANEAMIENTO, FOSA SEPTICA Y BIOJARDINERA CENTRO ESCOLA.</t>
  </si>
  <si>
    <t>TOTAL FONDOS FISDL SIST.AGUA POTABLE CANTON SAN JUAN, SECTOR LOS ACOSTA EL ZAPOTILLO Y CALLE ANTIGUA……………………………………….</t>
  </si>
  <si>
    <t>TOTAL FONDOS ISNA PARA CEMUDI</t>
  </si>
  <si>
    <t>APORTE DEL ISNA PARA CEMUDI</t>
  </si>
  <si>
    <t>RENTABILIDAD DE CUENTAS BANCARIAS</t>
  </si>
  <si>
    <t>EXPRESION PRESUPUESTARIA</t>
  </si>
  <si>
    <t>ESPECIFICO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</si>
  <si>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</si>
  <si>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</si>
  <si>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</si>
  <si>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</si>
  <si>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</si>
  <si>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</si>
  <si>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</si>
  <si>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</si>
  <si>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51201</t>
  </si>
  <si>
    <t>SUELDOS POR JORNAL</t>
  </si>
  <si>
    <t>51203</t>
  </si>
  <si>
    <t>HORAS EXTRAORDINARIAS</t>
  </si>
  <si>
    <t>BENEFICIOS EXTRAORDINARIAS</t>
  </si>
  <si>
    <t>51401</t>
  </si>
  <si>
    <t>CONTRIB PAT.INST.SEG.PUB</t>
  </si>
  <si>
    <t>51501</t>
  </si>
  <si>
    <t>CONTRIB PAT.INST.SEG.PRIV.</t>
  </si>
  <si>
    <t>POR PRESTACION SERV.EN EL PAIS</t>
  </si>
  <si>
    <t>PRESTACION SERV.EN EL EXTERIOR</t>
  </si>
  <si>
    <t>AL PERSONAL SERVICIO PERMANENTE</t>
  </si>
  <si>
    <t>AL PERSONAL SERVICIO EVENTUAL</t>
  </si>
  <si>
    <t>REMUNERACIONES DIVERSAS</t>
  </si>
  <si>
    <t>HONORARIOS</t>
  </si>
  <si>
    <t>PRODUCTOS ALIMENTICIOS P/PERSONAS</t>
  </si>
  <si>
    <t>PRODUCTOS AGROPECUARIOS Y FORESTAL</t>
  </si>
  <si>
    <t>PRODUCTOS TEXTILES Y VESTUARIOS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</si>
  <si>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</si>
  <si>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</si>
  <si>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</si>
  <si>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</si>
  <si>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</si>
  <si>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COMBUSTIBLES</t>
  </si>
  <si>
    <t>MINERALES NO METALICOS Y PROD.DERIVADOS</t>
  </si>
  <si>
    <t>MINERALES METALICOS Y PRODUCTOS DERV.</t>
  </si>
  <si>
    <t>MATERIALES DE OFICINA</t>
  </si>
  <si>
    <t>MATERIALES INFORMATICOS</t>
  </si>
  <si>
    <t>LIBROS, TEXTOS, UTILES Y PUBLICACIONES</t>
  </si>
  <si>
    <t>MATERIALES DE DEFENSA Y SEG.PUBLICA</t>
  </si>
  <si>
    <t>HERRAMIENTAS, REPUESTOS Y ACCESOR.</t>
  </si>
  <si>
    <t>MATERIALES ELECTRICOS</t>
  </si>
  <si>
    <t>ESPECIES MUNICIPALES DIVERSAS</t>
  </si>
  <si>
    <t>BIENES DE USO Y CONSUMO DIVERSO</t>
  </si>
  <si>
    <t>ENERGIA ELECTRICA</t>
  </si>
  <si>
    <t>SERVICIO DE AGUA</t>
  </si>
  <si>
    <t>TELECOMUNICACIONES</t>
  </si>
  <si>
    <t>CORREOS</t>
  </si>
  <si>
    <t>MANT.REPARACION BIENES MUEBLES</t>
  </si>
  <si>
    <t>MANT.REPARACION DE VEHICULOS</t>
  </si>
  <si>
    <t>MANT. REPARACION BIENES INMUEBLES</t>
  </si>
  <si>
    <t>TRANSPORTES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</si>
  <si>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</si>
  <si>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</si>
  <si>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</si>
  <si>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</si>
  <si>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</si>
  <si>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</si>
  <si>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IMPRESIONES, PUBLICAC. Y REPRODUC.</t>
  </si>
  <si>
    <t>ARRENDAMIENTO DE BIENES MUEBLES</t>
  </si>
  <si>
    <t>ARRENDAMIENTO DE BIENES INMUEBLE</t>
  </si>
  <si>
    <t>ATENCIONES OFICIALES</t>
  </si>
  <si>
    <t>ARRENDAMIENTO DE BIENES INTANGIBLES</t>
  </si>
  <si>
    <t>SERVICIOS GENERALES DIVERSOS</t>
  </si>
  <si>
    <t>PASAJES AL INTERIOR</t>
  </si>
  <si>
    <t>VIATICOS POR COMISION EXTERNA</t>
  </si>
  <si>
    <t>VIATICOS AL INTERIOR</t>
  </si>
  <si>
    <t>SERVICIOS MEDICOS</t>
  </si>
  <si>
    <t>SERVICIOS JURIDICOS</t>
  </si>
  <si>
    <t>SERVICIOS DE CAPACITACION</t>
  </si>
  <si>
    <t>DESARROLLOS INFORMATICOS</t>
  </si>
  <si>
    <t>CONSULTORIAS,ESTUDIOS E INVESTIGACIONES</t>
  </si>
  <si>
    <t>ESTUDIOS E INVESTIGACIONES</t>
  </si>
  <si>
    <t>DE EMPRESAS PRIVADAS FINANCIERAS</t>
  </si>
  <si>
    <t>IMPUESTOS,TASAS Y DERECHOS DIVERSOS</t>
  </si>
  <si>
    <t>PRIMAS Y GASTOS SEGUROS DE PERSONAS</t>
  </si>
  <si>
    <t>PRIMAS Y GASTOS SEGUROS DE BIENES</t>
  </si>
  <si>
    <t>COMISION Y GASTOS BANCARIOS</t>
  </si>
  <si>
    <t>GASTOS DIVERSOS</t>
  </si>
  <si>
    <t>TRANSFERENCIAS CORRIENTES</t>
  </si>
  <si>
    <t>ORGANISMOS SIN FINES DE LUCRO</t>
  </si>
  <si>
    <t>A PERSONAS NATURALES</t>
  </si>
  <si>
    <t>BECAS</t>
  </si>
  <si>
    <t xml:space="preserve">MOBILIARIOS </t>
  </si>
  <si>
    <t>MAQUINARIA Y EQUIPO</t>
  </si>
  <si>
    <t>VEHICULOS DE TRANSPORTE</t>
  </si>
  <si>
    <t>EQUIPOS INFORMATICOS</t>
  </si>
  <si>
    <t>BIENES MUEBLES DIVERSOS</t>
  </si>
  <si>
    <t>TERRENOS</t>
  </si>
  <si>
    <t>PROYECTOS DE CONSTRUCCIONES</t>
  </si>
  <si>
    <t>PROYECTOS DE AMPLIACIONES</t>
  </si>
  <si>
    <t>PROYECTO  DE INVERSION SOCIAL</t>
  </si>
  <si>
    <t>PROYECTOS Y PROGRAMAS  INVERSION DIVERSO</t>
  </si>
  <si>
    <t>VIALES</t>
  </si>
  <si>
    <t>DE SALUD Y SANEAMIENTO AMBIENTAL</t>
  </si>
  <si>
    <t>DE EDUCACION Y RECREACION</t>
  </si>
  <si>
    <t>DE VIVIENDAS Y OFICINAS</t>
  </si>
  <si>
    <t>ELECTRICAS Y COMUNICACIONES</t>
  </si>
  <si>
    <t>DE PRODUCCION DE BIENES Y SERVICIOS</t>
  </si>
  <si>
    <t>SUPERVISION DE INFRAESTRUCTURAS</t>
  </si>
  <si>
    <t>OBRAS DE INFRAESTRUCTURA DIVERSA</t>
  </si>
  <si>
    <t>TRANSFERENCIAS DE CAPITAL AL SECTOR PUBLICO</t>
  </si>
  <si>
    <t>EMPRESTITOS DE EMPRESAS PRIVADAS FINANCIERAS</t>
  </si>
  <si>
    <t>CUENTAS X PAGAR AÑOS ANTERIORES</t>
  </si>
  <si>
    <t>ALCALDIA MUNICIPAL DE SUCHITOTO. DEPARTAMENTO DE CUSCATLAN</t>
  </si>
  <si>
    <t>COD</t>
  </si>
  <si>
    <t>CUENTA DE INGRESOS</t>
  </si>
  <si>
    <t>PROYECCION DE INGRESOS POR METODO DE</t>
  </si>
  <si>
    <t>LOS MINIMOS CUADRADOS</t>
  </si>
  <si>
    <t>X</t>
  </si>
  <si>
    <t>n</t>
  </si>
  <si>
    <t>Y</t>
  </si>
  <si>
    <t>XY</t>
  </si>
  <si>
    <t>a=</t>
  </si>
  <si>
    <t>MERCADOS MUNICIPALES</t>
  </si>
  <si>
    <t>b=</t>
  </si>
  <si>
    <t>X = 3</t>
  </si>
  <si>
    <t>RASTRO Y TIANGUE</t>
  </si>
  <si>
    <t>i=</t>
  </si>
  <si>
    <t>Porcentaje de</t>
  </si>
  <si>
    <t>crecimiento de</t>
  </si>
  <si>
    <t>los Ingresos</t>
  </si>
  <si>
    <t>VENTA DE BIENES DIVERSOS (DESECHOS SOLIDOS)</t>
  </si>
  <si>
    <t>DEUDORES MONETARIOS X PERCIBIR (MORA)</t>
  </si>
  <si>
    <t>INGRESOS CORRIENTES REALES DE 2012/2016</t>
  </si>
  <si>
    <t>PROYECCION DE INGRESOS CORRIENTES PARA EL AÑO 2017</t>
  </si>
  <si>
    <t>Y2016</t>
  </si>
  <si>
    <t>OFICINA MUNICIPAL DE LA MUJER</t>
  </si>
  <si>
    <t>UDEL</t>
  </si>
  <si>
    <t>TESORERIA</t>
  </si>
  <si>
    <t>UNIDAD DE PROYECTOS</t>
  </si>
  <si>
    <t>REG. Y CONTROL TRIBUTARIO</t>
  </si>
  <si>
    <t>RECURSOS HUMANOS</t>
  </si>
  <si>
    <t>CARTAS DE VENTA</t>
  </si>
  <si>
    <t>ASEM</t>
  </si>
  <si>
    <t>CUENTAS CORRIENTES Y COBRO DE MORA</t>
  </si>
  <si>
    <t>PROVEEDURIA</t>
  </si>
  <si>
    <t>ARCHIVO MUNICIPAL</t>
  </si>
  <si>
    <t>UNIDAD JURIDICA</t>
  </si>
  <si>
    <t>OFICINA MUNICIPAL DE TURISMO</t>
  </si>
  <si>
    <t>UNIDAD DE MEDIO AMBIENTE</t>
  </si>
  <si>
    <t>REGISTRO DEL ESTADO FAMILIAR</t>
  </si>
  <si>
    <t>UNIDAD DE COMUNICACIONES</t>
  </si>
  <si>
    <t>ALCALDIA MUNCIPAL DE SUCHITOTO, DEPARTAMENTO DE CUSCATLAN.</t>
  </si>
  <si>
    <t>No.</t>
  </si>
  <si>
    <t xml:space="preserve">Nombres del Empleado     </t>
  </si>
  <si>
    <t>Cargo o Puesto</t>
  </si>
  <si>
    <t>Depto.</t>
  </si>
  <si>
    <t>sub- Linea</t>
  </si>
  <si>
    <t xml:space="preserve">SALARIO   </t>
  </si>
  <si>
    <t xml:space="preserve">PRESTA-CIONES </t>
  </si>
  <si>
    <t>Aportes Por Contribuciones Patronales</t>
  </si>
  <si>
    <t>Seg.Soc.Priv.</t>
  </si>
  <si>
    <t>Seguridad Social Publica</t>
  </si>
  <si>
    <t>Mensual</t>
  </si>
  <si>
    <t xml:space="preserve">AUMENTO </t>
  </si>
  <si>
    <t>Anual</t>
  </si>
  <si>
    <t>Aguinaldo</t>
  </si>
  <si>
    <t>AFP,s 6.75%</t>
  </si>
  <si>
    <t>INPEP 6.50%</t>
  </si>
  <si>
    <t>ISSS 7.5%</t>
  </si>
  <si>
    <t>Total</t>
  </si>
  <si>
    <t>Pedrina Rivera Hernandez</t>
  </si>
  <si>
    <t>Alcaldesa Municipal</t>
  </si>
  <si>
    <t>Despacho</t>
  </si>
  <si>
    <t>0101</t>
  </si>
  <si>
    <t>Jose Fredy duran Rivas</t>
  </si>
  <si>
    <t>Sindico Municipal</t>
  </si>
  <si>
    <t>Secretario Municipal</t>
  </si>
  <si>
    <t>Secretaria</t>
  </si>
  <si>
    <t>Carmen Elizabeth Marín Mejía</t>
  </si>
  <si>
    <t>Auxiliar de Secretaría</t>
  </si>
  <si>
    <t>Secretaria Desp.</t>
  </si>
  <si>
    <t>Mauricio Hernández</t>
  </si>
  <si>
    <t xml:space="preserve">Tecnico Proy.rurales </t>
  </si>
  <si>
    <t xml:space="preserve">juridico </t>
  </si>
  <si>
    <t>TOTAL……………………………</t>
  </si>
  <si>
    <t>Marcos Ismael De Paz Abrego</t>
  </si>
  <si>
    <t>Conserje</t>
  </si>
  <si>
    <t>0102</t>
  </si>
  <si>
    <t>Teresa de Jesús León v. de Flamenco</t>
  </si>
  <si>
    <t>Carlos López Martínez</t>
  </si>
  <si>
    <t>Motorista</t>
  </si>
  <si>
    <t>Auditor Interno</t>
  </si>
  <si>
    <t>Baltazar Sorto Bautista</t>
  </si>
  <si>
    <t>Sub-Jefe Policía Mpal.</t>
  </si>
  <si>
    <t>Jesús Otsmaro Marroquín Ventura</t>
  </si>
  <si>
    <t>Agente Policía Mpal.</t>
  </si>
  <si>
    <t>Miguel de Jesus Paz</t>
  </si>
  <si>
    <t>Josefa del Carmen Olmedo</t>
  </si>
  <si>
    <t>Fidel Alfonso Lopez Herrera.</t>
  </si>
  <si>
    <t>Wilfredo Mejia Alas</t>
  </si>
  <si>
    <t>jefe de Recursos H</t>
  </si>
  <si>
    <t>Atencion al cliente</t>
  </si>
  <si>
    <t>Jose Abel Otero</t>
  </si>
  <si>
    <t>Oscar Omar Belloso Alvarenga</t>
  </si>
  <si>
    <t>Archivo Municipal</t>
  </si>
  <si>
    <t>Blanca Deysi Monge Rivera</t>
  </si>
  <si>
    <t>Tesorera Municipal</t>
  </si>
  <si>
    <t>Tesoreria</t>
  </si>
  <si>
    <t>Shirley Mabel Bográn de Chávez</t>
  </si>
  <si>
    <t>Cajera</t>
  </si>
  <si>
    <t>Tesorería</t>
  </si>
  <si>
    <t>Yanira Guadalupe Ardón de Minero</t>
  </si>
  <si>
    <t>Auxiliar de Tesorería</t>
  </si>
  <si>
    <t>Martha Gloribel González V. de Chávez</t>
  </si>
  <si>
    <t>Contadora Municipal y Presupuesto</t>
  </si>
  <si>
    <t>Contabilidad</t>
  </si>
  <si>
    <t>0202</t>
  </si>
  <si>
    <t>Fanny Beatríz Monge de Guzmán</t>
  </si>
  <si>
    <t>Auxiliar Contabilidad</t>
  </si>
  <si>
    <t>Sonia Leonor Alas de Rivera</t>
  </si>
  <si>
    <t>Ctas.Ctes.y cobro mora</t>
  </si>
  <si>
    <t>Catastro</t>
  </si>
  <si>
    <t>Luis Antonio Paz Cárcamo</t>
  </si>
  <si>
    <t>Enc.Reg.y Control Trib.</t>
  </si>
  <si>
    <t>Sandra Beatriz Galdamez Ceron</t>
  </si>
  <si>
    <t>Enc.Cartas de Venta</t>
  </si>
  <si>
    <t xml:space="preserve">      Tiangue</t>
  </si>
  <si>
    <t>Cristina del Carmen Olmedo R.</t>
  </si>
  <si>
    <t>Bibliotecaria Municipal</t>
  </si>
  <si>
    <t>Lilian Concepción Merino</t>
  </si>
  <si>
    <t>Enc. UMM</t>
  </si>
  <si>
    <t>Udelia Guadalupe Vásquez Reyes</t>
  </si>
  <si>
    <t>Admora.Proyect.AECI</t>
  </si>
  <si>
    <t>Encargado UACI</t>
  </si>
  <si>
    <t>UACI</t>
  </si>
  <si>
    <t>Annel Onil Iraheta Rivera</t>
  </si>
  <si>
    <t>Auxiliar de la UACI.</t>
  </si>
  <si>
    <t>Enc. De Proveeduría</t>
  </si>
  <si>
    <t>Otilio Martir Ayala</t>
  </si>
  <si>
    <t>Enc.Activo Fijo y Proveeduria</t>
  </si>
  <si>
    <t>Jose Antonio Gomez Guzman</t>
  </si>
  <si>
    <t>UTPM</t>
  </si>
  <si>
    <t>Xenia Guadalupe Rodas</t>
  </si>
  <si>
    <t>Encargada de Control Urbano</t>
  </si>
  <si>
    <t>TECNICO EN PROY.</t>
  </si>
  <si>
    <t>Verónica Graciela Ramírez</t>
  </si>
  <si>
    <t>Promotora Ambiental</t>
  </si>
  <si>
    <t>Unidad Ambiental</t>
  </si>
  <si>
    <t>Concepción Yesenia Juárez Ayala</t>
  </si>
  <si>
    <t>Santiago de Jesús Joachín Cordero</t>
  </si>
  <si>
    <t>Enc.Planta Desechos S.</t>
  </si>
  <si>
    <t>Leonidas Antonio Bonilla</t>
  </si>
  <si>
    <t>Enc. Minicargador</t>
  </si>
  <si>
    <t>Miguel Angel Duran Batres</t>
  </si>
  <si>
    <t>Oficina de Turismo</t>
  </si>
  <si>
    <t>Modesto Elio León Espinoza</t>
  </si>
  <si>
    <t>Admor.Puerto San J.</t>
  </si>
  <si>
    <t>Puerto San Juan</t>
  </si>
  <si>
    <t>Elizabeth Constante Orellana</t>
  </si>
  <si>
    <t xml:space="preserve">Ordenanza  </t>
  </si>
  <si>
    <t>José Ayala Pineda</t>
  </si>
  <si>
    <t>Ordenanza</t>
  </si>
  <si>
    <t>Mirian Esperanza Olmedo</t>
  </si>
  <si>
    <t>Cobradora Puerto S.J.</t>
  </si>
  <si>
    <t>María Magdalena Casco</t>
  </si>
  <si>
    <t>José Benedicto Madrid Rodas</t>
  </si>
  <si>
    <t>Wiliam Ermidio Rivas</t>
  </si>
  <si>
    <t>Gloria Espeanza Mancia</t>
  </si>
  <si>
    <t>Oscar Mauricio Ramos Henriquez</t>
  </si>
  <si>
    <t>Mtto. De Piscinas</t>
  </si>
  <si>
    <t>Jose Edwin Hernandez Gamez</t>
  </si>
  <si>
    <t>Javier de Jesus Henriquez Sanchez</t>
  </si>
  <si>
    <t>Oscar Mauricio Menjivar Alvarado</t>
  </si>
  <si>
    <t>Marta Maura Rivas de Gámez</t>
  </si>
  <si>
    <t>Enc.Registro Estado F.</t>
  </si>
  <si>
    <t>Reg.Estado Fam.</t>
  </si>
  <si>
    <t>Silvia Elizabeth Pastrán de Alas</t>
  </si>
  <si>
    <t>Auxiliar Reg.E. Fam.</t>
  </si>
  <si>
    <t>Toribio Emilio Rivera</t>
  </si>
  <si>
    <t>Promotor Social</t>
  </si>
  <si>
    <t>Servicios Mpales.</t>
  </si>
  <si>
    <t>Rolando Antonio Alas Galdamez</t>
  </si>
  <si>
    <t>María Magdalena Cañas</t>
  </si>
  <si>
    <t>Felícito Castillo Recínos</t>
  </si>
  <si>
    <t>Motorista Tren de Aseo</t>
  </si>
  <si>
    <t>Facundo de Dolores García</t>
  </si>
  <si>
    <t>Andrés Vásquez Pérez</t>
  </si>
  <si>
    <t>Mozo Tren de Aseo</t>
  </si>
  <si>
    <t>Jose Luis Coto Guevara</t>
  </si>
  <si>
    <t>Encargado Parques</t>
  </si>
  <si>
    <t>Juan José Acosta Rudamas</t>
  </si>
  <si>
    <t>Barrido de Calles</t>
  </si>
  <si>
    <t>Roberto Antonio Alas</t>
  </si>
  <si>
    <t>Miguel Angel Benitez Cisneros</t>
  </si>
  <si>
    <t>Electricista</t>
  </si>
  <si>
    <t>Pedro Juan Cañas Torres</t>
  </si>
  <si>
    <t>Aux.Motoniveladora</t>
  </si>
  <si>
    <t>Jose´Leonardo Coca Guardado</t>
  </si>
  <si>
    <t>Marcial Ruíz Vanegas</t>
  </si>
  <si>
    <t>Matarife</t>
  </si>
  <si>
    <t>Rastro y Tiangue</t>
  </si>
  <si>
    <t>Jose Oliverio Valladares</t>
  </si>
  <si>
    <t>José Florentino Peraza</t>
  </si>
  <si>
    <t>Custodio Cementerio</t>
  </si>
  <si>
    <t xml:space="preserve">Walter Rolando Menjivar Salinas </t>
  </si>
  <si>
    <t>Operador de Retroexcabadora</t>
  </si>
  <si>
    <t>Efraín Guzman Estrada</t>
  </si>
  <si>
    <t>Operador Retroexcabadora</t>
  </si>
  <si>
    <t>Esmeralda Margareth Zamora</t>
  </si>
  <si>
    <t>Enc. baños Mercado</t>
  </si>
  <si>
    <t>xxxxxxxxxxxxx</t>
  </si>
  <si>
    <t>Gerente</t>
  </si>
  <si>
    <t>Maria de los Angeles Velasco</t>
  </si>
  <si>
    <t>TV MPAL</t>
  </si>
  <si>
    <t>Heriberto de Jesús Casco</t>
  </si>
  <si>
    <t>TOTAL REMUNERACIONES</t>
  </si>
  <si>
    <t>HONORARIOS CONCEJALES</t>
  </si>
  <si>
    <t>Concejo</t>
  </si>
  <si>
    <t>Aport.Patron.INSAFOR 1% s/planilla ISSS</t>
  </si>
  <si>
    <t>Elias Bemjamin Castillo Rodriguez</t>
  </si>
  <si>
    <t>Jose Baldemar Granados</t>
  </si>
  <si>
    <t>Proyección de Recursos Humanos para el Año 2017</t>
  </si>
  <si>
    <t>ANEXO 4.1</t>
  </si>
  <si>
    <t>DEPARTAMENTO DE CUSCATLAN</t>
  </si>
  <si>
    <t>ALCALDIA MUNICIPAL DE SUCHITOTO</t>
  </si>
  <si>
    <t>FORMULACION DEL PRESUPUESTO MUNICIPAL DE EGRESOS</t>
  </si>
  <si>
    <t>AÑO 2016</t>
  </si>
  <si>
    <t>(En Dolares de los Estados Unidos de América)</t>
  </si>
  <si>
    <t>PRESUPUESTO MUNICIPAL DE FUNCIONAMIENTO POR ESTRUCTURA PRESUPUESTARIA</t>
  </si>
  <si>
    <t>FUENTE O SUBFUENTE DE FINANCIAMIENTO:          FONDOS FODES 25%</t>
  </si>
  <si>
    <t>ESTRUCTURA PRESUPUESTARIA</t>
  </si>
  <si>
    <t>(7) DENOMINACIÓN</t>
  </si>
  <si>
    <t>(8) MONTO</t>
  </si>
  <si>
    <t>(1) Area de Gestión</t>
  </si>
  <si>
    <t>(2) Unidd Presupuestaria</t>
  </si>
  <si>
    <t>(3) Linea de Trabajo</t>
  </si>
  <si>
    <t>(4) Fuente de Financiamiento</t>
  </si>
  <si>
    <t>(5) Subfuente de Financiamiento</t>
  </si>
  <si>
    <t>(6) Objeto Específico</t>
  </si>
  <si>
    <t>01</t>
  </si>
  <si>
    <t>1</t>
  </si>
  <si>
    <t>110</t>
  </si>
  <si>
    <t>REMUNERACIONES A EVENTUALES</t>
  </si>
  <si>
    <t>´PRODUCTOS ALIMENTICIOS PARA PERSONAS</t>
  </si>
  <si>
    <t>PRODUCTOS DE PAPEL Y CARTON</t>
  </si>
  <si>
    <t>LLANTAS Y NEUMANTICOS</t>
  </si>
  <si>
    <t>COMBUSTIBLES Y LUBRICANTES</t>
  </si>
  <si>
    <t>SERVICIOS DE AGUA POTABLE</t>
  </si>
  <si>
    <t>SERVICIOS DE TELECOMUNICACIONES</t>
  </si>
  <si>
    <t>PRIMAS Y SEGUROS DE BIENES</t>
  </si>
  <si>
    <t>(9) TOTAL GASTOS</t>
  </si>
  <si>
    <t>AÑO 2017</t>
  </si>
  <si>
    <t>FUENTE O SUBFUENTE DE FINANCIAMIENTO: Recursos Propios</t>
  </si>
  <si>
    <t>02</t>
  </si>
  <si>
    <t>2</t>
  </si>
  <si>
    <t>000</t>
  </si>
  <si>
    <t>Sueldos</t>
  </si>
  <si>
    <t>Aguinaldos</t>
  </si>
  <si>
    <t>Beneficios Adicionales</t>
  </si>
  <si>
    <t>Sueldos Eventuales</t>
  </si>
  <si>
    <t>Horas Extraordinarias</t>
  </si>
  <si>
    <t>Indemnizaciones al Personal Permanente</t>
  </si>
  <si>
    <t>Honorarios</t>
  </si>
  <si>
    <t>Productos Alimenticios para Personas</t>
  </si>
  <si>
    <t>Productos textiles y vestuarios</t>
  </si>
  <si>
    <t>Productos de papel y Carton</t>
  </si>
  <si>
    <t>Productos de cuero y caucho</t>
  </si>
  <si>
    <t>Productos quimicos</t>
  </si>
  <si>
    <t>Llantas y Neumaticos</t>
  </si>
  <si>
    <t>Combustibles y Lubricantes</t>
  </si>
  <si>
    <t>Miner. No Metalicos y Prod. Der.</t>
  </si>
  <si>
    <t>Miner. Metalicos y Prod. Der.</t>
  </si>
  <si>
    <t>Materiales de Oficina</t>
  </si>
  <si>
    <t>Materiales Informaticos</t>
  </si>
  <si>
    <t>Libros, textos, utilles de enseñanza y publicaciones</t>
  </si>
  <si>
    <t>Herramientas, Rep. Y Acces.</t>
  </si>
  <si>
    <t>Materiales Electricos</t>
  </si>
  <si>
    <t>Bienes de usos y consumo diversos</t>
  </si>
  <si>
    <t>Servicios de Energia Electrica</t>
  </si>
  <si>
    <t>Servicios de Agua</t>
  </si>
  <si>
    <t>Servicios de Telecomunicaciones</t>
  </si>
  <si>
    <t>Mant. Y Repar. De Bs. Muebles</t>
  </si>
  <si>
    <t>Mant. Y Repar. De Vehiculos</t>
  </si>
  <si>
    <t>Mant. Y Repar. De Bs. Inmuebles</t>
  </si>
  <si>
    <t>Transportes, Fletes y Almacenamientos</t>
  </si>
  <si>
    <t>Servicio de Limpieza y Fumig.</t>
  </si>
  <si>
    <t>Impresiones, Publicaciones y Reproducciones</t>
  </si>
  <si>
    <t>Atenciones Oficiales</t>
  </si>
  <si>
    <t>Arrendamiento de bienes inmuebles</t>
  </si>
  <si>
    <t>Viaticos por comision interna</t>
  </si>
  <si>
    <t>Primas y gastos seguros de personas</t>
  </si>
  <si>
    <t>Primas y gastos seguros de vehiculos</t>
  </si>
  <si>
    <t>Comisiones y Gastos bancarios</t>
  </si>
  <si>
    <t>A personas Naturales</t>
  </si>
  <si>
    <t>Mobiliarios</t>
  </si>
  <si>
    <t>Maquinarias y equipos</t>
  </si>
  <si>
    <t>Equipos informaticos</t>
  </si>
  <si>
    <t>61105</t>
  </si>
  <si>
    <t>Vehiculos de Transporte</t>
  </si>
  <si>
    <t>61199</t>
  </si>
  <si>
    <t>Bienes Muebles diversos</t>
  </si>
  <si>
    <t>ANEXO 4.2</t>
  </si>
  <si>
    <t>sueldos a eventuales</t>
  </si>
  <si>
    <t>Por Remuneraciones Permanentes Seguridad Publica</t>
  </si>
  <si>
    <t>Por Remuneraciones Permanentes Seguridad privada</t>
  </si>
  <si>
    <t>Remuneraciones Diversas</t>
  </si>
  <si>
    <t>Productos Quimicos</t>
  </si>
  <si>
    <t>FUENTE O SUBFUENTE DE FINANCIAMIENTO: PUERTO SAN JUAN (FONDOS PROPIOS)</t>
  </si>
  <si>
    <t>FUENTE O SUBFUENTE DE FINANCIAMIENTO:      FONDOS DONACIONES</t>
  </si>
  <si>
    <t>03</t>
  </si>
  <si>
    <t>111</t>
  </si>
  <si>
    <t>FUENTE O SUBFUENTE DE FINANCIAMIENTO:      FONDOS FODES 75%      INVERSION</t>
  </si>
  <si>
    <t>61201</t>
  </si>
  <si>
    <t>61601</t>
  </si>
  <si>
    <t xml:space="preserve"> VIALES</t>
  </si>
  <si>
    <t>61602</t>
  </si>
  <si>
    <t>ELECTRICAS Y DE COMUNICACIONES</t>
  </si>
  <si>
    <t>DE SUPERVISION DE INFRAESTRUCTURAS</t>
  </si>
  <si>
    <t>OBRAS DE INFRAESTRUCTURAS DIVERAS</t>
  </si>
  <si>
    <t>FUENTE O SUBFUENTE DE FINANCIAMIENTO:  FONDOS FODES   5%    PREINVERSION</t>
  </si>
  <si>
    <t>61501</t>
  </si>
  <si>
    <t>CONSTRUCCION</t>
  </si>
  <si>
    <t>61502</t>
  </si>
  <si>
    <t>AMPLIACIONES</t>
  </si>
  <si>
    <t>61503</t>
  </si>
  <si>
    <t>INVERSION SOCIAL</t>
  </si>
  <si>
    <t>61599</t>
  </si>
  <si>
    <t>INVERSIONES DIVERSAS</t>
  </si>
  <si>
    <t>Osmin Gomez Ramirez</t>
  </si>
  <si>
    <t>Walter Antonio Menjivar Castillo</t>
  </si>
  <si>
    <t>Pedro de Jesus López Arias</t>
  </si>
  <si>
    <t>Agente del CAM</t>
  </si>
  <si>
    <t>Sandra Guadalupe Lemus Raimundo</t>
  </si>
  <si>
    <t>Cristian Geovanni Zamora</t>
  </si>
  <si>
    <t>Administrador Mercado</t>
  </si>
  <si>
    <t>Jef Servicios Grales</t>
  </si>
  <si>
    <t>Flor Idalba Siguenza Atiga</t>
  </si>
  <si>
    <t>Auxiliar del Mercado</t>
  </si>
  <si>
    <t>Jose Orfilio Miranda Alvarado</t>
  </si>
  <si>
    <t>Mozo Servicios Grales.</t>
  </si>
  <si>
    <t>Orlando de Jesus Garcia Coto</t>
  </si>
  <si>
    <t>Manuel Rigoberto Echeveria Mejia</t>
  </si>
  <si>
    <t>Mozo de Aseo</t>
  </si>
  <si>
    <t>Luz de Maria Gomez de M.</t>
  </si>
  <si>
    <t>Jose Alejandro Cortez Mejia</t>
  </si>
  <si>
    <t>Carolina Azucena Gomez Mendoza</t>
  </si>
  <si>
    <t>Enc.Ofina Medio Ambiente</t>
  </si>
  <si>
    <t xml:space="preserve"> David Alfredo Molina</t>
  </si>
  <si>
    <t>fondo mpal</t>
  </si>
  <si>
    <t>puerto san juan</t>
  </si>
  <si>
    <t>PUERTO SAN JUAN</t>
  </si>
  <si>
    <t>U A C  I</t>
  </si>
  <si>
    <t>BIBLIOTECA PUBLICA MUNICIPAL</t>
  </si>
  <si>
    <t>SINDICATURA</t>
  </si>
  <si>
    <t>CONTABILIDAD MPAL.</t>
  </si>
  <si>
    <t>SERVICIOS GENERALES</t>
  </si>
  <si>
    <t>Sueldos por Jornal</t>
  </si>
  <si>
    <t>Produtos textiles y vestuarios</t>
  </si>
  <si>
    <t>Arrendamiento de Inmuebles</t>
  </si>
  <si>
    <t>Atencions Oficiales</t>
  </si>
  <si>
    <t>54317</t>
  </si>
  <si>
    <t>PROYECCION INGRESOS</t>
  </si>
  <si>
    <t>SALDO BANCO AL 31-10-2016</t>
  </si>
  <si>
    <t xml:space="preserve">ALCALDIA MUNICIPAL DE SUCHITOTO </t>
  </si>
  <si>
    <t>INGRESOS</t>
  </si>
  <si>
    <t>FONDO GENERAL Y DONACIONES</t>
  </si>
  <si>
    <t>INGRESOS CORRIENTES</t>
  </si>
  <si>
    <t>EGRESOS</t>
  </si>
  <si>
    <t>GASTOS DE CAPITAL</t>
  </si>
  <si>
    <t>GASTOS CORRIENTES</t>
  </si>
  <si>
    <t>RESUMEN GENERAL DEL PRESUPUESTO DEL AÑO 2017</t>
  </si>
  <si>
    <t>PRESUPUESTO MUNICIPAL POR AREAS DE GESTION</t>
  </si>
  <si>
    <t>ALCALDIA MUNICIPAL DE SUCHITOTO, DEPARTAMENTO DE CUSCATLAN</t>
  </si>
  <si>
    <t>EJERCICIO FISCAL 2016</t>
  </si>
  <si>
    <t>CUADRO RESUMEN</t>
  </si>
  <si>
    <t>PRESUPUESTO DE EGRESOS POR</t>
  </si>
  <si>
    <t>CLASIFICACIONES ECONOMICAS DE GASTO</t>
  </si>
  <si>
    <t>En dolares de Estados Unidos de America</t>
  </si>
  <si>
    <t>21</t>
  </si>
  <si>
    <t>22</t>
  </si>
  <si>
    <t>23</t>
  </si>
  <si>
    <t>APLICACIONES FINANCIERAS</t>
  </si>
  <si>
    <t>CUADRO RESUMEN POR FUENTE DE FINANCIAMIENTO</t>
  </si>
  <si>
    <t>N°</t>
  </si>
  <si>
    <t>FUENTE</t>
  </si>
  <si>
    <t>FONDO GENERAL</t>
  </si>
  <si>
    <t>FONDOS PROPIOS</t>
  </si>
  <si>
    <t>FONDOS DONACIONES</t>
  </si>
  <si>
    <t>PRESTAMOS INTERNOS</t>
  </si>
  <si>
    <t>EJERCICIO FISCAL 2017</t>
  </si>
  <si>
    <t>PRESUPUESTO DE INGRESOS</t>
  </si>
  <si>
    <t>CLASIFICACIONES POR RUBRO DE INGRESOS</t>
  </si>
  <si>
    <t xml:space="preserve">IMPUESTOS  </t>
  </si>
  <si>
    <t>TASAS Y DERECHOS</t>
  </si>
  <si>
    <t>VENTA DE BIENES DIVERSOS</t>
  </si>
  <si>
    <t>INGRESOS FINANCIEROS Y OTROS</t>
  </si>
  <si>
    <t xml:space="preserve">TRANSFERENCIAS CORRIENTES  </t>
  </si>
  <si>
    <t>VENTA DE ACTIVOS FIJOS</t>
  </si>
  <si>
    <t>DEUDORES MONETARIOS POR PERCIBIR</t>
  </si>
  <si>
    <t xml:space="preserve">TRANSFERENCIAS DE CAPITAL </t>
  </si>
  <si>
    <t>SALDOS DE AÑOS ANTERIORES</t>
  </si>
  <si>
    <t>PRESUPUESTO DE EGRESOS</t>
  </si>
  <si>
    <t>CLASIFICACIONES POR RUBRO DE EGRESOS</t>
  </si>
  <si>
    <t>REMUNERACIONES</t>
  </si>
  <si>
    <t>ADQUISICIONES DE BIENES Y SERVICIOS</t>
  </si>
  <si>
    <t>GASTOS FINANCIEROS Y OTROS</t>
  </si>
  <si>
    <t>61</t>
  </si>
  <si>
    <t>INVERSIONES EN ACTIVOS FIJOS</t>
  </si>
  <si>
    <t>ASIGNACIONES POR APLICAR</t>
  </si>
  <si>
    <t>ALCALDIA MUNICIPAL DE SUCHITOTO, DPTO. DE CUSCATLAN</t>
  </si>
  <si>
    <t>PRESUPUESTO DE EGRESOS POR ESTRUCTURA PRESUPUESTARIA</t>
  </si>
  <si>
    <t>AREA DE GESTION</t>
  </si>
  <si>
    <t>UNIDAD PRESUPUESTARIA</t>
  </si>
  <si>
    <t>FUENTE DE FINANCIAMIENTO</t>
  </si>
  <si>
    <t>LINEA DE</t>
  </si>
  <si>
    <t>Sub-tot</t>
  </si>
  <si>
    <t>TRABAJO</t>
  </si>
  <si>
    <t>ADMINISTRACION MUNICIPAL</t>
  </si>
  <si>
    <t>DIRECCION Y ADMINISTRACION SUPERIOR</t>
  </si>
  <si>
    <t>SERVICIOS MUNICIPALES</t>
  </si>
  <si>
    <t>0201</t>
  </si>
  <si>
    <t>ADMON,FINANCIERA, TRIBUTARIA Y SERVICIOS GENERALES</t>
  </si>
  <si>
    <t>CENTRO TURISTICO PUERTO SAN JUAN</t>
  </si>
  <si>
    <t>INVERSION PARA EL DESARROLLO SOCIAL</t>
  </si>
  <si>
    <t>0301</t>
  </si>
  <si>
    <t>PRE-INVERSION</t>
  </si>
  <si>
    <t>0302</t>
  </si>
  <si>
    <t>PROY.DESARROLLO SOCIAL</t>
  </si>
  <si>
    <t>DONACIONES</t>
  </si>
  <si>
    <t>0</t>
  </si>
  <si>
    <t>0303</t>
  </si>
  <si>
    <t>FINANCIAMIENTO MUNICIPAL</t>
  </si>
  <si>
    <t>05</t>
  </si>
  <si>
    <t>0501</t>
  </si>
  <si>
    <t>FINANCIAMIENTO DE LA  DEUDA</t>
  </si>
  <si>
    <t>FORTALECIMIENTO DE GOBIERNOS LOCALES</t>
  </si>
  <si>
    <t>0601</t>
  </si>
  <si>
    <t>FORMULACIÓN DEL PRESUPUESTO MUNICIPAL DE INGRESOS</t>
  </si>
  <si>
    <t>(En Dolares de los Estados Unidos de America)</t>
  </si>
  <si>
    <t>DETALLE CONSOLIDADO DE INGRESOS POR ESPECIFICO Y FUENTE DE FINANCIAMIENTO</t>
  </si>
  <si>
    <t>(1) Objeto Específico</t>
  </si>
  <si>
    <t>(2) DENOMINACION</t>
  </si>
  <si>
    <t>(3) Fondo General</t>
  </si>
  <si>
    <t>(9) Fondos Propios</t>
  </si>
  <si>
    <t>(10) Préstamos Externos</t>
  </si>
  <si>
    <t>(11) Préstamos Internos</t>
  </si>
  <si>
    <t>(12) Donaciones</t>
  </si>
  <si>
    <t xml:space="preserve">(13) T O T A L  </t>
  </si>
  <si>
    <t>(4) FODES</t>
  </si>
  <si>
    <t>(7) OTROS</t>
  </si>
  <si>
    <t>(8) SUBTOTAL</t>
  </si>
  <si>
    <t>(5) Funcionamiento</t>
  </si>
  <si>
    <t>(6) Inversión</t>
  </si>
  <si>
    <t>Ej.: FISDL</t>
  </si>
  <si>
    <t>11801</t>
  </si>
  <si>
    <t>De Comercio</t>
  </si>
  <si>
    <t>11802</t>
  </si>
  <si>
    <t>De Industria</t>
  </si>
  <si>
    <t>11803</t>
  </si>
  <si>
    <t>Financieras</t>
  </si>
  <si>
    <t>11804</t>
  </si>
  <si>
    <t>De Servicios</t>
  </si>
  <si>
    <t>Bares y Restaurantes</t>
  </si>
  <si>
    <t>Servicios de esparcimiento</t>
  </si>
  <si>
    <t>Transporte</t>
  </si>
  <si>
    <t>Vallas Publicitarias</t>
  </si>
  <si>
    <t>Vialidades</t>
  </si>
  <si>
    <t>Impuestos Municipales Diversos</t>
  </si>
  <si>
    <t>Por Servicio de Certificación o Visado de Documentos</t>
  </si>
  <si>
    <t>Por expedicion de documentos de Identidad</t>
  </si>
  <si>
    <t>Por acceso a Lugares Publicos</t>
  </si>
  <si>
    <t>Alumbrado Público</t>
  </si>
  <si>
    <t>12109</t>
  </si>
  <si>
    <t>Aseo Público</t>
  </si>
  <si>
    <t>12111</t>
  </si>
  <si>
    <t>Cementerios Municipales</t>
  </si>
  <si>
    <t>12112</t>
  </si>
  <si>
    <t>Desechos Solidos</t>
  </si>
  <si>
    <t>12113</t>
  </si>
  <si>
    <t>Estacionamientos y Parquimetros</t>
  </si>
  <si>
    <t>12114</t>
  </si>
  <si>
    <t>5% Fiestas Patronales</t>
  </si>
  <si>
    <t>12115</t>
  </si>
  <si>
    <t>Mercados Municipales</t>
  </si>
  <si>
    <t>12117</t>
  </si>
  <si>
    <t>Pavimentacion</t>
  </si>
  <si>
    <t>12118</t>
  </si>
  <si>
    <t>Postes, Torres y Antenas</t>
  </si>
  <si>
    <t>12119</t>
  </si>
  <si>
    <t>Rastro y Tiange</t>
  </si>
  <si>
    <t>12123</t>
  </si>
  <si>
    <t>Baños y Lavaderos Publicos</t>
  </si>
  <si>
    <t>12210</t>
  </si>
  <si>
    <t>Permisos y Licencias Municipales</t>
  </si>
  <si>
    <t>12211</t>
  </si>
  <si>
    <t>Cotejo de Fierros</t>
  </si>
  <si>
    <t>14299</t>
  </si>
  <si>
    <t>Servicios Diversos</t>
  </si>
  <si>
    <t>14399</t>
  </si>
  <si>
    <t>De Bienes Diversos (abono organico)</t>
  </si>
  <si>
    <t>15301</t>
  </si>
  <si>
    <t>Multa por Mora de Impuestos</t>
  </si>
  <si>
    <t>15302</t>
  </si>
  <si>
    <t>Intereses por Mora de Impuestos</t>
  </si>
  <si>
    <t>15312</t>
  </si>
  <si>
    <t>Multas del Registro del Estado Fam,</t>
  </si>
  <si>
    <t>15314</t>
  </si>
  <si>
    <t>Otras Multas Municipales</t>
  </si>
  <si>
    <t>15402</t>
  </si>
  <si>
    <t>Arrendamientos de bienes inmuebles</t>
  </si>
  <si>
    <t>15799</t>
  </si>
  <si>
    <t>Ingesos Diversos</t>
  </si>
  <si>
    <t>16201</t>
  </si>
  <si>
    <t>Transf. Ctes. Del S.P.</t>
  </si>
  <si>
    <t>21201</t>
  </si>
  <si>
    <t>Venta de Terrenos</t>
  </si>
  <si>
    <t>21389</t>
  </si>
  <si>
    <t>D.M. x percibir</t>
  </si>
  <si>
    <t>22201</t>
  </si>
  <si>
    <t>Transf. De Capital del S.P.</t>
  </si>
  <si>
    <t>22404</t>
  </si>
  <si>
    <t>De Org.Multilaterales</t>
  </si>
  <si>
    <t>22405</t>
  </si>
  <si>
    <t>De Org. Sin Fines de Lucro</t>
  </si>
  <si>
    <t>22551</t>
  </si>
  <si>
    <t>32102</t>
  </si>
  <si>
    <t>Saldos en banco</t>
  </si>
  <si>
    <t>(14) TOTAL INGRESOS</t>
  </si>
  <si>
    <t>INSUMOS BASICOS:</t>
  </si>
  <si>
    <t>1. BASE DE GENERACION DE AVISOS DE CONTRIBUYENTES</t>
  </si>
  <si>
    <t>2. HISTORIAL DE RECUPERACION DE MOROSIDAD</t>
  </si>
  <si>
    <t>3. HISTORIAL DE SALDOS BANCARIOS</t>
  </si>
  <si>
    <t>4. TRANSFERENCIAS GOES</t>
  </si>
  <si>
    <t>5. INFORME DE CREDITOS SOLICITADOS</t>
  </si>
  <si>
    <t>6. DONACIONES</t>
  </si>
  <si>
    <t>Indicaciones para llenado de ANEXO 3</t>
  </si>
  <si>
    <r>
      <t>(1)</t>
    </r>
    <r>
      <rPr>
        <sz val="10"/>
        <rFont val="Trebuchet MS"/>
        <family val="2"/>
      </rPr>
      <t>: Se detallará el objeto específico al que se asigne el ingreso estimado</t>
    </r>
  </si>
  <si>
    <r>
      <t>(8)</t>
    </r>
    <r>
      <rPr>
        <sz val="10"/>
        <rFont val="Trebuchet MS"/>
        <family val="2"/>
      </rPr>
      <t>: Registra la sumatoria de los valores ingresados en las columnas 5,6 y 7</t>
    </r>
  </si>
  <si>
    <r>
      <t>(2)</t>
    </r>
    <r>
      <rPr>
        <sz val="10"/>
        <rFont val="Trebuchet MS"/>
        <family val="2"/>
      </rPr>
      <t>: Se describe el nombre del objeto especifico  a utilizar</t>
    </r>
  </si>
  <si>
    <r>
      <t>(9)</t>
    </r>
    <r>
      <rPr>
        <sz val="10"/>
        <rFont val="Trebuchet MS"/>
        <family val="2"/>
      </rPr>
      <t>: Comprende los ingresos presupuestados como fondos propios.</t>
    </r>
  </si>
  <si>
    <r>
      <t>(3)</t>
    </r>
    <r>
      <rPr>
        <sz val="10"/>
        <rFont val="Trebuchet MS"/>
        <family val="2"/>
      </rPr>
      <t xml:space="preserve">: Columna dode se detallarán los recursos percibidos como Fondo General </t>
    </r>
  </si>
  <si>
    <r>
      <t>(10)</t>
    </r>
    <r>
      <rPr>
        <sz val="10"/>
        <rFont val="Trebuchet MS"/>
        <family val="2"/>
      </rPr>
      <t>: Se detallarán los ingresos bajo el concepto de Prestamos Externos</t>
    </r>
  </si>
  <si>
    <t xml:space="preserve">         de sus diferentes subfuentes de financiamiento</t>
  </si>
  <si>
    <r>
      <t>(11)</t>
    </r>
    <r>
      <rPr>
        <sz val="10"/>
        <rFont val="Trebuchet MS"/>
        <family val="2"/>
      </rPr>
      <t>: Registra los ingresos presupuestados como Prestamos Internos</t>
    </r>
  </si>
  <si>
    <r>
      <t>(4)</t>
    </r>
    <r>
      <rPr>
        <sz val="10"/>
        <rFont val="Trebuchet MS"/>
        <family val="2"/>
      </rPr>
      <t>: Columna que detallarà ingresos FODES por funcionamiento e inversión.</t>
    </r>
  </si>
  <si>
    <r>
      <t>(12)</t>
    </r>
    <r>
      <rPr>
        <sz val="10"/>
        <rFont val="Trebuchet MS"/>
        <family val="2"/>
      </rPr>
      <t xml:space="preserve">: Detallará los ingresos previstos que se percibirán como Donaciones </t>
    </r>
  </si>
  <si>
    <r>
      <t>(5)</t>
    </r>
    <r>
      <rPr>
        <sz val="10"/>
        <rFont val="Trebuchet MS"/>
        <family val="2"/>
      </rPr>
      <t>: Se detallarán ingresos FODES para gastos por funcionamiento</t>
    </r>
  </si>
  <si>
    <r>
      <t>(13)</t>
    </r>
    <r>
      <rPr>
        <sz val="10"/>
        <rFont val="Trebuchet MS"/>
        <family val="2"/>
      </rPr>
      <t xml:space="preserve">: Reflejará la sumatoria de los montos de todos los ingresos detallados </t>
    </r>
  </si>
  <si>
    <r>
      <t>(6)</t>
    </r>
    <r>
      <rPr>
        <sz val="10"/>
        <rFont val="Trebuchet MS"/>
        <family val="2"/>
      </rPr>
      <t>: Se detallarán ingresos FODES para inversión</t>
    </r>
  </si>
  <si>
    <t xml:space="preserve">             en las columnas 8,9,10, 11 y 12 por cada especifico presupuestario</t>
  </si>
  <si>
    <r>
      <t>(7)</t>
    </r>
    <r>
      <rPr>
        <sz val="10"/>
        <rFont val="Trebuchet MS"/>
        <family val="2"/>
      </rPr>
      <t>: Seutilizará para detallar otros ingresos del Fondo General, por ejemplo  FISDL</t>
    </r>
  </si>
  <si>
    <r>
      <t>(14)</t>
    </r>
    <r>
      <rPr>
        <sz val="10"/>
        <rFont val="Trebuchet MS"/>
        <family val="2"/>
      </rPr>
      <t xml:space="preserve">: Incluye la sumatoria total de cada Fuente y Subfuente de Financiamiento </t>
    </r>
  </si>
  <si>
    <t>12110</t>
  </si>
  <si>
    <t>Casetas Telefonicas</t>
  </si>
  <si>
    <t>15310</t>
  </si>
  <si>
    <t>Multas por declaracion extemporanea</t>
  </si>
  <si>
    <t>Beneficios adicionales</t>
  </si>
  <si>
    <t>ANEXO 4.3</t>
  </si>
  <si>
    <t>PRESUPUESTO MUNICIPAL DEL SERVICIO DE LA DEUDA POR ESTRUCTURA PRESUPUESTARIA</t>
  </si>
  <si>
    <t>71308</t>
  </si>
  <si>
    <t>De Empresas Financieras</t>
  </si>
  <si>
    <t>55308</t>
  </si>
  <si>
    <t>(9) T O T A L   GASTOS</t>
  </si>
  <si>
    <t>1. ESTRUCTURA PRESUPUESTARIA APROBADA</t>
  </si>
  <si>
    <t>2. AMORTIZACION DE LA DEUDA PUBLICA MUNICIPAL</t>
  </si>
  <si>
    <t>Indicaciones para llenado de ANEXO 4.3</t>
  </si>
  <si>
    <r>
      <t>(1)</t>
    </r>
    <r>
      <rPr>
        <sz val="10"/>
        <rFont val="Trebuchet MS"/>
        <family val="2"/>
      </rPr>
      <t>: Se detallará el Área de Gestión donde se clasificará el egreso a realizar</t>
    </r>
  </si>
  <si>
    <r>
      <t>(2)</t>
    </r>
    <r>
      <rPr>
        <sz val="10"/>
        <rFont val="Trebuchet MS"/>
        <family val="2"/>
      </rPr>
      <t>: Registrará el código de la Unidad presupuestaria a la cual han sido asignados los montos presupuestarios</t>
    </r>
  </si>
  <si>
    <r>
      <t>(3)</t>
    </r>
    <r>
      <rPr>
        <sz val="10"/>
        <rFont val="Trebuchet MS"/>
        <family val="2"/>
      </rPr>
      <t>: Se detalla la Linea de Trabajo a la que se aplicarán los egresos</t>
    </r>
  </si>
  <si>
    <r>
      <t>(4)</t>
    </r>
    <r>
      <rPr>
        <sz val="10"/>
        <rFont val="Trebuchet MS"/>
        <family val="2"/>
      </rPr>
      <t>: Se detalla la Fuente de Financiamiento con la que se pagarán los desembolsos por Servicio de la Deuda</t>
    </r>
  </si>
  <si>
    <r>
      <t>(5)</t>
    </r>
    <r>
      <rPr>
        <sz val="10"/>
        <rFont val="Trebuchet MS"/>
        <family val="2"/>
      </rPr>
      <t xml:space="preserve">: Se debe identificar el destino de los fondos transferidos por entes del Estado, si es Recurso Propio se completa con ceros. </t>
    </r>
  </si>
  <si>
    <r>
      <t>(6)</t>
    </r>
    <r>
      <rPr>
        <sz val="10"/>
        <rFont val="Trebuchet MS"/>
        <family val="2"/>
      </rPr>
      <t>: Se detallará el objeto específico de gasto al que se asigne el egreso estimado</t>
    </r>
  </si>
  <si>
    <r>
      <t>(7)</t>
    </r>
    <r>
      <rPr>
        <sz val="10"/>
        <rFont val="Trebuchet MS"/>
        <family val="2"/>
      </rPr>
      <t>: Se escribe el nombre del objeto especifico de gasto a utilizar</t>
    </r>
  </si>
  <si>
    <r>
      <t>(8)</t>
    </r>
    <r>
      <rPr>
        <sz val="10"/>
        <rFont val="Trebuchet MS"/>
        <family val="2"/>
      </rPr>
      <t xml:space="preserve">: Incluye el monto asignado por especifico presupuestario de gastos de todos los elementos de la Estructura Presupuestaria </t>
    </r>
  </si>
  <si>
    <r>
      <t>(9)</t>
    </r>
    <r>
      <rPr>
        <sz val="10"/>
        <rFont val="Trebuchet MS"/>
        <family val="2"/>
      </rPr>
      <t xml:space="preserve">: Incluye la sumatoria de todos los especificos presupuestarios de gastos que integran lo asignado al Servicio de la Deuda </t>
    </r>
  </si>
  <si>
    <t>LISTADO DE PROYECTOS A EJECUTARSE EN EL AÑO 2017</t>
  </si>
  <si>
    <t>MUNICIPALIDAD DE SUCHITOTO</t>
  </si>
  <si>
    <t xml:space="preserve">PREINVERSION  5 %                         </t>
  </si>
  <si>
    <t>MONTO PARA EL 2017</t>
  </si>
  <si>
    <t>NOMBRE DEL PROYECTO</t>
  </si>
  <si>
    <t>MONTO ASIGNADO</t>
  </si>
  <si>
    <t>NOMBRE DE LOS PROYECTOS A EJECUTAR EN CADA ZONA</t>
  </si>
  <si>
    <t>Costruccion</t>
  </si>
  <si>
    <t>Ampliaciones</t>
  </si>
  <si>
    <t>Inversiones Social</t>
  </si>
  <si>
    <t>Inversiones Diversos</t>
  </si>
  <si>
    <t>TOTAL………………………………………………………………………………………...……………</t>
  </si>
  <si>
    <t xml:space="preserve">70% FODES       </t>
  </si>
  <si>
    <t>61601- PROYECTOS VIALES</t>
  </si>
  <si>
    <t>No. PROYECTO</t>
  </si>
  <si>
    <t>MONTO ASIGNADO 2016</t>
  </si>
  <si>
    <t>CONSTRUCCION TRAMO DE CALLE ESTANZUELAS</t>
  </si>
  <si>
    <t>CONSTRUCCION TRAMO DE EMPEDRADO FRAGUADO CALLE  COMUNIDAD ICHANQUEZO</t>
  </si>
  <si>
    <t>$10, 000.00</t>
  </si>
  <si>
    <t>CONTRAPARTIDA MOP</t>
  </si>
  <si>
    <t>EMPEDRADOS FRAGUADOS COLIMA</t>
  </si>
  <si>
    <t>EMPEDRADOS FRAGUADOS LA BERMUDA</t>
  </si>
  <si>
    <t>EMPEDADOS FRAGUADOS MILINGO</t>
  </si>
  <si>
    <t>EMPEDRADO FRAGUADO EN CANTON COPAPAYO Y CAULOTE</t>
  </si>
  <si>
    <t>MEJORAS A CALLE COROZAL</t>
  </si>
  <si>
    <t>OPERACIÓN Y MANTENIMIENTO DE MAQUINARIA</t>
  </si>
  <si>
    <t>61602- PROYECTOS DE  SALUD Y SANEAMIENTO AMBIENTAL</t>
  </si>
  <si>
    <t xml:space="preserve">PROYECTO CAMPAÑA DE LIMPIEZA EN LA ZONA URBANA Y RURAL. </t>
  </si>
  <si>
    <t>RECOLECCION DE BASURA, OPERACIÓN Y MTTO DE RELLENO SANITARIO Y PLANTA COMPOSTAJE</t>
  </si>
  <si>
    <t>GESTION DE RIESGOS, PROTECCION CIVIL Y FUNCIONAMIENTO COEM</t>
  </si>
  <si>
    <t>PROMOCION DE LA SALUD</t>
  </si>
  <si>
    <t>61603- PROYECTOS DE EDUCACION Y RECREACION</t>
  </si>
  <si>
    <t>APOYO A LA JUVENTUD POR MEDIO DE ACTIVIDADES DEPORTIVAS, MUNICIPIO SUCHITOTO, DEPARTAMENTO DE CUSCATLAN</t>
  </si>
  <si>
    <t>CONSTRUCCION CANCHA DEPORTIVA II FASE COL. NUEVA SUCHITOTO</t>
  </si>
  <si>
    <t>CANCHA SANTA EDUVIGUES  II fase</t>
  </si>
  <si>
    <t>CERCA PERIMETRAL, CANCHA LAS AMERICAS</t>
  </si>
  <si>
    <t>CANCHA DE BASQUETBOL, AGUA CALIENTE</t>
  </si>
  <si>
    <t>CERCA PERIMETRAL CANCHA ZACAMIL I</t>
  </si>
  <si>
    <t xml:space="preserve">APOYO A LA ALFABETIZACION </t>
  </si>
  <si>
    <t xml:space="preserve">CEMUDI </t>
  </si>
  <si>
    <t>NIÑEZ Y ADOLESCENCIA</t>
  </si>
  <si>
    <t>APOYO A LA EDUCACION SUPERIOR</t>
  </si>
  <si>
    <t>61604- PROYECTOS DE VIVIENDAS Y OFICINAS</t>
  </si>
  <si>
    <t>CONSTRUCCION DE I FASE CASA COMUNAL SAN ANTONIO</t>
  </si>
  <si>
    <t>VIVIENDA PROVISIONAL</t>
  </si>
  <si>
    <t xml:space="preserve">MEJORAS AL EDIFICIO PUERTO SAN JUAN </t>
  </si>
  <si>
    <t xml:space="preserve">MEJORAS AL TECHO DE LA CASA COMUNAL CAULOTE </t>
  </si>
  <si>
    <t>61606- PROYECTOS  ELECTRICOS Y DE COMUNICACIONES.</t>
  </si>
  <si>
    <t>OPERACIÓN Y MANTENIMIENTO DE ALUMBRADO PUBLICO 2017</t>
  </si>
  <si>
    <t>ENERGIA ELETRICA LA CEIBITA</t>
  </si>
  <si>
    <t xml:space="preserve">Alumbrado publico, URBANO Y RURAL </t>
  </si>
  <si>
    <t>61608- SUPERVISION DE INFRAESTRUCTURAS</t>
  </si>
  <si>
    <t>SUPERVISION DE PROYECTOS</t>
  </si>
  <si>
    <t>61699- PROYECTOS DE INFRAESTRUCTURAS DIVERSAS</t>
  </si>
  <si>
    <t>EJECUCION DE LA POLITICA DE EQUIDAD DE GENERO</t>
  </si>
  <si>
    <t xml:space="preserve"> IMPLEMENTACION DE LA POLITICA MUNICIPAL AGROPECUARIA CON ENFOQUE DE GENERO</t>
  </si>
  <si>
    <t>ACTIVIDADES FESTIVAS Y CULTURALES DE SUCHITOTO 2017</t>
  </si>
  <si>
    <t>ACTIVIDADES CULTURALES ANIVERSARIO DE SUCHITOTO.</t>
  </si>
  <si>
    <t>SEGURIDAD (FUNCIONAMIENTO DEL COMITÉ MUNICIPAL DE PREVENCION  DE LA VIOLENCIA)Y PARTICIPACION CIUDADANA</t>
  </si>
  <si>
    <t>PROYECTO CONTRAPARTIDA DE TURISMO</t>
  </si>
  <si>
    <t>PROYECTO DE PROMOCION Y APOYO A LA CULTURA Y EL TURISMO EN SUCHITOTO</t>
  </si>
  <si>
    <t>APOYO A PERSONAS CON DISCAPACIDAD</t>
  </si>
  <si>
    <t>ESCUELAS INTEGRALES DE CULTURA DE PAZ</t>
  </si>
  <si>
    <t>61201- BIENES INMUEBLES</t>
  </si>
  <si>
    <t>ADQUISICION DE UN INMUEBLE, EN COPINOL</t>
  </si>
  <si>
    <t>71308-CUOTAS PRESTAMO A BANCO HIPOTECARIO</t>
  </si>
  <si>
    <t xml:space="preserve">CUOTAS PRESTAMO BANCO HIPOTECARIO REMODELACION DE MERCADO </t>
  </si>
  <si>
    <t>CUOTAS COMISION POR PRESTAMOS ISDEM</t>
  </si>
  <si>
    <t>TOTAL ASIGNACION FODES 2017……………………</t>
  </si>
  <si>
    <t>PROYECTOS NO EJECUTADOS EN EL AÑO 2016</t>
  </si>
  <si>
    <t>TRAMOS DE BALASTADO EN COMUNIDADES ZONA COLIMA,CANTON COLIMA</t>
  </si>
  <si>
    <t>CALLE ZACAMILES</t>
  </si>
  <si>
    <t>CONSTRUCCION TRAMO DE EMPEDRADO FRAGUADO CALLE PRINCIPAL CANTON ESTANZUELAS</t>
  </si>
  <si>
    <t>CONSTRUCCION TRAMO DE EMPEDRADO FRAGUADO CALLE PRINCIPAL CANTON SAN JOSE PALO GRANDE</t>
  </si>
  <si>
    <t>CONSTRUCCION DE ESPACIO RECREATIVO PARA NIÑOS CANTON MILINGO.</t>
  </si>
  <si>
    <t>TRAMO DE BALASTADO DE CALLE DE SAN RAFAEL CANTON LA BERMUDA</t>
  </si>
  <si>
    <t xml:space="preserve">Contrapartida del mercado III fase </t>
  </si>
  <si>
    <t xml:space="preserve">CONSTRUCCION DE CEMENTERIO EN CANTON COLIMA </t>
  </si>
  <si>
    <t>ADQUISICION DE UN INMUEBLE</t>
  </si>
  <si>
    <t>COMPRA DE TERRENO CANCHA EL MILAGRO, COLIMA</t>
  </si>
  <si>
    <t>SALDO DEL BANCO AL 31-12-2016………………………………………………………………………</t>
  </si>
  <si>
    <t>ASIGNACION FODES 25% 2017 MAS SALDO AL 31-12-2016…………………………………….</t>
  </si>
  <si>
    <t>EMPEDRADOS FRAGUADOS SAN FRANCISCO</t>
  </si>
  <si>
    <t>ZONA</t>
  </si>
  <si>
    <t>EMPEDRADO FRAGUADO CALLES INTERNAS EL LIVANO, CANTON SAN LUCAS</t>
  </si>
  <si>
    <t>CERCA PERIMETRAL DE LA CASA COMUNAL APOLINARIO SERRANO</t>
  </si>
  <si>
    <t>BALASTADO CALLES INTERNAS DE COMUNIDAD PAPAYAN</t>
  </si>
  <si>
    <t>SEGUNDA FASE CERCA PERIMETRAL CASA COMUNAL PAPAYAN</t>
  </si>
  <si>
    <t>METAS PARA LA CANCHA COMUNIDAD EL LIVDANO</t>
  </si>
  <si>
    <t>COMPRA DE LAMINAS PARA ZONA SAN FRANCISCO</t>
  </si>
  <si>
    <t>MONTO ASIGNADO 2017</t>
  </si>
  <si>
    <t>TOTAL DE INGRESO DEL FONDO MUNICIPAL PARA EL 2017…………………………</t>
  </si>
  <si>
    <t>MAS: INCREMENTO EN EL SERVICIO DE ALUMBADO FLUORESCNETE, MY MERCURIO PARA EL 2017,SEGÚN DETALLE DE ENCARGADA DE CUENTAS CORRIENTES. (ANEXO)</t>
  </si>
  <si>
    <t>MAS:PROYECCION DE INGRESOS A PERCIBIR POR COBRO DE RECIBO DE CAESS, POR SERVICIOS DE ALUMBRADO EN COMUNIDADES DE SUCHITOTO. (SEGÚN DETALLE DE ANALISTA COMERCIAL DE CAS, ANEXO)</t>
  </si>
  <si>
    <t>TOTAL DE INGRESOS  DEL FONDO MUNICIPAL PROYECTADOS PARA EL AÑO 2017</t>
  </si>
  <si>
    <t>PLANILLA   CON   AUMENTO   FODES   25%   PARA   EL  AÑO   2017</t>
  </si>
  <si>
    <t>SEGÚN FODES 2016 SE PUEDE GASTAR  PARA REMUNERACIONES…………………….203,895.98</t>
  </si>
  <si>
    <t>Celestina Baires Coto</t>
  </si>
  <si>
    <r>
      <t>TOTAL DE FONDO MUNICLPAL PARA GASTOS ……….</t>
    </r>
    <r>
      <rPr>
        <b/>
        <sz val="14"/>
        <color theme="1"/>
        <rFont val="Calibri"/>
        <family val="2"/>
        <scheme val="minor"/>
      </rPr>
      <t xml:space="preserve">.$  </t>
    </r>
  </si>
  <si>
    <t>PARA GASTOS ADMINISTRATIVOS</t>
  </si>
  <si>
    <t>PLANILLA   CON   AUMENTO   FONDO PUERTO SAN JUAN  PARA   EL  AÑO   2017</t>
  </si>
  <si>
    <t>PLANILLA   CON   AUMENTO   FONODO MUNICIPAL  PARA   EL  AÑO   2017</t>
  </si>
  <si>
    <t>ZONA EL BARIO</t>
  </si>
  <si>
    <t>CONSTRUCCION CASA COMUNAL I FASE COMUNIDAD NUEVO VALLE VERDE</t>
  </si>
  <si>
    <t>COLOCACION DE PORTERIAS EN CANCHA FUTBOL C/SITIO CENIERO</t>
  </si>
  <si>
    <t>EMPEDRADO FRAGUADO COM. CELINA RAMOS</t>
  </si>
  <si>
    <t>ZONA LA MORA</t>
  </si>
  <si>
    <t>CONSTRUCCION DE CANCHA DE BASQUETBOL EN COMUNIDAD SITIO ZAPOTAL</t>
  </si>
  <si>
    <t>CONSTRUCCION DE CANCHA EN COMUNIDAD NUEVO RENACER</t>
  </si>
  <si>
    <t>CONSTRUCCION DE UNA RAMPLA EN COMUNIDAD LA MORA</t>
  </si>
  <si>
    <t>MEJORAS EN BODEGA DE CASA COMUNAL DE COMUNIDAD SANTA FE</t>
  </si>
  <si>
    <t>CERCA PERIMETRAL  EN CASA COMUNAL DE COMUNIDAD ASUNCION</t>
  </si>
  <si>
    <t>INSTALACION DE ENERGIA ELECTRICA EN CASA COMUNAL HACIENDITA II</t>
  </si>
  <si>
    <t>PRIMERA FASE CONSTRUCCION DE CASA COMLUNAL COMUNIDAD LA PITA</t>
  </si>
  <si>
    <t>CONSTRUCCION DE LETRINAS ABONERAS EN  C/LAS DELICIAS</t>
  </si>
  <si>
    <t>031-51-00350-30</t>
  </si>
  <si>
    <t>No. DE CUENTA DE BANCO</t>
  </si>
  <si>
    <t>ACUERDO No.47, ACTA NUMERO 1, DE FECHA 04/01/2017</t>
  </si>
  <si>
    <t>031-51-00350-14</t>
  </si>
  <si>
    <t>ACUERDO No. 39, ACTA No.01, DEL 04-01-2017.</t>
  </si>
  <si>
    <t>IMPLEMENTACION DE LA POLITICA MUNICIPAL DE JUVENTUD 2017</t>
  </si>
  <si>
    <t>031-51-00350-06</t>
  </si>
  <si>
    <t>ACUERDO No. 33 ,ACTA No.01, DEL 04/01/2017</t>
  </si>
  <si>
    <t>031-51-00349-99</t>
  </si>
  <si>
    <t>ACUERDO No. 31, ATA No.01 DEL 04/01/2017</t>
  </si>
  <si>
    <t>031-51-00349-56</t>
  </si>
  <si>
    <t>ACTA No. 01, ACUERDO No. 43 DEL 04/01/2017</t>
  </si>
  <si>
    <t>031-51-00349-64</t>
  </si>
  <si>
    <t>ACUERDO No.35, ACTA No.01  DEL 04-01-2017, CH. No.3533038 DEL 12/01/2017</t>
  </si>
  <si>
    <t>031-51-00349-72</t>
  </si>
  <si>
    <t>ACUERDO No. 45, ACTA No.01 DEL 04/01/2017, CH. No. 3533036 DEL 12/01/2017</t>
  </si>
  <si>
    <t>031-51-00349-80</t>
  </si>
  <si>
    <t>031-51-00350-22</t>
  </si>
  <si>
    <t>ACUERDO NUMERO</t>
  </si>
  <si>
    <t>031-51-00349-30</t>
  </si>
  <si>
    <t>ACUERDO No.</t>
  </si>
  <si>
    <t>ALUMBRADO PUBLICO CANTONES MILINGO, COMUNIDAD SAN PABLO EL CERETO CANTON PLANANARES.</t>
  </si>
  <si>
    <t>031-51-00351-97</t>
  </si>
  <si>
    <t>ACUERDO No. 13,ACTA No.02 DEL 13-01-2017</t>
  </si>
  <si>
    <t>031-51-00351-70</t>
  </si>
  <si>
    <t>ACUERDO No.15, ACTA No. 02 DEL 13/01/2017</t>
  </si>
  <si>
    <t>ALUMBRADO PUBLICO CANTON EL ZAPOTE, COMUNIDADES: MAZATEPEQUE, NUEVA CONSOLACION, NUEVO RENACER. SUCHITOTO 2017</t>
  </si>
  <si>
    <t>031-51-00351-54</t>
  </si>
  <si>
    <t>ACUERDO No.16, ACTA NO. 03, 19/01/2017</t>
  </si>
  <si>
    <t>APOYO A LA EDUCACION EN COMUNIDAD COLIMITA, CANTON COLIMA 2016</t>
  </si>
  <si>
    <t>031-51-00342-20</t>
  </si>
  <si>
    <t>ACUERDO No.06, ACTA No.34 DEL 04 DE JULIO 2016</t>
  </si>
  <si>
    <t>18 AGOSTO 2016, CH. No.3533004</t>
  </si>
  <si>
    <t>OBRA DE PROTECCION CANCHA DE FUTBOL, COMUNIDD LA MORA, CANTON EL ZAPOTE SUCHITOTO</t>
  </si>
  <si>
    <t>031-51-00342-12</t>
  </si>
  <si>
    <t>ACUERDO No.10, ACTA No. 39 DEL 15 AGOSTO 2016</t>
  </si>
  <si>
    <t>18 AGOSTO 2016, CH. No.3533005</t>
  </si>
  <si>
    <t>TRAMO DE BALASTADO CALLE EN COMUNIDAD SANDIEO CANTON TENANGO SUCHITOTO</t>
  </si>
  <si>
    <t>031-51-00339-68</t>
  </si>
  <si>
    <t>ACUERDO No. 09, ACTA No.26 DEL 20/05/2016</t>
  </si>
  <si>
    <t>31/05/2017 CH. No.3532997</t>
  </si>
  <si>
    <t>ALUMBRADO PUBLICO DE COMUNIDADES LOS HERNIUEZ, ALTOS DE LA BERMUDA Y SANTA FE, CANTONES MONTEPEQUE, LA BERMUDAY EL ZAPOTE.</t>
  </si>
  <si>
    <t>031-51-00347-97</t>
  </si>
  <si>
    <t>ACUERDO No. 33, ACTA No.54 DEL 26-10-2016.</t>
  </si>
  <si>
    <t>19-12-2016 CH. No.3533030</t>
  </si>
  <si>
    <t>CERCA PERIMETRAL EN OFICINA DE TURISMO DE COMUNIDAD SITIO MANGO MOCHO, CANTON EL ZAPOTE</t>
  </si>
  <si>
    <t>031-51-00347-60</t>
  </si>
  <si>
    <t>ACUERDO No. 11, ACTA No.53 DEL 16-11-2016</t>
  </si>
  <si>
    <t>05-12-2016 CH. NO. 3533027</t>
  </si>
  <si>
    <t xml:space="preserve">AMPLIACIN DE SISTEMA DE AGUA POTABLE EN COMUNIDAD PALOGRANDE, CANTON PALOGRANDE </t>
  </si>
  <si>
    <t>031-51-00347-35</t>
  </si>
  <si>
    <t>ACUERDO No.08, ACTA No. 51 DEL 26-10-2016</t>
  </si>
  <si>
    <t>21-11-2016 CH. No. 4883992</t>
  </si>
  <si>
    <t>COLOCACION DE BOBEDA, CALLE AL FRANCO Y COMUNIDAD LOS HENRIQUEZ</t>
  </si>
  <si>
    <t xml:space="preserve">CORTE Y CONFORMCION DE TEALUD EN CANCHA DE FUTBOL DE CANTON PALO GRANDE </t>
  </si>
  <si>
    <t>EMPEDRADO FRAGUADO MONTEPEQUE (TRAMO DE BALASTADO CALLES PRINCIPALES DEL CANTON MONTEPEQUE, SUCHITOTO.</t>
  </si>
  <si>
    <t>SE MODIFICO EL NOMBRE SEGÚN ACUERDO No. 6, ACTA No. 46 DEL 09-09-2016</t>
  </si>
  <si>
    <t>BALASTADO DE CALLE DE COPAPAYO</t>
  </si>
  <si>
    <t>EMPEDRADO FRAGUADO CALLE INTERNA DE PEPESHTENANGO</t>
  </si>
  <si>
    <t>TRAMO DE EMPEDRADO CALLE PRINCIPAL COMUNIDAD  SANTA FE, CANTON EL ZAPOTE</t>
  </si>
  <si>
    <t>ACUERDO No. 4, ACTA No.07 DEL 19 FEBRERO 2016.                CH.  No. 35322976 DEL 18 MARZO 2016.</t>
  </si>
  <si>
    <t>ACUERDO No. 4, ACTA No.07 DEL 19 FEBRERO 2016.                CH.  No. 35322977 DEL 18 MARZO 2016.</t>
  </si>
  <si>
    <t>ACUERDO No.03, ACTA No.58 DEL 23/12/2016</t>
  </si>
  <si>
    <t>descontar la reparacion de los baños</t>
  </si>
  <si>
    <t>CEMUDI</t>
  </si>
  <si>
    <t>CAM</t>
  </si>
  <si>
    <t>AGROPECUARIO</t>
  </si>
  <si>
    <t>AUXILIAR TESORERIA</t>
  </si>
  <si>
    <t>031-51-00354-30</t>
  </si>
  <si>
    <t>ACUEDO No. 10, ACTA No. 07 DEL 20-02-2017</t>
  </si>
  <si>
    <t>031-51-00353-83</t>
  </si>
  <si>
    <t>ACUERDO No. 09, ACTA No. 08 DEL 24-02-2017</t>
  </si>
  <si>
    <t>ALUMBRADO PUBLICO, COMUNIDADES SANTA ANITA, AGUA CALIENTE, ICHANQUEZO Y CELINA RAMOS, SUCHITOTO</t>
  </si>
  <si>
    <t>031-51-00353-75</t>
  </si>
  <si>
    <t>ACUERDO No. 07, ACTA No. 08 DEL 24-02-2017</t>
  </si>
  <si>
    <t>REVISARLO  PORQUE NO APARECE EN LA LISTA LO AGREGUE</t>
  </si>
  <si>
    <t>031-51-00353-67</t>
  </si>
  <si>
    <t>ACUERDO No. 10, ACTA No. 06 DEL 10-02-2016</t>
  </si>
  <si>
    <t>BALASTADO EN CALLE AL ISCANAL</t>
  </si>
  <si>
    <t>MEJORAS A LA PLAZA CENTRAL COPAPAYO</t>
  </si>
  <si>
    <t>CONTRAPARTIDA PARA CONSTRUCCION DE  MPEDRADO Y FRAGUADO EN CALLE PRINCIPAL DE LA COMUNIDAD HACIENDITA  I</t>
  </si>
  <si>
    <t xml:space="preserve">BACHEO AREAURBANA </t>
  </si>
  <si>
    <t>MEJORAS AL PASAJE COLONIA  LOS NARANJOS</t>
  </si>
  <si>
    <t>6.000.00</t>
  </si>
  <si>
    <r>
      <t xml:space="preserve">COMPRA DE INMUEBLE NATURALEZA RUSTICA EN SUCHITOTO HACIENDA EL PEDREGAL, SAN LUCAS, EXTENSION SUPERFICIAL 7,000 m2, </t>
    </r>
    <r>
      <rPr>
        <b/>
        <u/>
        <sz val="16"/>
        <color theme="1"/>
        <rFont val="Calibri"/>
        <family val="2"/>
        <scheme val="minor"/>
      </rPr>
      <t>$ 3,250.00</t>
    </r>
    <r>
      <rPr>
        <sz val="16"/>
        <color theme="1"/>
        <rFont val="Calibri"/>
        <family val="2"/>
        <scheme val="minor"/>
      </rPr>
      <t xml:space="preserve"> (MARIA ROSALINA NAVAS DE GUARDADO)</t>
    </r>
  </si>
  <si>
    <r>
      <t xml:space="preserve">COMPRA DE INMUEBLE NATURALEZA RUSTICA EN SUCHITOTO HACIENDA EL PEDREGAL, SAN LUCAS, EXTENSION SUPERFICIAL 7,000 m2, </t>
    </r>
    <r>
      <rPr>
        <b/>
        <u/>
        <sz val="16"/>
        <color theme="1"/>
        <rFont val="Calibri"/>
        <family val="2"/>
        <scheme val="minor"/>
      </rPr>
      <t>$ 3,250.00</t>
    </r>
    <r>
      <rPr>
        <sz val="16"/>
        <color theme="1"/>
        <rFont val="Calibri"/>
        <family val="2"/>
        <scheme val="minor"/>
      </rPr>
      <t xml:space="preserve"> (GONZALO DE JESUS GUARDADO CARTAGENA)</t>
    </r>
  </si>
  <si>
    <t>EMPEDRADO FRAGUADO SANTA ANITA SE CAMBIO A OBRA DE PASO COMUNIDAD MONTEPEQUE.</t>
  </si>
  <si>
    <t>ALUMBRADO PURBLICO, EN  COMUNIDADES  LOS HENRIQUEZ, ALTOS DE LA BERMUDA Y SANTA FE, CANTONES MONTEPEQUE, LA BERMUDA Y EL ZAPOTE, SUCHITOTO.</t>
  </si>
  <si>
    <t>ALUMBRADO PUBLICO COMUNIDADES SANTA ANITA, AGUA CALIENTE, ICHANQUEZO Y CELINA RAMOS.</t>
  </si>
  <si>
    <t>ALUMBRADO PUBLICO CANTON MILINGO Y COMUNIDAD SAN PABLO EL CERETO DEL CANTON PLATANARES</t>
  </si>
  <si>
    <t>ALUMBRADO PUBLICO CANTON EL ZAPOTE , COMUNIDADES EL ZAPOTE, NUEVA CONSOLACION Y NUEVO RENACER,  SUCHITOTO.</t>
  </si>
  <si>
    <t>TOTAL PROY. ELECTRICOS</t>
  </si>
  <si>
    <t>CONTRAPARTIDA MOP ESTANZUELAS</t>
  </si>
  <si>
    <t>.</t>
  </si>
  <si>
    <t>PROYECTOS NO EJECUTADOS EN EL AÑO 2015</t>
  </si>
  <si>
    <t>CONTRAPARTIDA PARA PROYECTO VIAL DE COMUNIDAD NUEVA CONSOLACION, MAZATEPEQUE Y LA MORA</t>
  </si>
  <si>
    <t>TRAMO EMPEDRADO FRAGUADO Y BALASTADO DE CALLE EN COMUNIDAD VALLE VERDE</t>
  </si>
  <si>
    <t>Tramo empedrado fraguado, calle prinicipal comunidad los positos, canton colima</t>
  </si>
  <si>
    <t>Tramo de empedrado fraguado calle principal comunidad Los Angeles, Canton Colima</t>
  </si>
  <si>
    <t>Tramo empedrado fraguado calle principal comunidad Valle fase II, Canton Colima</t>
  </si>
  <si>
    <t>PROMOTOR DE JUVENTUD</t>
  </si>
  <si>
    <t>031-51-00354-80</t>
  </si>
  <si>
    <t>ACUERDO No. 13, ACTDA NO.10 DEL 10-03-2017</t>
  </si>
  <si>
    <t xml:space="preserve"> CH, No.3533068 DEL 25-04-2016</t>
  </si>
  <si>
    <t>031-51-00354-99</t>
  </si>
  <si>
    <t>ACUERDO No.12, ACTA No.11 DEL 17-03-2017, CH. No.3533065 DEL 21-04-2017</t>
  </si>
  <si>
    <t>031-51-00355-29</t>
  </si>
  <si>
    <t>ACUERDO  No.17, acta nO. 12 del 24-03-2017, ch: nO. 3533067 del 21-04-2017.</t>
  </si>
  <si>
    <t>CONSTRUCCION DE OBRA DE PASO COM. LAURA LOPEZ,  CANTON CONSOLACION.</t>
  </si>
  <si>
    <t>031-51-00355-10</t>
  </si>
  <si>
    <t>ACUERDO No.19, ACTA No. 12 DEL 24-03-2017, CH. No. 3533064 DEL 21-04-2017.</t>
  </si>
  <si>
    <t xml:space="preserve">CONTRAPARTIDA CONSTRUCION DE 3 AULAS CENTRO ESCOLAR MILINGO </t>
  </si>
  <si>
    <t>031-51-00355-02</t>
  </si>
  <si>
    <t>ACUERDO No. 18, ACTA No. 11 DEL 17-03-2017, CH. No. 3533066 DEL 21-04-2017</t>
  </si>
  <si>
    <t>NUMERO DE ACUERDO  CHEQUE Y  FECHA</t>
  </si>
  <si>
    <t>SE APERTURO CON             $ 28.000.00</t>
  </si>
  <si>
    <t>PROYECTO AMPLIACION DEL SISTEMADE AGUA POTABLE Y SANEAMIENTO BASICOL EN CANTON SAN JUAN SECTOR LOS ACOSDTAS, EL ZAPOTILLO Y CALLE ANTIGUA .CODIGO 308180 FISDL/COMUNIDADES SOLIDARIAS RURALES 2015.</t>
  </si>
  <si>
    <t>031-51-00355-88</t>
  </si>
  <si>
    <t>ACUERDO No.09, ACTA No. 15 DEL 20-04-2017</t>
  </si>
  <si>
    <t>CH.No.6270101 DEL 05-05-2017</t>
  </si>
  <si>
    <t>031-51-00355-60</t>
  </si>
  <si>
    <t>ACUERDO No.09 ACTA No 13 DEL 04-04-2017, CH. No.3533070 DEL 02-05-2017.</t>
  </si>
  <si>
    <t>031-5-00355-45</t>
  </si>
  <si>
    <t>ACUERDO No. 07, ACTA No. 13 DEL 04-04-2017, CH. No.3533071 DEL 02-05-2017</t>
  </si>
  <si>
    <t>REFORMAR NOMBRE POR SEGUIMIENTO EN INFRAESTRUCTURA EN CASA COMUNAL.</t>
  </si>
  <si>
    <t>031-51-00353-24</t>
  </si>
  <si>
    <t>CHEQUE No.3533053 DEL 23-02-2017</t>
  </si>
  <si>
    <r>
      <t>CALLE EL TRAPICHE</t>
    </r>
    <r>
      <rPr>
        <u/>
        <sz val="18"/>
        <color theme="1"/>
        <rFont val="Calibri"/>
        <family val="2"/>
        <scheme val="minor"/>
      </rPr>
      <t xml:space="preserve"> SE REFORMO</t>
    </r>
    <r>
      <rPr>
        <sz val="18"/>
        <color theme="1"/>
        <rFont val="Calibri"/>
        <family val="2"/>
        <scheme val="minor"/>
      </rPr>
      <t xml:space="preserve"> A CANCHA COMUNIDAD BUENA VISTA</t>
    </r>
  </si>
  <si>
    <t>reforma de presupesto por $15.00</t>
  </si>
  <si>
    <t>$ 21,00.00</t>
  </si>
  <si>
    <t>b</t>
  </si>
  <si>
    <t>EMPEDRADOS FRAGUADOS MONTEPEQUE 1 EMPEDSADO FRAGUADO COM. SITIO NVO. $3,000.00; 2   EMPEDSADO FRAGUADO COM. MANUEL UNGO $3,000.00; 3 BALASTADO EN CALLES PRINCIPALES DEL CANTON MONTEPEQUE $5,000.00; 4 EMPEDRADO FRAGUADO DE CALLE PRINCIPALK DE LA HACIENDA MONTEPEQUE $2,500.00  REFORMA DE CANCHA DE COM. MONTEPEQUE. 5 AMPLIACION Y MEJORAS DEL CERCADO DE LA CANCHA MULTIUSO DE LA COM. HACIENDA MONTEPEQUE $2,500.00</t>
  </si>
  <si>
    <t>REMANENTE DE $9,000.00 PROYECTOS 1 MURO DE RETENECION EN LA CASA COMUNAL DE LA COM. EL ACEITUNO. $4,000.00 2. EMPEDRADO FRAGUADO COM. EL FRANCO $5,000.00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</si>
</sst>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&quot;[$€-402]#,##0.00&quot; &quot;;&quot;-&quot;[$€-402]#,##0.00&quot; &quot;;&quot; &quot;[$€-402]&quot;-&quot;00&quot; &quot;"/>
    <numFmt numFmtId="165" formatCode="&quot; &quot;#,##0.00&quot; &quot;;&quot; (&quot;#,##0.00&quot;)&quot;;&quot; -&quot;00&quot; &quot;;&quot; &quot;@&quot; &quot;"/>
    <numFmt numFmtId="166" formatCode="&quot; &quot;&quot;$&quot;#,##0.00&quot; &quot;;&quot; &quot;&quot;$&quot;&quot;(&quot;#,##0.00&quot;)&quot;;&quot; &quot;&quot;$&quot;&quot;-&quot;00&quot; &quot;;&quot; &quot;@&quot; &quot;"/>
    <numFmt numFmtId="167" formatCode="&quot;$&quot;#,##0.00&quot; &quot;;[Red]&quot;(&quot;&quot;$&quot;#,##0.00&quot;)&quot;"/>
    <numFmt numFmtId="168" formatCode="[$$-440A]#,##0.00"/>
    <numFmt numFmtId="169" formatCode="#,##0.000"/>
    <numFmt numFmtId="170" formatCode="&quot;$&quot;#,##0.00"/>
  </numFmts>
  <fonts count="1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rgb="FFFFFFFF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b/>
      <sz val="18"/>
      <color rgb="FF000000"/>
      <name val="Arial"/>
      <family val="2"/>
    </font>
    <font>
      <b/>
      <sz val="14"/>
      <color theme="2"/>
      <name val="Arial"/>
      <family val="2"/>
    </font>
    <font>
      <b/>
      <sz val="14"/>
      <color theme="2"/>
      <name val="Calibri"/>
      <family val="2"/>
    </font>
    <font>
      <b/>
      <sz val="10"/>
      <name val="Arial"/>
      <family val="2"/>
    </font>
    <font>
      <b/>
      <sz val="12"/>
      <color theme="2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Comic Sans MS"/>
      <family val="4"/>
    </font>
    <font>
      <b/>
      <sz val="22"/>
      <color rgb="FF000000"/>
      <name val="Comic Sans MS"/>
      <family val="4"/>
    </font>
    <font>
      <b/>
      <sz val="16"/>
      <color rgb="FF000000"/>
      <name val="Comic Sans MS"/>
      <family val="4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rgb="FF000000"/>
      <name val="Arial"/>
      <family val="2"/>
    </font>
    <font>
      <sz val="20"/>
      <name val="Trebuchet MS"/>
      <family val="2"/>
    </font>
    <font>
      <sz val="20"/>
      <color indexed="10"/>
      <name val="Trebuchet MS"/>
      <family val="2"/>
    </font>
    <font>
      <b/>
      <sz val="20"/>
      <name val="Trebuchet MS"/>
      <family val="2"/>
    </font>
    <font>
      <sz val="20"/>
      <name val="Arial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sz val="14"/>
      <name val="Arial"/>
      <family val="2"/>
    </font>
    <font>
      <sz val="14"/>
      <color theme="1"/>
      <name val="Arial"/>
      <family val="2"/>
    </font>
    <font>
      <i/>
      <sz val="14"/>
      <name val="Arial"/>
      <family val="2"/>
    </font>
    <font>
      <sz val="10"/>
      <name val="Trebuchet MS"/>
      <family val="2"/>
    </font>
    <font>
      <sz val="10"/>
      <color indexed="10"/>
      <name val="Trebuchet MS"/>
      <family val="2"/>
    </font>
    <font>
      <sz val="12"/>
      <name val="Trebuchet MS"/>
      <family val="2"/>
    </font>
    <font>
      <sz val="14"/>
      <name val="Trebuchet MS"/>
      <family val="2"/>
    </font>
    <font>
      <b/>
      <sz val="14"/>
      <name val="Trebuchet MS"/>
      <family val="2"/>
    </font>
    <font>
      <i/>
      <sz val="12"/>
      <color indexed="10"/>
      <name val="Arial"/>
      <family val="2"/>
    </font>
    <font>
      <i/>
      <sz val="12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omic Sans MS"/>
      <family val="4"/>
    </font>
    <font>
      <sz val="16"/>
      <color rgb="FF000000"/>
      <name val="Arial"/>
      <family val="2"/>
    </font>
    <font>
      <sz val="16"/>
      <color rgb="FF000000"/>
      <name val="Comic Sans MS"/>
      <family val="4"/>
    </font>
    <font>
      <b/>
      <sz val="16"/>
      <color rgb="FFFFFFFF"/>
      <name val="Comic Sans MS"/>
      <family val="4"/>
    </font>
    <font>
      <b/>
      <sz val="14"/>
      <color rgb="FF000000"/>
      <name val="Comic Sans MS"/>
      <family val="4"/>
    </font>
    <font>
      <sz val="14"/>
      <color rgb="FF000000"/>
      <name val="Comic Sans MS"/>
      <family val="4"/>
    </font>
    <font>
      <b/>
      <sz val="18"/>
      <name val="Comic Sans MS"/>
      <family val="4"/>
    </font>
    <font>
      <i/>
      <sz val="18"/>
      <name val="Comic Sans MS"/>
      <family val="4"/>
    </font>
    <font>
      <i/>
      <sz val="18"/>
      <color rgb="FF000000"/>
      <name val="Comic Sans MS"/>
      <family val="4"/>
    </font>
    <font>
      <i/>
      <sz val="16"/>
      <color rgb="FF000000"/>
      <name val="Comic Sans MS"/>
      <family val="4"/>
    </font>
    <font>
      <b/>
      <sz val="18"/>
      <name val="Trebuchet MS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26"/>
      <color rgb="FF000000"/>
      <name val="Arial"/>
      <family val="2"/>
    </font>
    <font>
      <b/>
      <sz val="16"/>
      <color rgb="FF000000"/>
      <name val="Arial"/>
      <family val="2"/>
    </font>
    <font>
      <b/>
      <sz val="18"/>
      <color rgb="FF0000FF"/>
      <name val="Arial"/>
      <family val="2"/>
    </font>
    <font>
      <sz val="18"/>
      <color rgb="FF993366"/>
      <name val="Arial"/>
      <family val="2"/>
    </font>
    <font>
      <sz val="18"/>
      <color rgb="FF000000"/>
      <name val="Arial"/>
      <family val="2"/>
    </font>
    <font>
      <b/>
      <sz val="18"/>
      <color rgb="FFFF00FF"/>
      <name val="Arial"/>
      <family val="2"/>
    </font>
    <font>
      <sz val="18"/>
      <color rgb="FF800080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8"/>
      <color theme="3" tint="0.3999755851924192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indexed="12"/>
      <name val="Trebuchet MS"/>
      <family val="2"/>
    </font>
    <font>
      <b/>
      <sz val="20"/>
      <color rgb="FF000000"/>
      <name val="Comic Sans MS"/>
      <family val="4"/>
    </font>
    <font>
      <sz val="18"/>
      <name val="Trebuchet MS"/>
      <family val="2"/>
    </font>
    <font>
      <b/>
      <i/>
      <sz val="20"/>
      <color indexed="10"/>
      <name val="Arial"/>
      <family val="2"/>
    </font>
    <font>
      <b/>
      <i/>
      <sz val="20"/>
      <name val="Arial"/>
      <family val="2"/>
    </font>
    <font>
      <sz val="10"/>
      <color indexed="57"/>
      <name val="Trebuchet MS"/>
      <family val="2"/>
    </font>
    <font>
      <i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00000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color rgb="FF000000"/>
      <name val="Calibri"/>
      <family val="2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</font>
    <font>
      <sz val="18"/>
      <color rgb="FFFF0000"/>
      <name val="Calibri"/>
      <family val="2"/>
    </font>
    <font>
      <u val="singleAccounting"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9"/>
      <color theme="1"/>
      <name val="Calibri"/>
      <family val="2"/>
      <scheme val="minor"/>
    </font>
    <font>
      <sz val="12"/>
      <name val="Calibri"/>
      <family val="2"/>
    </font>
    <font>
      <sz val="14"/>
      <name val="Calibri"/>
      <family val="2"/>
    </font>
    <font>
      <sz val="14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6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22"/>
      <color rgb="FF000000"/>
      <name val="Calibri"/>
      <family val="2"/>
    </font>
    <font>
      <b/>
      <sz val="14"/>
      <color theme="1"/>
      <name val="Arial"/>
      <family val="2"/>
    </font>
    <font>
      <b/>
      <u/>
      <sz val="16"/>
      <color theme="1"/>
      <name val="Calibri"/>
      <family val="2"/>
      <scheme val="minor"/>
    </font>
    <font>
      <sz val="18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6" tint="-0.249977111117893"/>
        <bgColor rgb="FF000000"/>
      </patternFill>
    </fill>
    <fill>
      <patternFill patternType="solid">
        <fgColor theme="6" tint="0.59999389629810485"/>
        <bgColor rgb="FFB7DEE8"/>
      </patternFill>
    </fill>
    <fill>
      <patternFill patternType="solid">
        <fgColor theme="6" tint="0.59999389629810485"/>
        <bgColor rgb="FFDCE6F1"/>
      </patternFill>
    </fill>
    <fill>
      <patternFill patternType="solid">
        <fgColor theme="6" tint="0.59999389629810485"/>
        <bgColor rgb="FFDAEEF3"/>
      </patternFill>
    </fill>
    <fill>
      <patternFill patternType="solid">
        <fgColor theme="6" tint="0.79998168889431442"/>
        <bgColor rgb="FFDAEEF3"/>
      </patternFill>
    </fill>
    <fill>
      <patternFill patternType="solid">
        <fgColor theme="6" tint="-0.249977111117893"/>
        <bgColor rgb="FFDA9694"/>
      </patternFill>
    </fill>
    <fill>
      <patternFill patternType="solid">
        <fgColor theme="6" tint="-0.249977111117893"/>
        <bgColor rgb="FFB7DEE8"/>
      </patternFill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2" tint="-0.249977111117893"/>
        <bgColor rgb="FFC5D9F1"/>
      </patternFill>
    </fill>
    <fill>
      <patternFill patternType="solid">
        <fgColor theme="2" tint="-0.249977111117893"/>
        <bgColor rgb="FFB8CCE4"/>
      </patternFill>
    </fill>
    <fill>
      <patternFill patternType="solid">
        <fgColor theme="2" tint="-0.249977111117893"/>
        <bgColor rgb="FF8DB4E2"/>
      </patternFill>
    </fill>
    <fill>
      <patternFill patternType="solid">
        <fgColor theme="2" tint="-0.249977111117893"/>
        <bgColor indexed="64"/>
      </patternFill>
    </fill>
    <fill>
      <patternFill patternType="gray125">
        <bgColor theme="2" tint="-0.249977111117893"/>
      </patternFill>
    </fill>
    <fill>
      <patternFill patternType="solid">
        <fgColor indexed="65"/>
        <bgColor indexed="22"/>
      </patternFill>
    </fill>
    <fill>
      <patternFill patternType="lightTrellis">
        <fgColor indexed="22"/>
        <bgColor theme="2" tint="-0.249977111117893"/>
      </patternFill>
    </fill>
    <fill>
      <patternFill patternType="gray125">
        <fgColor indexed="22"/>
        <bgColor theme="2" tint="-0.249977111117893"/>
      </patternFill>
    </fill>
    <fill>
      <patternFill patternType="gray125">
        <bgColor indexed="4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0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/>
    <xf numFmtId="44" fontId="5" fillId="0" borderId="3" xfId="1" applyFont="1" applyBorder="1"/>
    <xf numFmtId="0" fontId="5" fillId="0" borderId="3" xfId="0" applyFont="1" applyBorder="1"/>
    <xf numFmtId="44" fontId="7" fillId="0" borderId="3" xfId="1" applyFont="1" applyBorder="1"/>
    <xf numFmtId="44" fontId="0" fillId="0" borderId="0" xfId="1" applyFont="1"/>
    <xf numFmtId="44" fontId="5" fillId="0" borderId="0" xfId="1" applyFont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wrapText="1"/>
    </xf>
    <xf numFmtId="0" fontId="3" fillId="0" borderId="3" xfId="0" applyFont="1" applyFill="1" applyBorder="1"/>
    <xf numFmtId="0" fontId="4" fillId="0" borderId="3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/>
    <xf numFmtId="44" fontId="5" fillId="0" borderId="5" xfId="1" applyFont="1" applyBorder="1"/>
    <xf numFmtId="0" fontId="3" fillId="0" borderId="0" xfId="0" applyFont="1" applyFill="1" applyBorder="1"/>
    <xf numFmtId="0" fontId="4" fillId="0" borderId="0" xfId="0" applyFont="1" applyFill="1" applyBorder="1"/>
    <xf numFmtId="44" fontId="7" fillId="0" borderId="0" xfId="1" applyFont="1" applyBorder="1"/>
    <xf numFmtId="44" fontId="5" fillId="0" borderId="0" xfId="1" applyFont="1" applyBorder="1"/>
    <xf numFmtId="44" fontId="7" fillId="0" borderId="5" xfId="1" applyFont="1" applyBorder="1"/>
    <xf numFmtId="44" fontId="9" fillId="0" borderId="0" xfId="0" applyNumberFormat="1" applyFont="1"/>
    <xf numFmtId="0" fontId="6" fillId="0" borderId="3" xfId="0" applyFont="1" applyBorder="1" applyAlignment="1">
      <alignment horizontal="center"/>
    </xf>
    <xf numFmtId="0" fontId="10" fillId="0" borderId="0" xfId="0" applyFont="1"/>
    <xf numFmtId="0" fontId="11" fillId="0" borderId="0" xfId="0" applyFont="1" applyFill="1" applyBorder="1"/>
    <xf numFmtId="0" fontId="2" fillId="0" borderId="2" xfId="0" applyFont="1" applyFill="1" applyBorder="1" applyAlignment="1">
      <alignment wrapText="1"/>
    </xf>
    <xf numFmtId="44" fontId="7" fillId="0" borderId="0" xfId="1" applyFont="1"/>
    <xf numFmtId="44" fontId="0" fillId="0" borderId="0" xfId="0" applyNumberFormat="1"/>
    <xf numFmtId="0" fontId="2" fillId="0" borderId="0" xfId="0" applyFont="1" applyFill="1" applyBorder="1"/>
    <xf numFmtId="0" fontId="12" fillId="0" borderId="2" xfId="0" applyFont="1" applyFill="1" applyBorder="1" applyAlignment="1">
      <alignment wrapText="1"/>
    </xf>
    <xf numFmtId="44" fontId="6" fillId="0" borderId="0" xfId="1" applyFont="1"/>
    <xf numFmtId="44" fontId="5" fillId="0" borderId="0" xfId="0" applyNumberFormat="1" applyFont="1"/>
    <xf numFmtId="0" fontId="5" fillId="0" borderId="0" xfId="0" applyFont="1"/>
    <xf numFmtId="0" fontId="2" fillId="0" borderId="0" xfId="0" applyFont="1" applyFill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49" fontId="2" fillId="0" borderId="3" xfId="3" applyNumberFormat="1" applyFont="1" applyFill="1" applyBorder="1" applyAlignment="1">
      <alignment horizontal="center"/>
    </xf>
    <xf numFmtId="4" fontId="2" fillId="0" borderId="3" xfId="3" applyNumberFormat="1" applyFont="1" applyFill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13" fillId="0" borderId="0" xfId="0" applyFont="1" applyFill="1"/>
    <xf numFmtId="165" fontId="13" fillId="0" borderId="0" xfId="0" applyNumberFormat="1" applyFont="1" applyFill="1"/>
    <xf numFmtId="0" fontId="13" fillId="0" borderId="0" xfId="0" applyFont="1"/>
    <xf numFmtId="165" fontId="13" fillId="0" borderId="0" xfId="4" applyFont="1"/>
    <xf numFmtId="165" fontId="13" fillId="0" borderId="0" xfId="0" applyNumberFormat="1" applyFont="1"/>
    <xf numFmtId="165" fontId="0" fillId="0" borderId="0" xfId="0" applyNumberFormat="1"/>
    <xf numFmtId="166" fontId="0" fillId="0" borderId="0" xfId="0" applyNumberFormat="1"/>
    <xf numFmtId="0" fontId="16" fillId="2" borderId="8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3" xfId="0" applyFont="1" applyFill="1" applyBorder="1"/>
    <xf numFmtId="44" fontId="2" fillId="4" borderId="8" xfId="1" applyFont="1" applyFill="1" applyBorder="1"/>
    <xf numFmtId="44" fontId="2" fillId="5" borderId="14" xfId="1" applyFont="1" applyFill="1" applyBorder="1"/>
    <xf numFmtId="44" fontId="2" fillId="5" borderId="8" xfId="1" applyFont="1" applyFill="1" applyBorder="1"/>
    <xf numFmtId="0" fontId="2" fillId="3" borderId="13" xfId="0" applyFont="1" applyFill="1" applyBorder="1" applyAlignment="1">
      <alignment wrapText="1"/>
    </xf>
    <xf numFmtId="0" fontId="2" fillId="3" borderId="8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/>
    <xf numFmtId="0" fontId="3" fillId="2" borderId="8" xfId="0" applyFont="1" applyFill="1" applyBorder="1"/>
    <xf numFmtId="0" fontId="4" fillId="2" borderId="8" xfId="0" applyFont="1" applyFill="1" applyBorder="1"/>
    <xf numFmtId="165" fontId="16" fillId="7" borderId="8" xfId="4" applyFont="1" applyFill="1" applyBorder="1"/>
    <xf numFmtId="44" fontId="16" fillId="7" borderId="8" xfId="1" applyFont="1" applyFill="1" applyBorder="1"/>
    <xf numFmtId="44" fontId="16" fillId="7" borderId="0" xfId="1" applyFont="1" applyFill="1"/>
    <xf numFmtId="0" fontId="16" fillId="8" borderId="16" xfId="0" applyFont="1" applyFill="1" applyBorder="1" applyAlignment="1">
      <alignment horizontal="center"/>
    </xf>
    <xf numFmtId="0" fontId="16" fillId="8" borderId="17" xfId="0" applyFont="1" applyFill="1" applyBorder="1" applyAlignment="1">
      <alignment horizontal="center"/>
    </xf>
    <xf numFmtId="0" fontId="16" fillId="8" borderId="18" xfId="0" applyFont="1" applyFill="1" applyBorder="1" applyAlignment="1">
      <alignment horizontal="center"/>
    </xf>
    <xf numFmtId="0" fontId="16" fillId="8" borderId="16" xfId="0" applyFont="1" applyFill="1" applyBorder="1"/>
    <xf numFmtId="0" fontId="16" fillId="8" borderId="17" xfId="0" applyFont="1" applyFill="1" applyBorder="1"/>
    <xf numFmtId="44" fontId="16" fillId="8" borderId="17" xfId="1" applyFont="1" applyFill="1" applyBorder="1"/>
    <xf numFmtId="44" fontId="16" fillId="8" borderId="18" xfId="1" applyFont="1" applyFill="1" applyBorder="1"/>
    <xf numFmtId="0" fontId="13" fillId="6" borderId="19" xfId="0" applyFont="1" applyFill="1" applyBorder="1"/>
    <xf numFmtId="0" fontId="13" fillId="6" borderId="8" xfId="0" applyFont="1" applyFill="1" applyBorder="1" applyAlignment="1">
      <alignment horizontal="center"/>
    </xf>
    <xf numFmtId="44" fontId="13" fillId="6" borderId="8" xfId="1" applyFont="1" applyFill="1" applyBorder="1"/>
    <xf numFmtId="44" fontId="13" fillId="6" borderId="20" xfId="1" applyFont="1" applyFill="1" applyBorder="1"/>
    <xf numFmtId="0" fontId="13" fillId="6" borderId="21" xfId="0" applyFont="1" applyFill="1" applyBorder="1"/>
    <xf numFmtId="44" fontId="13" fillId="6" borderId="13" xfId="1" applyFont="1" applyFill="1" applyBorder="1"/>
    <xf numFmtId="0" fontId="13" fillId="6" borderId="22" xfId="0" applyFont="1" applyFill="1" applyBorder="1"/>
    <xf numFmtId="0" fontId="13" fillId="6" borderId="23" xfId="0" applyFont="1" applyFill="1" applyBorder="1"/>
    <xf numFmtId="0" fontId="13" fillId="6" borderId="9" xfId="0" applyFont="1" applyFill="1" applyBorder="1" applyAlignment="1">
      <alignment horizontal="center"/>
    </xf>
    <xf numFmtId="44" fontId="13" fillId="6" borderId="10" xfId="1" applyFont="1" applyFill="1" applyBorder="1"/>
    <xf numFmtId="44" fontId="13" fillId="6" borderId="24" xfId="1" applyFont="1" applyFill="1" applyBorder="1"/>
    <xf numFmtId="0" fontId="13" fillId="6" borderId="11" xfId="0" applyFont="1" applyFill="1" applyBorder="1" applyAlignment="1">
      <alignment horizontal="center"/>
    </xf>
    <xf numFmtId="44" fontId="13" fillId="6" borderId="12" xfId="1" applyFont="1" applyFill="1" applyBorder="1"/>
    <xf numFmtId="44" fontId="13" fillId="6" borderId="25" xfId="1" applyFont="1" applyFill="1" applyBorder="1"/>
    <xf numFmtId="165" fontId="13" fillId="6" borderId="11" xfId="4" applyFont="1" applyFill="1" applyBorder="1"/>
    <xf numFmtId="165" fontId="13" fillId="6" borderId="26" xfId="4" applyFont="1" applyFill="1" applyBorder="1"/>
    <xf numFmtId="0" fontId="8" fillId="0" borderId="6" xfId="0" applyFont="1" applyBorder="1" applyAlignment="1"/>
    <xf numFmtId="10" fontId="18" fillId="0" borderId="0" xfId="2" applyNumberFormat="1" applyFont="1"/>
    <xf numFmtId="9" fontId="18" fillId="0" borderId="0" xfId="2" applyNumberFormat="1" applyFont="1"/>
    <xf numFmtId="10" fontId="19" fillId="2" borderId="0" xfId="0" applyNumberFormat="1" applyFont="1" applyFill="1" applyAlignment="1">
      <alignment horizontal="center"/>
    </xf>
    <xf numFmtId="44" fontId="20" fillId="5" borderId="8" xfId="1" applyFont="1" applyFill="1" applyBorder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21" fillId="0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10" fontId="24" fillId="0" borderId="8" xfId="0" applyNumberFormat="1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/>
    </xf>
    <xf numFmtId="0" fontId="20" fillId="0" borderId="8" xfId="0" applyFont="1" applyFill="1" applyBorder="1"/>
    <xf numFmtId="49" fontId="20" fillId="0" borderId="8" xfId="0" applyNumberFormat="1" applyFont="1" applyFill="1" applyBorder="1" applyAlignment="1">
      <alignment horizontal="center"/>
    </xf>
    <xf numFmtId="44" fontId="20" fillId="0" borderId="8" xfId="1" applyFont="1" applyFill="1" applyBorder="1" applyAlignment="1">
      <alignment horizontal="right"/>
    </xf>
    <xf numFmtId="44" fontId="20" fillId="0" borderId="8" xfId="1" applyFont="1" applyBorder="1" applyAlignment="1">
      <alignment horizontal="right"/>
    </xf>
    <xf numFmtId="44" fontId="20" fillId="0" borderId="8" xfId="1" applyFont="1" applyBorder="1"/>
    <xf numFmtId="0" fontId="20" fillId="0" borderId="8" xfId="0" applyFont="1" applyBorder="1"/>
    <xf numFmtId="0" fontId="20" fillId="0" borderId="8" xfId="0" applyFont="1" applyBorder="1" applyAlignment="1">
      <alignment horizontal="center"/>
    </xf>
    <xf numFmtId="49" fontId="20" fillId="0" borderId="8" xfId="0" applyNumberFormat="1" applyFont="1" applyBorder="1" applyAlignment="1">
      <alignment horizontal="center"/>
    </xf>
    <xf numFmtId="0" fontId="20" fillId="0" borderId="8" xfId="0" applyFont="1" applyBorder="1" applyAlignment="1">
      <alignment horizontal="left"/>
    </xf>
    <xf numFmtId="167" fontId="20" fillId="0" borderId="8" xfId="1" applyNumberFormat="1" applyFont="1" applyFill="1" applyBorder="1" applyAlignment="1">
      <alignment horizontal="right"/>
    </xf>
    <xf numFmtId="0" fontId="24" fillId="0" borderId="8" xfId="0" applyFont="1" applyBorder="1"/>
    <xf numFmtId="167" fontId="24" fillId="0" borderId="8" xfId="1" applyNumberFormat="1" applyFont="1" applyFill="1" applyBorder="1" applyAlignment="1">
      <alignment horizontal="right"/>
    </xf>
    <xf numFmtId="0" fontId="24" fillId="0" borderId="8" xfId="0" applyFont="1" applyFill="1" applyBorder="1"/>
    <xf numFmtId="44" fontId="24" fillId="0" borderId="8" xfId="1" applyFont="1" applyFill="1" applyBorder="1" applyAlignment="1">
      <alignment horizontal="right"/>
    </xf>
    <xf numFmtId="0" fontId="20" fillId="0" borderId="8" xfId="0" applyFont="1" applyFill="1" applyBorder="1" applyAlignment="1">
      <alignment horizontal="left"/>
    </xf>
    <xf numFmtId="44" fontId="24" fillId="0" borderId="8" xfId="1" applyFont="1" applyBorder="1" applyAlignment="1">
      <alignment horizontal="right"/>
    </xf>
    <xf numFmtId="0" fontId="20" fillId="0" borderId="9" xfId="0" applyFont="1" applyFill="1" applyBorder="1"/>
    <xf numFmtId="0" fontId="20" fillId="0" borderId="9" xfId="0" applyFont="1" applyFill="1" applyBorder="1" applyAlignment="1">
      <alignment horizontal="center"/>
    </xf>
    <xf numFmtId="0" fontId="25" fillId="0" borderId="0" xfId="0" applyFont="1"/>
    <xf numFmtId="44" fontId="20" fillId="0" borderId="9" xfId="1" applyFont="1" applyFill="1" applyBorder="1" applyAlignment="1">
      <alignment horizontal="right"/>
    </xf>
    <xf numFmtId="0" fontId="24" fillId="0" borderId="8" xfId="0" applyFont="1" applyFill="1" applyBorder="1" applyAlignment="1">
      <alignment horizontal="left"/>
    </xf>
    <xf numFmtId="49" fontId="24" fillId="0" borderId="8" xfId="0" applyNumberFormat="1" applyFont="1" applyFill="1" applyBorder="1" applyAlignment="1">
      <alignment horizontal="center"/>
    </xf>
    <xf numFmtId="0" fontId="26" fillId="0" borderId="28" xfId="0" applyFont="1" applyBorder="1"/>
    <xf numFmtId="44" fontId="26" fillId="0" borderId="28" xfId="1" applyFont="1" applyBorder="1" applyAlignment="1">
      <alignment horizontal="center" wrapText="1"/>
    </xf>
    <xf numFmtId="0" fontId="20" fillId="0" borderId="0" xfId="0" applyFont="1" applyFill="1" applyBorder="1"/>
    <xf numFmtId="44" fontId="20" fillId="0" borderId="0" xfId="1" applyFont="1" applyFill="1" applyBorder="1" applyAlignment="1">
      <alignment horizontal="right"/>
    </xf>
    <xf numFmtId="44" fontId="20" fillId="0" borderId="0" xfId="1" applyFont="1" applyBorder="1" applyAlignment="1">
      <alignment horizontal="right"/>
    </xf>
    <xf numFmtId="0" fontId="26" fillId="0" borderId="3" xfId="0" applyFont="1" applyBorder="1" applyAlignment="1">
      <alignment wrapText="1"/>
    </xf>
    <xf numFmtId="44" fontId="26" fillId="0" borderId="3" xfId="1" applyFont="1" applyBorder="1"/>
    <xf numFmtId="44" fontId="27" fillId="0" borderId="8" xfId="1" applyFont="1" applyFill="1" applyBorder="1" applyAlignment="1">
      <alignment horizontal="right"/>
    </xf>
    <xf numFmtId="0" fontId="24" fillId="0" borderId="1" xfId="0" applyFont="1" applyFill="1" applyBorder="1"/>
    <xf numFmtId="4" fontId="20" fillId="0" borderId="8" xfId="0" applyNumberFormat="1" applyFont="1" applyFill="1" applyBorder="1" applyAlignment="1">
      <alignment horizontal="center"/>
    </xf>
    <xf numFmtId="44" fontId="20" fillId="0" borderId="8" xfId="1" applyFont="1" applyFill="1" applyBorder="1"/>
    <xf numFmtId="44" fontId="24" fillId="0" borderId="8" xfId="1" applyFont="1" applyBorder="1"/>
    <xf numFmtId="0" fontId="20" fillId="0" borderId="8" xfId="0" applyFont="1" applyBorder="1" applyAlignment="1">
      <alignment horizontal="center" wrapText="1"/>
    </xf>
    <xf numFmtId="0" fontId="20" fillId="0" borderId="8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0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8" fillId="9" borderId="0" xfId="0" applyFont="1" applyFill="1"/>
    <xf numFmtId="0" fontId="29" fillId="9" borderId="0" xfId="0" applyFont="1" applyFill="1" applyAlignment="1">
      <alignment horizontal="center"/>
    </xf>
    <xf numFmtId="0" fontId="28" fillId="9" borderId="0" xfId="0" applyFont="1" applyFill="1" applyAlignment="1">
      <alignment horizontal="center"/>
    </xf>
    <xf numFmtId="0" fontId="30" fillId="9" borderId="0" xfId="0" applyFont="1" applyFill="1" applyAlignment="1">
      <alignment horizontal="right"/>
    </xf>
    <xf numFmtId="0" fontId="26" fillId="9" borderId="3" xfId="0" applyFont="1" applyFill="1" applyBorder="1" applyAlignment="1">
      <alignment horizontal="center"/>
    </xf>
    <xf numFmtId="49" fontId="34" fillId="9" borderId="3" xfId="0" applyNumberFormat="1" applyFont="1" applyFill="1" applyBorder="1" applyAlignment="1">
      <alignment horizontal="center"/>
    </xf>
    <xf numFmtId="0" fontId="34" fillId="9" borderId="3" xfId="0" applyFont="1" applyFill="1" applyBorder="1" applyAlignment="1">
      <alignment horizontal="left"/>
    </xf>
    <xf numFmtId="44" fontId="34" fillId="9" borderId="3" xfId="1" applyNumberFormat="1" applyFont="1" applyFill="1" applyBorder="1" applyAlignment="1">
      <alignment horizontal="right"/>
    </xf>
    <xf numFmtId="0" fontId="35" fillId="0" borderId="3" xfId="0" applyFont="1" applyBorder="1"/>
    <xf numFmtId="44" fontId="35" fillId="0" borderId="3" xfId="1" applyFont="1" applyBorder="1"/>
    <xf numFmtId="0" fontId="34" fillId="0" borderId="3" xfId="0" applyFont="1" applyFill="1" applyBorder="1" applyAlignment="1">
      <alignment horizontal="center" vertical="center" wrapText="1"/>
    </xf>
    <xf numFmtId="44" fontId="2" fillId="0" borderId="3" xfId="1" applyFont="1" applyBorder="1" applyAlignment="1">
      <alignment horizontal="right" wrapText="1"/>
    </xf>
    <xf numFmtId="0" fontId="0" fillId="0" borderId="3" xfId="0" applyBorder="1"/>
    <xf numFmtId="0" fontId="36" fillId="10" borderId="3" xfId="0" applyFont="1" applyFill="1" applyBorder="1" applyAlignment="1">
      <alignment horizontal="center"/>
    </xf>
    <xf numFmtId="0" fontId="37" fillId="9" borderId="0" xfId="0" applyFont="1" applyFill="1"/>
    <xf numFmtId="0" fontId="38" fillId="9" borderId="0" xfId="0" applyFont="1" applyFill="1" applyAlignment="1">
      <alignment horizontal="center"/>
    </xf>
    <xf numFmtId="0" fontId="39" fillId="9" borderId="0" xfId="0" applyFont="1" applyFill="1" applyAlignment="1">
      <alignment horizontal="center"/>
    </xf>
    <xf numFmtId="0" fontId="33" fillId="9" borderId="0" xfId="0" applyFont="1" applyFill="1" applyAlignment="1">
      <alignment horizontal="right"/>
    </xf>
    <xf numFmtId="0" fontId="26" fillId="9" borderId="5" xfId="0" applyFont="1" applyFill="1" applyBorder="1" applyAlignment="1">
      <alignment horizontal="center"/>
    </xf>
    <xf numFmtId="49" fontId="34" fillId="9" borderId="5" xfId="0" applyNumberFormat="1" applyFont="1" applyFill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4" fillId="0" borderId="3" xfId="0" applyFont="1" applyFill="1" applyBorder="1" applyAlignment="1">
      <alignment horizontal="left" vertical="center" wrapText="1"/>
    </xf>
    <xf numFmtId="0" fontId="34" fillId="9" borderId="5" xfId="0" applyFont="1" applyFill="1" applyBorder="1" applyAlignment="1">
      <alignment horizontal="left"/>
    </xf>
    <xf numFmtId="44" fontId="2" fillId="0" borderId="9" xfId="1" applyFont="1" applyBorder="1" applyAlignment="1">
      <alignment horizontal="right" wrapText="1"/>
    </xf>
    <xf numFmtId="0" fontId="34" fillId="11" borderId="3" xfId="0" applyFont="1" applyFill="1" applyBorder="1" applyAlignment="1">
      <alignment horizontal="left" vertical="center"/>
    </xf>
    <xf numFmtId="0" fontId="26" fillId="0" borderId="0" xfId="0" applyFont="1" applyBorder="1"/>
    <xf numFmtId="9" fontId="0" fillId="0" borderId="0" xfId="0" applyNumberFormat="1"/>
    <xf numFmtId="167" fontId="0" fillId="0" borderId="0" xfId="1" applyNumberFormat="1" applyFont="1"/>
    <xf numFmtId="0" fontId="28" fillId="9" borderId="0" xfId="0" applyFont="1" applyFill="1" applyAlignment="1">
      <alignment horizontal="center"/>
    </xf>
    <xf numFmtId="44" fontId="45" fillId="0" borderId="0" xfId="0" applyNumberFormat="1" applyFont="1"/>
    <xf numFmtId="44" fontId="46" fillId="0" borderId="0" xfId="0" applyNumberFormat="1" applyFont="1"/>
    <xf numFmtId="44" fontId="46" fillId="0" borderId="0" xfId="1" applyFont="1"/>
    <xf numFmtId="0" fontId="50" fillId="0" borderId="58" xfId="0" applyFont="1" applyBorder="1"/>
    <xf numFmtId="0" fontId="23" fillId="0" borderId="24" xfId="0" applyFont="1" applyBorder="1"/>
    <xf numFmtId="168" fontId="23" fillId="0" borderId="24" xfId="1" applyNumberFormat="1" applyFont="1" applyBorder="1"/>
    <xf numFmtId="0" fontId="50" fillId="0" borderId="24" xfId="0" applyFont="1" applyBorder="1"/>
    <xf numFmtId="168" fontId="50" fillId="0" borderId="24" xfId="1" applyNumberFormat="1" applyFont="1" applyBorder="1"/>
    <xf numFmtId="0" fontId="51" fillId="12" borderId="56" xfId="0" applyFont="1" applyFill="1" applyBorder="1" applyAlignment="1">
      <alignment horizontal="center"/>
    </xf>
    <xf numFmtId="168" fontId="51" fillId="12" borderId="56" xfId="1" applyNumberFormat="1" applyFont="1" applyFill="1" applyBorder="1"/>
    <xf numFmtId="0" fontId="51" fillId="12" borderId="0" xfId="0" applyFont="1" applyFill="1" applyAlignment="1">
      <alignment horizontal="center"/>
    </xf>
    <xf numFmtId="168" fontId="51" fillId="12" borderId="0" xfId="1" applyNumberFormat="1" applyFont="1" applyFill="1"/>
    <xf numFmtId="44" fontId="23" fillId="0" borderId="24" xfId="1" applyFont="1" applyBorder="1"/>
    <xf numFmtId="0" fontId="50" fillId="0" borderId="25" xfId="0" applyFont="1" applyBorder="1"/>
    <xf numFmtId="168" fontId="50" fillId="0" borderId="25" xfId="1" applyNumberFormat="1" applyFont="1" applyBorder="1"/>
    <xf numFmtId="0" fontId="53" fillId="0" borderId="24" xfId="0" applyFont="1" applyBorder="1"/>
    <xf numFmtId="49" fontId="52" fillId="0" borderId="24" xfId="0" applyNumberFormat="1" applyFont="1" applyBorder="1" applyAlignment="1">
      <alignment horizontal="center"/>
    </xf>
    <xf numFmtId="44" fontId="52" fillId="0" borderId="24" xfId="1" applyFont="1" applyBorder="1"/>
    <xf numFmtId="0" fontId="53" fillId="0" borderId="0" xfId="0" applyFont="1"/>
    <xf numFmtId="49" fontId="52" fillId="0" borderId="0" xfId="0" applyNumberFormat="1" applyFont="1" applyAlignment="1">
      <alignment horizontal="center"/>
    </xf>
    <xf numFmtId="43" fontId="52" fillId="0" borderId="0" xfId="5" applyFont="1"/>
    <xf numFmtId="49" fontId="53" fillId="0" borderId="24" xfId="0" applyNumberFormat="1" applyFont="1" applyBorder="1" applyAlignment="1">
      <alignment horizontal="center"/>
    </xf>
    <xf numFmtId="43" fontId="53" fillId="0" borderId="24" xfId="5" applyFont="1" applyBorder="1"/>
    <xf numFmtId="0" fontId="52" fillId="0" borderId="24" xfId="0" applyFont="1" applyBorder="1" applyAlignment="1">
      <alignment horizontal="center"/>
    </xf>
    <xf numFmtId="0" fontId="52" fillId="0" borderId="0" xfId="0" applyFont="1"/>
    <xf numFmtId="43" fontId="52" fillId="0" borderId="24" xfId="5" applyFont="1" applyBorder="1"/>
    <xf numFmtId="49" fontId="53" fillId="0" borderId="24" xfId="0" applyNumberFormat="1" applyFont="1" applyBorder="1"/>
    <xf numFmtId="0" fontId="52" fillId="0" borderId="24" xfId="0" applyFont="1" applyBorder="1" applyAlignment="1">
      <alignment horizontal="left"/>
    </xf>
    <xf numFmtId="0" fontId="52" fillId="0" borderId="24" xfId="0" applyFont="1" applyBorder="1"/>
    <xf numFmtId="0" fontId="52" fillId="0" borderId="24" xfId="0" applyFont="1" applyBorder="1" applyAlignment="1">
      <alignment wrapText="1"/>
    </xf>
    <xf numFmtId="0" fontId="53" fillId="0" borderId="25" xfId="0" applyFont="1" applyBorder="1" applyAlignment="1">
      <alignment horizontal="center"/>
    </xf>
    <xf numFmtId="0" fontId="53" fillId="0" borderId="25" xfId="0" applyFont="1" applyBorder="1"/>
    <xf numFmtId="0" fontId="52" fillId="0" borderId="0" xfId="0" applyFont="1" applyAlignment="1">
      <alignment horizontal="center"/>
    </xf>
    <xf numFmtId="165" fontId="52" fillId="0" borderId="0" xfId="0" applyNumberFormat="1" applyFont="1"/>
    <xf numFmtId="0" fontId="52" fillId="0" borderId="55" xfId="0" applyFont="1" applyBorder="1" applyAlignment="1">
      <alignment horizontal="center"/>
    </xf>
    <xf numFmtId="0" fontId="53" fillId="0" borderId="59" xfId="0" applyFont="1" applyBorder="1" applyAlignment="1">
      <alignment horizontal="center"/>
    </xf>
    <xf numFmtId="0" fontId="52" fillId="0" borderId="25" xfId="0" applyFont="1" applyBorder="1"/>
    <xf numFmtId="0" fontId="53" fillId="13" borderId="62" xfId="0" applyFont="1" applyFill="1" applyBorder="1"/>
    <xf numFmtId="0" fontId="52" fillId="13" borderId="56" xfId="0" applyFont="1" applyFill="1" applyBorder="1" applyAlignment="1">
      <alignment horizontal="center"/>
    </xf>
    <xf numFmtId="0" fontId="52" fillId="13" borderId="62" xfId="0" applyFont="1" applyFill="1" applyBorder="1" applyAlignment="1">
      <alignment horizontal="center"/>
    </xf>
    <xf numFmtId="0" fontId="53" fillId="13" borderId="56" xfId="0" applyFont="1" applyFill="1" applyBorder="1"/>
    <xf numFmtId="43" fontId="52" fillId="13" borderId="56" xfId="5" applyFont="1" applyFill="1" applyBorder="1"/>
    <xf numFmtId="49" fontId="52" fillId="13" borderId="56" xfId="0" applyNumberFormat="1" applyFont="1" applyFill="1" applyBorder="1" applyAlignment="1">
      <alignment horizontal="center"/>
    </xf>
    <xf numFmtId="0" fontId="52" fillId="13" borderId="61" xfId="0" applyFont="1" applyFill="1" applyBorder="1" applyAlignment="1">
      <alignment horizontal="center"/>
    </xf>
    <xf numFmtId="49" fontId="53" fillId="13" borderId="56" xfId="0" applyNumberFormat="1" applyFont="1" applyFill="1" applyBorder="1"/>
    <xf numFmtId="44" fontId="52" fillId="13" borderId="56" xfId="1" applyFont="1" applyFill="1" applyBorder="1"/>
    <xf numFmtId="0" fontId="47" fillId="14" borderId="52" xfId="0" applyFont="1" applyFill="1" applyBorder="1"/>
    <xf numFmtId="0" fontId="48" fillId="14" borderId="53" xfId="0" applyFont="1" applyFill="1" applyBorder="1"/>
    <xf numFmtId="0" fontId="47" fillId="14" borderId="54" xfId="0" applyFont="1" applyFill="1" applyBorder="1"/>
    <xf numFmtId="0" fontId="49" fillId="14" borderId="55" xfId="0" applyFont="1" applyFill="1" applyBorder="1"/>
    <xf numFmtId="0" fontId="49" fillId="14" borderId="57" xfId="0" applyFont="1" applyFill="1" applyBorder="1"/>
    <xf numFmtId="0" fontId="50" fillId="13" borderId="0" xfId="0" applyFont="1" applyFill="1"/>
    <xf numFmtId="0" fontId="49" fillId="14" borderId="59" xfId="0" applyFont="1" applyFill="1" applyBorder="1"/>
    <xf numFmtId="0" fontId="49" fillId="14" borderId="60" xfId="0" applyFont="1" applyFill="1" applyBorder="1"/>
    <xf numFmtId="0" fontId="49" fillId="14" borderId="15" xfId="0" applyFont="1" applyFill="1" applyBorder="1"/>
    <xf numFmtId="44" fontId="11" fillId="16" borderId="3" xfId="1" applyNumberFormat="1" applyFont="1" applyFill="1" applyBorder="1" applyAlignment="1">
      <alignment horizontal="right"/>
    </xf>
    <xf numFmtId="0" fontId="33" fillId="17" borderId="33" xfId="0" applyFont="1" applyFill="1" applyBorder="1" applyAlignment="1">
      <alignment horizontal="center" vertical="center" textRotation="90" wrapText="1"/>
    </xf>
    <xf numFmtId="0" fontId="33" fillId="17" borderId="34" xfId="0" applyFont="1" applyFill="1" applyBorder="1" applyAlignment="1">
      <alignment horizontal="center" vertical="center" textRotation="90" wrapText="1"/>
    </xf>
    <xf numFmtId="0" fontId="33" fillId="17" borderId="35" xfId="0" applyFont="1" applyFill="1" applyBorder="1" applyAlignment="1">
      <alignment horizontal="center" vertical="center" textRotation="90" wrapText="1"/>
    </xf>
    <xf numFmtId="0" fontId="33" fillId="17" borderId="36" xfId="0" applyFont="1" applyFill="1" applyBorder="1" applyAlignment="1">
      <alignment horizontal="center" vertical="center" textRotation="90" wrapText="1"/>
    </xf>
    <xf numFmtId="0" fontId="33" fillId="17" borderId="3" xfId="0" applyFont="1" applyFill="1" applyBorder="1" applyAlignment="1">
      <alignment horizontal="center" vertical="center" textRotation="90" wrapText="1"/>
    </xf>
    <xf numFmtId="0" fontId="33" fillId="17" borderId="3" xfId="0" applyFont="1" applyFill="1" applyBorder="1" applyAlignment="1">
      <alignment horizontal="center" vertical="center" wrapText="1"/>
    </xf>
    <xf numFmtId="0" fontId="33" fillId="17" borderId="3" xfId="0" applyFont="1" applyFill="1" applyBorder="1" applyAlignment="1" applyProtection="1">
      <alignment horizontal="center" vertical="center" textRotation="90" wrapText="1"/>
      <protection locked="0" hidden="1"/>
    </xf>
    <xf numFmtId="0" fontId="44" fillId="0" borderId="0" xfId="0" applyFont="1"/>
    <xf numFmtId="0" fontId="42" fillId="17" borderId="47" xfId="0" applyFont="1" applyFill="1" applyBorder="1"/>
    <xf numFmtId="49" fontId="43" fillId="17" borderId="48" xfId="0" applyNumberFormat="1" applyFont="1" applyFill="1" applyBorder="1" applyAlignment="1">
      <alignment horizontal="center"/>
    </xf>
    <xf numFmtId="49" fontId="43" fillId="17" borderId="49" xfId="0" applyNumberFormat="1" applyFont="1" applyFill="1" applyBorder="1" applyAlignment="1">
      <alignment horizontal="center"/>
    </xf>
    <xf numFmtId="0" fontId="59" fillId="17" borderId="50" xfId="0" applyFont="1" applyFill="1" applyBorder="1" applyAlignment="1">
      <alignment horizontal="center"/>
    </xf>
    <xf numFmtId="44" fontId="59" fillId="17" borderId="51" xfId="0" applyNumberFormat="1" applyFont="1" applyFill="1" applyBorder="1" applyAlignment="1">
      <alignment horizontal="center"/>
    </xf>
    <xf numFmtId="0" fontId="0" fillId="16" borderId="3" xfId="0" applyFill="1" applyBorder="1"/>
    <xf numFmtId="0" fontId="35" fillId="16" borderId="3" xfId="0" applyFont="1" applyFill="1" applyBorder="1"/>
    <xf numFmtId="0" fontId="6" fillId="16" borderId="3" xfId="0" applyFont="1" applyFill="1" applyBorder="1"/>
    <xf numFmtId="0" fontId="61" fillId="16" borderId="3" xfId="0" applyFont="1" applyFill="1" applyBorder="1"/>
    <xf numFmtId="0" fontId="59" fillId="17" borderId="3" xfId="0" applyFont="1" applyFill="1" applyBorder="1" applyAlignment="1">
      <alignment horizontal="center"/>
    </xf>
    <xf numFmtId="44" fontId="62" fillId="16" borderId="3" xfId="1" applyNumberFormat="1" applyFont="1" applyFill="1" applyBorder="1" applyAlignment="1">
      <alignment horizontal="right"/>
    </xf>
    <xf numFmtId="49" fontId="67" fillId="0" borderId="52" xfId="0" applyNumberFormat="1" applyFont="1" applyBorder="1" applyAlignment="1">
      <alignment horizontal="center"/>
    </xf>
    <xf numFmtId="49" fontId="67" fillId="0" borderId="58" xfId="0" applyNumberFormat="1" applyFont="1" applyBorder="1"/>
    <xf numFmtId="0" fontId="62" fillId="0" borderId="58" xfId="0" applyFont="1" applyBorder="1" applyAlignment="1">
      <alignment horizontal="center"/>
    </xf>
    <xf numFmtId="43" fontId="67" fillId="0" borderId="54" xfId="5" applyFont="1" applyBorder="1" applyAlignment="1">
      <alignment horizontal="right"/>
    </xf>
    <xf numFmtId="43" fontId="67" fillId="0" borderId="58" xfId="5" applyFont="1" applyBorder="1" applyAlignment="1">
      <alignment horizontal="right"/>
    </xf>
    <xf numFmtId="44" fontId="64" fillId="0" borderId="58" xfId="1" applyFont="1" applyBorder="1" applyAlignment="1">
      <alignment horizontal="right"/>
    </xf>
    <xf numFmtId="49" fontId="64" fillId="0" borderId="3" xfId="0" applyNumberFormat="1" applyFont="1" applyBorder="1" applyAlignment="1">
      <alignment horizontal="center"/>
    </xf>
    <xf numFmtId="49" fontId="68" fillId="0" borderId="3" xfId="0" applyNumberFormat="1" applyFont="1" applyBorder="1" applyAlignment="1">
      <alignment horizontal="center"/>
    </xf>
    <xf numFmtId="0" fontId="62" fillId="0" borderId="3" xfId="0" applyFont="1" applyBorder="1" applyAlignment="1">
      <alignment horizontal="center" wrapText="1"/>
    </xf>
    <xf numFmtId="43" fontId="69" fillId="0" borderId="3" xfId="5" applyFont="1" applyBorder="1" applyAlignment="1">
      <alignment horizontal="right"/>
    </xf>
    <xf numFmtId="44" fontId="70" fillId="0" borderId="3" xfId="1" applyFont="1" applyBorder="1" applyAlignment="1">
      <alignment horizontal="right"/>
    </xf>
    <xf numFmtId="43" fontId="69" fillId="0" borderId="57" xfId="5" applyFont="1" applyBorder="1" applyAlignment="1">
      <alignment horizontal="right"/>
    </xf>
    <xf numFmtId="49" fontId="69" fillId="0" borderId="72" xfId="0" applyNumberFormat="1" applyFont="1" applyBorder="1"/>
    <xf numFmtId="49" fontId="64" fillId="0" borderId="72" xfId="0" applyNumberFormat="1" applyFont="1" applyBorder="1" applyAlignment="1">
      <alignment horizontal="center"/>
    </xf>
    <xf numFmtId="49" fontId="69" fillId="0" borderId="72" xfId="0" applyNumberFormat="1" applyFont="1" applyBorder="1" applyAlignment="1">
      <alignment horizontal="center"/>
    </xf>
    <xf numFmtId="0" fontId="49" fillId="0" borderId="72" xfId="0" applyFont="1" applyBorder="1" applyAlignment="1">
      <alignment wrapText="1"/>
    </xf>
    <xf numFmtId="44" fontId="69" fillId="0" borderId="72" xfId="1" applyFont="1" applyBorder="1" applyAlignment="1">
      <alignment horizontal="right"/>
    </xf>
    <xf numFmtId="43" fontId="69" fillId="0" borderId="72" xfId="5" applyFont="1" applyBorder="1" applyAlignment="1">
      <alignment horizontal="right"/>
    </xf>
    <xf numFmtId="49" fontId="71" fillId="0" borderId="3" xfId="0" applyNumberFormat="1" applyFont="1" applyBorder="1" applyAlignment="1">
      <alignment horizontal="center"/>
    </xf>
    <xf numFmtId="0" fontId="62" fillId="0" borderId="3" xfId="0" applyFont="1" applyBorder="1" applyAlignment="1">
      <alignment horizontal="center"/>
    </xf>
    <xf numFmtId="43" fontId="71" fillId="0" borderId="3" xfId="5" applyFont="1" applyBorder="1" applyAlignment="1">
      <alignment horizontal="right"/>
    </xf>
    <xf numFmtId="0" fontId="64" fillId="0" borderId="3" xfId="0" applyFont="1" applyBorder="1" applyAlignment="1">
      <alignment horizontal="center"/>
    </xf>
    <xf numFmtId="49" fontId="64" fillId="0" borderId="4" xfId="0" applyNumberFormat="1" applyFont="1" applyBorder="1" applyAlignment="1">
      <alignment horizontal="center"/>
    </xf>
    <xf numFmtId="49" fontId="69" fillId="0" borderId="3" xfId="0" applyNumberFormat="1" applyFont="1" applyBorder="1" applyAlignment="1">
      <alignment horizontal="center"/>
    </xf>
    <xf numFmtId="0" fontId="72" fillId="0" borderId="43" xfId="0" applyFont="1" applyBorder="1" applyAlignment="1">
      <alignment horizontal="center" wrapText="1"/>
    </xf>
    <xf numFmtId="43" fontId="73" fillId="0" borderId="3" xfId="5" applyFont="1" applyBorder="1" applyAlignment="1">
      <alignment horizontal="right"/>
    </xf>
    <xf numFmtId="0" fontId="69" fillId="0" borderId="24" xfId="0" applyFont="1" applyBorder="1" applyAlignment="1">
      <alignment horizontal="center"/>
    </xf>
    <xf numFmtId="0" fontId="49" fillId="0" borderId="57" xfId="0" applyFont="1" applyBorder="1" applyAlignment="1">
      <alignment wrapText="1"/>
    </xf>
    <xf numFmtId="44" fontId="69" fillId="0" borderId="57" xfId="1" applyFont="1" applyBorder="1" applyAlignment="1">
      <alignment horizontal="right"/>
    </xf>
    <xf numFmtId="43" fontId="69" fillId="0" borderId="24" xfId="5" applyFont="1" applyBorder="1" applyAlignment="1">
      <alignment horizontal="right"/>
    </xf>
    <xf numFmtId="0" fontId="69" fillId="0" borderId="3" xfId="0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0" fontId="49" fillId="0" borderId="3" xfId="0" applyFont="1" applyBorder="1"/>
    <xf numFmtId="44" fontId="69" fillId="0" borderId="3" xfId="1" applyFont="1" applyBorder="1" applyAlignment="1">
      <alignment horizontal="right"/>
    </xf>
    <xf numFmtId="0" fontId="74" fillId="0" borderId="3" xfId="0" applyFont="1" applyBorder="1" applyAlignment="1">
      <alignment horizontal="center"/>
    </xf>
    <xf numFmtId="44" fontId="69" fillId="0" borderId="3" xfId="1" applyFont="1" applyBorder="1"/>
    <xf numFmtId="0" fontId="69" fillId="0" borderId="3" xfId="0" applyFont="1" applyBorder="1"/>
    <xf numFmtId="0" fontId="66" fillId="0" borderId="3" xfId="0" applyFont="1" applyBorder="1" applyAlignment="1">
      <alignment horizontal="center"/>
    </xf>
    <xf numFmtId="0" fontId="66" fillId="0" borderId="3" xfId="0" applyFont="1" applyBorder="1"/>
    <xf numFmtId="44" fontId="69" fillId="0" borderId="4" xfId="1" applyFont="1" applyBorder="1"/>
    <xf numFmtId="43" fontId="69" fillId="0" borderId="43" xfId="5" applyFont="1" applyBorder="1" applyAlignment="1">
      <alignment horizontal="right"/>
    </xf>
    <xf numFmtId="0" fontId="64" fillId="0" borderId="64" xfId="0" applyFont="1" applyBorder="1" applyAlignment="1">
      <alignment horizontal="center"/>
    </xf>
    <xf numFmtId="49" fontId="64" fillId="0" borderId="24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49" fontId="69" fillId="0" borderId="9" xfId="0" applyNumberFormat="1" applyFont="1" applyBorder="1" applyAlignment="1">
      <alignment horizontal="center"/>
    </xf>
    <xf numFmtId="0" fontId="49" fillId="0" borderId="9" xfId="0" applyFont="1" applyBorder="1"/>
    <xf numFmtId="0" fontId="0" fillId="0" borderId="72" xfId="0" applyBorder="1"/>
    <xf numFmtId="43" fontId="15" fillId="0" borderId="73" xfId="5" applyFont="1" applyBorder="1" applyAlignment="1">
      <alignment horizontal="right"/>
    </xf>
    <xf numFmtId="0" fontId="64" fillId="0" borderId="55" xfId="0" applyFont="1" applyBorder="1" applyAlignment="1">
      <alignment horizontal="center"/>
    </xf>
    <xf numFmtId="49" fontId="15" fillId="0" borderId="3" xfId="0" applyNumberFormat="1" applyFont="1" applyBorder="1"/>
    <xf numFmtId="43" fontId="15" fillId="0" borderId="3" xfId="5" applyFont="1" applyBorder="1" applyAlignment="1">
      <alignment horizontal="right"/>
    </xf>
    <xf numFmtId="0" fontId="49" fillId="0" borderId="3" xfId="0" applyFont="1" applyBorder="1" applyAlignment="1">
      <alignment wrapText="1"/>
    </xf>
    <xf numFmtId="43" fontId="15" fillId="16" borderId="25" xfId="5" applyFont="1" applyFill="1" applyBorder="1" applyAlignment="1">
      <alignment horizontal="right"/>
    </xf>
    <xf numFmtId="44" fontId="15" fillId="16" borderId="25" xfId="1" applyFont="1" applyFill="1" applyBorder="1" applyAlignment="1">
      <alignment horizontal="right"/>
    </xf>
    <xf numFmtId="49" fontId="66" fillId="16" borderId="53" xfId="0" applyNumberFormat="1" applyFont="1" applyFill="1" applyBorder="1" applyAlignment="1">
      <alignment horizontal="center"/>
    </xf>
    <xf numFmtId="49" fontId="66" fillId="16" borderId="15" xfId="0" applyNumberFormat="1" applyFont="1" applyFill="1" applyBorder="1" applyAlignment="1">
      <alignment horizontal="center"/>
    </xf>
    <xf numFmtId="44" fontId="69" fillId="0" borderId="10" xfId="1" applyFont="1" applyBorder="1" applyAlignment="1">
      <alignment horizontal="right"/>
    </xf>
    <xf numFmtId="49" fontId="18" fillId="9" borderId="39" xfId="0" applyNumberFormat="1" applyFont="1" applyFill="1" applyBorder="1" applyAlignment="1">
      <alignment horizontal="center"/>
    </xf>
    <xf numFmtId="0" fontId="75" fillId="9" borderId="39" xfId="0" applyFont="1" applyFill="1" applyBorder="1" applyAlignment="1">
      <alignment horizontal="left"/>
    </xf>
    <xf numFmtId="49" fontId="18" fillId="9" borderId="66" xfId="0" applyNumberFormat="1" applyFont="1" applyFill="1" applyBorder="1" applyAlignment="1">
      <alignment horizontal="center"/>
    </xf>
    <xf numFmtId="0" fontId="75" fillId="9" borderId="66" xfId="0" applyFont="1" applyFill="1" applyBorder="1" applyAlignment="1">
      <alignment horizontal="left"/>
    </xf>
    <xf numFmtId="0" fontId="18" fillId="0" borderId="41" xfId="0" applyFont="1" applyFill="1" applyBorder="1" applyAlignment="1">
      <alignment horizontal="center" vertical="center" wrapText="1"/>
    </xf>
    <xf numFmtId="0" fontId="75" fillId="9" borderId="41" xfId="0" applyFont="1" applyFill="1" applyBorder="1" applyAlignment="1">
      <alignment horizontal="left"/>
    </xf>
    <xf numFmtId="49" fontId="18" fillId="9" borderId="41" xfId="0" applyNumberFormat="1" applyFont="1" applyFill="1" applyBorder="1" applyAlignment="1">
      <alignment horizontal="center"/>
    </xf>
    <xf numFmtId="49" fontId="18" fillId="9" borderId="45" xfId="0" applyNumberFormat="1" applyFont="1" applyFill="1" applyBorder="1" applyAlignment="1">
      <alignment horizontal="center"/>
    </xf>
    <xf numFmtId="0" fontId="75" fillId="9" borderId="45" xfId="0" applyFont="1" applyFill="1" applyBorder="1" applyAlignment="1">
      <alignment horizontal="left"/>
    </xf>
    <xf numFmtId="49" fontId="37" fillId="9" borderId="0" xfId="0" applyNumberFormat="1" applyFont="1" applyFill="1" applyAlignment="1">
      <alignment horizontal="center"/>
    </xf>
    <xf numFmtId="0" fontId="33" fillId="18" borderId="0" xfId="0" applyFont="1" applyFill="1" applyBorder="1" applyAlignment="1">
      <alignment vertical="center" wrapText="1"/>
    </xf>
    <xf numFmtId="44" fontId="37" fillId="9" borderId="0" xfId="0" applyNumberFormat="1" applyFont="1" applyFill="1"/>
    <xf numFmtId="44" fontId="77" fillId="9" borderId="0" xfId="0" applyNumberFormat="1" applyFont="1" applyFill="1"/>
    <xf numFmtId="49" fontId="38" fillId="9" borderId="0" xfId="0" applyNumberFormat="1" applyFont="1" applyFill="1" applyBorder="1" applyAlignment="1">
      <alignment horizontal="center"/>
    </xf>
    <xf numFmtId="0" fontId="77" fillId="9" borderId="0" xfId="0" applyFont="1" applyFill="1"/>
    <xf numFmtId="49" fontId="39" fillId="9" borderId="0" xfId="0" applyNumberFormat="1" applyFont="1" applyFill="1" applyBorder="1" applyAlignment="1">
      <alignment horizontal="left"/>
    </xf>
    <xf numFmtId="0" fontId="33" fillId="9" borderId="0" xfId="0" applyFont="1" applyFill="1" applyAlignment="1">
      <alignment horizontal="center"/>
    </xf>
    <xf numFmtId="0" fontId="60" fillId="0" borderId="0" xfId="0" applyFont="1" applyAlignment="1">
      <alignment horizontal="center"/>
    </xf>
    <xf numFmtId="49" fontId="32" fillId="9" borderId="0" xfId="0" applyNumberFormat="1" applyFont="1" applyFill="1" applyAlignment="1">
      <alignment horizontal="left"/>
    </xf>
    <xf numFmtId="0" fontId="37" fillId="9" borderId="0" xfId="0" applyFont="1" applyFill="1" applyAlignment="1">
      <alignment horizontal="left"/>
    </xf>
    <xf numFmtId="0" fontId="32" fillId="9" borderId="0" xfId="0" applyFont="1" applyFill="1" applyAlignment="1">
      <alignment horizontal="left"/>
    </xf>
    <xf numFmtId="49" fontId="37" fillId="9" borderId="0" xfId="0" applyNumberFormat="1" applyFont="1" applyFill="1" applyAlignment="1">
      <alignment horizontal="left"/>
    </xf>
    <xf numFmtId="0" fontId="37" fillId="9" borderId="0" xfId="0" applyFont="1" applyFill="1" applyAlignment="1">
      <alignment horizontal="center"/>
    </xf>
    <xf numFmtId="0" fontId="32" fillId="20" borderId="76" xfId="0" applyFont="1" applyFill="1" applyBorder="1" applyAlignment="1">
      <alignment horizontal="center" wrapText="1"/>
    </xf>
    <xf numFmtId="0" fontId="33" fillId="20" borderId="30" xfId="0" applyFont="1" applyFill="1" applyBorder="1" applyAlignment="1">
      <alignment horizontal="center" vertical="center" textRotation="90" wrapText="1"/>
    </xf>
    <xf numFmtId="0" fontId="33" fillId="20" borderId="76" xfId="0" applyFont="1" applyFill="1" applyBorder="1" applyAlignment="1">
      <alignment horizontal="center" vertical="center" textRotation="90" wrapText="1"/>
    </xf>
    <xf numFmtId="0" fontId="33" fillId="20" borderId="74" xfId="0" applyFont="1" applyFill="1" applyBorder="1" applyAlignment="1">
      <alignment horizontal="center" vertical="center" textRotation="90" wrapText="1"/>
    </xf>
    <xf numFmtId="44" fontId="34" fillId="9" borderId="66" xfId="1" applyFont="1" applyFill="1" applyBorder="1" applyAlignment="1">
      <alignment horizontal="center"/>
    </xf>
    <xf numFmtId="44" fontId="34" fillId="9" borderId="39" xfId="1" applyFont="1" applyFill="1" applyBorder="1" applyAlignment="1">
      <alignment horizontal="center"/>
    </xf>
    <xf numFmtId="44" fontId="34" fillId="9" borderId="41" xfId="1" applyFont="1" applyFill="1" applyBorder="1"/>
    <xf numFmtId="44" fontId="34" fillId="9" borderId="80" xfId="1" applyFont="1" applyFill="1" applyBorder="1"/>
    <xf numFmtId="44" fontId="34" fillId="9" borderId="37" xfId="1" applyFont="1" applyFill="1" applyBorder="1"/>
    <xf numFmtId="44" fontId="34" fillId="9" borderId="81" xfId="1" applyFont="1" applyFill="1" applyBorder="1"/>
    <xf numFmtId="44" fontId="34" fillId="20" borderId="76" xfId="1" applyFont="1" applyFill="1" applyBorder="1" applyAlignment="1">
      <alignment vertical="center" wrapText="1"/>
    </xf>
    <xf numFmtId="44" fontId="11" fillId="20" borderId="76" xfId="1" applyFont="1" applyFill="1" applyBorder="1" applyAlignment="1">
      <alignment vertical="center" wrapText="1"/>
    </xf>
    <xf numFmtId="44" fontId="11" fillId="20" borderId="78" xfId="1" applyFont="1" applyFill="1" applyBorder="1" applyAlignment="1">
      <alignment vertical="center" wrapText="1"/>
    </xf>
    <xf numFmtId="44" fontId="34" fillId="9" borderId="42" xfId="1" applyFont="1" applyFill="1" applyBorder="1"/>
    <xf numFmtId="44" fontId="34" fillId="9" borderId="77" xfId="1" applyFont="1" applyFill="1" applyBorder="1"/>
    <xf numFmtId="0" fontId="26" fillId="19" borderId="78" xfId="0" applyFont="1" applyFill="1" applyBorder="1" applyAlignment="1">
      <alignment vertical="center" wrapText="1"/>
    </xf>
    <xf numFmtId="0" fontId="76" fillId="19" borderId="78" xfId="0" applyFont="1" applyFill="1" applyBorder="1" applyAlignment="1">
      <alignment vertical="center" wrapText="1"/>
    </xf>
    <xf numFmtId="49" fontId="18" fillId="9" borderId="3" xfId="0" applyNumberFormat="1" applyFont="1" applyFill="1" applyBorder="1" applyAlignment="1">
      <alignment horizontal="center"/>
    </xf>
    <xf numFmtId="0" fontId="26" fillId="9" borderId="3" xfId="0" applyFont="1" applyFill="1" applyBorder="1"/>
    <xf numFmtId="0" fontId="45" fillId="0" borderId="0" xfId="0" applyFont="1"/>
    <xf numFmtId="44" fontId="45" fillId="0" borderId="0" xfId="1" applyFont="1"/>
    <xf numFmtId="44" fontId="7" fillId="0" borderId="0" xfId="0" applyNumberFormat="1" applyFont="1"/>
    <xf numFmtId="165" fontId="78" fillId="13" borderId="63" xfId="0" applyNumberFormat="1" applyFont="1" applyFill="1" applyBorder="1"/>
    <xf numFmtId="44" fontId="21" fillId="0" borderId="24" xfId="1" applyFont="1" applyBorder="1" applyAlignment="1">
      <alignment horizontal="right" wrapText="1"/>
    </xf>
    <xf numFmtId="44" fontId="21" fillId="0" borderId="24" xfId="1" applyFont="1" applyBorder="1" applyAlignment="1">
      <alignment horizontal="right"/>
    </xf>
    <xf numFmtId="44" fontId="21" fillId="0" borderId="24" xfId="1" applyFont="1" applyBorder="1"/>
    <xf numFmtId="4" fontId="78" fillId="13" borderId="64" xfId="0" applyNumberFormat="1" applyFont="1" applyFill="1" applyBorder="1"/>
    <xf numFmtId="44" fontId="72" fillId="9" borderId="66" xfId="1" applyNumberFormat="1" applyFont="1" applyFill="1" applyBorder="1" applyAlignment="1">
      <alignment horizontal="right"/>
    </xf>
    <xf numFmtId="44" fontId="72" fillId="9" borderId="41" xfId="1" applyNumberFormat="1" applyFont="1" applyFill="1" applyBorder="1" applyAlignment="1">
      <alignment horizontal="right"/>
    </xf>
    <xf numFmtId="0" fontId="72" fillId="9" borderId="65" xfId="0" applyFont="1" applyFill="1" applyBorder="1" applyAlignment="1">
      <alignment horizontal="center"/>
    </xf>
    <xf numFmtId="49" fontId="72" fillId="9" borderId="5" xfId="0" applyNumberFormat="1" applyFont="1" applyFill="1" applyBorder="1" applyAlignment="1">
      <alignment horizontal="center"/>
    </xf>
    <xf numFmtId="49" fontId="72" fillId="9" borderId="66" xfId="0" applyNumberFormat="1" applyFont="1" applyFill="1" applyBorder="1" applyAlignment="1">
      <alignment horizontal="center"/>
    </xf>
    <xf numFmtId="0" fontId="72" fillId="9" borderId="67" xfId="0" applyFont="1" applyFill="1" applyBorder="1" applyAlignment="1">
      <alignment horizontal="left"/>
    </xf>
    <xf numFmtId="0" fontId="72" fillId="9" borderId="40" xfId="0" applyFont="1" applyFill="1" applyBorder="1" applyAlignment="1">
      <alignment horizontal="center"/>
    </xf>
    <xf numFmtId="49" fontId="72" fillId="9" borderId="3" xfId="0" applyNumberFormat="1" applyFont="1" applyFill="1" applyBorder="1" applyAlignment="1">
      <alignment horizontal="center"/>
    </xf>
    <xf numFmtId="49" fontId="72" fillId="9" borderId="38" xfId="0" applyNumberFormat="1" applyFont="1" applyFill="1" applyBorder="1" applyAlignment="1">
      <alignment horizontal="center"/>
    </xf>
    <xf numFmtId="0" fontId="72" fillId="0" borderId="41" xfId="0" applyFont="1" applyFill="1" applyBorder="1" applyAlignment="1">
      <alignment horizontal="center" vertical="center" wrapText="1"/>
    </xf>
    <xf numFmtId="0" fontId="72" fillId="9" borderId="42" xfId="0" applyFont="1" applyFill="1" applyBorder="1" applyAlignment="1">
      <alignment horizontal="left"/>
    </xf>
    <xf numFmtId="0" fontId="72" fillId="0" borderId="3" xfId="0" applyFont="1" applyFill="1" applyBorder="1" applyAlignment="1">
      <alignment horizontal="center" vertical="center" wrapText="1"/>
    </xf>
    <xf numFmtId="4" fontId="49" fillId="0" borderId="3" xfId="3" applyNumberFormat="1" applyFont="1" applyFill="1" applyBorder="1"/>
    <xf numFmtId="4" fontId="49" fillId="0" borderId="43" xfId="3" applyNumberFormat="1" applyFont="1" applyFill="1" applyBorder="1"/>
    <xf numFmtId="4" fontId="49" fillId="0" borderId="44" xfId="3" applyNumberFormat="1" applyFont="1" applyFill="1" applyBorder="1"/>
    <xf numFmtId="49" fontId="72" fillId="9" borderId="41" xfId="0" applyNumberFormat="1" applyFont="1" applyFill="1" applyBorder="1" applyAlignment="1">
      <alignment horizontal="center"/>
    </xf>
    <xf numFmtId="49" fontId="72" fillId="9" borderId="45" xfId="0" applyNumberFormat="1" applyFont="1" applyFill="1" applyBorder="1" applyAlignment="1">
      <alignment horizontal="center"/>
    </xf>
    <xf numFmtId="0" fontId="72" fillId="9" borderId="46" xfId="0" applyFont="1" applyFill="1" applyBorder="1" applyAlignment="1">
      <alignment horizontal="left"/>
    </xf>
    <xf numFmtId="0" fontId="80" fillId="17" borderId="47" xfId="0" applyFont="1" applyFill="1" applyBorder="1"/>
    <xf numFmtId="49" fontId="81" fillId="17" borderId="48" xfId="0" applyNumberFormat="1" applyFont="1" applyFill="1" applyBorder="1" applyAlignment="1">
      <alignment horizontal="center"/>
    </xf>
    <xf numFmtId="49" fontId="81" fillId="17" borderId="49" xfId="0" applyNumberFormat="1" applyFont="1" applyFill="1" applyBorder="1" applyAlignment="1">
      <alignment horizontal="center"/>
    </xf>
    <xf numFmtId="0" fontId="81" fillId="17" borderId="50" xfId="0" applyFont="1" applyFill="1" applyBorder="1" applyAlignment="1">
      <alignment horizontal="center"/>
    </xf>
    <xf numFmtId="44" fontId="81" fillId="17" borderId="51" xfId="0" applyNumberFormat="1" applyFont="1" applyFill="1" applyBorder="1" applyAlignment="1">
      <alignment horizontal="center"/>
    </xf>
    <xf numFmtId="0" fontId="72" fillId="9" borderId="3" xfId="0" applyFont="1" applyFill="1" applyBorder="1" applyAlignment="1">
      <alignment horizontal="center"/>
    </xf>
    <xf numFmtId="0" fontId="72" fillId="9" borderId="3" xfId="0" applyFont="1" applyFill="1" applyBorder="1" applyAlignment="1">
      <alignment horizontal="left"/>
    </xf>
    <xf numFmtId="44" fontId="72" fillId="9" borderId="3" xfId="1" applyNumberFormat="1" applyFont="1" applyFill="1" applyBorder="1" applyAlignment="1">
      <alignment horizontal="right"/>
    </xf>
    <xf numFmtId="0" fontId="72" fillId="9" borderId="3" xfId="0" applyFont="1" applyFill="1" applyBorder="1" applyAlignment="1">
      <alignment horizontal="left" wrapText="1"/>
    </xf>
    <xf numFmtId="44" fontId="34" fillId="9" borderId="3" xfId="1" applyNumberFormat="1" applyFont="1" applyFill="1" applyBorder="1" applyAlignment="1"/>
    <xf numFmtId="44" fontId="35" fillId="0" borderId="3" xfId="1" applyFont="1" applyBorder="1" applyAlignment="1"/>
    <xf numFmtId="44" fontId="2" fillId="0" borderId="3" xfId="1" applyFont="1" applyBorder="1" applyAlignment="1">
      <alignment wrapText="1"/>
    </xf>
    <xf numFmtId="44" fontId="72" fillId="9" borderId="3" xfId="1" applyFont="1" applyFill="1" applyBorder="1" applyAlignment="1">
      <alignment horizontal="right"/>
    </xf>
    <xf numFmtId="169" fontId="0" fillId="0" borderId="0" xfId="0" applyNumberFormat="1"/>
    <xf numFmtId="0" fontId="33" fillId="10" borderId="33" xfId="0" applyFont="1" applyFill="1" applyBorder="1" applyAlignment="1">
      <alignment horizontal="center" vertical="center" textRotation="90" wrapText="1"/>
    </xf>
    <xf numFmtId="0" fontId="33" fillId="10" borderId="34" xfId="0" applyFont="1" applyFill="1" applyBorder="1" applyAlignment="1">
      <alignment horizontal="center" vertical="center" textRotation="90" wrapText="1"/>
    </xf>
    <xf numFmtId="0" fontId="33" fillId="10" borderId="35" xfId="0" applyFont="1" applyFill="1" applyBorder="1" applyAlignment="1">
      <alignment horizontal="center" vertical="center" textRotation="90" wrapText="1"/>
    </xf>
    <xf numFmtId="0" fontId="33" fillId="10" borderId="36" xfId="0" applyFont="1" applyFill="1" applyBorder="1" applyAlignment="1">
      <alignment horizontal="center" vertical="center" textRotation="90" wrapText="1"/>
    </xf>
    <xf numFmtId="0" fontId="26" fillId="1" borderId="47" xfId="0" applyFont="1" applyFill="1" applyBorder="1" applyAlignment="1">
      <alignment horizontal="center" vertical="center" wrapText="1"/>
    </xf>
    <xf numFmtId="0" fontId="26" fillId="1" borderId="48" xfId="0" applyFont="1" applyFill="1" applyBorder="1" applyAlignment="1">
      <alignment horizontal="center" vertical="center" wrapText="1"/>
    </xf>
    <xf numFmtId="0" fontId="26" fillId="1" borderId="49" xfId="0" applyFont="1" applyFill="1" applyBorder="1" applyAlignment="1">
      <alignment horizontal="center" vertical="center" wrapText="1"/>
    </xf>
    <xf numFmtId="49" fontId="82" fillId="9" borderId="0" xfId="0" applyNumberFormat="1" applyFont="1" applyFill="1" applyBorder="1" applyAlignment="1">
      <alignment horizontal="center"/>
    </xf>
    <xf numFmtId="49" fontId="37" fillId="9" borderId="0" xfId="0" applyNumberFormat="1" applyFont="1" applyFill="1" applyBorder="1" applyAlignment="1">
      <alignment horizontal="center"/>
    </xf>
    <xf numFmtId="0" fontId="33" fillId="9" borderId="0" xfId="0" applyFont="1" applyFill="1" applyAlignment="1">
      <alignment horizontal="left"/>
    </xf>
    <xf numFmtId="49" fontId="82" fillId="9" borderId="0" xfId="0" applyNumberFormat="1" applyFont="1" applyFill="1" applyAlignment="1">
      <alignment horizontal="center"/>
    </xf>
    <xf numFmtId="49" fontId="38" fillId="9" borderId="0" xfId="0" applyNumberFormat="1" applyFont="1" applyFill="1" applyAlignment="1">
      <alignment horizontal="center"/>
    </xf>
    <xf numFmtId="0" fontId="82" fillId="9" borderId="0" xfId="0" applyFont="1" applyFill="1" applyAlignment="1">
      <alignment horizontal="center"/>
    </xf>
    <xf numFmtId="0" fontId="73" fillId="9" borderId="82" xfId="0" applyFont="1" applyFill="1" applyBorder="1" applyAlignment="1">
      <alignment horizontal="center"/>
    </xf>
    <xf numFmtId="49" fontId="73" fillId="9" borderId="38" xfId="0" applyNumberFormat="1" applyFont="1" applyFill="1" applyBorder="1" applyAlignment="1">
      <alignment horizontal="center"/>
    </xf>
    <xf numFmtId="49" fontId="73" fillId="9" borderId="83" xfId="0" applyNumberFormat="1" applyFont="1" applyFill="1" applyBorder="1" applyAlignment="1">
      <alignment horizontal="center"/>
    </xf>
    <xf numFmtId="0" fontId="73" fillId="9" borderId="84" xfId="0" applyFont="1" applyFill="1" applyBorder="1" applyAlignment="1">
      <alignment horizontal="left"/>
    </xf>
    <xf numFmtId="44" fontId="73" fillId="9" borderId="39" xfId="1" applyFont="1" applyFill="1" applyBorder="1" applyAlignment="1">
      <alignment horizontal="center"/>
    </xf>
    <xf numFmtId="0" fontId="73" fillId="9" borderId="40" xfId="0" applyFont="1" applyFill="1" applyBorder="1" applyAlignment="1">
      <alignment horizontal="center"/>
    </xf>
    <xf numFmtId="49" fontId="73" fillId="9" borderId="3" xfId="0" applyNumberFormat="1" applyFont="1" applyFill="1" applyBorder="1" applyAlignment="1">
      <alignment horizontal="center"/>
    </xf>
    <xf numFmtId="49" fontId="73" fillId="9" borderId="85" xfId="0" applyNumberFormat="1" applyFont="1" applyFill="1" applyBorder="1" applyAlignment="1">
      <alignment horizontal="center"/>
    </xf>
    <xf numFmtId="0" fontId="73" fillId="9" borderId="42" xfId="0" applyFont="1" applyFill="1" applyBorder="1" applyAlignment="1">
      <alignment horizontal="center"/>
    </xf>
    <xf numFmtId="44" fontId="73" fillId="9" borderId="41" xfId="1" applyFont="1" applyFill="1" applyBorder="1" applyAlignment="1">
      <alignment horizontal="center"/>
    </xf>
    <xf numFmtId="49" fontId="73" fillId="9" borderId="40" xfId="0" applyNumberFormat="1" applyFont="1" applyFill="1" applyBorder="1" applyAlignment="1">
      <alignment horizontal="center"/>
    </xf>
    <xf numFmtId="0" fontId="73" fillId="9" borderId="42" xfId="0" applyFont="1" applyFill="1" applyBorder="1"/>
    <xf numFmtId="44" fontId="73" fillId="9" borderId="41" xfId="1" applyFont="1" applyFill="1" applyBorder="1"/>
    <xf numFmtId="0" fontId="31" fillId="1" borderId="51" xfId="0" applyFont="1" applyFill="1" applyBorder="1" applyAlignment="1">
      <alignment horizontal="center" vertical="center" wrapText="1"/>
    </xf>
    <xf numFmtId="44" fontId="31" fillId="21" borderId="86" xfId="1" applyFont="1" applyFill="1" applyBorder="1" applyAlignment="1">
      <alignment horizontal="center" vertical="center" wrapText="1"/>
    </xf>
    <xf numFmtId="0" fontId="83" fillId="0" borderId="3" xfId="0" applyFont="1" applyBorder="1"/>
    <xf numFmtId="0" fontId="46" fillId="0" borderId="3" xfId="0" applyFont="1" applyBorder="1"/>
    <xf numFmtId="0" fontId="85" fillId="0" borderId="3" xfId="0" applyFont="1" applyBorder="1" applyAlignment="1">
      <alignment horizontal="center" wrapText="1"/>
    </xf>
    <xf numFmtId="0" fontId="46" fillId="0" borderId="3" xfId="0" applyFont="1" applyBorder="1" applyAlignment="1">
      <alignment horizontal="center"/>
    </xf>
    <xf numFmtId="0" fontId="46" fillId="0" borderId="3" xfId="0" applyFont="1" applyBorder="1" applyAlignment="1">
      <alignment horizontal="center" wrapText="1"/>
    </xf>
    <xf numFmtId="44" fontId="46" fillId="0" borderId="3" xfId="1" applyFont="1" applyBorder="1"/>
    <xf numFmtId="0" fontId="73" fillId="0" borderId="3" xfId="0" applyFont="1" applyFill="1" applyBorder="1" applyAlignment="1">
      <alignment horizontal="center"/>
    </xf>
    <xf numFmtId="0" fontId="86" fillId="11" borderId="3" xfId="0" applyFont="1" applyFill="1" applyBorder="1" applyAlignment="1">
      <alignment horizontal="left" vertical="center"/>
    </xf>
    <xf numFmtId="8" fontId="46" fillId="0" borderId="3" xfId="0" applyNumberFormat="1" applyFont="1" applyBorder="1"/>
    <xf numFmtId="43" fontId="87" fillId="0" borderId="3" xfId="5" applyNumberFormat="1" applyFont="1" applyFill="1" applyBorder="1" applyAlignment="1">
      <alignment vertical="center"/>
    </xf>
    <xf numFmtId="8" fontId="46" fillId="0" borderId="3" xfId="1" applyNumberFormat="1" applyFont="1" applyBorder="1"/>
    <xf numFmtId="0" fontId="73" fillId="0" borderId="4" xfId="0" applyFont="1" applyFill="1" applyBorder="1" applyAlignment="1"/>
    <xf numFmtId="0" fontId="73" fillId="0" borderId="44" xfId="0" applyFont="1" applyFill="1" applyBorder="1" applyAlignment="1"/>
    <xf numFmtId="8" fontId="73" fillId="0" borderId="44" xfId="0" applyNumberFormat="1" applyFont="1" applyFill="1" applyBorder="1" applyAlignment="1"/>
    <xf numFmtId="0" fontId="73" fillId="0" borderId="43" xfId="0" applyFont="1" applyFill="1" applyBorder="1" applyAlignment="1"/>
    <xf numFmtId="0" fontId="89" fillId="0" borderId="3" xfId="0" applyFont="1" applyBorder="1" applyAlignment="1">
      <alignment horizontal="center" wrapText="1"/>
    </xf>
    <xf numFmtId="0" fontId="84" fillId="0" borderId="3" xfId="0" applyFont="1" applyBorder="1" applyAlignment="1">
      <alignment horizontal="center"/>
    </xf>
    <xf numFmtId="44" fontId="88" fillId="0" borderId="3" xfId="0" applyNumberFormat="1" applyFont="1" applyBorder="1"/>
    <xf numFmtId="0" fontId="46" fillId="0" borderId="3" xfId="0" applyFont="1" applyFill="1" applyBorder="1"/>
    <xf numFmtId="0" fontId="90" fillId="0" borderId="3" xfId="0" applyFont="1" applyBorder="1" applyAlignment="1">
      <alignment wrapText="1"/>
    </xf>
    <xf numFmtId="0" fontId="46" fillId="0" borderId="3" xfId="0" applyFont="1" applyBorder="1" applyAlignment="1">
      <alignment wrapText="1"/>
    </xf>
    <xf numFmtId="0" fontId="90" fillId="0" borderId="3" xfId="0" applyFont="1" applyFill="1" applyBorder="1" applyAlignment="1">
      <alignment wrapText="1"/>
    </xf>
    <xf numFmtId="44" fontId="90" fillId="0" borderId="3" xfId="1" applyFont="1" applyFill="1" applyBorder="1"/>
    <xf numFmtId="0" fontId="90" fillId="0" borderId="3" xfId="0" applyFont="1" applyFill="1" applyBorder="1"/>
    <xf numFmtId="44" fontId="46" fillId="0" borderId="3" xfId="1" applyFont="1" applyFill="1" applyBorder="1"/>
    <xf numFmtId="0" fontId="90" fillId="0" borderId="3" xfId="0" applyFont="1" applyBorder="1" applyAlignment="1">
      <alignment horizontal="left" wrapText="1"/>
    </xf>
    <xf numFmtId="0" fontId="46" fillId="0" borderId="0" xfId="0" applyFont="1" applyFill="1" applyBorder="1"/>
    <xf numFmtId="0" fontId="46" fillId="0" borderId="0" xfId="0" applyFont="1" applyBorder="1"/>
    <xf numFmtId="44" fontId="88" fillId="0" borderId="3" xfId="1" applyFont="1" applyBorder="1"/>
    <xf numFmtId="43" fontId="87" fillId="0" borderId="3" xfId="0" applyNumberFormat="1" applyFont="1" applyFill="1" applyBorder="1" applyAlignment="1">
      <alignment horizontal="left" vertical="center" wrapText="1"/>
    </xf>
    <xf numFmtId="8" fontId="90" fillId="0" borderId="3" xfId="1" applyNumberFormat="1" applyFont="1" applyFill="1" applyBorder="1"/>
    <xf numFmtId="8" fontId="90" fillId="0" borderId="3" xfId="1" applyNumberFormat="1" applyFont="1" applyBorder="1"/>
    <xf numFmtId="44" fontId="90" fillId="0" borderId="3" xfId="1" applyFont="1" applyBorder="1"/>
    <xf numFmtId="8" fontId="46" fillId="0" borderId="3" xfId="1" applyNumberFormat="1" applyFont="1" applyFill="1" applyBorder="1"/>
    <xf numFmtId="170" fontId="46" fillId="0" borderId="3" xfId="0" applyNumberFormat="1" applyFont="1" applyBorder="1" applyAlignment="1">
      <alignment vertical="center"/>
    </xf>
    <xf numFmtId="0" fontId="46" fillId="23" borderId="3" xfId="0" applyFont="1" applyFill="1" applyBorder="1"/>
    <xf numFmtId="0" fontId="87" fillId="23" borderId="3" xfId="0" applyFont="1" applyFill="1" applyBorder="1" applyAlignment="1">
      <alignment vertical="center" wrapText="1"/>
    </xf>
    <xf numFmtId="44" fontId="46" fillId="23" borderId="3" xfId="1" applyFont="1" applyFill="1" applyBorder="1"/>
    <xf numFmtId="44" fontId="88" fillId="23" borderId="3" xfId="1" applyFont="1" applyFill="1" applyBorder="1"/>
    <xf numFmtId="0" fontId="91" fillId="0" borderId="3" xfId="0" applyFont="1" applyBorder="1" applyAlignment="1">
      <alignment horizontal="left" wrapText="1"/>
    </xf>
    <xf numFmtId="0" fontId="85" fillId="0" borderId="3" xfId="0" applyFont="1" applyBorder="1"/>
    <xf numFmtId="0" fontId="87" fillId="0" borderId="3" xfId="0" applyFont="1" applyFill="1" applyBorder="1" applyAlignment="1">
      <alignment vertical="center" wrapText="1"/>
    </xf>
    <xf numFmtId="0" fontId="84" fillId="0" borderId="3" xfId="0" applyFont="1" applyBorder="1" applyAlignment="1">
      <alignment horizontal="center" wrapText="1"/>
    </xf>
    <xf numFmtId="44" fontId="88" fillId="0" borderId="3" xfId="1" applyFont="1" applyFill="1" applyBorder="1"/>
    <xf numFmtId="43" fontId="92" fillId="0" borderId="3" xfId="0" applyNumberFormat="1" applyFont="1" applyFill="1" applyBorder="1" applyAlignment="1">
      <alignment horizontal="left" vertical="center" wrapText="1"/>
    </xf>
    <xf numFmtId="0" fontId="92" fillId="0" borderId="3" xfId="0" applyFont="1" applyBorder="1" applyAlignment="1">
      <alignment horizontal="left" wrapText="1"/>
    </xf>
    <xf numFmtId="0" fontId="46" fillId="23" borderId="0" xfId="0" applyFont="1" applyFill="1" applyBorder="1"/>
    <xf numFmtId="0" fontId="84" fillId="0" borderId="3" xfId="0" applyFont="1" applyBorder="1"/>
    <xf numFmtId="44" fontId="84" fillId="0" borderId="3" xfId="1" applyFont="1" applyBorder="1"/>
    <xf numFmtId="166" fontId="85" fillId="0" borderId="3" xfId="0" applyNumberFormat="1" applyFont="1" applyBorder="1"/>
    <xf numFmtId="165" fontId="85" fillId="0" borderId="3" xfId="0" applyNumberFormat="1" applyFont="1" applyBorder="1"/>
    <xf numFmtId="0" fontId="46" fillId="0" borderId="3" xfId="0" applyFont="1" applyBorder="1" applyAlignment="1">
      <alignment horizontal="left" wrapText="1"/>
    </xf>
    <xf numFmtId="0" fontId="46" fillId="0" borderId="3" xfId="0" applyFont="1" applyFill="1" applyBorder="1" applyAlignment="1">
      <alignment horizontal="left" wrapText="1"/>
    </xf>
    <xf numFmtId="0" fontId="46" fillId="0" borderId="3" xfId="0" applyFont="1" applyBorder="1" applyAlignment="1">
      <alignment horizontal="left"/>
    </xf>
    <xf numFmtId="0" fontId="46" fillId="24" borderId="3" xfId="0" applyFont="1" applyFill="1" applyBorder="1"/>
    <xf numFmtId="44" fontId="46" fillId="24" borderId="3" xfId="1" applyFont="1" applyFill="1" applyBorder="1"/>
    <xf numFmtId="44" fontId="88" fillId="24" borderId="3" xfId="1" applyFont="1" applyFill="1" applyBorder="1"/>
    <xf numFmtId="8" fontId="35" fillId="0" borderId="3" xfId="1" applyNumberFormat="1" applyFont="1" applyBorder="1"/>
    <xf numFmtId="44" fontId="93" fillId="0" borderId="3" xfId="1" applyFont="1" applyBorder="1"/>
    <xf numFmtId="0" fontId="94" fillId="0" borderId="3" xfId="0" applyFont="1" applyBorder="1" applyAlignment="1">
      <alignment horizontal="left" wrapText="1"/>
    </xf>
    <xf numFmtId="0" fontId="95" fillId="0" borderId="3" xfId="0" applyFont="1" applyBorder="1"/>
    <xf numFmtId="44" fontId="95" fillId="0" borderId="3" xfId="1" applyFont="1" applyBorder="1"/>
    <xf numFmtId="0" fontId="95" fillId="0" borderId="3" xfId="0" applyFont="1" applyBorder="1" applyAlignment="1">
      <alignment horizontal="center" wrapText="1"/>
    </xf>
    <xf numFmtId="44" fontId="96" fillId="0" borderId="3" xfId="0" applyNumberFormat="1" applyFont="1" applyBorder="1"/>
    <xf numFmtId="44" fontId="98" fillId="0" borderId="8" xfId="1" applyFont="1" applyFill="1" applyBorder="1" applyAlignment="1">
      <alignment horizontal="right"/>
    </xf>
    <xf numFmtId="44" fontId="98" fillId="0" borderId="8" xfId="1" applyFont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44" fontId="13" fillId="0" borderId="0" xfId="0" applyNumberFormat="1" applyFont="1" applyFill="1" applyBorder="1" applyAlignment="1">
      <alignment horizontal="center"/>
    </xf>
    <xf numFmtId="0" fontId="26" fillId="0" borderId="72" xfId="0" applyFont="1" applyBorder="1" applyAlignment="1">
      <alignment wrapText="1"/>
    </xf>
    <xf numFmtId="0" fontId="20" fillId="0" borderId="7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/>
    </xf>
    <xf numFmtId="49" fontId="20" fillId="0" borderId="1" xfId="0" applyNumberFormat="1" applyFont="1" applyFill="1" applyBorder="1" applyAlignment="1">
      <alignment horizontal="center"/>
    </xf>
    <xf numFmtId="44" fontId="26" fillId="0" borderId="72" xfId="1" applyFont="1" applyBorder="1"/>
    <xf numFmtId="44" fontId="20" fillId="0" borderId="1" xfId="1" applyFont="1" applyBorder="1" applyAlignment="1">
      <alignment horizontal="right"/>
    </xf>
    <xf numFmtId="44" fontId="20" fillId="0" borderId="1" xfId="1" applyFont="1" applyFill="1" applyBorder="1" applyAlignment="1">
      <alignment horizontal="right"/>
    </xf>
    <xf numFmtId="0" fontId="5" fillId="0" borderId="0" xfId="0" applyFont="1" applyBorder="1"/>
    <xf numFmtId="44" fontId="7" fillId="0" borderId="0" xfId="0" applyNumberFormat="1" applyFont="1" applyBorder="1"/>
    <xf numFmtId="44" fontId="6" fillId="0" borderId="0" xfId="0" applyNumberFormat="1" applyFont="1"/>
    <xf numFmtId="0" fontId="97" fillId="0" borderId="0" xfId="0" applyFont="1" applyBorder="1" applyAlignment="1">
      <alignment horizontal="center"/>
    </xf>
    <xf numFmtId="0" fontId="20" fillId="25" borderId="8" xfId="0" applyFont="1" applyFill="1" applyBorder="1" applyAlignment="1">
      <alignment horizontal="center"/>
    </xf>
    <xf numFmtId="0" fontId="20" fillId="25" borderId="8" xfId="0" applyFont="1" applyFill="1" applyBorder="1"/>
    <xf numFmtId="49" fontId="20" fillId="25" borderId="8" xfId="0" applyNumberFormat="1" applyFont="1" applyFill="1" applyBorder="1" applyAlignment="1">
      <alignment horizontal="center"/>
    </xf>
    <xf numFmtId="44" fontId="20" fillId="25" borderId="8" xfId="1" applyFont="1" applyFill="1" applyBorder="1" applyAlignment="1">
      <alignment horizontal="right"/>
    </xf>
    <xf numFmtId="44" fontId="20" fillId="25" borderId="8" xfId="1" applyFont="1" applyFill="1" applyBorder="1"/>
    <xf numFmtId="44" fontId="5" fillId="25" borderId="0" xfId="0" applyNumberFormat="1" applyFont="1" applyFill="1"/>
    <xf numFmtId="44" fontId="96" fillId="0" borderId="0" xfId="1" applyFont="1"/>
    <xf numFmtId="0" fontId="97" fillId="0" borderId="27" xfId="0" applyFont="1" applyBorder="1" applyAlignment="1"/>
    <xf numFmtId="0" fontId="97" fillId="0" borderId="88" xfId="0" applyFont="1" applyBorder="1" applyAlignment="1"/>
    <xf numFmtId="0" fontId="84" fillId="0" borderId="3" xfId="0" applyFont="1" applyBorder="1" applyAlignment="1">
      <alignment horizontal="center"/>
    </xf>
    <xf numFmtId="0" fontId="88" fillId="0" borderId="3" xfId="0" applyFont="1" applyBorder="1" applyAlignment="1">
      <alignment horizontal="center" wrapText="1"/>
    </xf>
    <xf numFmtId="0" fontId="85" fillId="22" borderId="4" xfId="0" applyFont="1" applyFill="1" applyBorder="1" applyAlignment="1">
      <alignment horizontal="center" wrapText="1"/>
    </xf>
    <xf numFmtId="44" fontId="46" fillId="22" borderId="4" xfId="1" applyFont="1" applyFill="1" applyBorder="1"/>
    <xf numFmtId="166" fontId="73" fillId="0" borderId="4" xfId="0" applyNumberFormat="1" applyFont="1" applyFill="1" applyBorder="1" applyAlignment="1">
      <alignment horizontal="right"/>
    </xf>
    <xf numFmtId="44" fontId="84" fillId="22" borderId="4" xfId="1" applyFont="1" applyFill="1" applyBorder="1"/>
    <xf numFmtId="44" fontId="46" fillId="0" borderId="4" xfId="1" applyFont="1" applyBorder="1" applyAlignment="1">
      <alignment horizontal="right"/>
    </xf>
    <xf numFmtId="44" fontId="46" fillId="0" borderId="4" xfId="1" applyFont="1" applyFill="1" applyBorder="1"/>
    <xf numFmtId="44" fontId="46" fillId="22" borderId="4" xfId="1" applyFont="1" applyFill="1" applyBorder="1" applyAlignment="1">
      <alignment horizontal="right"/>
    </xf>
    <xf numFmtId="8" fontId="46" fillId="22" borderId="4" xfId="1" applyNumberFormat="1" applyFont="1" applyFill="1" applyBorder="1" applyAlignment="1">
      <alignment horizontal="right"/>
    </xf>
    <xf numFmtId="44" fontId="90" fillId="0" borderId="4" xfId="1" applyFont="1" applyFill="1" applyBorder="1"/>
    <xf numFmtId="44" fontId="90" fillId="22" borderId="4" xfId="1" applyFont="1" applyFill="1" applyBorder="1"/>
    <xf numFmtId="44" fontId="90" fillId="22" borderId="4" xfId="1" applyFont="1" applyFill="1" applyBorder="1" applyAlignment="1">
      <alignment horizontal="right"/>
    </xf>
    <xf numFmtId="8" fontId="46" fillId="0" borderId="4" xfId="1" applyNumberFormat="1" applyFont="1" applyFill="1" applyBorder="1"/>
    <xf numFmtId="8" fontId="46" fillId="22" borderId="4" xfId="1" applyNumberFormat="1" applyFont="1" applyFill="1" applyBorder="1"/>
    <xf numFmtId="44" fontId="46" fillId="22" borderId="4" xfId="1" applyFont="1" applyFill="1" applyBorder="1" applyAlignment="1">
      <alignment vertical="center"/>
    </xf>
    <xf numFmtId="44" fontId="46" fillId="23" borderId="4" xfId="1" applyFont="1" applyFill="1" applyBorder="1"/>
    <xf numFmtId="44" fontId="46" fillId="0" borderId="4" xfId="1" applyFont="1" applyBorder="1" applyAlignment="1">
      <alignment horizontal="right" wrapText="1"/>
    </xf>
    <xf numFmtId="8" fontId="90" fillId="22" borderId="4" xfId="1" applyNumberFormat="1" applyFont="1" applyFill="1" applyBorder="1"/>
    <xf numFmtId="170" fontId="46" fillId="22" borderId="4" xfId="0" applyNumberFormat="1" applyFont="1" applyFill="1" applyBorder="1" applyAlignment="1">
      <alignment vertical="center"/>
    </xf>
    <xf numFmtId="166" fontId="85" fillId="0" borderId="4" xfId="0" applyNumberFormat="1" applyFont="1" applyBorder="1"/>
    <xf numFmtId="0" fontId="0" fillId="0" borderId="4" xfId="0" applyBorder="1"/>
    <xf numFmtId="44" fontId="46" fillId="0" borderId="4" xfId="1" applyFont="1" applyBorder="1"/>
    <xf numFmtId="44" fontId="46" fillId="24" borderId="4" xfId="1" applyFont="1" applyFill="1" applyBorder="1"/>
    <xf numFmtId="44" fontId="46" fillId="22" borderId="4" xfId="1" applyFont="1" applyFill="1" applyBorder="1" applyAlignment="1">
      <alignment horizontal="right" vertical="center"/>
    </xf>
    <xf numFmtId="44" fontId="0" fillId="0" borderId="3" xfId="1" applyFont="1" applyBorder="1"/>
    <xf numFmtId="0" fontId="45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4" fontId="0" fillId="0" borderId="3" xfId="0" applyNumberFormat="1" applyBorder="1"/>
    <xf numFmtId="0" fontId="0" fillId="0" borderId="3" xfId="0" applyBorder="1" applyAlignment="1">
      <alignment wrapText="1"/>
    </xf>
    <xf numFmtId="0" fontId="95" fillId="0" borderId="3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wrapText="1"/>
    </xf>
    <xf numFmtId="0" fontId="99" fillId="0" borderId="3" xfId="0" applyFont="1" applyBorder="1" applyAlignment="1">
      <alignment horizontal="center" wrapText="1"/>
    </xf>
    <xf numFmtId="0" fontId="88" fillId="0" borderId="3" xfId="0" applyFont="1" applyBorder="1"/>
    <xf numFmtId="0" fontId="100" fillId="0" borderId="3" xfId="0" applyFont="1" applyFill="1" applyBorder="1" applyAlignment="1">
      <alignment vertical="center" wrapText="1"/>
    </xf>
    <xf numFmtId="0" fontId="101" fillId="0" borderId="3" xfId="0" applyFont="1" applyFill="1" applyBorder="1" applyAlignment="1">
      <alignment vertical="center" wrapText="1"/>
    </xf>
    <xf numFmtId="0" fontId="45" fillId="0" borderId="3" xfId="0" applyFont="1" applyFill="1" applyBorder="1" applyAlignment="1">
      <alignment wrapText="1"/>
    </xf>
    <xf numFmtId="0" fontId="102" fillId="0" borderId="3" xfId="0" applyFont="1" applyBorder="1" applyAlignment="1">
      <alignment horizontal="center" wrapText="1"/>
    </xf>
    <xf numFmtId="0" fontId="103" fillId="0" borderId="3" xfId="0" applyFont="1" applyBorder="1" applyAlignment="1">
      <alignment horizontal="center" wrapText="1"/>
    </xf>
    <xf numFmtId="0" fontId="102" fillId="0" borderId="3" xfId="0" applyFont="1" applyBorder="1" applyAlignment="1">
      <alignment wrapText="1"/>
    </xf>
    <xf numFmtId="0" fontId="104" fillId="0" borderId="3" xfId="0" applyFont="1" applyBorder="1" applyAlignment="1">
      <alignment horizontal="center"/>
    </xf>
    <xf numFmtId="0" fontId="103" fillId="0" borderId="3" xfId="0" applyFont="1" applyBorder="1" applyAlignment="1">
      <alignment wrapText="1"/>
    </xf>
    <xf numFmtId="0" fontId="102" fillId="0" borderId="3" xfId="0" applyFont="1" applyBorder="1"/>
    <xf numFmtId="0" fontId="104" fillId="0" borderId="3" xfId="0" applyFont="1" applyBorder="1"/>
    <xf numFmtId="44" fontId="105" fillId="0" borderId="3" xfId="1" applyFont="1" applyBorder="1"/>
    <xf numFmtId="0" fontId="0" fillId="0" borderId="0" xfId="0" applyBorder="1"/>
    <xf numFmtId="44" fontId="84" fillId="22" borderId="4" xfId="1" applyFont="1" applyFill="1" applyBorder="1" applyAlignment="1">
      <alignment horizontal="center" wrapText="1"/>
    </xf>
    <xf numFmtId="0" fontId="45" fillId="0" borderId="3" xfId="0" applyFont="1" applyBorder="1"/>
    <xf numFmtId="0" fontId="45" fillId="0" borderId="3" xfId="0" applyFont="1" applyBorder="1" applyAlignment="1">
      <alignment wrapText="1"/>
    </xf>
    <xf numFmtId="0" fontId="45" fillId="0" borderId="3" xfId="0" applyFont="1" applyBorder="1" applyAlignment="1">
      <alignment horizontal="center" wrapText="1"/>
    </xf>
    <xf numFmtId="0" fontId="106" fillId="0" borderId="3" xfId="0" applyFont="1" applyBorder="1" applyAlignment="1">
      <alignment horizontal="center" wrapText="1"/>
    </xf>
    <xf numFmtId="0" fontId="46" fillId="24" borderId="3" xfId="0" applyFont="1" applyFill="1" applyBorder="1" applyAlignment="1">
      <alignment horizontal="left" wrapText="1"/>
    </xf>
    <xf numFmtId="8" fontId="46" fillId="24" borderId="3" xfId="1" applyNumberFormat="1" applyFont="1" applyFill="1" applyBorder="1"/>
    <xf numFmtId="0" fontId="46" fillId="0" borderId="7" xfId="0" applyFont="1" applyBorder="1"/>
    <xf numFmtId="0" fontId="85" fillId="0" borderId="6" xfId="0" applyFont="1" applyBorder="1"/>
    <xf numFmtId="0" fontId="84" fillId="0" borderId="6" xfId="0" applyFont="1" applyBorder="1"/>
    <xf numFmtId="44" fontId="84" fillId="0" borderId="6" xfId="1" applyFont="1" applyBorder="1"/>
    <xf numFmtId="166" fontId="85" fillId="0" borderId="6" xfId="0" applyNumberFormat="1" applyFont="1" applyBorder="1"/>
    <xf numFmtId="165" fontId="85" fillId="0" borderId="6" xfId="0" applyNumberFormat="1" applyFont="1" applyBorder="1"/>
    <xf numFmtId="0" fontId="0" fillId="0" borderId="6" xfId="0" applyBorder="1"/>
    <xf numFmtId="44" fontId="84" fillId="22" borderId="0" xfId="1" applyFont="1" applyFill="1" applyBorder="1"/>
    <xf numFmtId="0" fontId="45" fillId="0" borderId="0" xfId="0" applyFont="1" applyBorder="1"/>
    <xf numFmtId="0" fontId="0" fillId="0" borderId="69" xfId="0" applyBorder="1"/>
    <xf numFmtId="14" fontId="108" fillId="0" borderId="3" xfId="0" applyNumberFormat="1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5" fillId="0" borderId="5" xfId="0" applyFont="1" applyBorder="1"/>
    <xf numFmtId="44" fontId="7" fillId="0" borderId="5" xfId="0" applyNumberFormat="1" applyFont="1" applyBorder="1"/>
    <xf numFmtId="0" fontId="20" fillId="0" borderId="3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left"/>
    </xf>
    <xf numFmtId="49" fontId="20" fillId="0" borderId="3" xfId="0" applyNumberFormat="1" applyFont="1" applyFill="1" applyBorder="1" applyAlignment="1">
      <alignment horizontal="center"/>
    </xf>
    <xf numFmtId="44" fontId="20" fillId="0" borderId="3" xfId="1" applyFont="1" applyBorder="1" applyAlignment="1">
      <alignment horizontal="right"/>
    </xf>
    <xf numFmtId="44" fontId="5" fillId="0" borderId="3" xfId="0" applyNumberFormat="1" applyFont="1" applyBorder="1"/>
    <xf numFmtId="0" fontId="26" fillId="0" borderId="5" xfId="0" applyFont="1" applyBorder="1" applyAlignment="1">
      <alignment wrapText="1"/>
    </xf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/>
    </xf>
    <xf numFmtId="49" fontId="20" fillId="0" borderId="5" xfId="0" applyNumberFormat="1" applyFont="1" applyFill="1" applyBorder="1" applyAlignment="1">
      <alignment horizontal="center"/>
    </xf>
    <xf numFmtId="44" fontId="26" fillId="0" borderId="5" xfId="1" applyFont="1" applyBorder="1"/>
    <xf numFmtId="44" fontId="20" fillId="0" borderId="5" xfId="1" applyFont="1" applyBorder="1" applyAlignment="1">
      <alignment horizontal="right"/>
    </xf>
    <xf numFmtId="0" fontId="47" fillId="0" borderId="5" xfId="0" applyFont="1" applyFill="1" applyBorder="1" applyAlignment="1">
      <alignment horizontal="center" wrapText="1"/>
    </xf>
    <xf numFmtId="44" fontId="20" fillId="0" borderId="2" xfId="1" applyFont="1" applyBorder="1"/>
    <xf numFmtId="44" fontId="20" fillId="0" borderId="13" xfId="1" applyFont="1" applyBorder="1"/>
    <xf numFmtId="0" fontId="44" fillId="0" borderId="3" xfId="0" applyFont="1" applyBorder="1" applyAlignment="1">
      <alignment horizontal="center" wrapText="1"/>
    </xf>
    <xf numFmtId="0" fontId="46" fillId="26" borderId="3" xfId="0" applyFont="1" applyFill="1" applyBorder="1"/>
    <xf numFmtId="0" fontId="100" fillId="26" borderId="3" xfId="0" applyFont="1" applyFill="1" applyBorder="1" applyAlignment="1">
      <alignment vertical="center" wrapText="1"/>
    </xf>
    <xf numFmtId="44" fontId="46" fillId="26" borderId="3" xfId="1" applyFont="1" applyFill="1" applyBorder="1"/>
    <xf numFmtId="44" fontId="88" fillId="26" borderId="3" xfId="1" applyFont="1" applyFill="1" applyBorder="1"/>
    <xf numFmtId="44" fontId="46" fillId="26" borderId="4" xfId="1" applyFont="1" applyFill="1" applyBorder="1"/>
    <xf numFmtId="0" fontId="84" fillId="26" borderId="4" xfId="0" applyFont="1" applyFill="1" applyBorder="1" applyAlignment="1">
      <alignment horizontal="center"/>
    </xf>
    <xf numFmtId="0" fontId="0" fillId="26" borderId="3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44" fontId="98" fillId="0" borderId="9" xfId="1" applyFont="1" applyFill="1" applyBorder="1" applyAlignment="1">
      <alignment horizontal="right"/>
    </xf>
    <xf numFmtId="44" fontId="84" fillId="0" borderId="4" xfId="1" applyFont="1" applyFill="1" applyBorder="1"/>
    <xf numFmtId="44" fontId="46" fillId="0" borderId="4" xfId="1" applyFont="1" applyFill="1" applyBorder="1" applyAlignment="1">
      <alignment horizontal="right"/>
    </xf>
    <xf numFmtId="0" fontId="107" fillId="0" borderId="6" xfId="0" applyFont="1" applyBorder="1" applyAlignment="1"/>
    <xf numFmtId="0" fontId="20" fillId="0" borderId="5" xfId="0" applyFont="1" applyFill="1" applyBorder="1" applyAlignment="1">
      <alignment horizontal="center"/>
    </xf>
    <xf numFmtId="0" fontId="46" fillId="0" borderId="3" xfId="0" applyFont="1" applyFill="1" applyBorder="1" applyAlignment="1">
      <alignment wrapText="1"/>
    </xf>
    <xf numFmtId="0" fontId="91" fillId="0" borderId="3" xfId="0" applyFont="1" applyFill="1" applyBorder="1" applyAlignment="1">
      <alignment horizontal="left" indent="1"/>
    </xf>
    <xf numFmtId="0" fontId="91" fillId="0" borderId="3" xfId="0" applyFont="1" applyBorder="1" applyAlignment="1">
      <alignment horizontal="left" wrapText="1" indent="1"/>
    </xf>
    <xf numFmtId="0" fontId="91" fillId="0" borderId="3" xfId="0" applyFont="1" applyBorder="1" applyAlignment="1">
      <alignment horizontal="left" indent="1"/>
    </xf>
    <xf numFmtId="44" fontId="46" fillId="0" borderId="3" xfId="1" applyFont="1" applyBorder="1" applyAlignment="1">
      <alignment horizontal="left" indent="1"/>
    </xf>
    <xf numFmtId="44" fontId="6" fillId="22" borderId="3" xfId="1" applyFont="1" applyFill="1" applyBorder="1" applyAlignment="1">
      <alignment horizontal="left" indent="1"/>
    </xf>
    <xf numFmtId="0" fontId="110" fillId="0" borderId="3" xfId="0" applyFont="1" applyBorder="1" applyAlignment="1">
      <alignment horizontal="left" wrapText="1"/>
    </xf>
    <xf numFmtId="0" fontId="84" fillId="0" borderId="4" xfId="0" applyFont="1" applyBorder="1" applyAlignment="1">
      <alignment horizontal="center"/>
    </xf>
    <xf numFmtId="0" fontId="45" fillId="0" borderId="3" xfId="0" applyFont="1" applyBorder="1" applyAlignment="1">
      <alignment horizontal="center"/>
    </xf>
    <xf numFmtId="0" fontId="111" fillId="0" borderId="3" xfId="0" applyFont="1" applyBorder="1" applyAlignment="1">
      <alignment horizontal="center" wrapText="1"/>
    </xf>
    <xf numFmtId="0" fontId="84" fillId="0" borderId="4" xfId="0" applyFont="1" applyBorder="1" applyAlignment="1">
      <alignment horizontal="center" wrapText="1"/>
    </xf>
    <xf numFmtId="0" fontId="84" fillId="0" borderId="4" xfId="0" applyFont="1" applyBorder="1"/>
    <xf numFmtId="44" fontId="84" fillId="0" borderId="4" xfId="1" applyFont="1" applyBorder="1"/>
    <xf numFmtId="0" fontId="89" fillId="0" borderId="6" xfId="0" applyFont="1" applyBorder="1" applyAlignment="1"/>
    <xf numFmtId="8" fontId="46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0" fontId="25" fillId="0" borderId="3" xfId="0" applyFont="1" applyBorder="1" applyAlignment="1">
      <alignment wrapText="1"/>
    </xf>
    <xf numFmtId="0" fontId="25" fillId="0" borderId="0" xfId="0" applyFont="1" applyAlignment="1">
      <alignment wrapText="1"/>
    </xf>
    <xf numFmtId="0" fontId="112" fillId="0" borderId="3" xfId="0" applyFont="1" applyBorder="1" applyAlignment="1">
      <alignment horizontal="center" wrapText="1"/>
    </xf>
    <xf numFmtId="0" fontId="84" fillId="0" borderId="4" xfId="0" applyFont="1" applyBorder="1" applyAlignment="1">
      <alignment wrapText="1"/>
    </xf>
    <xf numFmtId="0" fontId="94" fillId="27" borderId="3" xfId="0" applyFont="1" applyFill="1" applyBorder="1" applyAlignment="1">
      <alignment horizontal="left" wrapText="1"/>
    </xf>
    <xf numFmtId="0" fontId="90" fillId="0" borderId="3" xfId="0" applyFont="1" applyBorder="1" applyAlignment="1">
      <alignment horizontal="left" vertical="top" wrapText="1"/>
    </xf>
    <xf numFmtId="44" fontId="46" fillId="0" borderId="3" xfId="1" applyFont="1" applyBorder="1" applyAlignment="1">
      <alignment vertical="top" wrapText="1"/>
    </xf>
    <xf numFmtId="44" fontId="46" fillId="0" borderId="3" xfId="1" applyFont="1" applyBorder="1" applyAlignment="1">
      <alignment wrapText="1"/>
    </xf>
    <xf numFmtId="0" fontId="8" fillId="0" borderId="0" xfId="0" applyFont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15" borderId="56" xfId="0" applyFont="1" applyFill="1" applyBorder="1" applyAlignment="1">
      <alignment horizontal="center"/>
    </xf>
    <xf numFmtId="0" fontId="52" fillId="0" borderId="24" xfId="0" applyFont="1" applyFill="1" applyBorder="1" applyAlignment="1">
      <alignment horizontal="left"/>
    </xf>
    <xf numFmtId="0" fontId="0" fillId="0" borderId="25" xfId="0" applyFill="1" applyBorder="1"/>
    <xf numFmtId="49" fontId="52" fillId="13" borderId="56" xfId="0" applyNumberFormat="1" applyFont="1" applyFill="1" applyBorder="1" applyAlignment="1">
      <alignment horizontal="center"/>
    </xf>
    <xf numFmtId="0" fontId="21" fillId="13" borderId="58" xfId="0" applyFont="1" applyFill="1" applyBorder="1" applyAlignment="1">
      <alignment horizontal="center"/>
    </xf>
    <xf numFmtId="0" fontId="56" fillId="13" borderId="25" xfId="0" applyFont="1" applyFill="1" applyBorder="1" applyAlignment="1">
      <alignment horizontal="center"/>
    </xf>
    <xf numFmtId="0" fontId="0" fillId="0" borderId="24" xfId="0" applyFill="1" applyBorder="1"/>
    <xf numFmtId="0" fontId="21" fillId="0" borderId="0" xfId="0" applyFont="1" applyAlignment="1">
      <alignment horizontal="center"/>
    </xf>
    <xf numFmtId="0" fontId="54" fillId="13" borderId="58" xfId="0" applyFont="1" applyFill="1" applyBorder="1" applyAlignment="1">
      <alignment horizontal="center"/>
    </xf>
    <xf numFmtId="49" fontId="54" fillId="13" borderId="24" xfId="0" applyNumberFormat="1" applyFont="1" applyFill="1" applyBorder="1" applyAlignment="1">
      <alignment horizontal="center"/>
    </xf>
    <xf numFmtId="0" fontId="54" fillId="13" borderId="24" xfId="0" applyFont="1" applyFill="1" applyBorder="1" applyAlignment="1">
      <alignment horizontal="center"/>
    </xf>
    <xf numFmtId="0" fontId="55" fillId="13" borderId="25" xfId="0" applyFont="1" applyFill="1" applyBorder="1" applyAlignment="1">
      <alignment horizontal="center"/>
    </xf>
    <xf numFmtId="0" fontId="0" fillId="0" borderId="58" xfId="0" applyFill="1" applyBorder="1"/>
    <xf numFmtId="0" fontId="57" fillId="13" borderId="25" xfId="0" applyFont="1" applyFill="1" applyBorder="1" applyAlignment="1">
      <alignment horizontal="center"/>
    </xf>
    <xf numFmtId="0" fontId="23" fillId="13" borderId="58" xfId="0" applyFont="1" applyFill="1" applyBorder="1" applyAlignment="1">
      <alignment horizontal="center"/>
    </xf>
    <xf numFmtId="49" fontId="23" fillId="13" borderId="24" xfId="0" applyNumberFormat="1" applyFont="1" applyFill="1" applyBorder="1" applyAlignment="1">
      <alignment horizontal="center"/>
    </xf>
    <xf numFmtId="0" fontId="23" fillId="13" borderId="24" xfId="0" applyFont="1" applyFill="1" applyBorder="1" applyAlignment="1">
      <alignment horizontal="center"/>
    </xf>
    <xf numFmtId="0" fontId="15" fillId="16" borderId="56" xfId="0" applyFont="1" applyFill="1" applyBorder="1" applyAlignment="1">
      <alignment horizontal="center" vertical="center" wrapText="1"/>
    </xf>
    <xf numFmtId="0" fontId="63" fillId="16" borderId="56" xfId="0" applyFont="1" applyFill="1" applyBorder="1"/>
    <xf numFmtId="0" fontId="63" fillId="16" borderId="25" xfId="0" applyFont="1" applyFill="1" applyBorder="1"/>
    <xf numFmtId="0" fontId="15" fillId="0" borderId="0" xfId="0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65" fillId="0" borderId="0" xfId="0" applyNumberFormat="1" applyFont="1" applyAlignment="1">
      <alignment horizontal="center"/>
    </xf>
    <xf numFmtId="49" fontId="15" fillId="0" borderId="15" xfId="0" applyNumberFormat="1" applyFont="1" applyFill="1" applyBorder="1" applyAlignment="1">
      <alignment horizontal="center"/>
    </xf>
    <xf numFmtId="49" fontId="66" fillId="16" borderId="58" xfId="0" applyNumberFormat="1" applyFont="1" applyFill="1" applyBorder="1" applyAlignment="1">
      <alignment horizontal="center" wrapText="1"/>
    </xf>
    <xf numFmtId="49" fontId="66" fillId="16" borderId="25" xfId="0" applyNumberFormat="1" applyFont="1" applyFill="1" applyBorder="1" applyAlignment="1">
      <alignment horizontal="center" wrapText="1"/>
    </xf>
    <xf numFmtId="49" fontId="37" fillId="9" borderId="0" xfId="0" applyNumberFormat="1" applyFont="1" applyFill="1" applyBorder="1" applyAlignment="1">
      <alignment horizontal="justify"/>
    </xf>
    <xf numFmtId="0" fontId="33" fillId="9" borderId="0" xfId="0" applyFont="1" applyFill="1" applyAlignment="1">
      <alignment horizontal="center"/>
    </xf>
    <xf numFmtId="0" fontId="60" fillId="0" borderId="0" xfId="0" applyFont="1" applyAlignment="1">
      <alignment horizontal="center"/>
    </xf>
    <xf numFmtId="0" fontId="33" fillId="20" borderId="32" xfId="0" applyFont="1" applyFill="1" applyBorder="1" applyAlignment="1">
      <alignment horizontal="center" vertical="center" textRotation="90" wrapText="1"/>
    </xf>
    <xf numFmtId="0" fontId="33" fillId="20" borderId="78" xfId="0" applyFont="1" applyFill="1" applyBorder="1" applyAlignment="1">
      <alignment horizontal="center" vertical="center" textRotation="90" wrapText="1"/>
    </xf>
    <xf numFmtId="0" fontId="41" fillId="9" borderId="29" xfId="0" applyFont="1" applyFill="1" applyBorder="1" applyAlignment="1">
      <alignment horizontal="center"/>
    </xf>
    <xf numFmtId="0" fontId="33" fillId="19" borderId="32" xfId="0" applyFont="1" applyFill="1" applyBorder="1" applyAlignment="1">
      <alignment horizontal="center" vertical="center" textRotation="90" wrapText="1"/>
    </xf>
    <xf numFmtId="0" fontId="33" fillId="19" borderId="37" xfId="0" applyFont="1" applyFill="1" applyBorder="1" applyAlignment="1">
      <alignment horizontal="center" vertical="center" textRotation="90" wrapText="1"/>
    </xf>
    <xf numFmtId="0" fontId="33" fillId="19" borderId="78" xfId="0" applyFont="1" applyFill="1" applyBorder="1" applyAlignment="1">
      <alignment horizontal="center" vertical="center" textRotation="90" wrapText="1"/>
    </xf>
    <xf numFmtId="0" fontId="33" fillId="19" borderId="32" xfId="0" applyFont="1" applyFill="1" applyBorder="1" applyAlignment="1">
      <alignment horizontal="center" vertical="center" wrapText="1"/>
    </xf>
    <xf numFmtId="0" fontId="33" fillId="19" borderId="37" xfId="0" applyFont="1" applyFill="1" applyBorder="1" applyAlignment="1">
      <alignment horizontal="center" vertical="center" wrapText="1"/>
    </xf>
    <xf numFmtId="0" fontId="33" fillId="19" borderId="78" xfId="0" applyFont="1" applyFill="1" applyBorder="1" applyAlignment="1">
      <alignment horizontal="center" vertical="center" wrapText="1"/>
    </xf>
    <xf numFmtId="0" fontId="33" fillId="20" borderId="30" xfId="0" applyFont="1" applyFill="1" applyBorder="1" applyAlignment="1">
      <alignment horizontal="center"/>
    </xf>
    <xf numFmtId="0" fontId="33" fillId="20" borderId="31" xfId="0" applyFont="1" applyFill="1" applyBorder="1" applyAlignment="1">
      <alignment horizontal="center"/>
    </xf>
    <xf numFmtId="0" fontId="33" fillId="20" borderId="74" xfId="0" applyFont="1" applyFill="1" applyBorder="1" applyAlignment="1">
      <alignment horizontal="center"/>
    </xf>
    <xf numFmtId="0" fontId="33" fillId="20" borderId="75" xfId="0" applyFont="1" applyFill="1" applyBorder="1" applyAlignment="1">
      <alignment horizontal="center" vertical="center" textRotation="90" wrapText="1"/>
    </xf>
    <xf numFmtId="0" fontId="33" fillId="20" borderId="77" xfId="0" applyFont="1" applyFill="1" applyBorder="1" applyAlignment="1">
      <alignment horizontal="center" vertical="center" textRotation="90" wrapText="1"/>
    </xf>
    <xf numFmtId="0" fontId="33" fillId="20" borderId="79" xfId="0" applyFont="1" applyFill="1" applyBorder="1" applyAlignment="1">
      <alignment horizontal="center" vertical="center" textRotation="90" wrapText="1"/>
    </xf>
    <xf numFmtId="0" fontId="33" fillId="20" borderId="32" xfId="0" applyFont="1" applyFill="1" applyBorder="1" applyAlignment="1" applyProtection="1">
      <alignment horizontal="center" vertical="center" textRotation="90" wrapText="1"/>
      <protection locked="0" hidden="1"/>
    </xf>
    <xf numFmtId="0" fontId="33" fillId="20" borderId="37" xfId="0" applyFont="1" applyFill="1" applyBorder="1" applyAlignment="1" applyProtection="1">
      <alignment horizontal="center" vertical="center" textRotation="90" wrapText="1"/>
      <protection locked="0" hidden="1"/>
    </xf>
    <xf numFmtId="0" fontId="33" fillId="20" borderId="78" xfId="0" applyFont="1" applyFill="1" applyBorder="1" applyAlignment="1" applyProtection="1">
      <alignment horizontal="center" vertical="center" textRotation="90" wrapText="1"/>
      <protection locked="0" hidden="1"/>
    </xf>
    <xf numFmtId="0" fontId="32" fillId="20" borderId="30" xfId="0" applyFont="1" applyFill="1" applyBorder="1" applyAlignment="1">
      <alignment horizontal="center"/>
    </xf>
    <xf numFmtId="0" fontId="32" fillId="20" borderId="74" xfId="0" applyFont="1" applyFill="1" applyBorder="1" applyAlignment="1">
      <alignment horizontal="center"/>
    </xf>
    <xf numFmtId="0" fontId="40" fillId="9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95" fillId="0" borderId="3" xfId="0" applyFont="1" applyBorder="1" applyAlignment="1">
      <alignment horizontal="center" wrapText="1"/>
    </xf>
    <xf numFmtId="0" fontId="24" fillId="0" borderId="8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center" vertical="center"/>
    </xf>
    <xf numFmtId="9" fontId="24" fillId="0" borderId="8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27" xfId="0" applyFill="1" applyBorder="1"/>
    <xf numFmtId="0" fontId="24" fillId="0" borderId="8" xfId="0" applyFont="1" applyFill="1" applyBorder="1" applyAlignment="1">
      <alignment horizontal="center" vertical="center" wrapText="1"/>
    </xf>
    <xf numFmtId="0" fontId="97" fillId="0" borderId="0" xfId="0" applyFont="1" applyBorder="1" applyAlignment="1">
      <alignment horizontal="center"/>
    </xf>
    <xf numFmtId="0" fontId="97" fillId="0" borderId="87" xfId="0" applyFont="1" applyBorder="1" applyAlignment="1">
      <alignment horizontal="center"/>
    </xf>
    <xf numFmtId="0" fontId="24" fillId="0" borderId="64" xfId="0" applyFont="1" applyFill="1" applyBorder="1" applyAlignment="1">
      <alignment horizontal="center" vertical="center" wrapText="1"/>
    </xf>
    <xf numFmtId="0" fontId="24" fillId="0" borderId="64" xfId="0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/>
    </xf>
    <xf numFmtId="0" fontId="97" fillId="0" borderId="27" xfId="0" applyFont="1" applyBorder="1" applyAlignment="1">
      <alignment horizontal="center"/>
    </xf>
    <xf numFmtId="0" fontId="97" fillId="0" borderId="88" xfId="0" applyFont="1" applyBorder="1" applyAlignment="1">
      <alignment horizontal="center"/>
    </xf>
    <xf numFmtId="0" fontId="97" fillId="0" borderId="3" xfId="0" applyFont="1" applyBorder="1" applyAlignment="1">
      <alignment horizontal="center"/>
    </xf>
    <xf numFmtId="0" fontId="24" fillId="0" borderId="89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30" fillId="9" borderId="29" xfId="0" applyFont="1" applyFill="1" applyBorder="1" applyAlignment="1">
      <alignment horizontal="center"/>
    </xf>
    <xf numFmtId="0" fontId="32" fillId="17" borderId="30" xfId="0" applyFont="1" applyFill="1" applyBorder="1" applyAlignment="1">
      <alignment horizontal="center"/>
    </xf>
    <xf numFmtId="0" fontId="32" fillId="17" borderId="31" xfId="0" applyFont="1" applyFill="1" applyBorder="1" applyAlignment="1">
      <alignment horizontal="center"/>
    </xf>
    <xf numFmtId="0" fontId="33" fillId="17" borderId="32" xfId="0" applyFont="1" applyFill="1" applyBorder="1" applyAlignment="1">
      <alignment horizontal="center" vertical="center" wrapText="1"/>
    </xf>
    <xf numFmtId="0" fontId="33" fillId="17" borderId="37" xfId="0" applyFont="1" applyFill="1" applyBorder="1" applyAlignment="1">
      <alignment horizontal="center" vertical="center" wrapText="1"/>
    </xf>
    <xf numFmtId="0" fontId="33" fillId="17" borderId="32" xfId="0" applyFont="1" applyFill="1" applyBorder="1" applyAlignment="1" applyProtection="1">
      <alignment horizontal="center" vertical="center" textRotation="90" wrapText="1"/>
      <protection locked="0" hidden="1"/>
    </xf>
    <xf numFmtId="0" fontId="33" fillId="17" borderId="37" xfId="0" applyFont="1" applyFill="1" applyBorder="1" applyAlignment="1" applyProtection="1">
      <alignment horizontal="center" vertical="center" textRotation="90" wrapText="1"/>
      <protection locked="0" hidden="1"/>
    </xf>
    <xf numFmtId="0" fontId="28" fillId="9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30" fillId="9" borderId="0" xfId="0" applyFont="1" applyFill="1" applyBorder="1" applyAlignment="1">
      <alignment horizontal="center"/>
    </xf>
    <xf numFmtId="0" fontId="30" fillId="16" borderId="68" xfId="0" applyFont="1" applyFill="1" applyBorder="1" applyAlignment="1">
      <alignment horizontal="center" wrapText="1"/>
    </xf>
    <xf numFmtId="0" fontId="30" fillId="16" borderId="69" xfId="0" applyFont="1" applyFill="1" applyBorder="1" applyAlignment="1">
      <alignment horizontal="center" wrapText="1"/>
    </xf>
    <xf numFmtId="0" fontId="30" fillId="16" borderId="70" xfId="0" applyFont="1" applyFill="1" applyBorder="1" applyAlignment="1">
      <alignment horizontal="center" wrapText="1"/>
    </xf>
    <xf numFmtId="0" fontId="30" fillId="16" borderId="7" xfId="0" applyFont="1" applyFill="1" applyBorder="1" applyAlignment="1">
      <alignment horizontal="center"/>
    </xf>
    <xf numFmtId="0" fontId="30" fillId="16" borderId="6" xfId="0" applyFont="1" applyFill="1" applyBorder="1" applyAlignment="1">
      <alignment horizontal="center"/>
    </xf>
    <xf numFmtId="0" fontId="30" fillId="16" borderId="71" xfId="0" applyFont="1" applyFill="1" applyBorder="1" applyAlignment="1">
      <alignment horizontal="center"/>
    </xf>
    <xf numFmtId="0" fontId="30" fillId="16" borderId="7" xfId="0" applyFont="1" applyFill="1" applyBorder="1" applyAlignment="1">
      <alignment horizontal="center" wrapText="1"/>
    </xf>
    <xf numFmtId="0" fontId="30" fillId="16" borderId="6" xfId="0" applyFont="1" applyFill="1" applyBorder="1" applyAlignment="1">
      <alignment horizontal="center" wrapText="1"/>
    </xf>
    <xf numFmtId="0" fontId="30" fillId="16" borderId="71" xfId="0" applyFont="1" applyFill="1" applyBorder="1" applyAlignment="1">
      <alignment horizontal="center" wrapText="1"/>
    </xf>
    <xf numFmtId="0" fontId="79" fillId="9" borderId="0" xfId="0" applyFont="1" applyFill="1" applyAlignment="1">
      <alignment horizontal="center"/>
    </xf>
    <xf numFmtId="0" fontId="73" fillId="0" borderId="0" xfId="0" applyFont="1" applyAlignment="1">
      <alignment horizontal="center"/>
    </xf>
    <xf numFmtId="0" fontId="58" fillId="9" borderId="29" xfId="0" applyFont="1" applyFill="1" applyBorder="1" applyAlignment="1">
      <alignment horizontal="center" wrapText="1"/>
    </xf>
    <xf numFmtId="0" fontId="32" fillId="10" borderId="30" xfId="0" applyFont="1" applyFill="1" applyBorder="1" applyAlignment="1">
      <alignment horizontal="center"/>
    </xf>
    <xf numFmtId="0" fontId="32" fillId="10" borderId="31" xfId="0" applyFont="1" applyFill="1" applyBorder="1" applyAlignment="1">
      <alignment horizontal="center"/>
    </xf>
    <xf numFmtId="0" fontId="33" fillId="10" borderId="32" xfId="0" applyFont="1" applyFill="1" applyBorder="1" applyAlignment="1">
      <alignment horizontal="center" vertical="center" wrapText="1"/>
    </xf>
    <xf numFmtId="0" fontId="33" fillId="10" borderId="78" xfId="0" applyFont="1" applyFill="1" applyBorder="1" applyAlignment="1">
      <alignment horizontal="center" vertical="center" wrapText="1"/>
    </xf>
    <xf numFmtId="0" fontId="33" fillId="10" borderId="32" xfId="0" applyFont="1" applyFill="1" applyBorder="1" applyAlignment="1" applyProtection="1">
      <alignment horizontal="center" vertical="center" textRotation="90" wrapText="1"/>
      <protection locked="0" hidden="1"/>
    </xf>
    <xf numFmtId="0" fontId="33" fillId="10" borderId="78" xfId="0" applyFont="1" applyFill="1" applyBorder="1" applyAlignment="1" applyProtection="1">
      <alignment horizontal="center" vertical="center" textRotation="90" wrapText="1"/>
      <protection locked="0" hidden="1"/>
    </xf>
    <xf numFmtId="49" fontId="39" fillId="9" borderId="0" xfId="0" applyNumberFormat="1" applyFont="1" applyFill="1" applyBorder="1" applyAlignment="1">
      <alignment horizontal="left"/>
    </xf>
    <xf numFmtId="0" fontId="107" fillId="0" borderId="4" xfId="0" applyFont="1" applyBorder="1" applyAlignment="1">
      <alignment horizontal="center"/>
    </xf>
    <xf numFmtId="0" fontId="107" fillId="0" borderId="44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4" fillId="0" borderId="4" xfId="0" applyFont="1" applyBorder="1" applyAlignment="1">
      <alignment horizontal="center"/>
    </xf>
    <xf numFmtId="0" fontId="83" fillId="0" borderId="4" xfId="0" applyFont="1" applyBorder="1" applyAlignment="1">
      <alignment horizontal="center"/>
    </xf>
    <xf numFmtId="0" fontId="83" fillId="0" borderId="44" xfId="0" applyFont="1" applyBorder="1" applyAlignment="1">
      <alignment horizontal="center"/>
    </xf>
    <xf numFmtId="0" fontId="83" fillId="0" borderId="3" xfId="0" applyFont="1" applyBorder="1" applyAlignment="1">
      <alignment horizontal="center"/>
    </xf>
    <xf numFmtId="0" fontId="88" fillId="0" borderId="3" xfId="0" applyFont="1" applyBorder="1" applyAlignment="1">
      <alignment horizontal="center"/>
    </xf>
    <xf numFmtId="0" fontId="88" fillId="0" borderId="4" xfId="0" applyFont="1" applyBorder="1" applyAlignment="1">
      <alignment horizontal="center"/>
    </xf>
    <xf numFmtId="0" fontId="46" fillId="0" borderId="4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3" xfId="0" applyFont="1" applyBorder="1" applyAlignment="1">
      <alignment horizontal="center"/>
    </xf>
  </cellXfs>
  <cellStyles count="6">
    <cellStyle name="Euro" xfId="3"/>
    <cellStyle name="Millares" xfId="5" builtinId="3"/>
    <cellStyle name="Millares_Presupuesto_Ingresos2003" xfId="4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IBRO%20BANCO1%20CON%20CONCILIACION%20OCTUBRE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MUN. HSBC"/>
      <sheetName val="25% "/>
      <sheetName val="75%"/>
      <sheetName val="PRE-INVERSION"/>
      <sheetName val="HSBC PUERTO S J"/>
      <sheetName val="COMPOSTAJE"/>
      <sheetName val="PROY.FISDL PFGL C1"/>
      <sheetName val="PROY.FISDL PFGL C2"/>
      <sheetName val="FIESTAS PATRONALES "/>
      <sheetName val="AGUA POTABLE PAPAYAN"/>
      <sheetName val="DESARROLLO ECONOMICO"/>
      <sheetName val="POLITICA JUVENTUD 2015"/>
      <sheetName val="TURISMO 2015"/>
      <sheetName val="APOYO VIVIENDA PROV. COLIMA"/>
      <sheetName val="EMP. FRAG. CANTON CAULOTE"/>
      <sheetName val="NIÑEZ Y ADOLESCENCIA 2015"/>
      <sheetName val="BALASTADO CALLES ZONA COLIMA"/>
      <sheetName val="ANIVERSARIO 2015"/>
      <sheetName val="APOYO A DISCAPACITADOS"/>
      <sheetName val="FISDL CSR 2015"/>
      <sheetName val="CANCHA COL. NUEVO SUCHITOTO"/>
      <sheetName val="EMPEDRADO FRAG. SAN ANTONIO"/>
      <sheetName val="CERCA PERIMETRAL ZACAMIL"/>
      <sheetName val="AGUA POTABLE CELINA RAMOS"/>
      <sheetName val="AGUA POTABLE PUEBLO VIEJO"/>
      <sheetName val="EQUIPO GESTION DE RIESGO"/>
      <sheetName val="CANALETA COMUNIDAD LOS POCITOS"/>
      <sheetName val="EMP. FRAG. LOS ANGELES"/>
      <sheetName val="EMP. FRAG. SAN CRISTOBAL"/>
      <sheetName val="BADENES COM. EL MILAGRO"/>
      <sheetName val="CANCHA MILINGO FASE II"/>
      <sheetName val="PLAZA CENTRAL COPAPAYO"/>
      <sheetName val="RELLENO SANITARIO 2016"/>
      <sheetName val="MOTON. RETROEXC. 2016"/>
      <sheetName val="CEMUDI 2016"/>
      <sheetName val="COEM 2016"/>
      <sheetName val="PREVENCION DE VIOLENCIA"/>
      <sheetName val="JUVENTUD Y DEPORTE 2016"/>
      <sheetName val="POLITICA DE JUVENTUD"/>
      <sheetName val="CAMPAÑA DE LIMPIEZA 2016"/>
      <sheetName val="POLITICA DE GENERO"/>
      <sheetName val="TURISMO 2016"/>
      <sheetName val="REPARACION EDIFICIO ALCALDIA"/>
      <sheetName val="ALUMBRADO PUBLICO"/>
      <sheetName val="APOYO EDUCACION SUPERIOR"/>
      <sheetName val="C. E. SITIO CENICERO"/>
      <sheetName val="PROMOCION DE LA SALUD"/>
      <sheetName val="POLITICA AGROPECUARIA"/>
      <sheetName val="CERCA CANCHA EL CERETO"/>
      <sheetName val="CERCA CASA COM. SITIO ZAPOTAL"/>
      <sheetName val="EMPEDRADO FRAGUADO SANTA FE"/>
      <sheetName val="ALUMBRADO PUBLICO ZONA COLIMA"/>
      <sheetName val="TRAMOS BALASTADO AGUA CALIENTE"/>
      <sheetName val="CERCA CANCHA G. MANUEL UNGO"/>
      <sheetName val="BALASTADO CANTON COPAPAYO"/>
      <sheetName val="EMPEDRADO FRAGUADO EL COPINOL"/>
      <sheetName val="EMP. FRAG. EL VALLE FASE I"/>
      <sheetName val="CANCHA MULTIUSOS MILINGO"/>
      <sheetName val="SISTEMA VENTILACION MERCADO"/>
      <sheetName val="EMP. FRAG. CALLE HUERTA ENANA"/>
      <sheetName val="BACHEO DE CALLES "/>
      <sheetName val="CEMUDI-ISNA"/>
      <sheetName val="ESCUELAS CULTURA DE PAZ"/>
      <sheetName val="EMPEDRADO FRAGUADO EL ROBLE"/>
      <sheetName val="BALASTADO SAN DIEGO"/>
      <sheetName val="VIVIENDA PROVISIONAL"/>
      <sheetName val="CANCHA C. E. AGUACAYO II FASE"/>
      <sheetName val="APOYO PERSONAS CON DISCAPACIDAD"/>
      <sheetName val="CANCHA PAPATURRO FASE III"/>
      <sheetName val="EMPEDRADO FRAGUADO LOS FRANCOS"/>
      <sheetName val="ANIVERSARIO 2016"/>
      <sheetName val="DONACION SITIO CENICERO"/>
      <sheetName val="NIÑEZ Y ADOLESCENCIA 2016"/>
      <sheetName val="CALLE BARIO A SITIO CENICERO"/>
      <sheetName val="OBRAS CANCHA LA MORA"/>
      <sheetName val="APOYO EDUCACION COLIMITA"/>
      <sheetName val="CASA COM. ZACAMIL I"/>
      <sheetName val="EMPEDRADO FRAGUADO CHAGUITON"/>
      <sheetName val="PASARELA CASERIO CHAGUITON"/>
      <sheetName val="BODEGA CASA C. LAURA LOPEZ"/>
      <sheetName val="EMPEDRADO FRAG. LOS HENRIQUEZ"/>
      <sheetName val="CALLE A CANCHA CIUDADELA"/>
      <sheetName val="EMPEDRADO FRAGUADO MARIANELA"/>
      <sheetName val="SALDOS DE CUENTAS"/>
      <sheetName val="CONSOLIDADO"/>
      <sheetName val="CON. 80%"/>
      <sheetName val="i (4)"/>
      <sheetName val="TRINCHERA No. 11"/>
      <sheetName val="Hoja4"/>
      <sheetName val="GESTION DESARROLLO LOCAL"/>
      <sheetName val="Hoja3"/>
      <sheetName val="Hoja1"/>
      <sheetName val="Hoja10"/>
      <sheetName val="Hoja11"/>
      <sheetName val="Hoja12"/>
      <sheetName val="Hoja5"/>
      <sheetName val="Hoja7"/>
      <sheetName val="Hoja8"/>
      <sheetName val="Hoja9"/>
    </sheetNames>
    <sheetDataSet>
      <sheetData sheetId="0">
        <row r="88">
          <cell r="H88">
            <v>5399.5613413088504</v>
          </cell>
        </row>
        <row r="96">
          <cell r="H96">
            <v>5399.5613413088504</v>
          </cell>
        </row>
      </sheetData>
      <sheetData sheetId="1"/>
      <sheetData sheetId="2"/>
      <sheetData sheetId="3"/>
      <sheetData sheetId="4">
        <row r="41">
          <cell r="H41">
            <v>22053.741890873793</v>
          </cell>
        </row>
      </sheetData>
      <sheetData sheetId="5">
        <row r="10">
          <cell r="H10">
            <v>425.23084753142564</v>
          </cell>
        </row>
      </sheetData>
      <sheetData sheetId="6"/>
      <sheetData sheetId="7"/>
      <sheetData sheetId="8">
        <row r="16">
          <cell r="H16">
            <v>2588.3999991914998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8">
          <cell r="F8">
            <v>5802.24</v>
          </cell>
        </row>
        <row r="13">
          <cell r="F13">
            <v>2943.28</v>
          </cell>
        </row>
        <row r="14">
          <cell r="F14">
            <v>5205.7</v>
          </cell>
        </row>
        <row r="16">
          <cell r="F16">
            <v>4624.91</v>
          </cell>
        </row>
        <row r="26">
          <cell r="F26">
            <v>281524.43</v>
          </cell>
        </row>
        <row r="30">
          <cell r="F30">
            <v>246.9</v>
          </cell>
        </row>
        <row r="31">
          <cell r="F31">
            <v>246.88</v>
          </cell>
        </row>
        <row r="32">
          <cell r="F32">
            <v>121.89</v>
          </cell>
        </row>
        <row r="78">
          <cell r="F78">
            <v>5496.89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workbookViewId="0">
      <pane xSplit="2" ySplit="3" topLeftCell="E50" activePane="bottomRight" state="frozen"/>
      <selection pane="topRight" activeCell="C1" sqref="C1"/>
      <selection pane="bottomLeft" activeCell="A4" sqref="A4"/>
      <selection pane="bottomRight" activeCell="B71" sqref="B71"/>
    </sheetView>
  </sheetViews>
  <sheetFormatPr baseColWidth="10" defaultRowHeight="15" x14ac:dyDescent="0.25"/>
  <cols>
    <col min="2" max="2" width="51.5703125" customWidth="1"/>
    <col min="3" max="3" width="18.140625" customWidth="1"/>
    <col min="4" max="4" width="18.85546875" customWidth="1"/>
    <col min="5" max="5" width="17.42578125" bestFit="1" customWidth="1"/>
    <col min="6" max="6" width="18.28515625" customWidth="1"/>
    <col min="7" max="7" width="17.5703125" customWidth="1"/>
    <col min="8" max="8" width="18.42578125" customWidth="1"/>
    <col min="9" max="9" width="17" customWidth="1"/>
    <col min="10" max="10" width="17.7109375" customWidth="1"/>
    <col min="11" max="11" width="16.42578125" customWidth="1"/>
    <col min="12" max="12" width="17.42578125" customWidth="1"/>
    <col min="13" max="13" width="19" customWidth="1"/>
    <col min="14" max="14" width="17" customWidth="1"/>
    <col min="15" max="15" width="22" customWidth="1"/>
    <col min="16" max="16" width="31.28515625" customWidth="1"/>
  </cols>
  <sheetData>
    <row r="1" spans="1:21" ht="28.5" x14ac:dyDescent="0.45">
      <c r="A1" s="621" t="s">
        <v>51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</row>
    <row r="2" spans="1:21" ht="28.5" x14ac:dyDescent="0.45">
      <c r="A2" s="89" t="s">
        <v>50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624">
        <v>2015</v>
      </c>
      <c r="N2" s="624"/>
      <c r="O2" s="89"/>
    </row>
    <row r="3" spans="1:21" ht="21" x14ac:dyDescent="0.35">
      <c r="A3" s="22" t="s">
        <v>61</v>
      </c>
      <c r="B3" s="22" t="s">
        <v>62</v>
      </c>
      <c r="C3" s="22" t="s">
        <v>38</v>
      </c>
      <c r="D3" s="22" t="s">
        <v>39</v>
      </c>
      <c r="E3" s="22" t="s">
        <v>40</v>
      </c>
      <c r="F3" s="22" t="s">
        <v>41</v>
      </c>
      <c r="G3" s="22" t="s">
        <v>42</v>
      </c>
      <c r="H3" s="22" t="s">
        <v>43</v>
      </c>
      <c r="I3" s="22" t="s">
        <v>44</v>
      </c>
      <c r="J3" s="22" t="s">
        <v>60</v>
      </c>
      <c r="K3" s="22" t="s">
        <v>45</v>
      </c>
      <c r="L3" s="22" t="s">
        <v>46</v>
      </c>
      <c r="M3" s="22" t="s">
        <v>47</v>
      </c>
      <c r="N3" s="22" t="s">
        <v>48</v>
      </c>
      <c r="O3" s="22" t="s">
        <v>37</v>
      </c>
    </row>
    <row r="4" spans="1:21" ht="18.75" x14ac:dyDescent="0.3">
      <c r="A4" s="13">
        <v>11801</v>
      </c>
      <c r="B4" s="14" t="s">
        <v>0</v>
      </c>
      <c r="C4" s="15">
        <v>978.18</v>
      </c>
      <c r="D4" s="15">
        <v>9175.31</v>
      </c>
      <c r="E4" s="15">
        <v>554.75</v>
      </c>
      <c r="F4" s="3">
        <v>1279.22</v>
      </c>
      <c r="G4" s="15">
        <v>792.81</v>
      </c>
      <c r="H4" s="15">
        <v>689.8</v>
      </c>
      <c r="I4" s="15">
        <v>584.12</v>
      </c>
      <c r="J4" s="15">
        <v>1160.43</v>
      </c>
      <c r="K4" s="15">
        <v>694.62</v>
      </c>
      <c r="L4" s="15">
        <v>1098.72</v>
      </c>
      <c r="M4" s="15">
        <v>927.64</v>
      </c>
      <c r="N4" s="15">
        <v>1152.18</v>
      </c>
      <c r="O4" s="20">
        <f>SUM(C4:N4)</f>
        <v>19087.78</v>
      </c>
    </row>
    <row r="5" spans="1:21" ht="18.75" x14ac:dyDescent="0.3">
      <c r="A5" s="8">
        <v>11802</v>
      </c>
      <c r="B5" s="9" t="s">
        <v>1</v>
      </c>
      <c r="C5" s="3">
        <v>22.24</v>
      </c>
      <c r="D5" s="3">
        <v>868.81</v>
      </c>
      <c r="E5" s="3">
        <v>20.54</v>
      </c>
      <c r="F5" s="3">
        <v>231.14</v>
      </c>
      <c r="G5" s="3">
        <v>1084.28</v>
      </c>
      <c r="H5" s="3">
        <v>24.54</v>
      </c>
      <c r="I5" s="3">
        <v>14.84</v>
      </c>
      <c r="J5" s="3">
        <v>875.81</v>
      </c>
      <c r="K5" s="3">
        <v>19.399999999999999</v>
      </c>
      <c r="L5" s="3">
        <v>6.85</v>
      </c>
      <c r="M5" s="3">
        <v>995.22</v>
      </c>
      <c r="N5" s="3">
        <v>17.16</v>
      </c>
      <c r="O5" s="20">
        <f t="shared" ref="O5:O49" si="0">SUM(C5:N5)</f>
        <v>4180.83</v>
      </c>
    </row>
    <row r="6" spans="1:21" ht="18.75" x14ac:dyDescent="0.3">
      <c r="A6" s="8">
        <v>11803</v>
      </c>
      <c r="B6" s="9" t="s">
        <v>2</v>
      </c>
      <c r="C6" s="3">
        <v>1133.5999999999999</v>
      </c>
      <c r="D6" s="3">
        <v>1133.5999999999999</v>
      </c>
      <c r="E6" s="3">
        <v>1133.5999999999999</v>
      </c>
      <c r="F6" s="3">
        <v>1087.47</v>
      </c>
      <c r="G6" s="3">
        <v>1080.8599999999999</v>
      </c>
      <c r="H6" s="3">
        <v>1080.8599999999999</v>
      </c>
      <c r="I6" s="3">
        <v>1080.8599999999999</v>
      </c>
      <c r="J6" s="3">
        <v>1080.8599999999999</v>
      </c>
      <c r="K6" s="3">
        <v>1571.4</v>
      </c>
      <c r="L6" s="3">
        <v>1080.8599999999999</v>
      </c>
      <c r="M6" s="3">
        <v>1133.5999999999999</v>
      </c>
      <c r="N6" s="3">
        <v>1133.5999999999999</v>
      </c>
      <c r="O6" s="20">
        <f t="shared" si="0"/>
        <v>13731.17</v>
      </c>
      <c r="U6">
        <v>694.62</v>
      </c>
    </row>
    <row r="7" spans="1:21" ht="18.75" x14ac:dyDescent="0.3">
      <c r="A7" s="8">
        <v>11804</v>
      </c>
      <c r="B7" s="9" t="s">
        <v>3</v>
      </c>
      <c r="C7" s="3">
        <v>2034.22</v>
      </c>
      <c r="D7" s="3">
        <v>5796.74</v>
      </c>
      <c r="E7" s="3">
        <v>501.75</v>
      </c>
      <c r="F7" s="3">
        <v>16569.03</v>
      </c>
      <c r="G7" s="3">
        <v>5244.03</v>
      </c>
      <c r="H7" s="3">
        <v>1339.18</v>
      </c>
      <c r="I7" s="3">
        <v>954.37</v>
      </c>
      <c r="J7" s="3">
        <v>16372.55</v>
      </c>
      <c r="K7" s="3">
        <v>686.6</v>
      </c>
      <c r="L7" s="3">
        <v>1183.17</v>
      </c>
      <c r="M7" s="3">
        <v>13730.9</v>
      </c>
      <c r="N7" s="3">
        <v>763.67</v>
      </c>
      <c r="O7" s="20">
        <f t="shared" si="0"/>
        <v>65176.209999999992</v>
      </c>
    </row>
    <row r="8" spans="1:21" ht="18.75" x14ac:dyDescent="0.3">
      <c r="A8" s="8">
        <v>11806</v>
      </c>
      <c r="B8" s="9" t="s">
        <v>4</v>
      </c>
      <c r="C8" s="3">
        <v>145.52000000000001</v>
      </c>
      <c r="D8" s="3">
        <v>117.07</v>
      </c>
      <c r="E8" s="3">
        <v>37.69</v>
      </c>
      <c r="F8" s="3">
        <v>151.91</v>
      </c>
      <c r="G8" s="3">
        <v>118.81</v>
      </c>
      <c r="H8" s="3">
        <v>116.52</v>
      </c>
      <c r="I8" s="3">
        <v>92.53</v>
      </c>
      <c r="J8" s="3">
        <v>131.49</v>
      </c>
      <c r="K8" s="3">
        <v>81.11</v>
      </c>
      <c r="L8" s="3">
        <v>142.19999999999999</v>
      </c>
      <c r="M8" s="3">
        <v>101.68</v>
      </c>
      <c r="N8" s="3">
        <v>164.24</v>
      </c>
      <c r="O8" s="20">
        <f t="shared" si="0"/>
        <v>1400.77</v>
      </c>
    </row>
    <row r="9" spans="1:21" ht="18.75" x14ac:dyDescent="0.3">
      <c r="A9" s="8">
        <v>11815</v>
      </c>
      <c r="B9" s="9" t="s">
        <v>5</v>
      </c>
      <c r="C9" s="3">
        <v>3571.5</v>
      </c>
      <c r="D9" s="3">
        <v>1192.5</v>
      </c>
      <c r="E9" s="3">
        <v>4219.1099999999997</v>
      </c>
      <c r="F9" s="3">
        <v>1329.5</v>
      </c>
      <c r="G9" s="3">
        <v>1192.5</v>
      </c>
      <c r="H9" s="3">
        <v>1110</v>
      </c>
      <c r="I9" s="3">
        <v>1611</v>
      </c>
      <c r="J9" s="3">
        <v>2337.5</v>
      </c>
      <c r="K9" s="3">
        <v>1192</v>
      </c>
      <c r="L9" s="3">
        <v>1260</v>
      </c>
      <c r="M9" s="3">
        <v>861</v>
      </c>
      <c r="N9" s="3">
        <v>873</v>
      </c>
      <c r="O9" s="20">
        <f t="shared" si="0"/>
        <v>20749.61</v>
      </c>
    </row>
    <row r="10" spans="1:21" ht="18.75" x14ac:dyDescent="0.3">
      <c r="A10" s="8">
        <v>11816</v>
      </c>
      <c r="B10" s="9" t="s">
        <v>6</v>
      </c>
      <c r="C10" s="3">
        <v>194.14</v>
      </c>
      <c r="D10" s="3">
        <v>239.82</v>
      </c>
      <c r="E10" s="3">
        <v>274.08</v>
      </c>
      <c r="F10" s="3">
        <v>194.14</v>
      </c>
      <c r="G10" s="3">
        <v>205.56</v>
      </c>
      <c r="H10" s="3">
        <v>182.72</v>
      </c>
      <c r="I10" s="3">
        <v>194.14</v>
      </c>
      <c r="J10" s="3">
        <v>216.98</v>
      </c>
      <c r="K10" s="3">
        <v>194.14</v>
      </c>
      <c r="L10" s="3">
        <v>319.76</v>
      </c>
      <c r="M10" s="3">
        <v>279.69</v>
      </c>
      <c r="N10" s="3">
        <v>51.4</v>
      </c>
      <c r="O10" s="20">
        <f t="shared" si="0"/>
        <v>2546.5699999999997</v>
      </c>
    </row>
    <row r="11" spans="1:21" ht="18.75" x14ac:dyDescent="0.3">
      <c r="A11" s="8">
        <v>11817</v>
      </c>
      <c r="B11" s="9" t="s">
        <v>7</v>
      </c>
      <c r="C11" s="3"/>
      <c r="D11" s="3"/>
      <c r="E11" s="3"/>
      <c r="F11" s="3"/>
      <c r="G11" s="3"/>
      <c r="H11" s="3">
        <v>105</v>
      </c>
      <c r="I11" s="3">
        <v>0</v>
      </c>
      <c r="J11" s="3"/>
      <c r="K11" s="3">
        <v>0</v>
      </c>
      <c r="L11" s="3"/>
      <c r="M11" s="3">
        <v>0</v>
      </c>
      <c r="N11" s="3">
        <v>0</v>
      </c>
      <c r="O11" s="20">
        <f t="shared" si="0"/>
        <v>105</v>
      </c>
    </row>
    <row r="12" spans="1:21" ht="18.75" x14ac:dyDescent="0.3">
      <c r="A12" s="8">
        <v>11818</v>
      </c>
      <c r="B12" s="9" t="s">
        <v>8</v>
      </c>
      <c r="C12" s="3">
        <v>10.29</v>
      </c>
      <c r="D12" s="3">
        <v>27.44</v>
      </c>
      <c r="E12" s="3">
        <v>61.74</v>
      </c>
      <c r="F12" s="3">
        <v>113.1</v>
      </c>
      <c r="G12" s="3">
        <v>353.29</v>
      </c>
      <c r="H12" s="3">
        <v>548.79999999999995</v>
      </c>
      <c r="I12" s="3">
        <v>349.86</v>
      </c>
      <c r="J12" s="3">
        <v>27.44</v>
      </c>
      <c r="K12" s="3">
        <v>572.80999999999995</v>
      </c>
      <c r="L12" s="3">
        <v>41.16</v>
      </c>
      <c r="M12" s="3">
        <v>0</v>
      </c>
      <c r="N12" s="3">
        <v>0</v>
      </c>
      <c r="O12" s="20">
        <f t="shared" si="0"/>
        <v>2105.9299999999998</v>
      </c>
    </row>
    <row r="13" spans="1:21" ht="18.75" x14ac:dyDescent="0.3">
      <c r="A13" s="8">
        <v>11899</v>
      </c>
      <c r="B13" s="9" t="s">
        <v>9</v>
      </c>
      <c r="C13" s="3">
        <v>29.12</v>
      </c>
      <c r="D13" s="3">
        <v>26.63</v>
      </c>
      <c r="E13" s="3">
        <v>19.54</v>
      </c>
      <c r="F13" s="3">
        <v>39.85</v>
      </c>
      <c r="G13" s="3">
        <v>18.079999999999998</v>
      </c>
      <c r="H13" s="3">
        <v>25.86</v>
      </c>
      <c r="I13" s="3">
        <v>29.65</v>
      </c>
      <c r="J13" s="3">
        <v>34.81</v>
      </c>
      <c r="K13" s="3">
        <v>22.76</v>
      </c>
      <c r="L13" s="3">
        <v>20.62</v>
      </c>
      <c r="M13" s="3">
        <v>45.84</v>
      </c>
      <c r="N13" s="3">
        <v>12.86</v>
      </c>
      <c r="O13" s="20">
        <f t="shared" si="0"/>
        <v>325.62</v>
      </c>
    </row>
    <row r="14" spans="1:21" ht="38.25" customHeight="1" x14ac:dyDescent="0.3">
      <c r="A14" s="8">
        <v>12105</v>
      </c>
      <c r="B14" s="10" t="s">
        <v>10</v>
      </c>
      <c r="C14" s="3">
        <v>6086.36</v>
      </c>
      <c r="D14" s="3">
        <v>4140.91</v>
      </c>
      <c r="E14" s="3">
        <v>2934.18</v>
      </c>
      <c r="F14" s="3">
        <v>4009.28</v>
      </c>
      <c r="G14" s="3">
        <v>3557.62</v>
      </c>
      <c r="H14" s="3">
        <v>3319.38</v>
      </c>
      <c r="I14" s="3">
        <v>3053.84</v>
      </c>
      <c r="J14" s="3">
        <v>2902.82</v>
      </c>
      <c r="K14" s="3">
        <v>3558.44</v>
      </c>
      <c r="L14" s="3">
        <v>3763.94</v>
      </c>
      <c r="M14" s="3">
        <v>5803.97</v>
      </c>
      <c r="N14" s="3">
        <v>2535.96</v>
      </c>
      <c r="O14" s="20">
        <f t="shared" si="0"/>
        <v>45666.700000000004</v>
      </c>
    </row>
    <row r="15" spans="1:21" ht="42.75" customHeight="1" x14ac:dyDescent="0.3">
      <c r="A15" s="8">
        <v>12106</v>
      </c>
      <c r="B15" s="10" t="s">
        <v>11</v>
      </c>
      <c r="C15" s="3">
        <v>12.35</v>
      </c>
      <c r="D15" s="3">
        <v>293.86</v>
      </c>
      <c r="E15" s="3">
        <v>6.65</v>
      </c>
      <c r="F15" s="3">
        <v>12.35</v>
      </c>
      <c r="G15" s="3">
        <v>8.5500000000000007</v>
      </c>
      <c r="H15" s="3">
        <v>6.65</v>
      </c>
      <c r="I15" s="3">
        <v>3.8</v>
      </c>
      <c r="J15" s="3">
        <v>11.4</v>
      </c>
      <c r="K15" s="3">
        <v>10.45</v>
      </c>
      <c r="L15" s="3">
        <v>13.3</v>
      </c>
      <c r="M15" s="3">
        <v>12.35</v>
      </c>
      <c r="N15" s="3">
        <v>6.65</v>
      </c>
      <c r="O15" s="20">
        <f t="shared" si="0"/>
        <v>398.36</v>
      </c>
    </row>
    <row r="16" spans="1:21" ht="18.75" x14ac:dyDescent="0.3">
      <c r="A16" s="8">
        <v>12107</v>
      </c>
      <c r="B16" s="9" t="s">
        <v>12</v>
      </c>
      <c r="C16" s="3">
        <v>8974.5</v>
      </c>
      <c r="D16" s="3">
        <v>4387</v>
      </c>
      <c r="E16" s="3">
        <v>7773</v>
      </c>
      <c r="F16" s="3">
        <v>3074.5</v>
      </c>
      <c r="G16" s="3">
        <v>4492.5</v>
      </c>
      <c r="H16" s="3">
        <v>3424.5</v>
      </c>
      <c r="I16" s="3">
        <v>3997</v>
      </c>
      <c r="J16" s="3">
        <v>7030</v>
      </c>
      <c r="K16" s="3">
        <v>3450.5</v>
      </c>
      <c r="L16" s="3">
        <v>3824.5</v>
      </c>
      <c r="M16" s="3">
        <v>3967</v>
      </c>
      <c r="N16" s="3">
        <v>3133</v>
      </c>
      <c r="O16" s="20">
        <f t="shared" si="0"/>
        <v>57528</v>
      </c>
    </row>
    <row r="17" spans="1:15" ht="18.75" x14ac:dyDescent="0.3">
      <c r="A17" s="8">
        <v>12108</v>
      </c>
      <c r="B17" s="9" t="s">
        <v>13</v>
      </c>
      <c r="C17" s="3">
        <v>3338.76</v>
      </c>
      <c r="D17" s="3">
        <v>3424.24</v>
      </c>
      <c r="E17" s="3">
        <v>1629.91</v>
      </c>
      <c r="F17" s="3">
        <v>1335.29</v>
      </c>
      <c r="G17" s="3">
        <v>1227.19</v>
      </c>
      <c r="H17" s="3">
        <v>1093.9000000000001</v>
      </c>
      <c r="I17" s="3">
        <v>954.41</v>
      </c>
      <c r="J17" s="3">
        <v>1131.81</v>
      </c>
      <c r="K17" s="3">
        <v>968.87</v>
      </c>
      <c r="L17" s="3">
        <v>975.01</v>
      </c>
      <c r="M17" s="3">
        <v>1056.93</v>
      </c>
      <c r="N17" s="3">
        <v>1067.52</v>
      </c>
      <c r="O17" s="20">
        <f t="shared" si="0"/>
        <v>18203.84</v>
      </c>
    </row>
    <row r="18" spans="1:15" ht="18.75" x14ac:dyDescent="0.3">
      <c r="A18" s="8">
        <v>12109</v>
      </c>
      <c r="B18" s="9" t="s">
        <v>14</v>
      </c>
      <c r="C18" s="3">
        <v>3295.42</v>
      </c>
      <c r="D18" s="3">
        <v>3328.76</v>
      </c>
      <c r="E18" s="3">
        <v>1275.06</v>
      </c>
      <c r="F18" s="3">
        <v>1324.91</v>
      </c>
      <c r="G18" s="3">
        <v>1236.27</v>
      </c>
      <c r="H18" s="3">
        <v>1155.1199999999999</v>
      </c>
      <c r="I18" s="3">
        <v>945.36</v>
      </c>
      <c r="J18" s="3">
        <v>1101.8</v>
      </c>
      <c r="K18" s="3">
        <v>952.67</v>
      </c>
      <c r="L18" s="3">
        <v>1009.32</v>
      </c>
      <c r="M18" s="3">
        <v>1126.1400000000001</v>
      </c>
      <c r="N18" s="3">
        <v>1074.72</v>
      </c>
      <c r="O18" s="20">
        <f t="shared" si="0"/>
        <v>17825.550000000003</v>
      </c>
    </row>
    <row r="19" spans="1:15" ht="18.75" x14ac:dyDescent="0.3">
      <c r="A19" s="8">
        <v>12110</v>
      </c>
      <c r="B19" s="9" t="s">
        <v>15</v>
      </c>
      <c r="C19" s="3">
        <v>0</v>
      </c>
      <c r="D19" s="3">
        <v>0</v>
      </c>
      <c r="E19" s="3">
        <v>204.12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59.6</v>
      </c>
      <c r="M19" s="3">
        <v>0</v>
      </c>
      <c r="N19" s="3">
        <v>0</v>
      </c>
      <c r="O19" s="20">
        <f t="shared" si="0"/>
        <v>263.72000000000003</v>
      </c>
    </row>
    <row r="20" spans="1:15" ht="18.75" x14ac:dyDescent="0.3">
      <c r="A20" s="8">
        <v>12111</v>
      </c>
      <c r="B20" s="9" t="s">
        <v>16</v>
      </c>
      <c r="C20" s="3">
        <v>533.44000000000005</v>
      </c>
      <c r="D20" s="3">
        <v>888</v>
      </c>
      <c r="E20" s="3">
        <v>682</v>
      </c>
      <c r="F20" s="3">
        <v>800.25</v>
      </c>
      <c r="G20" s="3">
        <v>407.14</v>
      </c>
      <c r="H20" s="3">
        <v>455.75</v>
      </c>
      <c r="I20" s="3">
        <v>228.5</v>
      </c>
      <c r="J20" s="3">
        <v>621.77</v>
      </c>
      <c r="K20" s="3">
        <v>694.5</v>
      </c>
      <c r="L20" s="3">
        <v>932.57</v>
      </c>
      <c r="M20" s="3">
        <v>803.88</v>
      </c>
      <c r="N20" s="3">
        <v>439</v>
      </c>
      <c r="O20" s="20">
        <f t="shared" si="0"/>
        <v>7486.8</v>
      </c>
    </row>
    <row r="21" spans="1:15" ht="18.75" x14ac:dyDescent="0.3">
      <c r="A21" s="8">
        <v>12112</v>
      </c>
      <c r="B21" s="9" t="s">
        <v>17</v>
      </c>
      <c r="C21" s="3">
        <v>215.5</v>
      </c>
      <c r="D21" s="3">
        <v>344</v>
      </c>
      <c r="E21" s="3">
        <v>248.25</v>
      </c>
      <c r="F21" s="3">
        <v>424.5</v>
      </c>
      <c r="G21" s="3">
        <v>331.75</v>
      </c>
      <c r="H21" s="3">
        <v>150.76</v>
      </c>
      <c r="I21" s="3">
        <v>82.5</v>
      </c>
      <c r="J21" s="3">
        <v>131.75</v>
      </c>
      <c r="K21" s="3">
        <v>152.5</v>
      </c>
      <c r="L21" s="3">
        <v>287.75</v>
      </c>
      <c r="M21" s="3">
        <v>134</v>
      </c>
      <c r="N21" s="3">
        <v>107.5</v>
      </c>
      <c r="O21" s="20">
        <f t="shared" si="0"/>
        <v>2610.7600000000002</v>
      </c>
    </row>
    <row r="22" spans="1:15" ht="18.75" x14ac:dyDescent="0.3">
      <c r="A22" s="8">
        <v>12113</v>
      </c>
      <c r="B22" s="9" t="s">
        <v>18</v>
      </c>
      <c r="C22" s="3">
        <v>2966.66</v>
      </c>
      <c r="D22" s="3">
        <v>1398</v>
      </c>
      <c r="E22" s="3">
        <v>2386.5</v>
      </c>
      <c r="F22" s="3">
        <v>981.5</v>
      </c>
      <c r="G22" s="3">
        <v>1340.5</v>
      </c>
      <c r="H22" s="3">
        <v>1237</v>
      </c>
      <c r="I22" s="3">
        <v>1254</v>
      </c>
      <c r="J22" s="3">
        <v>2185</v>
      </c>
      <c r="K22" s="3">
        <v>1210.5</v>
      </c>
      <c r="L22" s="3">
        <v>1223</v>
      </c>
      <c r="M22" s="3">
        <v>1227.5</v>
      </c>
      <c r="N22" s="3">
        <v>944.46</v>
      </c>
      <c r="O22" s="20">
        <f t="shared" si="0"/>
        <v>18354.62</v>
      </c>
    </row>
    <row r="23" spans="1:15" ht="18.75" x14ac:dyDescent="0.3">
      <c r="A23" s="8">
        <v>12114</v>
      </c>
      <c r="B23" s="9" t="s">
        <v>19</v>
      </c>
      <c r="C23" s="3">
        <v>1267.94</v>
      </c>
      <c r="D23" s="3">
        <v>2177.88</v>
      </c>
      <c r="E23" s="3">
        <v>632.5</v>
      </c>
      <c r="F23" s="3">
        <v>1705.74</v>
      </c>
      <c r="G23" s="3">
        <v>1783.28</v>
      </c>
      <c r="H23" s="3">
        <v>799.6</v>
      </c>
      <c r="I23" s="3">
        <v>642.12</v>
      </c>
      <c r="J23" s="3">
        <v>2303.17</v>
      </c>
      <c r="K23" s="3">
        <v>753.92</v>
      </c>
      <c r="L23" s="3">
        <v>779.46</v>
      </c>
      <c r="M23" s="3">
        <v>1595.69</v>
      </c>
      <c r="N23" s="3">
        <v>816.78</v>
      </c>
      <c r="O23" s="20">
        <f t="shared" si="0"/>
        <v>15258.080000000002</v>
      </c>
    </row>
    <row r="24" spans="1:15" ht="18.75" x14ac:dyDescent="0.3">
      <c r="A24" s="8">
        <v>12115</v>
      </c>
      <c r="B24" s="9" t="s">
        <v>35</v>
      </c>
      <c r="C24" s="3">
        <v>6154.92</v>
      </c>
      <c r="D24" s="3">
        <v>5680.64</v>
      </c>
      <c r="E24" s="3">
        <v>4728.5600000000004</v>
      </c>
      <c r="F24" s="3">
        <v>6629.43</v>
      </c>
      <c r="G24" s="3">
        <v>5137.99</v>
      </c>
      <c r="H24" s="3">
        <v>5475.89</v>
      </c>
      <c r="I24" s="3">
        <v>4218.68</v>
      </c>
      <c r="J24" s="3">
        <v>4626.74</v>
      </c>
      <c r="K24" s="3">
        <v>5410.96</v>
      </c>
      <c r="L24" s="3">
        <v>4524.2700000000004</v>
      </c>
      <c r="M24" s="3">
        <v>5235.54</v>
      </c>
      <c r="N24" s="3">
        <v>4560.68</v>
      </c>
      <c r="O24" s="20">
        <f t="shared" si="0"/>
        <v>62384.3</v>
      </c>
    </row>
    <row r="25" spans="1:15" ht="18.75" x14ac:dyDescent="0.3">
      <c r="A25" s="8">
        <v>12117</v>
      </c>
      <c r="B25" s="9" t="s">
        <v>20</v>
      </c>
      <c r="C25" s="3">
        <v>1148.46</v>
      </c>
      <c r="D25" s="3">
        <v>1132.33</v>
      </c>
      <c r="E25" s="3">
        <v>605.02</v>
      </c>
      <c r="F25" s="3">
        <v>501.61</v>
      </c>
      <c r="G25" s="3">
        <v>403.72</v>
      </c>
      <c r="H25" s="3">
        <v>404.3</v>
      </c>
      <c r="I25" s="3">
        <v>327.14999999999998</v>
      </c>
      <c r="J25" s="3">
        <v>354.33</v>
      </c>
      <c r="K25" s="3">
        <v>302.10000000000002</v>
      </c>
      <c r="L25" s="3">
        <v>376.42</v>
      </c>
      <c r="M25" s="3">
        <v>400.21</v>
      </c>
      <c r="N25" s="3">
        <v>355.73</v>
      </c>
      <c r="O25" s="20">
        <f t="shared" si="0"/>
        <v>6311.380000000001</v>
      </c>
    </row>
    <row r="26" spans="1:15" ht="18.75" x14ac:dyDescent="0.3">
      <c r="A26" s="8">
        <v>12118</v>
      </c>
      <c r="B26" s="9" t="s">
        <v>21</v>
      </c>
      <c r="C26" s="3">
        <v>47.62</v>
      </c>
      <c r="D26" s="3">
        <v>8255.2199999999993</v>
      </c>
      <c r="E26" s="3">
        <v>0</v>
      </c>
      <c r="F26" s="3">
        <v>642.66</v>
      </c>
      <c r="G26" s="3">
        <v>15040.68</v>
      </c>
      <c r="H26" s="3">
        <v>750</v>
      </c>
      <c r="I26" s="3">
        <v>0</v>
      </c>
      <c r="J26" s="3">
        <v>14140.68</v>
      </c>
      <c r="K26" s="3">
        <v>0</v>
      </c>
      <c r="L26" s="3">
        <v>0</v>
      </c>
      <c r="M26" s="3">
        <v>0</v>
      </c>
      <c r="N26" s="3">
        <v>0</v>
      </c>
      <c r="O26" s="20">
        <f t="shared" si="0"/>
        <v>38876.86</v>
      </c>
    </row>
    <row r="27" spans="1:15" ht="18.75" x14ac:dyDescent="0.3">
      <c r="A27" s="8">
        <v>12119</v>
      </c>
      <c r="B27" s="9" t="s">
        <v>67</v>
      </c>
      <c r="C27" s="3">
        <v>584.04</v>
      </c>
      <c r="D27" s="3">
        <v>405.31</v>
      </c>
      <c r="E27" s="3">
        <v>406.12</v>
      </c>
      <c r="F27" s="3">
        <v>371.6</v>
      </c>
      <c r="G27" s="3">
        <v>200.66</v>
      </c>
      <c r="H27" s="3">
        <v>627.44000000000005</v>
      </c>
      <c r="I27" s="3">
        <v>415.89</v>
      </c>
      <c r="J27" s="3">
        <v>483.15</v>
      </c>
      <c r="K27" s="3">
        <v>348.47</v>
      </c>
      <c r="L27" s="3">
        <v>339.84</v>
      </c>
      <c r="M27" s="3">
        <v>328.48</v>
      </c>
      <c r="N27" s="3">
        <v>241.7</v>
      </c>
      <c r="O27" s="20">
        <f t="shared" si="0"/>
        <v>4752.7</v>
      </c>
    </row>
    <row r="28" spans="1:15" ht="18.75" x14ac:dyDescent="0.3">
      <c r="A28" s="8">
        <v>12123</v>
      </c>
      <c r="B28" s="9" t="s">
        <v>22</v>
      </c>
      <c r="C28" s="3">
        <v>2256.4</v>
      </c>
      <c r="D28" s="3">
        <v>1996.16</v>
      </c>
      <c r="E28" s="3">
        <v>1754.96</v>
      </c>
      <c r="F28" s="3">
        <v>1717.15</v>
      </c>
      <c r="G28" s="3">
        <v>1896.46</v>
      </c>
      <c r="H28" s="3">
        <v>1892.81</v>
      </c>
      <c r="I28" s="3">
        <v>1949.96</v>
      </c>
      <c r="J28" s="3">
        <v>2399.11</v>
      </c>
      <c r="K28" s="3">
        <v>2027.1</v>
      </c>
      <c r="L28" s="3">
        <v>2221.41</v>
      </c>
      <c r="M28" s="3">
        <v>2494.5</v>
      </c>
      <c r="N28" s="3">
        <v>1784.9</v>
      </c>
      <c r="O28" s="20">
        <f t="shared" si="0"/>
        <v>24390.920000000002</v>
      </c>
    </row>
    <row r="29" spans="1:15" ht="18.75" x14ac:dyDescent="0.3">
      <c r="A29" s="8">
        <v>12210</v>
      </c>
      <c r="B29" s="9" t="s">
        <v>23</v>
      </c>
      <c r="C29" s="3">
        <v>4148.55</v>
      </c>
      <c r="D29" s="3">
        <v>373.9</v>
      </c>
      <c r="E29" s="3">
        <v>338.63</v>
      </c>
      <c r="F29" s="3">
        <v>573.88</v>
      </c>
      <c r="G29" s="3">
        <v>99.95</v>
      </c>
      <c r="H29" s="3">
        <v>229.72</v>
      </c>
      <c r="I29" s="3">
        <v>259.20999999999998</v>
      </c>
      <c r="J29" s="3">
        <v>205.04</v>
      </c>
      <c r="K29" s="3">
        <v>114.16</v>
      </c>
      <c r="L29" s="3">
        <v>1055.98</v>
      </c>
      <c r="M29" s="3">
        <v>729.14</v>
      </c>
      <c r="N29" s="3">
        <v>558.58000000000004</v>
      </c>
      <c r="O29" s="20">
        <f t="shared" si="0"/>
        <v>8686.7400000000016</v>
      </c>
    </row>
    <row r="30" spans="1:15" ht="18.75" x14ac:dyDescent="0.3">
      <c r="A30" s="8">
        <v>12211</v>
      </c>
      <c r="B30" s="9" t="s">
        <v>24</v>
      </c>
      <c r="C30" s="3">
        <v>68.92</v>
      </c>
      <c r="D30" s="3">
        <v>75.180000000000007</v>
      </c>
      <c r="E30" s="3">
        <v>45.78</v>
      </c>
      <c r="F30" s="3">
        <v>63</v>
      </c>
      <c r="G30" s="3">
        <v>47.88</v>
      </c>
      <c r="H30" s="3">
        <v>65.94</v>
      </c>
      <c r="I30" s="3">
        <v>86.1</v>
      </c>
      <c r="J30" s="3">
        <v>94.62</v>
      </c>
      <c r="K30" s="3">
        <v>63</v>
      </c>
      <c r="L30" s="3">
        <v>49.14</v>
      </c>
      <c r="M30" s="3">
        <v>62.64</v>
      </c>
      <c r="N30" s="3">
        <v>64.95</v>
      </c>
      <c r="O30" s="20">
        <f t="shared" si="0"/>
        <v>787.15000000000009</v>
      </c>
    </row>
    <row r="31" spans="1:15" ht="18.75" x14ac:dyDescent="0.3">
      <c r="A31" s="8">
        <v>14299</v>
      </c>
      <c r="B31" s="9" t="s">
        <v>25</v>
      </c>
      <c r="C31" s="3">
        <v>347.83</v>
      </c>
      <c r="D31" s="3">
        <v>223.09</v>
      </c>
      <c r="E31" s="3">
        <v>229.46</v>
      </c>
      <c r="F31" s="3">
        <v>267.56</v>
      </c>
      <c r="G31" s="3">
        <v>208.11</v>
      </c>
      <c r="H31" s="3">
        <v>274.83</v>
      </c>
      <c r="I31" s="3">
        <v>287.14999999999998</v>
      </c>
      <c r="J31" s="3">
        <v>353.56</v>
      </c>
      <c r="K31" s="3">
        <v>227.51</v>
      </c>
      <c r="L31" s="3">
        <v>238.4</v>
      </c>
      <c r="M31" s="3">
        <v>261.07</v>
      </c>
      <c r="N31" s="3">
        <v>152.97999999999999</v>
      </c>
      <c r="O31" s="20">
        <f t="shared" si="0"/>
        <v>3071.5500000000006</v>
      </c>
    </row>
    <row r="32" spans="1:15" ht="39" customHeight="1" x14ac:dyDescent="0.3">
      <c r="A32" s="8">
        <v>14399</v>
      </c>
      <c r="B32" s="10" t="s">
        <v>36</v>
      </c>
      <c r="C32" s="3">
        <v>29.25</v>
      </c>
      <c r="D32" s="3">
        <v>0</v>
      </c>
      <c r="E32" s="3">
        <v>0</v>
      </c>
      <c r="F32" s="3">
        <v>0</v>
      </c>
      <c r="G32" s="3">
        <v>0</v>
      </c>
      <c r="H32" s="3">
        <v>143</v>
      </c>
      <c r="I32" s="3">
        <v>140.25</v>
      </c>
      <c r="J32" s="3">
        <v>0</v>
      </c>
      <c r="K32" s="3">
        <v>68</v>
      </c>
      <c r="L32" s="3">
        <v>0</v>
      </c>
      <c r="M32" s="3">
        <v>45.5</v>
      </c>
      <c r="N32" s="3"/>
      <c r="O32" s="20">
        <f t="shared" si="0"/>
        <v>426</v>
      </c>
    </row>
    <row r="33" spans="1:15" ht="18.75" x14ac:dyDescent="0.3">
      <c r="A33" s="8">
        <v>15402</v>
      </c>
      <c r="B33" s="9" t="s">
        <v>26</v>
      </c>
      <c r="C33" s="3">
        <v>1387.64</v>
      </c>
      <c r="D33" s="3">
        <v>557.82000000000005</v>
      </c>
      <c r="E33" s="3">
        <v>1009.06</v>
      </c>
      <c r="F33" s="3">
        <v>912.7</v>
      </c>
      <c r="G33" s="3">
        <v>1050.5</v>
      </c>
      <c r="H33" s="3">
        <v>584.98</v>
      </c>
      <c r="I33" s="3">
        <v>1146.24</v>
      </c>
      <c r="J33" s="3">
        <v>1182.8699999999999</v>
      </c>
      <c r="K33" s="3">
        <v>801.94</v>
      </c>
      <c r="L33" s="3">
        <v>660.49</v>
      </c>
      <c r="M33" s="3">
        <v>806.08</v>
      </c>
      <c r="N33" s="3">
        <v>902.4</v>
      </c>
      <c r="O33" s="20">
        <f t="shared" si="0"/>
        <v>11002.72</v>
      </c>
    </row>
    <row r="34" spans="1:15" ht="18.75" x14ac:dyDescent="0.3">
      <c r="A34" s="8">
        <v>15499</v>
      </c>
      <c r="B34" s="9" t="s">
        <v>27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20">
        <f t="shared" si="0"/>
        <v>0</v>
      </c>
    </row>
    <row r="35" spans="1:15" ht="18.75" x14ac:dyDescent="0.3">
      <c r="A35" s="8">
        <v>15301</v>
      </c>
      <c r="B35" s="9" t="s">
        <v>28</v>
      </c>
      <c r="C35" s="3">
        <v>241.99</v>
      </c>
      <c r="D35" s="3">
        <v>184.17</v>
      </c>
      <c r="E35" s="3">
        <v>98.53</v>
      </c>
      <c r="F35" s="3">
        <v>222.26</v>
      </c>
      <c r="G35" s="3">
        <v>190.75</v>
      </c>
      <c r="H35" s="3">
        <v>106.86</v>
      </c>
      <c r="I35" s="3">
        <v>130.19</v>
      </c>
      <c r="J35" s="3">
        <v>511.74</v>
      </c>
      <c r="K35" s="3">
        <v>150.84</v>
      </c>
      <c r="L35" s="3">
        <v>120.87</v>
      </c>
      <c r="M35" s="3">
        <v>190.78</v>
      </c>
      <c r="N35" s="3">
        <v>210.23</v>
      </c>
      <c r="O35" s="20">
        <f t="shared" si="0"/>
        <v>2359.21</v>
      </c>
    </row>
    <row r="36" spans="1:15" ht="18.75" x14ac:dyDescent="0.3">
      <c r="A36" s="8">
        <v>15302</v>
      </c>
      <c r="B36" s="9" t="s">
        <v>29</v>
      </c>
      <c r="C36" s="3">
        <v>62.61</v>
      </c>
      <c r="D36" s="3">
        <v>72.75</v>
      </c>
      <c r="E36" s="3">
        <v>24.07</v>
      </c>
      <c r="F36" s="3">
        <v>102.15</v>
      </c>
      <c r="G36" s="3">
        <v>60.4</v>
      </c>
      <c r="H36" s="3">
        <v>21.16</v>
      </c>
      <c r="I36" s="3">
        <v>31.39</v>
      </c>
      <c r="J36" s="3">
        <v>91.54</v>
      </c>
      <c r="K36" s="3">
        <v>35.68</v>
      </c>
      <c r="L36" s="3">
        <v>17.96</v>
      </c>
      <c r="M36" s="3">
        <v>47.39</v>
      </c>
      <c r="N36" s="3">
        <v>52.22</v>
      </c>
      <c r="O36" s="20">
        <f t="shared" si="0"/>
        <v>619.32000000000005</v>
      </c>
    </row>
    <row r="37" spans="1:15" ht="18.75" x14ac:dyDescent="0.3">
      <c r="A37" s="8">
        <v>15310</v>
      </c>
      <c r="B37" s="9" t="s">
        <v>30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0.28000000000000003</v>
      </c>
      <c r="M37" s="3"/>
      <c r="N37" s="3">
        <v>0</v>
      </c>
      <c r="O37" s="20">
        <f t="shared" si="0"/>
        <v>0.28000000000000003</v>
      </c>
    </row>
    <row r="38" spans="1:15" ht="18.75" x14ac:dyDescent="0.3">
      <c r="A38" s="8">
        <v>15312</v>
      </c>
      <c r="B38" s="9" t="s">
        <v>31</v>
      </c>
      <c r="C38" s="3">
        <v>117.13</v>
      </c>
      <c r="D38" s="3">
        <v>85.67</v>
      </c>
      <c r="E38" s="3">
        <v>0</v>
      </c>
      <c r="F38" s="3">
        <v>68.55</v>
      </c>
      <c r="G38" s="3">
        <v>97.12</v>
      </c>
      <c r="H38" s="3">
        <v>68.53</v>
      </c>
      <c r="I38" s="3">
        <v>85.7</v>
      </c>
      <c r="J38" s="3">
        <v>48.55</v>
      </c>
      <c r="K38" s="3">
        <v>99.96</v>
      </c>
      <c r="L38" s="3">
        <v>59.98</v>
      </c>
      <c r="M38" s="3">
        <v>88.53</v>
      </c>
      <c r="N38" s="3">
        <v>48.55</v>
      </c>
      <c r="O38" s="20">
        <f t="shared" si="0"/>
        <v>868.27</v>
      </c>
    </row>
    <row r="39" spans="1:15" ht="18.75" x14ac:dyDescent="0.3">
      <c r="A39" s="8">
        <v>15314</v>
      </c>
      <c r="B39" s="9" t="s">
        <v>32</v>
      </c>
      <c r="C39" s="3">
        <v>0.12</v>
      </c>
      <c r="D39" s="3">
        <v>0</v>
      </c>
      <c r="E39" s="3">
        <v>0</v>
      </c>
      <c r="F39" s="3">
        <v>11.43</v>
      </c>
      <c r="G39" s="3">
        <v>0</v>
      </c>
      <c r="H39" s="3">
        <v>0</v>
      </c>
      <c r="I39" s="3">
        <v>0</v>
      </c>
      <c r="J39" s="3">
        <v>47.6</v>
      </c>
      <c r="K39" s="3">
        <v>15.38</v>
      </c>
      <c r="L39" s="3">
        <v>2.86</v>
      </c>
      <c r="M39" s="3">
        <v>0</v>
      </c>
      <c r="N39" s="3"/>
      <c r="O39" s="20">
        <f t="shared" si="0"/>
        <v>77.39</v>
      </c>
    </row>
    <row r="40" spans="1:15" ht="18.75" x14ac:dyDescent="0.3">
      <c r="A40" s="1">
        <v>16201</v>
      </c>
      <c r="B40" s="2" t="s">
        <v>49</v>
      </c>
      <c r="C40" s="3">
        <v>33882.71</v>
      </c>
      <c r="D40" s="3">
        <v>33993.39</v>
      </c>
      <c r="E40" s="3">
        <v>33993.39</v>
      </c>
      <c r="F40" s="3">
        <v>33993.39</v>
      </c>
      <c r="G40" s="3">
        <v>33993.39</v>
      </c>
      <c r="H40" s="3">
        <v>33993.39</v>
      </c>
      <c r="I40" s="3">
        <v>33993.39</v>
      </c>
      <c r="J40" s="3">
        <v>33993.39</v>
      </c>
      <c r="K40" s="3">
        <v>0</v>
      </c>
      <c r="L40" s="3">
        <v>33993.39</v>
      </c>
      <c r="M40" s="3">
        <v>33882.71</v>
      </c>
      <c r="N40" s="3">
        <v>33882.71</v>
      </c>
      <c r="O40" s="20">
        <f t="shared" si="0"/>
        <v>373595.25000000012</v>
      </c>
    </row>
    <row r="41" spans="1:15" ht="18.75" x14ac:dyDescent="0.3">
      <c r="A41" s="1">
        <v>22201</v>
      </c>
      <c r="B41" s="2" t="s">
        <v>52</v>
      </c>
      <c r="C41" s="3">
        <v>101648.11</v>
      </c>
      <c r="D41" s="3">
        <v>101980.18</v>
      </c>
      <c r="E41" s="3">
        <v>101980.18</v>
      </c>
      <c r="F41" s="3">
        <v>101980.18</v>
      </c>
      <c r="G41" s="3">
        <v>101980.7</v>
      </c>
      <c r="H41" s="3">
        <v>101980.18</v>
      </c>
      <c r="I41" s="3">
        <v>101980.18</v>
      </c>
      <c r="J41" s="3">
        <v>101980.18</v>
      </c>
      <c r="K41" s="3">
        <v>0</v>
      </c>
      <c r="L41" s="3">
        <v>101980.18</v>
      </c>
      <c r="M41" s="3">
        <v>61909.94</v>
      </c>
      <c r="N41" s="3">
        <v>101648.11</v>
      </c>
      <c r="O41" s="20">
        <f t="shared" si="0"/>
        <v>1081048.1199999999</v>
      </c>
    </row>
    <row r="42" spans="1:15" ht="18.75" x14ac:dyDescent="0.3">
      <c r="A42" s="33">
        <v>15706</v>
      </c>
      <c r="B42" s="28" t="s">
        <v>72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281.31</v>
      </c>
      <c r="I42" s="3">
        <v>0</v>
      </c>
      <c r="J42" s="3">
        <v>0</v>
      </c>
      <c r="K42" s="3">
        <v>422.71</v>
      </c>
      <c r="L42" s="3">
        <v>0</v>
      </c>
      <c r="M42" s="3">
        <v>0</v>
      </c>
      <c r="N42" s="3">
        <v>0</v>
      </c>
      <c r="O42" s="20">
        <f t="shared" si="0"/>
        <v>704.02</v>
      </c>
    </row>
    <row r="43" spans="1:15" ht="18.75" x14ac:dyDescent="0.3">
      <c r="A43" s="8">
        <v>15799</v>
      </c>
      <c r="B43" s="9" t="s">
        <v>33</v>
      </c>
      <c r="C43" s="3">
        <v>0</v>
      </c>
      <c r="D43" s="3">
        <v>100</v>
      </c>
      <c r="E43" s="3"/>
      <c r="F43" s="3">
        <v>0</v>
      </c>
      <c r="G43" s="3">
        <v>1030.05</v>
      </c>
      <c r="H43" s="3">
        <v>0</v>
      </c>
      <c r="I43" s="3">
        <v>300</v>
      </c>
      <c r="J43" s="3">
        <v>0</v>
      </c>
      <c r="K43" s="3">
        <v>415.25</v>
      </c>
      <c r="L43" s="3">
        <v>1.84</v>
      </c>
      <c r="M43" s="3">
        <v>0</v>
      </c>
      <c r="N43" s="3">
        <v>0</v>
      </c>
      <c r="O43" s="20">
        <f t="shared" si="0"/>
        <v>1847.1399999999999</v>
      </c>
    </row>
    <row r="44" spans="1:15" ht="18.75" x14ac:dyDescent="0.3">
      <c r="A44" s="8">
        <v>16405</v>
      </c>
      <c r="B44" s="28" t="s">
        <v>71</v>
      </c>
      <c r="C44" s="3">
        <v>0</v>
      </c>
      <c r="D44" s="3">
        <v>0</v>
      </c>
      <c r="E44" s="3">
        <v>0</v>
      </c>
      <c r="F44" s="3">
        <v>0</v>
      </c>
      <c r="G44" s="3">
        <v>2460.65</v>
      </c>
      <c r="H44" s="3">
        <v>795.55</v>
      </c>
      <c r="I44" s="3">
        <v>1755.1</v>
      </c>
      <c r="J44" s="3">
        <v>0</v>
      </c>
      <c r="K44" s="3">
        <v>1554.1</v>
      </c>
      <c r="L44" s="3">
        <v>945.55</v>
      </c>
      <c r="M44" s="3">
        <v>0</v>
      </c>
      <c r="N44" s="3">
        <v>0</v>
      </c>
      <c r="O44" s="20">
        <f t="shared" si="0"/>
        <v>7510.95</v>
      </c>
    </row>
    <row r="45" spans="1:15" ht="54.75" x14ac:dyDescent="0.3">
      <c r="A45" s="8">
        <v>16405</v>
      </c>
      <c r="B45" s="25" t="s">
        <v>55</v>
      </c>
      <c r="C45" s="3">
        <v>0</v>
      </c>
      <c r="D45" s="3">
        <v>0</v>
      </c>
      <c r="E45" s="3">
        <v>42661.35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20">
        <f t="shared" si="0"/>
        <v>42661.35</v>
      </c>
    </row>
    <row r="46" spans="1:15" ht="51" customHeight="1" x14ac:dyDescent="0.3">
      <c r="A46" s="8">
        <v>16405</v>
      </c>
      <c r="B46" s="29" t="s">
        <v>66</v>
      </c>
      <c r="C46" s="3">
        <v>0</v>
      </c>
      <c r="D46" s="3">
        <v>0</v>
      </c>
      <c r="E46" s="3">
        <v>0</v>
      </c>
      <c r="F46" s="3">
        <v>0</v>
      </c>
      <c r="G46" s="3">
        <v>5500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20">
        <f t="shared" si="0"/>
        <v>5500</v>
      </c>
    </row>
    <row r="47" spans="1:15" ht="90.75" x14ac:dyDescent="0.3">
      <c r="A47" s="8">
        <v>22201</v>
      </c>
      <c r="B47" s="25" t="s">
        <v>56</v>
      </c>
      <c r="C47" s="3">
        <v>0</v>
      </c>
      <c r="D47" s="3">
        <v>0</v>
      </c>
      <c r="E47" s="3">
        <v>19134.580000000002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20">
        <f t="shared" si="0"/>
        <v>19134.580000000002</v>
      </c>
    </row>
    <row r="48" spans="1:15" ht="75" customHeight="1" x14ac:dyDescent="0.3">
      <c r="A48" s="8">
        <v>22201</v>
      </c>
      <c r="B48" s="25" t="s">
        <v>63</v>
      </c>
      <c r="C48" s="3">
        <v>0</v>
      </c>
      <c r="D48" s="3">
        <v>0</v>
      </c>
      <c r="E48" s="3">
        <v>0</v>
      </c>
      <c r="F48" s="3">
        <v>0</v>
      </c>
      <c r="G48" s="3">
        <v>140110.74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20">
        <f t="shared" si="0"/>
        <v>140110.74</v>
      </c>
    </row>
    <row r="49" spans="1:16" ht="54.75" x14ac:dyDescent="0.3">
      <c r="A49" s="8">
        <v>22551</v>
      </c>
      <c r="B49" s="10" t="s">
        <v>59</v>
      </c>
      <c r="C49" s="3">
        <v>7590.36</v>
      </c>
      <c r="D49" s="3">
        <v>1300.26</v>
      </c>
      <c r="E49" s="3">
        <v>528.87</v>
      </c>
      <c r="F49" s="3">
        <v>7945.36</v>
      </c>
      <c r="G49" s="3">
        <v>435.73</v>
      </c>
      <c r="H49" s="3">
        <v>1077.1199999999999</v>
      </c>
      <c r="I49" s="3">
        <v>243.8</v>
      </c>
      <c r="J49" s="3">
        <v>5908.58</v>
      </c>
      <c r="K49" s="3">
        <v>317.91000000000003</v>
      </c>
      <c r="L49" s="3">
        <v>938.6</v>
      </c>
      <c r="M49" s="3">
        <v>4261.97</v>
      </c>
      <c r="N49" s="3">
        <v>425.31</v>
      </c>
      <c r="O49" s="20">
        <f t="shared" si="0"/>
        <v>30973.869999999995</v>
      </c>
    </row>
    <row r="50" spans="1:16" ht="28.5" x14ac:dyDescent="0.45">
      <c r="A50" s="11"/>
      <c r="B50" s="12" t="s">
        <v>34</v>
      </c>
      <c r="C50" s="5">
        <f t="shared" ref="C50:N50" si="1">SUM(C4:C49)</f>
        <v>194526.39999999997</v>
      </c>
      <c r="D50" s="5">
        <f t="shared" si="1"/>
        <v>195376.64000000001</v>
      </c>
      <c r="E50" s="5">
        <f t="shared" si="1"/>
        <v>232133.52999999997</v>
      </c>
      <c r="F50" s="3">
        <f t="shared" si="1"/>
        <v>190666.58999999997</v>
      </c>
      <c r="G50" s="3">
        <f t="shared" si="1"/>
        <v>334420.5</v>
      </c>
      <c r="H50" s="3">
        <f t="shared" si="1"/>
        <v>165638.94999999995</v>
      </c>
      <c r="I50" s="3">
        <f t="shared" si="1"/>
        <v>163423.28</v>
      </c>
      <c r="J50" s="3">
        <f t="shared" si="1"/>
        <v>206079.06999999998</v>
      </c>
      <c r="K50" s="3">
        <f t="shared" si="1"/>
        <v>29162.259999999995</v>
      </c>
      <c r="L50" s="5">
        <f t="shared" si="1"/>
        <v>165549.24999999997</v>
      </c>
      <c r="M50" s="3">
        <f t="shared" si="1"/>
        <v>144547.51</v>
      </c>
      <c r="N50" s="3">
        <f t="shared" si="1"/>
        <v>159182.75</v>
      </c>
      <c r="O50" s="5">
        <f>SUM(C50:N50)</f>
        <v>2180706.73</v>
      </c>
      <c r="P50" s="21">
        <f>SUM(O4:O49)</f>
        <v>2180706.7300000004</v>
      </c>
    </row>
    <row r="51" spans="1:16" ht="28.5" x14ac:dyDescent="0.45">
      <c r="A51" s="16"/>
      <c r="B51" s="17"/>
      <c r="C51" s="18"/>
      <c r="D51" s="18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8"/>
      <c r="P51" s="21"/>
    </row>
    <row r="52" spans="1:16" ht="28.5" x14ac:dyDescent="0.45">
      <c r="A52" s="622" t="s">
        <v>53</v>
      </c>
      <c r="B52" s="622"/>
      <c r="C52" s="18">
        <f t="shared" ref="C52:I52" si="2">+C50-C40-C41-C44-C45-C46-C47-C48</f>
        <v>58995.579999999973</v>
      </c>
      <c r="D52" s="18">
        <f t="shared" si="2"/>
        <v>59403.070000000007</v>
      </c>
      <c r="E52" s="18">
        <f t="shared" si="2"/>
        <v>34364.029999999962</v>
      </c>
      <c r="F52" s="18">
        <f t="shared" si="2"/>
        <v>54693.01999999996</v>
      </c>
      <c r="G52" s="18">
        <f t="shared" si="2"/>
        <v>50375.01999999999</v>
      </c>
      <c r="H52" s="18">
        <f t="shared" si="2"/>
        <v>28869.829999999947</v>
      </c>
      <c r="I52" s="18">
        <f t="shared" si="2"/>
        <v>25694.610000000008</v>
      </c>
      <c r="J52" s="18">
        <f t="shared" ref="J52:N52" si="3">+J50-J40-J41-J44-J45-J46-J47-J48</f>
        <v>70105.5</v>
      </c>
      <c r="K52" s="18">
        <f t="shared" si="3"/>
        <v>27608.159999999996</v>
      </c>
      <c r="L52" s="18">
        <f t="shared" si="3"/>
        <v>28630.129999999994</v>
      </c>
      <c r="M52" s="18">
        <f t="shared" si="3"/>
        <v>48754.860000000015</v>
      </c>
      <c r="N52" s="18">
        <f t="shared" si="3"/>
        <v>23651.930000000008</v>
      </c>
      <c r="O52" s="18">
        <f>SUM(C52:N52)</f>
        <v>511145.73999999982</v>
      </c>
      <c r="P52" s="21"/>
    </row>
    <row r="53" spans="1:16" ht="28.5" x14ac:dyDescent="0.45">
      <c r="A53" s="24" t="s">
        <v>54</v>
      </c>
      <c r="B53" s="24"/>
      <c r="C53" s="18">
        <f>+C40+C41</f>
        <v>135530.82</v>
      </c>
      <c r="D53" s="18">
        <f t="shared" ref="D53:N53" si="4">+D41+D40</f>
        <v>135973.57</v>
      </c>
      <c r="E53" s="18">
        <f t="shared" si="4"/>
        <v>135973.57</v>
      </c>
      <c r="F53" s="18">
        <f t="shared" si="4"/>
        <v>135973.57</v>
      </c>
      <c r="G53" s="18">
        <f t="shared" si="4"/>
        <v>135974.09</v>
      </c>
      <c r="H53" s="18">
        <f t="shared" si="4"/>
        <v>135973.57</v>
      </c>
      <c r="I53" s="18">
        <f t="shared" si="4"/>
        <v>135973.57</v>
      </c>
      <c r="J53" s="18">
        <f t="shared" si="4"/>
        <v>135973.57</v>
      </c>
      <c r="K53" s="18">
        <f t="shared" si="4"/>
        <v>0</v>
      </c>
      <c r="L53" s="18">
        <f t="shared" si="4"/>
        <v>135973.57</v>
      </c>
      <c r="M53" s="18">
        <f t="shared" si="4"/>
        <v>95792.65</v>
      </c>
      <c r="N53" s="18">
        <f t="shared" si="4"/>
        <v>135530.82</v>
      </c>
      <c r="O53" s="18">
        <f t="shared" ref="O53:O65" si="5">SUM(C53:N53)</f>
        <v>1454643.37</v>
      </c>
      <c r="P53" s="21"/>
    </row>
    <row r="54" spans="1:16" ht="18.75" x14ac:dyDescent="0.3">
      <c r="A54" s="17"/>
      <c r="B54" s="17"/>
      <c r="C54" s="18"/>
      <c r="D54" s="18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8">
        <f t="shared" si="5"/>
        <v>0</v>
      </c>
    </row>
    <row r="55" spans="1:16" ht="18.75" x14ac:dyDescent="0.3">
      <c r="A55" s="24" t="s">
        <v>57</v>
      </c>
      <c r="B55" s="24"/>
      <c r="C55" s="6">
        <v>0</v>
      </c>
      <c r="D55" s="6">
        <v>0</v>
      </c>
      <c r="E55" s="26">
        <f>+E47</f>
        <v>19134.580000000002</v>
      </c>
      <c r="F55" s="6"/>
      <c r="G55" s="6"/>
      <c r="H55" s="6">
        <v>0</v>
      </c>
      <c r="I55" s="6"/>
      <c r="J55" s="6"/>
      <c r="K55" s="6"/>
      <c r="L55" s="6"/>
      <c r="M55" s="6"/>
      <c r="N55" s="6"/>
      <c r="O55" s="18">
        <f t="shared" si="5"/>
        <v>19134.580000000002</v>
      </c>
    </row>
    <row r="56" spans="1:16" ht="18.75" x14ac:dyDescent="0.3">
      <c r="A56" s="24"/>
      <c r="B56" s="24"/>
      <c r="C56" s="6"/>
      <c r="D56" s="6"/>
      <c r="E56" s="26"/>
      <c r="F56" s="6"/>
      <c r="G56" s="6"/>
      <c r="H56" s="6"/>
      <c r="I56" s="6"/>
      <c r="J56" s="6"/>
      <c r="K56" s="6"/>
      <c r="L56" s="6"/>
      <c r="M56" s="6"/>
      <c r="N56" s="6"/>
      <c r="O56" s="18">
        <f t="shared" si="5"/>
        <v>0</v>
      </c>
    </row>
    <row r="57" spans="1:16" ht="56.25" customHeight="1" x14ac:dyDescent="0.3">
      <c r="A57" s="623" t="s">
        <v>69</v>
      </c>
      <c r="B57" s="623"/>
      <c r="C57" s="6">
        <v>0</v>
      </c>
      <c r="D57" s="6">
        <v>0</v>
      </c>
      <c r="E57" s="26">
        <v>0</v>
      </c>
      <c r="F57" s="6">
        <v>0</v>
      </c>
      <c r="G57" s="26">
        <v>140110.74</v>
      </c>
      <c r="H57" s="6">
        <v>0</v>
      </c>
      <c r="I57" s="6"/>
      <c r="J57" s="6"/>
      <c r="K57" s="6"/>
      <c r="L57" s="6"/>
      <c r="M57" s="6"/>
      <c r="N57" s="6"/>
      <c r="O57" s="18">
        <f t="shared" si="5"/>
        <v>140110.74</v>
      </c>
    </row>
    <row r="58" spans="1:16" ht="18.75" x14ac:dyDescent="0.3">
      <c r="A58" s="24"/>
      <c r="B58" s="24"/>
      <c r="C58" s="6"/>
      <c r="D58" s="6"/>
      <c r="E58" s="26"/>
      <c r="F58" s="6"/>
      <c r="G58" s="6"/>
      <c r="H58" s="6"/>
      <c r="I58" s="6"/>
      <c r="J58" s="6"/>
      <c r="K58" s="6"/>
      <c r="L58" s="6"/>
      <c r="M58" s="6"/>
      <c r="N58" s="6"/>
      <c r="O58" s="18">
        <f t="shared" si="5"/>
        <v>0</v>
      </c>
    </row>
    <row r="59" spans="1:16" ht="18.75" x14ac:dyDescent="0.3">
      <c r="A59" s="24" t="s">
        <v>58</v>
      </c>
      <c r="B59" s="24"/>
      <c r="C59" s="6">
        <v>0</v>
      </c>
      <c r="D59" s="6">
        <v>0</v>
      </c>
      <c r="E59" s="26">
        <f>+E45</f>
        <v>42661.35</v>
      </c>
      <c r="F59" s="6"/>
      <c r="G59" s="6"/>
      <c r="H59" s="6">
        <v>0</v>
      </c>
      <c r="I59" s="6"/>
      <c r="J59" s="6"/>
      <c r="K59" s="6"/>
      <c r="L59" s="6"/>
      <c r="M59" s="6"/>
      <c r="N59" s="6"/>
      <c r="O59" s="18">
        <f t="shared" si="5"/>
        <v>42661.35</v>
      </c>
    </row>
    <row r="60" spans="1:16" ht="18.75" x14ac:dyDescent="0.3">
      <c r="A60" s="24"/>
      <c r="B60" s="24"/>
      <c r="C60" s="6"/>
      <c r="D60" s="6"/>
      <c r="E60" s="26"/>
      <c r="F60" s="6"/>
      <c r="G60" s="6"/>
      <c r="H60" s="6"/>
      <c r="I60" s="6"/>
      <c r="J60" s="6"/>
      <c r="K60" s="6"/>
      <c r="L60" s="6"/>
      <c r="M60" s="6"/>
      <c r="N60" s="6"/>
      <c r="O60" s="18">
        <f t="shared" si="5"/>
        <v>0</v>
      </c>
    </row>
    <row r="61" spans="1:16" ht="18.75" x14ac:dyDescent="0.3">
      <c r="A61" s="24" t="s">
        <v>64</v>
      </c>
      <c r="B61" s="24"/>
      <c r="C61" s="6">
        <v>0</v>
      </c>
      <c r="D61" s="6">
        <v>0</v>
      </c>
      <c r="E61" s="26">
        <v>0</v>
      </c>
      <c r="F61" s="6">
        <v>0</v>
      </c>
      <c r="G61" s="6"/>
      <c r="H61" s="6">
        <v>0</v>
      </c>
      <c r="I61" s="6"/>
      <c r="J61" s="6"/>
      <c r="K61" s="6"/>
      <c r="L61" s="6"/>
      <c r="M61" s="6"/>
      <c r="N61" s="6"/>
      <c r="O61" s="18">
        <f t="shared" si="5"/>
        <v>0</v>
      </c>
    </row>
    <row r="62" spans="1:16" ht="18.75" x14ac:dyDescent="0.3">
      <c r="A62" s="24"/>
      <c r="B62" s="24"/>
      <c r="C62" s="6"/>
      <c r="D62" s="6"/>
      <c r="E62" s="26"/>
      <c r="F62" s="6"/>
      <c r="G62" s="6"/>
      <c r="H62" s="6"/>
      <c r="I62" s="6"/>
      <c r="J62" s="6"/>
      <c r="K62" s="6"/>
      <c r="L62" s="6"/>
      <c r="M62" s="6"/>
      <c r="N62" s="6"/>
      <c r="O62" s="18">
        <f t="shared" si="5"/>
        <v>0</v>
      </c>
    </row>
    <row r="63" spans="1:16" ht="59.25" customHeight="1" x14ac:dyDescent="0.3">
      <c r="A63" s="623" t="s">
        <v>68</v>
      </c>
      <c r="B63" s="623"/>
      <c r="C63" s="7">
        <v>0</v>
      </c>
      <c r="D63" s="7">
        <v>0</v>
      </c>
      <c r="E63" s="7">
        <v>0</v>
      </c>
      <c r="F63" s="7">
        <v>0</v>
      </c>
      <c r="G63" s="26">
        <v>5500</v>
      </c>
      <c r="H63">
        <v>0</v>
      </c>
      <c r="O63" s="18">
        <f t="shared" si="5"/>
        <v>5500</v>
      </c>
    </row>
    <row r="64" spans="1:16" ht="18.75" x14ac:dyDescent="0.3">
      <c r="O64" s="18">
        <f t="shared" si="5"/>
        <v>0</v>
      </c>
    </row>
    <row r="65" spans="1:15" ht="21" x14ac:dyDescent="0.35">
      <c r="A65" s="24" t="s">
        <v>70</v>
      </c>
      <c r="B65" s="24"/>
      <c r="C65" s="7">
        <v>0</v>
      </c>
      <c r="D65" s="7">
        <v>0</v>
      </c>
      <c r="E65" s="7">
        <v>0</v>
      </c>
      <c r="F65" s="7">
        <v>0</v>
      </c>
      <c r="G65" s="26">
        <v>2460.65</v>
      </c>
      <c r="H65" s="26">
        <v>755.95</v>
      </c>
      <c r="I65" s="7"/>
      <c r="J65" s="7"/>
      <c r="K65" s="7"/>
      <c r="L65" s="30">
        <v>945.55</v>
      </c>
      <c r="O65" s="18">
        <f t="shared" si="5"/>
        <v>4162.1500000000005</v>
      </c>
    </row>
    <row r="66" spans="1:15" ht="18.75" x14ac:dyDescent="0.3">
      <c r="A66" s="24"/>
      <c r="B66" s="24"/>
      <c r="O66" s="347">
        <f>SUM(O52:O65)</f>
        <v>2177357.9299999997</v>
      </c>
    </row>
    <row r="68" spans="1:15" x14ac:dyDescent="0.25">
      <c r="B68" s="23"/>
    </row>
  </sheetData>
  <mergeCells count="5">
    <mergeCell ref="A1:O1"/>
    <mergeCell ref="A52:B52"/>
    <mergeCell ref="A63:B63"/>
    <mergeCell ref="A57:B57"/>
    <mergeCell ref="M2:N2"/>
  </mergeCells>
  <pageMargins left="0.23622047244094491" right="0.23622047244094491" top="0.74803149606299213" bottom="0.74803149606299213" header="0.31496062992125984" footer="0.31496062992125984"/>
  <pageSetup scale="45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9"/>
  <sheetViews>
    <sheetView topLeftCell="A82" workbookViewId="0">
      <selection activeCell="C100" sqref="C100"/>
    </sheetView>
  </sheetViews>
  <sheetFormatPr baseColWidth="10" defaultRowHeight="15" x14ac:dyDescent="0.25"/>
  <cols>
    <col min="2" max="2" width="37.7109375" customWidth="1"/>
    <col min="3" max="4" width="19.7109375" customWidth="1"/>
    <col min="6" max="6" width="18" customWidth="1"/>
    <col min="7" max="7" width="15.28515625" customWidth="1"/>
    <col min="8" max="8" width="16.42578125" customWidth="1"/>
    <col min="9" max="9" width="17.5703125" customWidth="1"/>
    <col min="10" max="10" width="16.5703125" customWidth="1"/>
    <col min="11" max="11" width="17" customWidth="1"/>
    <col min="12" max="12" width="12.7109375" customWidth="1"/>
    <col min="13" max="13" width="17.42578125" customWidth="1"/>
    <col min="14" max="14" width="16.140625" customWidth="1"/>
    <col min="15" max="15" width="17.42578125" customWidth="1"/>
    <col min="16" max="16" width="17.85546875" customWidth="1"/>
  </cols>
  <sheetData>
    <row r="1" spans="1:17" ht="26.25" x14ac:dyDescent="0.4">
      <c r="A1" s="688" t="s">
        <v>835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9"/>
    </row>
    <row r="2" spans="1:17" ht="15.75" x14ac:dyDescent="0.25">
      <c r="A2" s="682" t="s">
        <v>217</v>
      </c>
      <c r="B2" s="682" t="s">
        <v>218</v>
      </c>
      <c r="C2" s="690" t="s">
        <v>219</v>
      </c>
      <c r="D2" s="691" t="s">
        <v>220</v>
      </c>
      <c r="E2" s="690" t="s">
        <v>221</v>
      </c>
      <c r="F2" s="690" t="s">
        <v>222</v>
      </c>
      <c r="G2" s="690"/>
      <c r="H2" s="690"/>
      <c r="I2" s="690"/>
      <c r="J2" s="690" t="s">
        <v>223</v>
      </c>
      <c r="K2" s="692" t="s">
        <v>224</v>
      </c>
      <c r="L2" s="692"/>
      <c r="M2" s="692"/>
      <c r="N2" s="692"/>
      <c r="O2" s="691" t="s">
        <v>37</v>
      </c>
    </row>
    <row r="3" spans="1:17" ht="15.75" x14ac:dyDescent="0.25">
      <c r="A3" s="682"/>
      <c r="B3" s="682"/>
      <c r="C3" s="687"/>
      <c r="D3" s="682"/>
      <c r="E3" s="687"/>
      <c r="F3" s="687"/>
      <c r="G3" s="687"/>
      <c r="H3" s="687"/>
      <c r="I3" s="687"/>
      <c r="J3" s="687"/>
      <c r="K3" s="98" t="s">
        <v>225</v>
      </c>
      <c r="L3" s="683" t="s">
        <v>226</v>
      </c>
      <c r="M3" s="683"/>
      <c r="N3" s="683"/>
      <c r="O3" s="682"/>
    </row>
    <row r="4" spans="1:17" ht="31.5" x14ac:dyDescent="0.25">
      <c r="A4" s="682"/>
      <c r="B4" s="682"/>
      <c r="C4" s="687"/>
      <c r="D4" s="682"/>
      <c r="E4" s="687"/>
      <c r="F4" s="99" t="s">
        <v>227</v>
      </c>
      <c r="G4" s="99" t="s">
        <v>228</v>
      </c>
      <c r="H4" s="99" t="s">
        <v>227</v>
      </c>
      <c r="I4" s="99" t="s">
        <v>229</v>
      </c>
      <c r="J4" s="99" t="s">
        <v>230</v>
      </c>
      <c r="K4" s="99" t="s">
        <v>231</v>
      </c>
      <c r="L4" s="100" t="s">
        <v>232</v>
      </c>
      <c r="M4" s="100" t="s">
        <v>233</v>
      </c>
      <c r="N4" s="99" t="s">
        <v>234</v>
      </c>
      <c r="O4" s="682"/>
    </row>
    <row r="5" spans="1:17" ht="18.75" x14ac:dyDescent="0.3">
      <c r="A5" s="101">
        <v>1</v>
      </c>
      <c r="B5" s="102" t="s">
        <v>235</v>
      </c>
      <c r="C5" s="101" t="s">
        <v>236</v>
      </c>
      <c r="D5" s="101" t="s">
        <v>237</v>
      </c>
      <c r="E5" s="103" t="s">
        <v>238</v>
      </c>
      <c r="F5" s="104">
        <v>1400</v>
      </c>
      <c r="G5" s="104">
        <v>20</v>
      </c>
      <c r="H5" s="105">
        <f>+F5+G5</f>
        <v>1420</v>
      </c>
      <c r="I5" s="105">
        <f>+H5*12-120</f>
        <v>16920</v>
      </c>
      <c r="J5" s="104">
        <f t="shared" ref="J5:J10" si="0">+H5</f>
        <v>1420</v>
      </c>
      <c r="K5" s="104">
        <f t="shared" ref="K5:K16" si="1">+J5*6.75%*12</f>
        <v>1150.2</v>
      </c>
      <c r="L5" s="104">
        <v>0</v>
      </c>
      <c r="M5" s="104">
        <f>685.71*7.5%*12</f>
        <v>617.13900000000001</v>
      </c>
      <c r="N5" s="104">
        <f>+K5+M5</f>
        <v>1767.3389999999999</v>
      </c>
      <c r="O5" s="106">
        <f t="shared" ref="O5:O10" si="2">ROUND((+I5+J5+N5),2)</f>
        <v>20107.34</v>
      </c>
      <c r="P5" s="31">
        <f>+O5-60</f>
        <v>20047.34</v>
      </c>
    </row>
    <row r="6" spans="1:17" ht="18.75" x14ac:dyDescent="0.3">
      <c r="A6" s="101">
        <v>2</v>
      </c>
      <c r="B6" s="102" t="s">
        <v>239</v>
      </c>
      <c r="C6" s="101" t="s">
        <v>240</v>
      </c>
      <c r="D6" s="101" t="s">
        <v>237</v>
      </c>
      <c r="E6" s="103" t="s">
        <v>238</v>
      </c>
      <c r="F6" s="104">
        <v>670</v>
      </c>
      <c r="G6" s="477">
        <v>50</v>
      </c>
      <c r="H6" s="105">
        <f t="shared" ref="H6:H15" si="3">+F6+G6</f>
        <v>720</v>
      </c>
      <c r="I6" s="105">
        <f>+H6*12-150</f>
        <v>8490</v>
      </c>
      <c r="J6" s="104">
        <f t="shared" si="0"/>
        <v>720</v>
      </c>
      <c r="K6" s="104">
        <f t="shared" si="1"/>
        <v>583.20000000000005</v>
      </c>
      <c r="L6" s="104">
        <v>0</v>
      </c>
      <c r="M6" s="104">
        <f>+J6*7.5%*12</f>
        <v>648</v>
      </c>
      <c r="N6" s="104">
        <f>+K6+M6</f>
        <v>1231.2</v>
      </c>
      <c r="O6" s="106">
        <f t="shared" si="2"/>
        <v>10441.200000000001</v>
      </c>
      <c r="P6" s="31">
        <f>+O6-150</f>
        <v>10291.200000000001</v>
      </c>
    </row>
    <row r="7" spans="1:17" ht="18.75" x14ac:dyDescent="0.3">
      <c r="A7" s="101">
        <v>3</v>
      </c>
      <c r="B7" s="107" t="s">
        <v>385</v>
      </c>
      <c r="C7" s="108" t="s">
        <v>241</v>
      </c>
      <c r="D7" s="108" t="s">
        <v>242</v>
      </c>
      <c r="E7" s="103" t="s">
        <v>238</v>
      </c>
      <c r="F7" s="105">
        <v>880</v>
      </c>
      <c r="G7" s="105">
        <v>20</v>
      </c>
      <c r="H7" s="105">
        <f t="shared" si="3"/>
        <v>900</v>
      </c>
      <c r="I7" s="105">
        <f t="shared" ref="I7:I14" si="4">+H7*12-120</f>
        <v>10680</v>
      </c>
      <c r="J7" s="104">
        <f t="shared" si="0"/>
        <v>900</v>
      </c>
      <c r="K7" s="104">
        <f t="shared" si="1"/>
        <v>729.00000000000011</v>
      </c>
      <c r="L7" s="105">
        <v>0</v>
      </c>
      <c r="M7" s="104">
        <f>685.71*7.5%*12</f>
        <v>617.13900000000001</v>
      </c>
      <c r="N7" s="104">
        <f t="shared" ref="N7:N10" si="5">SUM(K7:M7)</f>
        <v>1346.1390000000001</v>
      </c>
      <c r="O7" s="106">
        <f t="shared" si="2"/>
        <v>12926.14</v>
      </c>
      <c r="P7" s="31">
        <f t="shared" ref="P7:P8" si="6">+O7-60</f>
        <v>12866.14</v>
      </c>
    </row>
    <row r="8" spans="1:17" ht="18.75" x14ac:dyDescent="0.3">
      <c r="A8" s="101">
        <v>4</v>
      </c>
      <c r="B8" s="107" t="s">
        <v>243</v>
      </c>
      <c r="C8" s="108" t="s">
        <v>244</v>
      </c>
      <c r="D8" s="108" t="s">
        <v>245</v>
      </c>
      <c r="E8" s="109" t="s">
        <v>238</v>
      </c>
      <c r="F8" s="105">
        <v>416</v>
      </c>
      <c r="G8" s="105">
        <v>20</v>
      </c>
      <c r="H8" s="105">
        <f t="shared" si="3"/>
        <v>436</v>
      </c>
      <c r="I8" s="105">
        <f t="shared" si="4"/>
        <v>5112</v>
      </c>
      <c r="J8" s="104">
        <f t="shared" si="0"/>
        <v>436</v>
      </c>
      <c r="K8" s="104">
        <f t="shared" si="1"/>
        <v>353.16</v>
      </c>
      <c r="L8" s="105">
        <v>0</v>
      </c>
      <c r="M8" s="104">
        <f t="shared" ref="M8:M17" si="7">+J8*7.5%*12</f>
        <v>392.4</v>
      </c>
      <c r="N8" s="104">
        <f t="shared" si="5"/>
        <v>745.56</v>
      </c>
      <c r="O8" s="106">
        <f t="shared" si="2"/>
        <v>6293.56</v>
      </c>
      <c r="P8" s="31">
        <f t="shared" si="6"/>
        <v>6233.56</v>
      </c>
    </row>
    <row r="9" spans="1:17" ht="18.75" x14ac:dyDescent="0.3">
      <c r="A9" s="101">
        <v>5</v>
      </c>
      <c r="B9" s="107" t="s">
        <v>246</v>
      </c>
      <c r="C9" s="108" t="s">
        <v>247</v>
      </c>
      <c r="D9" s="110"/>
      <c r="E9" s="109" t="s">
        <v>238</v>
      </c>
      <c r="F9" s="105">
        <v>1030</v>
      </c>
      <c r="G9" s="478">
        <v>50</v>
      </c>
      <c r="H9" s="105">
        <f t="shared" si="3"/>
        <v>1080</v>
      </c>
      <c r="I9" s="105">
        <f>+H9*12-150</f>
        <v>12810</v>
      </c>
      <c r="J9" s="104">
        <f t="shared" si="0"/>
        <v>1080</v>
      </c>
      <c r="K9" s="104">
        <f t="shared" si="1"/>
        <v>874.80000000000007</v>
      </c>
      <c r="L9" s="105">
        <v>0</v>
      </c>
      <c r="M9" s="104">
        <f t="shared" si="7"/>
        <v>972</v>
      </c>
      <c r="N9" s="104">
        <f t="shared" si="5"/>
        <v>1846.8000000000002</v>
      </c>
      <c r="O9" s="106">
        <f t="shared" si="2"/>
        <v>15736.8</v>
      </c>
      <c r="P9" s="31">
        <f>+O9-150</f>
        <v>15586.8</v>
      </c>
    </row>
    <row r="10" spans="1:17" ht="18.75" x14ac:dyDescent="0.3">
      <c r="A10" s="101">
        <v>6</v>
      </c>
      <c r="B10" s="102" t="s">
        <v>384</v>
      </c>
      <c r="C10" s="101" t="s">
        <v>248</v>
      </c>
      <c r="D10" s="101" t="s">
        <v>237</v>
      </c>
      <c r="E10" s="103" t="s">
        <v>238</v>
      </c>
      <c r="F10" s="111">
        <v>950</v>
      </c>
      <c r="G10" s="105">
        <v>20</v>
      </c>
      <c r="H10" s="105">
        <f t="shared" si="3"/>
        <v>970</v>
      </c>
      <c r="I10" s="105">
        <f t="shared" si="4"/>
        <v>11520</v>
      </c>
      <c r="J10" s="105">
        <f t="shared" si="0"/>
        <v>970</v>
      </c>
      <c r="K10" s="104">
        <f t="shared" si="1"/>
        <v>785.7</v>
      </c>
      <c r="L10" s="105">
        <v>0</v>
      </c>
      <c r="M10" s="104">
        <f t="shared" si="7"/>
        <v>873</v>
      </c>
      <c r="N10" s="104">
        <f t="shared" si="5"/>
        <v>1658.7</v>
      </c>
      <c r="O10" s="106">
        <f t="shared" si="2"/>
        <v>14148.7</v>
      </c>
      <c r="P10" s="31">
        <f t="shared" ref="P10:P15" si="8">+O10-60</f>
        <v>14088.7</v>
      </c>
    </row>
    <row r="11" spans="1:17" ht="18.75" x14ac:dyDescent="0.3">
      <c r="A11" s="101">
        <v>7</v>
      </c>
      <c r="B11" s="102" t="s">
        <v>257</v>
      </c>
      <c r="C11" s="101" t="s">
        <v>258</v>
      </c>
      <c r="D11" s="101" t="s">
        <v>237</v>
      </c>
      <c r="E11" s="103" t="s">
        <v>238</v>
      </c>
      <c r="F11" s="104">
        <v>392</v>
      </c>
      <c r="G11" s="105">
        <v>20</v>
      </c>
      <c r="H11" s="105">
        <f t="shared" si="3"/>
        <v>412</v>
      </c>
      <c r="I11" s="105">
        <f t="shared" si="4"/>
        <v>4824</v>
      </c>
      <c r="J11" s="105">
        <f>+H11</f>
        <v>412</v>
      </c>
      <c r="K11" s="104">
        <f t="shared" si="1"/>
        <v>333.72</v>
      </c>
      <c r="L11" s="105">
        <v>0</v>
      </c>
      <c r="M11" s="104">
        <f t="shared" si="7"/>
        <v>370.79999999999995</v>
      </c>
      <c r="N11" s="104">
        <f>SUM(K11:M11)</f>
        <v>704.52</v>
      </c>
      <c r="O11" s="106">
        <f>ROUND((+I11+J11+N11),2)</f>
        <v>5940.52</v>
      </c>
      <c r="P11" s="31">
        <f t="shared" si="8"/>
        <v>5880.52</v>
      </c>
    </row>
    <row r="12" spans="1:17" ht="18.75" x14ac:dyDescent="0.3">
      <c r="A12" s="101">
        <v>8</v>
      </c>
      <c r="B12" s="107" t="s">
        <v>259</v>
      </c>
      <c r="C12" s="108" t="s">
        <v>260</v>
      </c>
      <c r="D12" s="101" t="s">
        <v>237</v>
      </c>
      <c r="E12" s="103" t="s">
        <v>238</v>
      </c>
      <c r="F12" s="105">
        <v>342</v>
      </c>
      <c r="G12" s="105">
        <v>20</v>
      </c>
      <c r="H12" s="105">
        <f t="shared" si="3"/>
        <v>362</v>
      </c>
      <c r="I12" s="105">
        <f t="shared" si="4"/>
        <v>4224</v>
      </c>
      <c r="J12" s="104">
        <f t="shared" ref="J12:J17" si="9">+H12</f>
        <v>362</v>
      </c>
      <c r="K12" s="104">
        <f t="shared" si="1"/>
        <v>293.22000000000003</v>
      </c>
      <c r="L12" s="105">
        <v>0</v>
      </c>
      <c r="M12" s="104">
        <f t="shared" si="7"/>
        <v>325.79999999999995</v>
      </c>
      <c r="N12" s="104">
        <f t="shared" ref="N12:N16" si="10">SUM(K12:M12)</f>
        <v>619.02</v>
      </c>
      <c r="O12" s="106">
        <f t="shared" ref="O12:O16" si="11">ROUND((+I12+J12+N12),2)</f>
        <v>5205.0200000000004</v>
      </c>
      <c r="P12" s="31">
        <f t="shared" si="8"/>
        <v>5145.0200000000004</v>
      </c>
    </row>
    <row r="13" spans="1:17" ht="18.75" x14ac:dyDescent="0.3">
      <c r="A13" s="101">
        <v>9</v>
      </c>
      <c r="B13" s="107" t="s">
        <v>263</v>
      </c>
      <c r="C13" s="108" t="s">
        <v>260</v>
      </c>
      <c r="D13" s="101" t="s">
        <v>237</v>
      </c>
      <c r="E13" s="103" t="s">
        <v>238</v>
      </c>
      <c r="F13" s="105">
        <v>342</v>
      </c>
      <c r="G13" s="105">
        <v>20</v>
      </c>
      <c r="H13" s="105">
        <f t="shared" si="3"/>
        <v>362</v>
      </c>
      <c r="I13" s="105">
        <f t="shared" si="4"/>
        <v>4224</v>
      </c>
      <c r="J13" s="104">
        <f t="shared" si="9"/>
        <v>362</v>
      </c>
      <c r="K13" s="104">
        <f t="shared" si="1"/>
        <v>293.22000000000003</v>
      </c>
      <c r="L13" s="105">
        <v>0</v>
      </c>
      <c r="M13" s="104">
        <f t="shared" si="7"/>
        <v>325.79999999999995</v>
      </c>
      <c r="N13" s="104">
        <f t="shared" si="10"/>
        <v>619.02</v>
      </c>
      <c r="O13" s="106">
        <f t="shared" si="11"/>
        <v>5205.0200000000004</v>
      </c>
      <c r="P13" s="31">
        <f t="shared" si="8"/>
        <v>5145.0200000000004</v>
      </c>
    </row>
    <row r="14" spans="1:17" ht="18.75" x14ac:dyDescent="0.3">
      <c r="A14" s="101">
        <v>10</v>
      </c>
      <c r="B14" s="107" t="s">
        <v>261</v>
      </c>
      <c r="C14" s="108" t="s">
        <v>260</v>
      </c>
      <c r="D14" s="101" t="s">
        <v>237</v>
      </c>
      <c r="E14" s="103" t="s">
        <v>238</v>
      </c>
      <c r="F14" s="105">
        <v>322</v>
      </c>
      <c r="G14" s="105">
        <v>20</v>
      </c>
      <c r="H14" s="105">
        <f t="shared" si="3"/>
        <v>342</v>
      </c>
      <c r="I14" s="105">
        <f t="shared" si="4"/>
        <v>3984</v>
      </c>
      <c r="J14" s="104">
        <f t="shared" si="9"/>
        <v>342</v>
      </c>
      <c r="K14" s="104">
        <f t="shared" si="1"/>
        <v>277.02</v>
      </c>
      <c r="L14" s="105">
        <v>0</v>
      </c>
      <c r="M14" s="104">
        <f t="shared" si="7"/>
        <v>307.79999999999995</v>
      </c>
      <c r="N14" s="104">
        <f t="shared" si="10"/>
        <v>584.81999999999994</v>
      </c>
      <c r="O14" s="106">
        <f t="shared" si="11"/>
        <v>4910.82</v>
      </c>
      <c r="P14" s="31">
        <f t="shared" si="8"/>
        <v>4850.82</v>
      </c>
      <c r="Q14" s="27">
        <f>SUM(P15:P16)</f>
        <v>10115.84</v>
      </c>
    </row>
    <row r="15" spans="1:17" ht="18.75" x14ac:dyDescent="0.3">
      <c r="A15" s="492">
        <v>11</v>
      </c>
      <c r="B15" s="493" t="s">
        <v>262</v>
      </c>
      <c r="C15" s="492" t="s">
        <v>260</v>
      </c>
      <c r="D15" s="492" t="s">
        <v>237</v>
      </c>
      <c r="E15" s="494" t="s">
        <v>238</v>
      </c>
      <c r="F15" s="495">
        <v>322</v>
      </c>
      <c r="G15" s="495">
        <v>20</v>
      </c>
      <c r="H15" s="495">
        <f t="shared" si="3"/>
        <v>342</v>
      </c>
      <c r="I15" s="495">
        <f t="shared" ref="I15:I16" si="12">+H15*12-60</f>
        <v>4044</v>
      </c>
      <c r="J15" s="495">
        <f t="shared" si="9"/>
        <v>342</v>
      </c>
      <c r="K15" s="495">
        <f t="shared" si="1"/>
        <v>277.02</v>
      </c>
      <c r="L15" s="495">
        <v>0</v>
      </c>
      <c r="M15" s="495">
        <f t="shared" si="7"/>
        <v>307.79999999999995</v>
      </c>
      <c r="N15" s="495">
        <f t="shared" si="10"/>
        <v>584.81999999999994</v>
      </c>
      <c r="O15" s="496">
        <f t="shared" si="11"/>
        <v>4970.82</v>
      </c>
      <c r="P15" s="497">
        <f t="shared" si="8"/>
        <v>4910.82</v>
      </c>
    </row>
    <row r="16" spans="1:17" ht="18.75" x14ac:dyDescent="0.3">
      <c r="A16" s="492">
        <v>12</v>
      </c>
      <c r="B16" s="493" t="s">
        <v>493</v>
      </c>
      <c r="C16" s="492" t="s">
        <v>260</v>
      </c>
      <c r="D16" s="492" t="s">
        <v>237</v>
      </c>
      <c r="E16" s="494" t="s">
        <v>238</v>
      </c>
      <c r="F16" s="495">
        <v>342</v>
      </c>
      <c r="G16" s="495">
        <v>20</v>
      </c>
      <c r="H16" s="495">
        <f>+F16+G16</f>
        <v>362</v>
      </c>
      <c r="I16" s="495">
        <f t="shared" si="12"/>
        <v>4284</v>
      </c>
      <c r="J16" s="495">
        <f t="shared" si="9"/>
        <v>362</v>
      </c>
      <c r="K16" s="495">
        <f t="shared" si="1"/>
        <v>293.22000000000003</v>
      </c>
      <c r="L16" s="495">
        <v>0</v>
      </c>
      <c r="M16" s="495">
        <f t="shared" si="7"/>
        <v>325.79999999999995</v>
      </c>
      <c r="N16" s="495">
        <f t="shared" si="10"/>
        <v>619.02</v>
      </c>
      <c r="O16" s="496">
        <f t="shared" si="11"/>
        <v>5265.02</v>
      </c>
      <c r="P16" s="497">
        <f>+O16-60</f>
        <v>5205.0200000000004</v>
      </c>
    </row>
    <row r="17" spans="1:16" ht="18.75" x14ac:dyDescent="0.3">
      <c r="A17" s="101"/>
      <c r="B17" s="102" t="s">
        <v>381</v>
      </c>
      <c r="C17" s="101"/>
      <c r="D17" s="102" t="s">
        <v>382</v>
      </c>
      <c r="E17" s="103" t="s">
        <v>238</v>
      </c>
      <c r="F17" s="104">
        <v>6240</v>
      </c>
      <c r="G17" s="105">
        <v>600</v>
      </c>
      <c r="H17" s="105">
        <f>+F17+G17</f>
        <v>6840</v>
      </c>
      <c r="I17" s="105">
        <f>+H17*12-3600</f>
        <v>78480</v>
      </c>
      <c r="J17" s="105">
        <f t="shared" si="9"/>
        <v>6840</v>
      </c>
      <c r="K17" s="104">
        <f>+J17*6.75%*12</f>
        <v>5540.4000000000005</v>
      </c>
      <c r="L17" s="105"/>
      <c r="M17" s="104">
        <f t="shared" si="7"/>
        <v>6156</v>
      </c>
      <c r="N17" s="104">
        <f>SUM(K17:M17)</f>
        <v>11696.400000000001</v>
      </c>
      <c r="O17" s="106">
        <f>ROUND((+I17+J17+N17),2)</f>
        <v>97016.4</v>
      </c>
      <c r="P17" s="31">
        <f>+O17-1800</f>
        <v>95216.4</v>
      </c>
    </row>
    <row r="18" spans="1:16" ht="18.75" x14ac:dyDescent="0.3">
      <c r="A18" s="101"/>
      <c r="B18" s="112" t="s">
        <v>249</v>
      </c>
      <c r="C18" s="108"/>
      <c r="D18" s="101"/>
      <c r="E18" s="109"/>
      <c r="F18" s="117">
        <f t="shared" ref="F18:N18" si="13">SUM(F5:F17)-F15-F16</f>
        <v>12984</v>
      </c>
      <c r="G18" s="117">
        <f t="shared" si="13"/>
        <v>860</v>
      </c>
      <c r="H18" s="117">
        <f t="shared" si="13"/>
        <v>13844</v>
      </c>
      <c r="I18" s="117">
        <f>SUM(I5:I17)-I15-I16</f>
        <v>161268</v>
      </c>
      <c r="J18" s="117">
        <f>SUM(J5:J17)-J15-J16-J17</f>
        <v>7004</v>
      </c>
      <c r="K18" s="117">
        <f t="shared" si="13"/>
        <v>11213.640000000003</v>
      </c>
      <c r="L18" s="117">
        <f t="shared" si="13"/>
        <v>0</v>
      </c>
      <c r="M18" s="117">
        <f t="shared" si="13"/>
        <v>11605.878000000002</v>
      </c>
      <c r="N18" s="117">
        <f t="shared" si="13"/>
        <v>22819.518</v>
      </c>
      <c r="O18" s="117">
        <f>SUM(O5:O17)-O15-O16</f>
        <v>197931.51999999999</v>
      </c>
      <c r="P18" s="31">
        <f>SUM(P5:P17)</f>
        <v>205467.36</v>
      </c>
    </row>
    <row r="19" spans="1:16" ht="15.75" x14ac:dyDescent="0.25">
      <c r="D19" s="119" t="s">
        <v>836</v>
      </c>
      <c r="G19" s="498">
        <v>200892.6</v>
      </c>
    </row>
    <row r="20" spans="1:16" ht="18.75" x14ac:dyDescent="0.3">
      <c r="D20" s="479"/>
      <c r="G20" s="32">
        <v>205332.64</v>
      </c>
      <c r="H20" s="32"/>
      <c r="I20" s="32"/>
      <c r="J20" s="31">
        <f>+J18-J17</f>
        <v>164</v>
      </c>
      <c r="K20" s="32"/>
      <c r="L20" s="32"/>
      <c r="M20" s="31"/>
      <c r="N20" s="32"/>
      <c r="O20" s="32"/>
      <c r="P20" s="32"/>
    </row>
    <row r="21" spans="1:16" ht="18" x14ac:dyDescent="0.25">
      <c r="B21" s="147" t="s">
        <v>75</v>
      </c>
      <c r="C21" s="148" t="s">
        <v>76</v>
      </c>
      <c r="D21" s="380">
        <f>+O18</f>
        <v>197931.51999999999</v>
      </c>
      <c r="F21" s="27"/>
      <c r="G21" s="27">
        <f>+G20-G19</f>
        <v>4440.0400000000081</v>
      </c>
    </row>
    <row r="22" spans="1:16" ht="18" x14ac:dyDescent="0.25">
      <c r="B22" s="147" t="s">
        <v>75</v>
      </c>
      <c r="C22" s="150" t="s">
        <v>407</v>
      </c>
      <c r="D22" s="381">
        <v>3000</v>
      </c>
    </row>
    <row r="23" spans="1:16" ht="18" x14ac:dyDescent="0.25">
      <c r="B23" s="152">
        <v>51103</v>
      </c>
      <c r="C23" s="148" t="s">
        <v>78</v>
      </c>
      <c r="D23" s="380">
        <f>+J18</f>
        <v>7004</v>
      </c>
      <c r="F23" s="27"/>
    </row>
    <row r="24" spans="1:16" ht="18" x14ac:dyDescent="0.25">
      <c r="B24" s="152">
        <v>51107</v>
      </c>
      <c r="C24" s="148" t="s">
        <v>82</v>
      </c>
      <c r="D24" s="380">
        <v>500</v>
      </c>
    </row>
    <row r="25" spans="1:16" ht="18" x14ac:dyDescent="0.25">
      <c r="B25" s="152">
        <v>51301</v>
      </c>
      <c r="C25" s="148" t="s">
        <v>86</v>
      </c>
      <c r="D25" s="380">
        <f>+'FODES 25%'!H15</f>
        <v>200</v>
      </c>
    </row>
    <row r="26" spans="1:16" ht="18" x14ac:dyDescent="0.25">
      <c r="B26" s="152">
        <v>51401</v>
      </c>
      <c r="C26" s="37" t="s">
        <v>89</v>
      </c>
      <c r="D26" s="380">
        <f>+M18</f>
        <v>11605.878000000002</v>
      </c>
    </row>
    <row r="27" spans="1:16" ht="18" x14ac:dyDescent="0.25">
      <c r="B27" s="152">
        <v>51501</v>
      </c>
      <c r="C27" s="37" t="s">
        <v>91</v>
      </c>
      <c r="D27" s="380">
        <f>+K18</f>
        <v>11213.640000000003</v>
      </c>
    </row>
    <row r="28" spans="1:16" ht="18" x14ac:dyDescent="0.25">
      <c r="B28" s="38">
        <v>51601</v>
      </c>
      <c r="C28" s="39" t="s">
        <v>92</v>
      </c>
      <c r="D28" s="382">
        <v>4800</v>
      </c>
    </row>
    <row r="29" spans="1:16" ht="18" x14ac:dyDescent="0.25">
      <c r="D29" s="480">
        <f>SUM(D21:D28)</f>
        <v>236255.038</v>
      </c>
    </row>
    <row r="31" spans="1:16" ht="26.25" x14ac:dyDescent="0.4">
      <c r="A31" s="693"/>
      <c r="B31" s="693"/>
      <c r="C31" s="693"/>
      <c r="D31" s="693"/>
      <c r="E31" s="693"/>
      <c r="F31" s="693"/>
      <c r="G31" s="693"/>
      <c r="H31" s="693"/>
      <c r="I31" s="693"/>
      <c r="J31" s="693"/>
      <c r="K31" s="693"/>
      <c r="L31" s="693"/>
      <c r="M31" s="693"/>
      <c r="N31" s="693"/>
      <c r="O31" s="694"/>
    </row>
    <row r="32" spans="1:16" ht="26.25" x14ac:dyDescent="0.4">
      <c r="A32" s="688" t="s">
        <v>841</v>
      </c>
      <c r="B32" s="688"/>
      <c r="C32" s="688"/>
      <c r="D32" s="688"/>
      <c r="E32" s="688"/>
      <c r="F32" s="688"/>
      <c r="G32" s="688"/>
      <c r="H32" s="688"/>
      <c r="I32" s="688"/>
      <c r="J32" s="688"/>
      <c r="K32" s="688"/>
      <c r="L32" s="688"/>
      <c r="M32" s="688"/>
      <c r="N32" s="688"/>
      <c r="O32" s="688"/>
      <c r="P32" s="154"/>
    </row>
    <row r="33" spans="1:16" ht="15.75" x14ac:dyDescent="0.25">
      <c r="A33" s="682" t="s">
        <v>217</v>
      </c>
      <c r="B33" s="682" t="s">
        <v>218</v>
      </c>
      <c r="C33" s="690" t="s">
        <v>219</v>
      </c>
      <c r="D33" s="691" t="s">
        <v>220</v>
      </c>
      <c r="E33" s="690" t="s">
        <v>221</v>
      </c>
      <c r="F33" s="690" t="s">
        <v>222</v>
      </c>
      <c r="G33" s="690"/>
      <c r="H33" s="690"/>
      <c r="I33" s="690"/>
      <c r="J33" s="690" t="s">
        <v>223</v>
      </c>
      <c r="K33" s="692" t="s">
        <v>224</v>
      </c>
      <c r="L33" s="692"/>
      <c r="M33" s="692"/>
      <c r="N33" s="692"/>
      <c r="O33" s="696" t="s">
        <v>37</v>
      </c>
      <c r="P33" s="154"/>
    </row>
    <row r="34" spans="1:16" ht="18.75" x14ac:dyDescent="0.3">
      <c r="A34" s="682"/>
      <c r="B34" s="682"/>
      <c r="C34" s="687"/>
      <c r="D34" s="682"/>
      <c r="E34" s="687"/>
      <c r="F34" s="687"/>
      <c r="G34" s="687"/>
      <c r="H34" s="687"/>
      <c r="I34" s="687"/>
      <c r="J34" s="687"/>
      <c r="K34" s="98" t="s">
        <v>225</v>
      </c>
      <c r="L34" s="683" t="s">
        <v>226</v>
      </c>
      <c r="M34" s="683"/>
      <c r="N34" s="683"/>
      <c r="O34" s="697"/>
      <c r="P34" s="573">
        <f t="shared" ref="P34:P48" si="14">+O34-60</f>
        <v>-60</v>
      </c>
    </row>
    <row r="35" spans="1:16" ht="31.5" x14ac:dyDescent="0.3">
      <c r="A35" s="682"/>
      <c r="B35" s="682"/>
      <c r="C35" s="687"/>
      <c r="D35" s="682"/>
      <c r="E35" s="687"/>
      <c r="F35" s="99" t="s">
        <v>227</v>
      </c>
      <c r="G35" s="99" t="s">
        <v>228</v>
      </c>
      <c r="H35" s="99" t="s">
        <v>227</v>
      </c>
      <c r="I35" s="99" t="s">
        <v>229</v>
      </c>
      <c r="J35" s="99" t="s">
        <v>230</v>
      </c>
      <c r="K35" s="99" t="s">
        <v>231</v>
      </c>
      <c r="L35" s="100" t="s">
        <v>232</v>
      </c>
      <c r="M35" s="100" t="s">
        <v>233</v>
      </c>
      <c r="N35" s="99" t="s">
        <v>234</v>
      </c>
      <c r="O35" s="697"/>
      <c r="P35" s="573">
        <f t="shared" si="14"/>
        <v>-60</v>
      </c>
    </row>
    <row r="36" spans="1:16" ht="18.75" x14ac:dyDescent="0.3">
      <c r="A36" s="101">
        <v>3</v>
      </c>
      <c r="B36" s="102" t="s">
        <v>254</v>
      </c>
      <c r="C36" s="101" t="s">
        <v>255</v>
      </c>
      <c r="D36" s="101" t="s">
        <v>242</v>
      </c>
      <c r="E36" s="103" t="s">
        <v>252</v>
      </c>
      <c r="F36" s="104">
        <v>320</v>
      </c>
      <c r="G36" s="105">
        <v>20</v>
      </c>
      <c r="H36" s="105">
        <f t="shared" ref="H36:H99" si="15">+F36+G36</f>
        <v>340</v>
      </c>
      <c r="I36" s="105">
        <f t="shared" ref="I36:I48" si="16">+H36*12-120</f>
        <v>3960</v>
      </c>
      <c r="J36" s="105">
        <f>+H36</f>
        <v>340</v>
      </c>
      <c r="K36" s="104">
        <f>+J36*6.75%*12</f>
        <v>275.40000000000003</v>
      </c>
      <c r="L36" s="105">
        <v>0</v>
      </c>
      <c r="M36" s="104">
        <f>+J36*7.5%*12</f>
        <v>306</v>
      </c>
      <c r="N36" s="104">
        <f t="shared" ref="N36:N86" si="17">SUM(K36:M36)</f>
        <v>581.40000000000009</v>
      </c>
      <c r="O36" s="582">
        <f t="shared" ref="O36:O86" si="18">ROUND((+I36+J36+N36),2)</f>
        <v>4881.3999999999996</v>
      </c>
      <c r="P36" s="573">
        <f t="shared" si="14"/>
        <v>4821.3999999999996</v>
      </c>
    </row>
    <row r="37" spans="1:16" ht="18.75" x14ac:dyDescent="0.3">
      <c r="A37" s="101">
        <v>4</v>
      </c>
      <c r="B37" s="116" t="s">
        <v>509</v>
      </c>
      <c r="C37" s="108" t="s">
        <v>256</v>
      </c>
      <c r="D37" s="108"/>
      <c r="E37" s="103" t="s">
        <v>252</v>
      </c>
      <c r="F37" s="105">
        <v>1000</v>
      </c>
      <c r="G37" s="105">
        <v>20</v>
      </c>
      <c r="H37" s="105">
        <f t="shared" si="15"/>
        <v>1020</v>
      </c>
      <c r="I37" s="105">
        <f t="shared" si="16"/>
        <v>12120</v>
      </c>
      <c r="J37" s="105">
        <v>600</v>
      </c>
      <c r="K37" s="104">
        <f>+J37*6.75%*10</f>
        <v>405</v>
      </c>
      <c r="L37" s="105">
        <v>0</v>
      </c>
      <c r="M37" s="104">
        <f>+J37*7.5%*10</f>
        <v>450</v>
      </c>
      <c r="N37" s="104">
        <f t="shared" si="17"/>
        <v>855</v>
      </c>
      <c r="O37" s="582">
        <f t="shared" si="18"/>
        <v>13575</v>
      </c>
      <c r="P37" s="573">
        <f t="shared" si="14"/>
        <v>13515</v>
      </c>
    </row>
    <row r="38" spans="1:16" ht="18.75" x14ac:dyDescent="0.3">
      <c r="A38" s="101">
        <v>5</v>
      </c>
      <c r="B38" s="102" t="s">
        <v>264</v>
      </c>
      <c r="C38" s="101" t="s">
        <v>265</v>
      </c>
      <c r="D38" s="116"/>
      <c r="E38" s="103" t="s">
        <v>252</v>
      </c>
      <c r="F38" s="104">
        <v>520</v>
      </c>
      <c r="G38" s="478">
        <v>30</v>
      </c>
      <c r="H38" s="105">
        <f t="shared" si="15"/>
        <v>550</v>
      </c>
      <c r="I38" s="105">
        <f>+H38*12-90</f>
        <v>6510</v>
      </c>
      <c r="J38" s="105">
        <f t="shared" ref="J38:J86" si="19">+H38</f>
        <v>550</v>
      </c>
      <c r="K38" s="104">
        <f t="shared" ref="K38:K86" si="20">+J38*6.75%*12</f>
        <v>445.5</v>
      </c>
      <c r="L38" s="105">
        <v>0</v>
      </c>
      <c r="M38" s="104">
        <f>+J38*7.5%*12</f>
        <v>495</v>
      </c>
      <c r="N38" s="104">
        <f t="shared" si="17"/>
        <v>940.5</v>
      </c>
      <c r="O38" s="582">
        <f t="shared" si="18"/>
        <v>8000.5</v>
      </c>
      <c r="P38" s="573">
        <f t="shared" si="14"/>
        <v>7940.5</v>
      </c>
    </row>
    <row r="39" spans="1:16" ht="18.75" x14ac:dyDescent="0.3">
      <c r="A39" s="101">
        <v>6</v>
      </c>
      <c r="B39" s="107" t="s">
        <v>267</v>
      </c>
      <c r="C39" s="108" t="s">
        <v>255</v>
      </c>
      <c r="D39" s="110"/>
      <c r="E39" s="103" t="s">
        <v>252</v>
      </c>
      <c r="F39" s="105">
        <v>320</v>
      </c>
      <c r="G39" s="105">
        <v>20</v>
      </c>
      <c r="H39" s="105">
        <f t="shared" si="15"/>
        <v>340</v>
      </c>
      <c r="I39" s="105">
        <f t="shared" si="16"/>
        <v>3960</v>
      </c>
      <c r="J39" s="105">
        <f t="shared" si="19"/>
        <v>340</v>
      </c>
      <c r="K39" s="104">
        <f t="shared" si="20"/>
        <v>275.40000000000003</v>
      </c>
      <c r="L39" s="105">
        <v>0</v>
      </c>
      <c r="M39" s="104">
        <f>685.71*7.5%*12</f>
        <v>617.13900000000001</v>
      </c>
      <c r="N39" s="104">
        <f t="shared" si="17"/>
        <v>892.53899999999999</v>
      </c>
      <c r="O39" s="582">
        <f t="shared" si="18"/>
        <v>5192.54</v>
      </c>
      <c r="P39" s="573">
        <f t="shared" si="14"/>
        <v>5132.54</v>
      </c>
    </row>
    <row r="40" spans="1:16" ht="18.75" x14ac:dyDescent="0.3">
      <c r="A40" s="101">
        <v>7</v>
      </c>
      <c r="B40" s="102" t="s">
        <v>268</v>
      </c>
      <c r="C40" s="101" t="s">
        <v>269</v>
      </c>
      <c r="D40" s="116"/>
      <c r="E40" s="103" t="s">
        <v>252</v>
      </c>
      <c r="F40" s="105">
        <v>350</v>
      </c>
      <c r="G40" s="105">
        <v>20</v>
      </c>
      <c r="H40" s="105">
        <f t="shared" si="15"/>
        <v>370</v>
      </c>
      <c r="I40" s="105">
        <f t="shared" si="16"/>
        <v>4320</v>
      </c>
      <c r="J40" s="105">
        <f t="shared" si="19"/>
        <v>370</v>
      </c>
      <c r="K40" s="104">
        <f t="shared" si="20"/>
        <v>299.70000000000005</v>
      </c>
      <c r="L40" s="105">
        <v>0</v>
      </c>
      <c r="M40" s="104">
        <f>685.71*7.5%*12</f>
        <v>617.13900000000001</v>
      </c>
      <c r="N40" s="104">
        <f t="shared" si="17"/>
        <v>916.83900000000006</v>
      </c>
      <c r="O40" s="582">
        <f t="shared" si="18"/>
        <v>5606.84</v>
      </c>
      <c r="P40" s="573">
        <f t="shared" si="14"/>
        <v>5546.84</v>
      </c>
    </row>
    <row r="41" spans="1:16" ht="18.75" x14ac:dyDescent="0.3">
      <c r="A41" s="101">
        <v>8</v>
      </c>
      <c r="B41" s="102" t="s">
        <v>270</v>
      </c>
      <c r="C41" s="101" t="s">
        <v>271</v>
      </c>
      <c r="D41" s="101" t="s">
        <v>272</v>
      </c>
      <c r="E41" s="103" t="s">
        <v>252</v>
      </c>
      <c r="F41" s="104">
        <v>770</v>
      </c>
      <c r="G41" s="478">
        <v>50</v>
      </c>
      <c r="H41" s="105">
        <f t="shared" si="15"/>
        <v>820</v>
      </c>
      <c r="I41" s="105">
        <f>+H41*12-150</f>
        <v>9690</v>
      </c>
      <c r="J41" s="105">
        <f t="shared" si="19"/>
        <v>820</v>
      </c>
      <c r="K41" s="104">
        <f t="shared" si="20"/>
        <v>664.2</v>
      </c>
      <c r="L41" s="105">
        <v>0</v>
      </c>
      <c r="M41" s="104">
        <f t="shared" ref="M41:M55" si="21">+J41*7.5%*12</f>
        <v>738</v>
      </c>
      <c r="N41" s="104">
        <f t="shared" si="17"/>
        <v>1402.2</v>
      </c>
      <c r="O41" s="582">
        <f t="shared" si="18"/>
        <v>11912.2</v>
      </c>
      <c r="P41" s="573">
        <f>+O41-150</f>
        <v>11762.2</v>
      </c>
    </row>
    <row r="42" spans="1:16" ht="18.75" x14ac:dyDescent="0.3">
      <c r="A42" s="101">
        <v>9</v>
      </c>
      <c r="B42" s="102" t="s">
        <v>273</v>
      </c>
      <c r="C42" s="101" t="s">
        <v>274</v>
      </c>
      <c r="D42" s="101" t="s">
        <v>275</v>
      </c>
      <c r="E42" s="103" t="s">
        <v>252</v>
      </c>
      <c r="F42" s="104">
        <v>416</v>
      </c>
      <c r="G42" s="105">
        <v>20</v>
      </c>
      <c r="H42" s="105">
        <f t="shared" si="15"/>
        <v>436</v>
      </c>
      <c r="I42" s="105">
        <f t="shared" si="16"/>
        <v>5112</v>
      </c>
      <c r="J42" s="105">
        <f t="shared" si="19"/>
        <v>436</v>
      </c>
      <c r="K42" s="104">
        <f t="shared" si="20"/>
        <v>353.16</v>
      </c>
      <c r="L42" s="105">
        <v>0</v>
      </c>
      <c r="M42" s="104">
        <f t="shared" si="21"/>
        <v>392.4</v>
      </c>
      <c r="N42" s="104">
        <f t="shared" si="17"/>
        <v>745.56</v>
      </c>
      <c r="O42" s="582">
        <f t="shared" si="18"/>
        <v>6293.56</v>
      </c>
      <c r="P42" s="573">
        <f t="shared" si="14"/>
        <v>6233.56</v>
      </c>
    </row>
    <row r="43" spans="1:16" ht="18.75" x14ac:dyDescent="0.3">
      <c r="A43" s="101">
        <v>10</v>
      </c>
      <c r="B43" s="102" t="s">
        <v>276</v>
      </c>
      <c r="C43" s="101" t="s">
        <v>277</v>
      </c>
      <c r="D43" s="101" t="s">
        <v>275</v>
      </c>
      <c r="E43" s="103" t="s">
        <v>252</v>
      </c>
      <c r="F43" s="104">
        <v>416</v>
      </c>
      <c r="G43" s="105">
        <v>20</v>
      </c>
      <c r="H43" s="105">
        <f t="shared" si="15"/>
        <v>436</v>
      </c>
      <c r="I43" s="105">
        <f>+H43*12-120</f>
        <v>5112</v>
      </c>
      <c r="J43" s="105">
        <f t="shared" si="19"/>
        <v>436</v>
      </c>
      <c r="K43" s="104">
        <f t="shared" si="20"/>
        <v>353.16</v>
      </c>
      <c r="L43" s="105">
        <v>0</v>
      </c>
      <c r="M43" s="104">
        <f t="shared" si="21"/>
        <v>392.4</v>
      </c>
      <c r="N43" s="104">
        <f t="shared" si="17"/>
        <v>745.56</v>
      </c>
      <c r="O43" s="582">
        <f t="shared" si="18"/>
        <v>6293.56</v>
      </c>
      <c r="P43" s="573">
        <f t="shared" si="14"/>
        <v>6233.56</v>
      </c>
    </row>
    <row r="44" spans="1:16" ht="50.25" customHeight="1" x14ac:dyDescent="0.3">
      <c r="A44" s="101">
        <v>11</v>
      </c>
      <c r="B44" s="102" t="s">
        <v>278</v>
      </c>
      <c r="C44" s="137" t="s">
        <v>279</v>
      </c>
      <c r="D44" s="101" t="s">
        <v>280</v>
      </c>
      <c r="E44" s="103" t="s">
        <v>252</v>
      </c>
      <c r="F44" s="104">
        <v>600</v>
      </c>
      <c r="G44" s="478">
        <v>100</v>
      </c>
      <c r="H44" s="105">
        <f t="shared" si="15"/>
        <v>700</v>
      </c>
      <c r="I44" s="105">
        <f>+H44*12-300</f>
        <v>8100</v>
      </c>
      <c r="J44" s="105">
        <f t="shared" si="19"/>
        <v>700</v>
      </c>
      <c r="K44" s="104">
        <f t="shared" si="20"/>
        <v>567</v>
      </c>
      <c r="L44" s="105">
        <v>0</v>
      </c>
      <c r="M44" s="104">
        <f t="shared" si="21"/>
        <v>630</v>
      </c>
      <c r="N44" s="104">
        <f t="shared" si="17"/>
        <v>1197</v>
      </c>
      <c r="O44" s="582">
        <f t="shared" si="18"/>
        <v>9997</v>
      </c>
      <c r="P44" s="573">
        <f>+O44-150</f>
        <v>9847</v>
      </c>
    </row>
    <row r="45" spans="1:16" ht="18.75" x14ac:dyDescent="0.3">
      <c r="A45" s="101">
        <v>12</v>
      </c>
      <c r="B45" s="102" t="s">
        <v>282</v>
      </c>
      <c r="C45" s="101" t="s">
        <v>283</v>
      </c>
      <c r="D45" s="101" t="s">
        <v>280</v>
      </c>
      <c r="E45" s="103" t="s">
        <v>252</v>
      </c>
      <c r="F45" s="104">
        <v>416</v>
      </c>
      <c r="G45" s="105">
        <v>20</v>
      </c>
      <c r="H45" s="105">
        <f t="shared" si="15"/>
        <v>436</v>
      </c>
      <c r="I45" s="105">
        <f t="shared" si="16"/>
        <v>5112</v>
      </c>
      <c r="J45" s="105">
        <f t="shared" si="19"/>
        <v>436</v>
      </c>
      <c r="K45" s="104">
        <f t="shared" si="20"/>
        <v>353.16</v>
      </c>
      <c r="L45" s="105">
        <v>0</v>
      </c>
      <c r="M45" s="104">
        <f t="shared" si="21"/>
        <v>392.4</v>
      </c>
      <c r="N45" s="104">
        <f t="shared" si="17"/>
        <v>745.56</v>
      </c>
      <c r="O45" s="582">
        <f t="shared" si="18"/>
        <v>6293.56</v>
      </c>
      <c r="P45" s="573">
        <f t="shared" si="14"/>
        <v>6233.56</v>
      </c>
    </row>
    <row r="46" spans="1:16" ht="18.75" x14ac:dyDescent="0.3">
      <c r="A46" s="101">
        <v>13</v>
      </c>
      <c r="B46" s="102" t="s">
        <v>284</v>
      </c>
      <c r="C46" s="101" t="s">
        <v>285</v>
      </c>
      <c r="D46" s="101" t="s">
        <v>286</v>
      </c>
      <c r="E46" s="103" t="s">
        <v>252</v>
      </c>
      <c r="F46" s="104">
        <v>440</v>
      </c>
      <c r="G46" s="478">
        <v>50</v>
      </c>
      <c r="H46" s="105">
        <f t="shared" si="15"/>
        <v>490</v>
      </c>
      <c r="I46" s="105">
        <f t="shared" si="16"/>
        <v>5760</v>
      </c>
      <c r="J46" s="105">
        <f t="shared" si="19"/>
        <v>490</v>
      </c>
      <c r="K46" s="104">
        <f t="shared" si="20"/>
        <v>396.90000000000003</v>
      </c>
      <c r="L46" s="105">
        <v>0</v>
      </c>
      <c r="M46" s="104">
        <f t="shared" si="21"/>
        <v>441</v>
      </c>
      <c r="N46" s="104">
        <f t="shared" si="17"/>
        <v>837.90000000000009</v>
      </c>
      <c r="O46" s="582">
        <f t="shared" si="18"/>
        <v>7087.9</v>
      </c>
      <c r="P46" s="573">
        <f t="shared" si="14"/>
        <v>7027.9</v>
      </c>
    </row>
    <row r="47" spans="1:16" ht="35.25" customHeight="1" x14ac:dyDescent="0.3">
      <c r="A47" s="101">
        <v>14</v>
      </c>
      <c r="B47" s="102" t="s">
        <v>287</v>
      </c>
      <c r="C47" s="137" t="s">
        <v>288</v>
      </c>
      <c r="D47" s="101" t="s">
        <v>286</v>
      </c>
      <c r="E47" s="103" t="s">
        <v>252</v>
      </c>
      <c r="F47" s="104">
        <v>416</v>
      </c>
      <c r="G47" s="105">
        <v>20</v>
      </c>
      <c r="H47" s="105">
        <f t="shared" si="15"/>
        <v>436</v>
      </c>
      <c r="I47" s="105">
        <f t="shared" si="16"/>
        <v>5112</v>
      </c>
      <c r="J47" s="105">
        <f t="shared" si="19"/>
        <v>436</v>
      </c>
      <c r="K47" s="104">
        <f t="shared" si="20"/>
        <v>353.16</v>
      </c>
      <c r="L47" s="105">
        <v>0</v>
      </c>
      <c r="M47" s="104">
        <f t="shared" si="21"/>
        <v>392.4</v>
      </c>
      <c r="N47" s="104">
        <f t="shared" si="17"/>
        <v>745.56</v>
      </c>
      <c r="O47" s="582">
        <f t="shared" si="18"/>
        <v>6293.56</v>
      </c>
      <c r="P47" s="573">
        <f t="shared" si="14"/>
        <v>6233.56</v>
      </c>
    </row>
    <row r="48" spans="1:16" ht="18.75" x14ac:dyDescent="0.3">
      <c r="A48" s="101">
        <v>15</v>
      </c>
      <c r="B48" s="102" t="s">
        <v>289</v>
      </c>
      <c r="C48" s="101" t="s">
        <v>290</v>
      </c>
      <c r="D48" s="116" t="s">
        <v>291</v>
      </c>
      <c r="E48" s="103" t="s">
        <v>252</v>
      </c>
      <c r="F48" s="104">
        <v>354</v>
      </c>
      <c r="G48" s="105">
        <v>20</v>
      </c>
      <c r="H48" s="105">
        <f t="shared" si="15"/>
        <v>374</v>
      </c>
      <c r="I48" s="105">
        <f t="shared" si="16"/>
        <v>4368</v>
      </c>
      <c r="J48" s="105">
        <f t="shared" si="19"/>
        <v>374</v>
      </c>
      <c r="K48" s="104">
        <f t="shared" si="20"/>
        <v>302.94</v>
      </c>
      <c r="L48" s="105">
        <v>0</v>
      </c>
      <c r="M48" s="104">
        <f t="shared" si="21"/>
        <v>336.6</v>
      </c>
      <c r="N48" s="104">
        <f t="shared" si="17"/>
        <v>639.54</v>
      </c>
      <c r="O48" s="582">
        <f t="shared" si="18"/>
        <v>5381.54</v>
      </c>
      <c r="P48" s="573">
        <f t="shared" si="14"/>
        <v>5321.54</v>
      </c>
    </row>
    <row r="49" spans="1:16" ht="18.75" x14ac:dyDescent="0.3">
      <c r="A49" s="101">
        <v>16</v>
      </c>
      <c r="B49" s="102" t="s">
        <v>292</v>
      </c>
      <c r="C49" s="101" t="s">
        <v>293</v>
      </c>
      <c r="D49" s="101" t="s">
        <v>237</v>
      </c>
      <c r="E49" s="103" t="s">
        <v>252</v>
      </c>
      <c r="F49" s="104">
        <v>390</v>
      </c>
      <c r="G49" s="478">
        <v>50</v>
      </c>
      <c r="H49" s="105">
        <f t="shared" si="15"/>
        <v>440</v>
      </c>
      <c r="I49" s="105">
        <f>+H49*12-150</f>
        <v>5130</v>
      </c>
      <c r="J49" s="105">
        <f t="shared" si="19"/>
        <v>440</v>
      </c>
      <c r="K49" s="104">
        <f t="shared" si="20"/>
        <v>356.40000000000003</v>
      </c>
      <c r="L49" s="105">
        <v>0</v>
      </c>
      <c r="M49" s="104">
        <f t="shared" si="21"/>
        <v>396</v>
      </c>
      <c r="N49" s="104">
        <f t="shared" si="17"/>
        <v>752.40000000000009</v>
      </c>
      <c r="O49" s="582">
        <f t="shared" si="18"/>
        <v>6322.4</v>
      </c>
      <c r="P49" s="573">
        <f t="shared" ref="P49:P52" si="22">+O49-150</f>
        <v>6172.4</v>
      </c>
    </row>
    <row r="50" spans="1:16" ht="18.75" x14ac:dyDescent="0.3">
      <c r="A50" s="101">
        <v>17</v>
      </c>
      <c r="B50" s="102" t="s">
        <v>294</v>
      </c>
      <c r="C50" s="101" t="s">
        <v>295</v>
      </c>
      <c r="D50" s="101" t="s">
        <v>237</v>
      </c>
      <c r="E50" s="103" t="s">
        <v>252</v>
      </c>
      <c r="F50" s="104">
        <v>420</v>
      </c>
      <c r="G50" s="478">
        <v>50</v>
      </c>
      <c r="H50" s="105">
        <f t="shared" si="15"/>
        <v>470</v>
      </c>
      <c r="I50" s="105">
        <f>+H50*12-150</f>
        <v>5490</v>
      </c>
      <c r="J50" s="105">
        <f t="shared" si="19"/>
        <v>470</v>
      </c>
      <c r="K50" s="104">
        <f t="shared" si="20"/>
        <v>380.70000000000005</v>
      </c>
      <c r="L50" s="105">
        <v>0</v>
      </c>
      <c r="M50" s="104">
        <f t="shared" si="21"/>
        <v>423</v>
      </c>
      <c r="N50" s="104">
        <f t="shared" si="17"/>
        <v>803.7</v>
      </c>
      <c r="O50" s="582">
        <f t="shared" si="18"/>
        <v>6763.7</v>
      </c>
      <c r="P50" s="573">
        <f t="shared" si="22"/>
        <v>6613.7</v>
      </c>
    </row>
    <row r="51" spans="1:16" ht="18.75" x14ac:dyDescent="0.3">
      <c r="A51" s="101">
        <v>18</v>
      </c>
      <c r="B51" s="102" t="s">
        <v>296</v>
      </c>
      <c r="C51" s="101" t="s">
        <v>297</v>
      </c>
      <c r="D51" s="101" t="s">
        <v>237</v>
      </c>
      <c r="E51" s="103" t="s">
        <v>252</v>
      </c>
      <c r="F51" s="104">
        <v>420</v>
      </c>
      <c r="G51" s="105">
        <v>20</v>
      </c>
      <c r="H51" s="105">
        <f t="shared" si="15"/>
        <v>440</v>
      </c>
      <c r="I51" s="105">
        <f t="shared" ref="I51:I93" si="23">+H51*12-120</f>
        <v>5160</v>
      </c>
      <c r="J51" s="105">
        <f t="shared" si="19"/>
        <v>440</v>
      </c>
      <c r="K51" s="104">
        <f t="shared" si="20"/>
        <v>356.40000000000003</v>
      </c>
      <c r="L51" s="105">
        <v>0</v>
      </c>
      <c r="M51" s="104">
        <f t="shared" si="21"/>
        <v>396</v>
      </c>
      <c r="N51" s="104">
        <f t="shared" si="17"/>
        <v>752.40000000000009</v>
      </c>
      <c r="O51" s="582">
        <f t="shared" si="18"/>
        <v>6352.4</v>
      </c>
      <c r="P51" s="573">
        <f t="shared" ref="P51:P93" si="24">+O51-60</f>
        <v>6292.4</v>
      </c>
    </row>
    <row r="52" spans="1:16" ht="18.75" x14ac:dyDescent="0.3">
      <c r="A52" s="101">
        <v>19</v>
      </c>
      <c r="B52" s="102" t="s">
        <v>300</v>
      </c>
      <c r="C52" s="101" t="s">
        <v>298</v>
      </c>
      <c r="D52" s="101" t="s">
        <v>299</v>
      </c>
      <c r="E52" s="103" t="s">
        <v>252</v>
      </c>
      <c r="F52" s="104">
        <v>600</v>
      </c>
      <c r="G52" s="478">
        <v>50</v>
      </c>
      <c r="H52" s="105">
        <f t="shared" si="15"/>
        <v>650</v>
      </c>
      <c r="I52" s="105">
        <f>+H52*12-150</f>
        <v>7650</v>
      </c>
      <c r="J52" s="105">
        <f t="shared" si="19"/>
        <v>650</v>
      </c>
      <c r="K52" s="104">
        <f t="shared" si="20"/>
        <v>526.5</v>
      </c>
      <c r="L52" s="105">
        <v>0</v>
      </c>
      <c r="M52" s="104">
        <f t="shared" si="21"/>
        <v>585</v>
      </c>
      <c r="N52" s="104">
        <f t="shared" si="17"/>
        <v>1111.5</v>
      </c>
      <c r="O52" s="582">
        <f t="shared" si="18"/>
        <v>9411.5</v>
      </c>
      <c r="P52" s="573">
        <f t="shared" si="22"/>
        <v>9261.5</v>
      </c>
    </row>
    <row r="53" spans="1:16" ht="18.75" x14ac:dyDescent="0.3">
      <c r="A53" s="101">
        <v>20</v>
      </c>
      <c r="B53" s="102" t="s">
        <v>837</v>
      </c>
      <c r="C53" s="101" t="s">
        <v>301</v>
      </c>
      <c r="D53" s="101" t="s">
        <v>299</v>
      </c>
      <c r="E53" s="103" t="s">
        <v>252</v>
      </c>
      <c r="F53" s="104">
        <v>380</v>
      </c>
      <c r="G53" s="105">
        <v>20</v>
      </c>
      <c r="H53" s="105">
        <f t="shared" si="15"/>
        <v>400</v>
      </c>
      <c r="I53" s="105">
        <f t="shared" si="23"/>
        <v>4680</v>
      </c>
      <c r="J53" s="105">
        <f t="shared" si="19"/>
        <v>400</v>
      </c>
      <c r="K53" s="104">
        <f t="shared" si="20"/>
        <v>324</v>
      </c>
      <c r="L53" s="105">
        <v>0</v>
      </c>
      <c r="M53" s="104">
        <f t="shared" si="21"/>
        <v>360</v>
      </c>
      <c r="N53" s="104">
        <f t="shared" si="17"/>
        <v>684</v>
      </c>
      <c r="O53" s="582">
        <f t="shared" si="18"/>
        <v>5764</v>
      </c>
      <c r="P53" s="573">
        <f t="shared" si="24"/>
        <v>5704</v>
      </c>
    </row>
    <row r="54" spans="1:16" ht="36.75" customHeight="1" x14ac:dyDescent="0.3">
      <c r="A54" s="101">
        <v>21</v>
      </c>
      <c r="B54" s="102" t="s">
        <v>303</v>
      </c>
      <c r="C54" s="137" t="s">
        <v>304</v>
      </c>
      <c r="D54" s="101" t="s">
        <v>299</v>
      </c>
      <c r="E54" s="103" t="s">
        <v>252</v>
      </c>
      <c r="F54" s="104">
        <v>366</v>
      </c>
      <c r="G54" s="105">
        <v>20</v>
      </c>
      <c r="H54" s="105">
        <f t="shared" si="15"/>
        <v>386</v>
      </c>
      <c r="I54" s="105">
        <f t="shared" si="23"/>
        <v>4512</v>
      </c>
      <c r="J54" s="105">
        <f t="shared" si="19"/>
        <v>386</v>
      </c>
      <c r="K54" s="104">
        <f t="shared" si="20"/>
        <v>312.66000000000003</v>
      </c>
      <c r="L54" s="105">
        <v>0</v>
      </c>
      <c r="M54" s="104">
        <f t="shared" si="21"/>
        <v>347.4</v>
      </c>
      <c r="N54" s="104">
        <f t="shared" si="17"/>
        <v>660.06</v>
      </c>
      <c r="O54" s="582">
        <f t="shared" si="18"/>
        <v>5558.06</v>
      </c>
      <c r="P54" s="573">
        <f t="shared" si="24"/>
        <v>5498.06</v>
      </c>
    </row>
    <row r="55" spans="1:16" ht="18.75" x14ac:dyDescent="0.3">
      <c r="A55" s="101">
        <v>22</v>
      </c>
      <c r="B55" s="118" t="s">
        <v>305</v>
      </c>
      <c r="C55" s="119" t="s">
        <v>306</v>
      </c>
      <c r="D55" s="120"/>
      <c r="E55" s="103" t="s">
        <v>252</v>
      </c>
      <c r="F55" s="121">
        <v>1000</v>
      </c>
      <c r="G55" s="592">
        <v>50</v>
      </c>
      <c r="H55" s="105">
        <f t="shared" si="15"/>
        <v>1050</v>
      </c>
      <c r="I55" s="105">
        <f t="shared" si="23"/>
        <v>12480</v>
      </c>
      <c r="J55" s="105">
        <f t="shared" si="19"/>
        <v>1050</v>
      </c>
      <c r="K55" s="104">
        <f t="shared" si="20"/>
        <v>850.5</v>
      </c>
      <c r="L55" s="105">
        <v>0</v>
      </c>
      <c r="M55" s="104">
        <f t="shared" si="21"/>
        <v>945</v>
      </c>
      <c r="N55" s="104">
        <f t="shared" si="17"/>
        <v>1795.5</v>
      </c>
      <c r="O55" s="582">
        <f t="shared" si="18"/>
        <v>15325.5</v>
      </c>
      <c r="P55" s="573">
        <f t="shared" si="24"/>
        <v>15265.5</v>
      </c>
    </row>
    <row r="56" spans="1:16" ht="34.5" customHeight="1" x14ac:dyDescent="0.3">
      <c r="A56" s="101">
        <v>23</v>
      </c>
      <c r="B56" s="107" t="s">
        <v>307</v>
      </c>
      <c r="C56" s="136" t="s">
        <v>308</v>
      </c>
      <c r="D56" s="110"/>
      <c r="E56" s="103" t="s">
        <v>252</v>
      </c>
      <c r="F56" s="105">
        <v>800</v>
      </c>
      <c r="G56" s="105">
        <v>20</v>
      </c>
      <c r="H56" s="105">
        <f t="shared" si="15"/>
        <v>820</v>
      </c>
      <c r="I56" s="105">
        <f t="shared" si="23"/>
        <v>9720</v>
      </c>
      <c r="J56" s="105">
        <f t="shared" si="19"/>
        <v>820</v>
      </c>
      <c r="K56" s="104">
        <f t="shared" si="20"/>
        <v>664.2</v>
      </c>
      <c r="L56" s="105">
        <v>0</v>
      </c>
      <c r="M56" s="104">
        <f>685.71*7.5%*12</f>
        <v>617.13900000000001</v>
      </c>
      <c r="N56" s="104">
        <f t="shared" si="17"/>
        <v>1281.3389999999999</v>
      </c>
      <c r="O56" s="582">
        <f t="shared" si="18"/>
        <v>11821.34</v>
      </c>
      <c r="P56" s="573">
        <f t="shared" si="24"/>
        <v>11761.34</v>
      </c>
    </row>
    <row r="57" spans="1:16" ht="18.75" x14ac:dyDescent="0.3">
      <c r="A57" s="101">
        <v>24</v>
      </c>
      <c r="B57" s="102" t="s">
        <v>497</v>
      </c>
      <c r="C57" s="101" t="s">
        <v>309</v>
      </c>
      <c r="D57" s="116"/>
      <c r="E57" s="103" t="s">
        <v>252</v>
      </c>
      <c r="F57" s="104">
        <v>600</v>
      </c>
      <c r="G57" s="104">
        <v>20</v>
      </c>
      <c r="H57" s="105">
        <f t="shared" si="15"/>
        <v>620</v>
      </c>
      <c r="I57" s="105">
        <f t="shared" si="23"/>
        <v>7320</v>
      </c>
      <c r="J57" s="105">
        <f t="shared" si="19"/>
        <v>620</v>
      </c>
      <c r="K57" s="104">
        <f t="shared" si="20"/>
        <v>502.20000000000005</v>
      </c>
      <c r="L57" s="105">
        <v>0</v>
      </c>
      <c r="M57" s="104">
        <f>685.71*7.5%*12</f>
        <v>617.13900000000001</v>
      </c>
      <c r="N57" s="104">
        <f t="shared" si="17"/>
        <v>1119.3389999999999</v>
      </c>
      <c r="O57" s="582">
        <f t="shared" si="18"/>
        <v>9059.34</v>
      </c>
      <c r="P57" s="573">
        <f t="shared" si="24"/>
        <v>8999.34</v>
      </c>
    </row>
    <row r="58" spans="1:16" ht="18.75" x14ac:dyDescent="0.3">
      <c r="A58" s="101">
        <v>25</v>
      </c>
      <c r="B58" s="102" t="s">
        <v>510</v>
      </c>
      <c r="C58" s="101" t="s">
        <v>511</v>
      </c>
      <c r="D58" s="116" t="s">
        <v>312</v>
      </c>
      <c r="E58" s="103" t="s">
        <v>252</v>
      </c>
      <c r="F58" s="104">
        <v>1000</v>
      </c>
      <c r="G58" s="104">
        <v>0</v>
      </c>
      <c r="H58" s="105">
        <f t="shared" si="15"/>
        <v>1000</v>
      </c>
      <c r="I58" s="105">
        <f t="shared" si="23"/>
        <v>11880</v>
      </c>
      <c r="J58" s="105">
        <f t="shared" si="19"/>
        <v>1000</v>
      </c>
      <c r="K58" s="104">
        <f t="shared" si="20"/>
        <v>810</v>
      </c>
      <c r="L58" s="105">
        <v>0</v>
      </c>
      <c r="M58" s="104">
        <f t="shared" ref="M58:M93" si="25">+J58*7.5%*12</f>
        <v>900</v>
      </c>
      <c r="N58" s="104">
        <f t="shared" si="17"/>
        <v>1710</v>
      </c>
      <c r="O58" s="582">
        <f t="shared" si="18"/>
        <v>14590</v>
      </c>
      <c r="P58" s="573">
        <f t="shared" si="24"/>
        <v>14530</v>
      </c>
    </row>
    <row r="59" spans="1:16" ht="18.75" x14ac:dyDescent="0.3">
      <c r="A59" s="101">
        <v>26</v>
      </c>
      <c r="B59" s="102" t="s">
        <v>310</v>
      </c>
      <c r="C59" s="101" t="s">
        <v>311</v>
      </c>
      <c r="D59" s="116" t="s">
        <v>312</v>
      </c>
      <c r="E59" s="103" t="s">
        <v>252</v>
      </c>
      <c r="F59" s="104">
        <v>390</v>
      </c>
      <c r="G59" s="105">
        <v>20</v>
      </c>
      <c r="H59" s="105">
        <f t="shared" si="15"/>
        <v>410</v>
      </c>
      <c r="I59" s="105">
        <f t="shared" si="23"/>
        <v>4800</v>
      </c>
      <c r="J59" s="105">
        <f t="shared" si="19"/>
        <v>410</v>
      </c>
      <c r="K59" s="104">
        <f t="shared" si="20"/>
        <v>332.1</v>
      </c>
      <c r="L59" s="105">
        <v>0</v>
      </c>
      <c r="M59" s="104">
        <f t="shared" si="25"/>
        <v>369</v>
      </c>
      <c r="N59" s="104">
        <f t="shared" si="17"/>
        <v>701.1</v>
      </c>
      <c r="O59" s="582">
        <f t="shared" si="18"/>
        <v>5911.1</v>
      </c>
      <c r="P59" s="573">
        <f t="shared" si="24"/>
        <v>5851.1</v>
      </c>
    </row>
    <row r="60" spans="1:16" ht="18.75" x14ac:dyDescent="0.3">
      <c r="A60" s="101">
        <v>27</v>
      </c>
      <c r="B60" s="102" t="s">
        <v>313</v>
      </c>
      <c r="C60" s="101" t="s">
        <v>311</v>
      </c>
      <c r="D60" s="116" t="s">
        <v>312</v>
      </c>
      <c r="E60" s="103" t="s">
        <v>252</v>
      </c>
      <c r="F60" s="104">
        <v>390</v>
      </c>
      <c r="G60" s="105">
        <v>20</v>
      </c>
      <c r="H60" s="105">
        <f t="shared" si="15"/>
        <v>410</v>
      </c>
      <c r="I60" s="105">
        <f t="shared" si="23"/>
        <v>4800</v>
      </c>
      <c r="J60" s="105">
        <f t="shared" si="19"/>
        <v>410</v>
      </c>
      <c r="K60" s="104">
        <f t="shared" si="20"/>
        <v>332.1</v>
      </c>
      <c r="L60" s="105">
        <v>0</v>
      </c>
      <c r="M60" s="104">
        <f t="shared" si="25"/>
        <v>369</v>
      </c>
      <c r="N60" s="104">
        <f t="shared" si="17"/>
        <v>701.1</v>
      </c>
      <c r="O60" s="582">
        <f t="shared" si="18"/>
        <v>5911.1</v>
      </c>
      <c r="P60" s="573">
        <f t="shared" si="24"/>
        <v>5851.1</v>
      </c>
    </row>
    <row r="61" spans="1:16" ht="18.75" x14ac:dyDescent="0.3">
      <c r="A61" s="101">
        <v>28</v>
      </c>
      <c r="B61" s="102" t="s">
        <v>314</v>
      </c>
      <c r="C61" s="101" t="s">
        <v>315</v>
      </c>
      <c r="D61" s="116" t="s">
        <v>312</v>
      </c>
      <c r="E61" s="103" t="s">
        <v>252</v>
      </c>
      <c r="F61" s="104">
        <v>366</v>
      </c>
      <c r="G61" s="105">
        <v>20</v>
      </c>
      <c r="H61" s="105">
        <f t="shared" si="15"/>
        <v>386</v>
      </c>
      <c r="I61" s="105">
        <f t="shared" si="23"/>
        <v>4512</v>
      </c>
      <c r="J61" s="105">
        <f t="shared" si="19"/>
        <v>386</v>
      </c>
      <c r="K61" s="104">
        <f t="shared" si="20"/>
        <v>312.66000000000003</v>
      </c>
      <c r="L61" s="105">
        <v>0</v>
      </c>
      <c r="M61" s="104">
        <f t="shared" si="25"/>
        <v>347.4</v>
      </c>
      <c r="N61" s="104">
        <f t="shared" si="17"/>
        <v>660.06</v>
      </c>
      <c r="O61" s="582">
        <f t="shared" si="18"/>
        <v>5558.06</v>
      </c>
      <c r="P61" s="573">
        <f t="shared" si="24"/>
        <v>5498.06</v>
      </c>
    </row>
    <row r="62" spans="1:16" ht="18.75" x14ac:dyDescent="0.3">
      <c r="A62" s="101">
        <v>29</v>
      </c>
      <c r="B62" s="102" t="s">
        <v>316</v>
      </c>
      <c r="C62" s="101" t="s">
        <v>317</v>
      </c>
      <c r="D62" s="116" t="s">
        <v>312</v>
      </c>
      <c r="E62" s="103" t="s">
        <v>252</v>
      </c>
      <c r="F62" s="104">
        <v>366</v>
      </c>
      <c r="G62" s="105">
        <v>20</v>
      </c>
      <c r="H62" s="105">
        <f t="shared" si="15"/>
        <v>386</v>
      </c>
      <c r="I62" s="105">
        <f t="shared" si="23"/>
        <v>4512</v>
      </c>
      <c r="J62" s="105">
        <f t="shared" si="19"/>
        <v>386</v>
      </c>
      <c r="K62" s="104">
        <f t="shared" si="20"/>
        <v>312.66000000000003</v>
      </c>
      <c r="L62" s="105">
        <v>0</v>
      </c>
      <c r="M62" s="104">
        <f t="shared" si="25"/>
        <v>347.4</v>
      </c>
      <c r="N62" s="104">
        <f t="shared" si="17"/>
        <v>660.06</v>
      </c>
      <c r="O62" s="582">
        <f t="shared" si="18"/>
        <v>5558.06</v>
      </c>
      <c r="P62" s="573">
        <f t="shared" si="24"/>
        <v>5498.06</v>
      </c>
    </row>
    <row r="63" spans="1:16" ht="18.75" x14ac:dyDescent="0.3">
      <c r="A63" s="101">
        <v>30</v>
      </c>
      <c r="B63" s="102" t="s">
        <v>318</v>
      </c>
      <c r="C63" s="101" t="s">
        <v>319</v>
      </c>
      <c r="D63" s="101" t="s">
        <v>237</v>
      </c>
      <c r="E63" s="103" t="s">
        <v>252</v>
      </c>
      <c r="F63" s="104">
        <v>400</v>
      </c>
      <c r="G63" s="478">
        <v>50</v>
      </c>
      <c r="H63" s="105">
        <f t="shared" si="15"/>
        <v>450</v>
      </c>
      <c r="I63" s="105">
        <f t="shared" si="23"/>
        <v>5280</v>
      </c>
      <c r="J63" s="105">
        <f t="shared" si="19"/>
        <v>450</v>
      </c>
      <c r="K63" s="104">
        <f t="shared" si="20"/>
        <v>364.50000000000006</v>
      </c>
      <c r="L63" s="105">
        <v>0</v>
      </c>
      <c r="M63" s="104">
        <f t="shared" si="25"/>
        <v>405</v>
      </c>
      <c r="N63" s="104">
        <f t="shared" si="17"/>
        <v>769.5</v>
      </c>
      <c r="O63" s="582">
        <f t="shared" si="18"/>
        <v>6499.5</v>
      </c>
      <c r="P63" s="573">
        <f t="shared" si="24"/>
        <v>6439.5</v>
      </c>
    </row>
    <row r="64" spans="1:16" ht="18.75" x14ac:dyDescent="0.3">
      <c r="A64" s="101">
        <v>31</v>
      </c>
      <c r="B64" s="102" t="s">
        <v>338</v>
      </c>
      <c r="C64" s="101" t="s">
        <v>339</v>
      </c>
      <c r="D64" s="116" t="s">
        <v>340</v>
      </c>
      <c r="E64" s="103" t="s">
        <v>252</v>
      </c>
      <c r="F64" s="104">
        <v>440</v>
      </c>
      <c r="G64" s="478">
        <v>50</v>
      </c>
      <c r="H64" s="105">
        <f t="shared" si="15"/>
        <v>490</v>
      </c>
      <c r="I64" s="105">
        <f>+H64*12-150</f>
        <v>5730</v>
      </c>
      <c r="J64" s="105">
        <f t="shared" si="19"/>
        <v>490</v>
      </c>
      <c r="K64" s="104">
        <f t="shared" si="20"/>
        <v>396.90000000000003</v>
      </c>
      <c r="L64" s="105">
        <v>0</v>
      </c>
      <c r="M64" s="104">
        <f t="shared" si="25"/>
        <v>441</v>
      </c>
      <c r="N64" s="104">
        <f t="shared" si="17"/>
        <v>837.90000000000009</v>
      </c>
      <c r="O64" s="582">
        <f t="shared" si="18"/>
        <v>7057.9</v>
      </c>
      <c r="P64" s="573">
        <f t="shared" ref="P64" si="26">+O64-150</f>
        <v>6907.9</v>
      </c>
    </row>
    <row r="65" spans="1:16" ht="18.75" x14ac:dyDescent="0.3">
      <c r="A65" s="101">
        <v>32</v>
      </c>
      <c r="B65" s="102" t="s">
        <v>341</v>
      </c>
      <c r="C65" s="101" t="s">
        <v>342</v>
      </c>
      <c r="D65" s="116" t="s">
        <v>340</v>
      </c>
      <c r="E65" s="103" t="s">
        <v>252</v>
      </c>
      <c r="F65" s="104">
        <v>416</v>
      </c>
      <c r="G65" s="105">
        <v>20</v>
      </c>
      <c r="H65" s="105">
        <f t="shared" si="15"/>
        <v>436</v>
      </c>
      <c r="I65" s="105">
        <f t="shared" si="23"/>
        <v>5112</v>
      </c>
      <c r="J65" s="105">
        <f t="shared" si="19"/>
        <v>436</v>
      </c>
      <c r="K65" s="104">
        <f t="shared" si="20"/>
        <v>353.16</v>
      </c>
      <c r="L65" s="105">
        <v>0</v>
      </c>
      <c r="M65" s="104">
        <f t="shared" si="25"/>
        <v>392.4</v>
      </c>
      <c r="N65" s="104">
        <f t="shared" si="17"/>
        <v>745.56</v>
      </c>
      <c r="O65" s="582">
        <f t="shared" si="18"/>
        <v>6293.56</v>
      </c>
      <c r="P65" s="573">
        <f t="shared" si="24"/>
        <v>6233.56</v>
      </c>
    </row>
    <row r="66" spans="1:16" ht="18.75" x14ac:dyDescent="0.3">
      <c r="A66" s="101">
        <v>33</v>
      </c>
      <c r="B66" s="102" t="s">
        <v>343</v>
      </c>
      <c r="C66" s="101" t="s">
        <v>344</v>
      </c>
      <c r="D66" s="101"/>
      <c r="E66" s="103" t="s">
        <v>252</v>
      </c>
      <c r="F66" s="104">
        <v>431</v>
      </c>
      <c r="G66" s="105">
        <v>20</v>
      </c>
      <c r="H66" s="105">
        <f t="shared" si="15"/>
        <v>451</v>
      </c>
      <c r="I66" s="105">
        <f t="shared" si="23"/>
        <v>5292</v>
      </c>
      <c r="J66" s="105">
        <f t="shared" si="19"/>
        <v>451</v>
      </c>
      <c r="K66" s="104">
        <f t="shared" si="20"/>
        <v>365.31000000000006</v>
      </c>
      <c r="L66" s="105">
        <v>0</v>
      </c>
      <c r="M66" s="104">
        <f t="shared" si="25"/>
        <v>405.9</v>
      </c>
      <c r="N66" s="104">
        <f t="shared" si="17"/>
        <v>771.21</v>
      </c>
      <c r="O66" s="582">
        <f t="shared" si="18"/>
        <v>6514.21</v>
      </c>
      <c r="P66" s="573">
        <f t="shared" si="24"/>
        <v>6454.21</v>
      </c>
    </row>
    <row r="67" spans="1:16" ht="18.75" x14ac:dyDescent="0.3">
      <c r="A67" s="101">
        <v>34</v>
      </c>
      <c r="B67" s="102" t="s">
        <v>498</v>
      </c>
      <c r="C67" s="101" t="s">
        <v>499</v>
      </c>
      <c r="D67" s="116" t="s">
        <v>345</v>
      </c>
      <c r="E67" s="103" t="s">
        <v>252</v>
      </c>
      <c r="F67" s="104">
        <v>370</v>
      </c>
      <c r="G67" s="105">
        <v>20</v>
      </c>
      <c r="H67" s="105">
        <f t="shared" si="15"/>
        <v>390</v>
      </c>
      <c r="I67" s="105">
        <f t="shared" si="23"/>
        <v>4560</v>
      </c>
      <c r="J67" s="105">
        <f t="shared" si="19"/>
        <v>390</v>
      </c>
      <c r="K67" s="104">
        <f t="shared" si="20"/>
        <v>315.90000000000003</v>
      </c>
      <c r="L67" s="105">
        <v>0</v>
      </c>
      <c r="M67" s="104">
        <f t="shared" si="25"/>
        <v>351</v>
      </c>
      <c r="N67" s="104">
        <f t="shared" si="17"/>
        <v>666.90000000000009</v>
      </c>
      <c r="O67" s="582">
        <f t="shared" si="18"/>
        <v>5616.9</v>
      </c>
      <c r="P67" s="573">
        <f t="shared" si="24"/>
        <v>5556.9</v>
      </c>
    </row>
    <row r="68" spans="1:16" ht="18.75" x14ac:dyDescent="0.3">
      <c r="A68" s="101">
        <v>35</v>
      </c>
      <c r="B68" s="102" t="s">
        <v>346</v>
      </c>
      <c r="C68" s="101" t="s">
        <v>500</v>
      </c>
      <c r="D68" s="116" t="s">
        <v>345</v>
      </c>
      <c r="E68" s="103" t="s">
        <v>252</v>
      </c>
      <c r="F68" s="104">
        <v>610</v>
      </c>
      <c r="G68" s="478">
        <v>50</v>
      </c>
      <c r="H68" s="105">
        <f t="shared" si="15"/>
        <v>660</v>
      </c>
      <c r="I68" s="105">
        <f>+H68*12-150</f>
        <v>7770</v>
      </c>
      <c r="J68" s="105">
        <f t="shared" si="19"/>
        <v>660</v>
      </c>
      <c r="K68" s="104">
        <f t="shared" si="20"/>
        <v>534.6</v>
      </c>
      <c r="L68" s="105">
        <v>0</v>
      </c>
      <c r="M68" s="104">
        <f t="shared" si="25"/>
        <v>594</v>
      </c>
      <c r="N68" s="104">
        <f t="shared" si="17"/>
        <v>1128.5999999999999</v>
      </c>
      <c r="O68" s="582">
        <f t="shared" si="18"/>
        <v>9558.6</v>
      </c>
      <c r="P68" s="573">
        <f t="shared" ref="P68" si="27">+O68-150</f>
        <v>9408.6</v>
      </c>
    </row>
    <row r="69" spans="1:16" ht="18.75" x14ac:dyDescent="0.3">
      <c r="A69" s="101">
        <v>36</v>
      </c>
      <c r="B69" s="102" t="s">
        <v>347</v>
      </c>
      <c r="C69" s="101" t="s">
        <v>326</v>
      </c>
      <c r="D69" s="116" t="s">
        <v>345</v>
      </c>
      <c r="E69" s="103" t="s">
        <v>252</v>
      </c>
      <c r="F69" s="104">
        <v>320</v>
      </c>
      <c r="G69" s="105">
        <v>20</v>
      </c>
      <c r="H69" s="105">
        <f t="shared" si="15"/>
        <v>340</v>
      </c>
      <c r="I69" s="105">
        <f t="shared" si="23"/>
        <v>3960</v>
      </c>
      <c r="J69" s="105">
        <f t="shared" si="19"/>
        <v>340</v>
      </c>
      <c r="K69" s="104">
        <f>+J69*6.75%*12</f>
        <v>275.40000000000003</v>
      </c>
      <c r="L69" s="105">
        <v>0</v>
      </c>
      <c r="M69" s="104">
        <f t="shared" si="25"/>
        <v>306</v>
      </c>
      <c r="N69" s="104">
        <f t="shared" si="17"/>
        <v>581.40000000000009</v>
      </c>
      <c r="O69" s="582">
        <f t="shared" si="18"/>
        <v>4881.3999999999996</v>
      </c>
      <c r="P69" s="573">
        <f t="shared" si="24"/>
        <v>4821.3999999999996</v>
      </c>
    </row>
    <row r="70" spans="1:16" ht="18.75" x14ac:dyDescent="0.3">
      <c r="A70" s="101">
        <v>37</v>
      </c>
      <c r="B70" s="102" t="s">
        <v>348</v>
      </c>
      <c r="C70" s="101" t="s">
        <v>349</v>
      </c>
      <c r="D70" s="116" t="s">
        <v>345</v>
      </c>
      <c r="E70" s="103" t="s">
        <v>252</v>
      </c>
      <c r="F70" s="104">
        <v>353</v>
      </c>
      <c r="G70" s="105">
        <v>20</v>
      </c>
      <c r="H70" s="105">
        <f t="shared" si="15"/>
        <v>373</v>
      </c>
      <c r="I70" s="105">
        <f t="shared" si="23"/>
        <v>4356</v>
      </c>
      <c r="J70" s="105">
        <f t="shared" si="19"/>
        <v>373</v>
      </c>
      <c r="K70" s="104">
        <f t="shared" si="20"/>
        <v>302.13</v>
      </c>
      <c r="L70" s="105">
        <v>0</v>
      </c>
      <c r="M70" s="104">
        <f t="shared" si="25"/>
        <v>335.7</v>
      </c>
      <c r="N70" s="104">
        <f t="shared" si="17"/>
        <v>637.82999999999993</v>
      </c>
      <c r="O70" s="582">
        <f t="shared" si="18"/>
        <v>5366.83</v>
      </c>
      <c r="P70" s="573">
        <f t="shared" si="24"/>
        <v>5306.83</v>
      </c>
    </row>
    <row r="71" spans="1:16" ht="18.75" x14ac:dyDescent="0.3">
      <c r="A71" s="101">
        <v>38</v>
      </c>
      <c r="B71" s="102" t="s">
        <v>350</v>
      </c>
      <c r="C71" s="101" t="s">
        <v>349</v>
      </c>
      <c r="D71" s="116" t="s">
        <v>345</v>
      </c>
      <c r="E71" s="103" t="s">
        <v>252</v>
      </c>
      <c r="F71" s="104">
        <v>353</v>
      </c>
      <c r="G71" s="105">
        <v>20</v>
      </c>
      <c r="H71" s="105">
        <f t="shared" si="15"/>
        <v>373</v>
      </c>
      <c r="I71" s="105">
        <f t="shared" si="23"/>
        <v>4356</v>
      </c>
      <c r="J71" s="105">
        <f t="shared" si="19"/>
        <v>373</v>
      </c>
      <c r="K71" s="104">
        <f t="shared" si="20"/>
        <v>302.13</v>
      </c>
      <c r="L71" s="105">
        <v>0</v>
      </c>
      <c r="M71" s="104">
        <f t="shared" si="25"/>
        <v>335.7</v>
      </c>
      <c r="N71" s="104">
        <f t="shared" si="17"/>
        <v>637.82999999999993</v>
      </c>
      <c r="O71" s="582">
        <f t="shared" si="18"/>
        <v>5366.83</v>
      </c>
      <c r="P71" s="573">
        <f t="shared" si="24"/>
        <v>5306.83</v>
      </c>
    </row>
    <row r="72" spans="1:16" ht="18.75" x14ac:dyDescent="0.3">
      <c r="A72" s="101">
        <v>39</v>
      </c>
      <c r="B72" s="102" t="s">
        <v>351</v>
      </c>
      <c r="C72" s="101" t="s">
        <v>352</v>
      </c>
      <c r="D72" s="116" t="s">
        <v>345</v>
      </c>
      <c r="E72" s="103" t="s">
        <v>252</v>
      </c>
      <c r="F72" s="104">
        <v>320</v>
      </c>
      <c r="G72" s="105">
        <v>20</v>
      </c>
      <c r="H72" s="105">
        <f t="shared" si="15"/>
        <v>340</v>
      </c>
      <c r="I72" s="105">
        <f t="shared" si="23"/>
        <v>3960</v>
      </c>
      <c r="J72" s="105">
        <f t="shared" si="19"/>
        <v>340</v>
      </c>
      <c r="K72" s="104">
        <f t="shared" si="20"/>
        <v>275.40000000000003</v>
      </c>
      <c r="L72" s="105">
        <v>0</v>
      </c>
      <c r="M72" s="104">
        <f t="shared" si="25"/>
        <v>306</v>
      </c>
      <c r="N72" s="104">
        <f t="shared" si="17"/>
        <v>581.40000000000009</v>
      </c>
      <c r="O72" s="582">
        <f t="shared" si="18"/>
        <v>4881.3999999999996</v>
      </c>
      <c r="P72" s="573">
        <f t="shared" si="24"/>
        <v>4821.3999999999996</v>
      </c>
    </row>
    <row r="73" spans="1:16" ht="18.75" x14ac:dyDescent="0.3">
      <c r="A73" s="101">
        <v>40</v>
      </c>
      <c r="B73" s="102" t="s">
        <v>353</v>
      </c>
      <c r="C73" s="101" t="s">
        <v>354</v>
      </c>
      <c r="D73" s="116" t="s">
        <v>345</v>
      </c>
      <c r="E73" s="103" t="s">
        <v>252</v>
      </c>
      <c r="F73" s="104">
        <v>320</v>
      </c>
      <c r="G73" s="105">
        <v>20</v>
      </c>
      <c r="H73" s="105">
        <f t="shared" si="15"/>
        <v>340</v>
      </c>
      <c r="I73" s="105">
        <f t="shared" si="23"/>
        <v>3960</v>
      </c>
      <c r="J73" s="105">
        <f t="shared" si="19"/>
        <v>340</v>
      </c>
      <c r="K73" s="104">
        <f t="shared" si="20"/>
        <v>275.40000000000003</v>
      </c>
      <c r="L73" s="105">
        <v>0</v>
      </c>
      <c r="M73" s="104">
        <f t="shared" si="25"/>
        <v>306</v>
      </c>
      <c r="N73" s="104">
        <f t="shared" si="17"/>
        <v>581.40000000000009</v>
      </c>
      <c r="O73" s="582">
        <f t="shared" si="18"/>
        <v>4881.3999999999996</v>
      </c>
      <c r="P73" s="573">
        <f t="shared" si="24"/>
        <v>4821.3999999999996</v>
      </c>
    </row>
    <row r="74" spans="1:16" ht="18.75" x14ac:dyDescent="0.3">
      <c r="A74" s="101">
        <v>41</v>
      </c>
      <c r="B74" s="102" t="s">
        <v>355</v>
      </c>
      <c r="C74" s="101" t="s">
        <v>356</v>
      </c>
      <c r="D74" s="116" t="s">
        <v>345</v>
      </c>
      <c r="E74" s="103" t="s">
        <v>252</v>
      </c>
      <c r="F74" s="104">
        <v>320</v>
      </c>
      <c r="G74" s="105">
        <v>20</v>
      </c>
      <c r="H74" s="105">
        <f t="shared" si="15"/>
        <v>340</v>
      </c>
      <c r="I74" s="105">
        <f t="shared" si="23"/>
        <v>3960</v>
      </c>
      <c r="J74" s="105">
        <f t="shared" si="19"/>
        <v>340</v>
      </c>
      <c r="K74" s="104">
        <f t="shared" si="20"/>
        <v>275.40000000000003</v>
      </c>
      <c r="L74" s="105">
        <v>0</v>
      </c>
      <c r="M74" s="104">
        <f t="shared" si="25"/>
        <v>306</v>
      </c>
      <c r="N74" s="104">
        <f t="shared" si="17"/>
        <v>581.40000000000009</v>
      </c>
      <c r="O74" s="582">
        <f t="shared" si="18"/>
        <v>4881.3999999999996</v>
      </c>
      <c r="P74" s="573">
        <f t="shared" si="24"/>
        <v>4821.3999999999996</v>
      </c>
    </row>
    <row r="75" spans="1:16" ht="18.75" x14ac:dyDescent="0.3">
      <c r="A75" s="101">
        <v>42</v>
      </c>
      <c r="B75" s="102" t="s">
        <v>357</v>
      </c>
      <c r="C75" s="101" t="s">
        <v>356</v>
      </c>
      <c r="D75" s="116" t="s">
        <v>345</v>
      </c>
      <c r="E75" s="103" t="s">
        <v>252</v>
      </c>
      <c r="F75" s="104">
        <v>320</v>
      </c>
      <c r="G75" s="105">
        <v>20</v>
      </c>
      <c r="H75" s="105">
        <f t="shared" si="15"/>
        <v>340</v>
      </c>
      <c r="I75" s="105">
        <f t="shared" si="23"/>
        <v>3960</v>
      </c>
      <c r="J75" s="105">
        <f t="shared" si="19"/>
        <v>340</v>
      </c>
      <c r="K75" s="104">
        <f t="shared" si="20"/>
        <v>275.40000000000003</v>
      </c>
      <c r="L75" s="105">
        <v>0</v>
      </c>
      <c r="M75" s="104">
        <f t="shared" si="25"/>
        <v>306</v>
      </c>
      <c r="N75" s="104">
        <f t="shared" si="17"/>
        <v>581.40000000000009</v>
      </c>
      <c r="O75" s="582">
        <f t="shared" si="18"/>
        <v>4881.3999999999996</v>
      </c>
      <c r="P75" s="573">
        <f t="shared" si="24"/>
        <v>4821.3999999999996</v>
      </c>
    </row>
    <row r="76" spans="1:16" ht="18.75" x14ac:dyDescent="0.3">
      <c r="A76" s="101">
        <v>43</v>
      </c>
      <c r="B76" s="102" t="s">
        <v>358</v>
      </c>
      <c r="C76" s="101" t="s">
        <v>359</v>
      </c>
      <c r="D76" s="116" t="s">
        <v>345</v>
      </c>
      <c r="E76" s="103" t="s">
        <v>252</v>
      </c>
      <c r="F76" s="104">
        <v>370</v>
      </c>
      <c r="G76" s="105">
        <v>20</v>
      </c>
      <c r="H76" s="105">
        <f t="shared" si="15"/>
        <v>390</v>
      </c>
      <c r="I76" s="105">
        <f t="shared" si="23"/>
        <v>4560</v>
      </c>
      <c r="J76" s="105">
        <f t="shared" si="19"/>
        <v>390</v>
      </c>
      <c r="K76" s="104">
        <f t="shared" si="20"/>
        <v>315.90000000000003</v>
      </c>
      <c r="L76" s="105">
        <v>0</v>
      </c>
      <c r="M76" s="104">
        <f t="shared" si="25"/>
        <v>351</v>
      </c>
      <c r="N76" s="104">
        <f t="shared" si="17"/>
        <v>666.90000000000009</v>
      </c>
      <c r="O76" s="582">
        <f t="shared" si="18"/>
        <v>5616.9</v>
      </c>
      <c r="P76" s="573">
        <f t="shared" si="24"/>
        <v>5556.9</v>
      </c>
    </row>
    <row r="77" spans="1:16" ht="18.75" x14ac:dyDescent="0.3">
      <c r="A77" s="101">
        <v>44</v>
      </c>
      <c r="B77" s="102" t="s">
        <v>360</v>
      </c>
      <c r="C77" s="101" t="s">
        <v>361</v>
      </c>
      <c r="D77" s="116" t="s">
        <v>345</v>
      </c>
      <c r="E77" s="103" t="s">
        <v>252</v>
      </c>
      <c r="F77" s="104">
        <v>320</v>
      </c>
      <c r="G77" s="105">
        <v>20</v>
      </c>
      <c r="H77" s="105">
        <f t="shared" si="15"/>
        <v>340</v>
      </c>
      <c r="I77" s="105">
        <f t="shared" si="23"/>
        <v>3960</v>
      </c>
      <c r="J77" s="105">
        <f t="shared" si="19"/>
        <v>340</v>
      </c>
      <c r="K77" s="104">
        <f t="shared" si="20"/>
        <v>275.40000000000003</v>
      </c>
      <c r="L77" s="105">
        <v>0</v>
      </c>
      <c r="M77" s="104">
        <f t="shared" si="25"/>
        <v>306</v>
      </c>
      <c r="N77" s="104">
        <f t="shared" si="17"/>
        <v>581.40000000000009</v>
      </c>
      <c r="O77" s="582">
        <f t="shared" si="18"/>
        <v>4881.3999999999996</v>
      </c>
      <c r="P77" s="573">
        <f t="shared" si="24"/>
        <v>4821.3999999999996</v>
      </c>
    </row>
    <row r="78" spans="1:16" ht="18.75" x14ac:dyDescent="0.3">
      <c r="A78" s="101">
        <v>45</v>
      </c>
      <c r="B78" s="102" t="s">
        <v>362</v>
      </c>
      <c r="C78" s="101" t="s">
        <v>352</v>
      </c>
      <c r="D78" s="116" t="s">
        <v>345</v>
      </c>
      <c r="E78" s="103" t="s">
        <v>252</v>
      </c>
      <c r="F78" s="104">
        <v>320</v>
      </c>
      <c r="G78" s="105">
        <v>20</v>
      </c>
      <c r="H78" s="105">
        <f t="shared" si="15"/>
        <v>340</v>
      </c>
      <c r="I78" s="105">
        <f t="shared" si="23"/>
        <v>3960</v>
      </c>
      <c r="J78" s="105">
        <f t="shared" si="19"/>
        <v>340</v>
      </c>
      <c r="K78" s="104">
        <f t="shared" si="20"/>
        <v>275.40000000000003</v>
      </c>
      <c r="L78" s="105">
        <v>0</v>
      </c>
      <c r="M78" s="104">
        <f t="shared" si="25"/>
        <v>306</v>
      </c>
      <c r="N78" s="104">
        <f t="shared" si="17"/>
        <v>581.40000000000009</v>
      </c>
      <c r="O78" s="582">
        <f t="shared" si="18"/>
        <v>4881.3999999999996</v>
      </c>
      <c r="P78" s="573">
        <f t="shared" si="24"/>
        <v>4821.3999999999996</v>
      </c>
    </row>
    <row r="79" spans="1:16" ht="18.75" x14ac:dyDescent="0.3">
      <c r="A79" s="101">
        <v>46</v>
      </c>
      <c r="B79" s="102" t="s">
        <v>363</v>
      </c>
      <c r="C79" s="101" t="s">
        <v>364</v>
      </c>
      <c r="D79" s="116" t="s">
        <v>365</v>
      </c>
      <c r="E79" s="103" t="s">
        <v>252</v>
      </c>
      <c r="F79" s="104">
        <v>320</v>
      </c>
      <c r="G79" s="105">
        <v>20</v>
      </c>
      <c r="H79" s="105">
        <f t="shared" si="15"/>
        <v>340</v>
      </c>
      <c r="I79" s="105">
        <f t="shared" si="23"/>
        <v>3960</v>
      </c>
      <c r="J79" s="105">
        <f t="shared" si="19"/>
        <v>340</v>
      </c>
      <c r="K79" s="104">
        <f t="shared" si="20"/>
        <v>275.40000000000003</v>
      </c>
      <c r="L79" s="105">
        <v>0</v>
      </c>
      <c r="M79" s="104">
        <f t="shared" si="25"/>
        <v>306</v>
      </c>
      <c r="N79" s="104">
        <f t="shared" si="17"/>
        <v>581.40000000000009</v>
      </c>
      <c r="O79" s="582">
        <f t="shared" si="18"/>
        <v>4881.3999999999996</v>
      </c>
      <c r="P79" s="573">
        <f t="shared" si="24"/>
        <v>4821.3999999999996</v>
      </c>
    </row>
    <row r="80" spans="1:16" ht="18.75" x14ac:dyDescent="0.3">
      <c r="A80" s="101">
        <v>47</v>
      </c>
      <c r="B80" s="102" t="s">
        <v>366</v>
      </c>
      <c r="C80" s="101" t="s">
        <v>364</v>
      </c>
      <c r="D80" s="116" t="s">
        <v>365</v>
      </c>
      <c r="E80" s="103" t="s">
        <v>252</v>
      </c>
      <c r="F80" s="104">
        <v>370</v>
      </c>
      <c r="G80" s="105">
        <v>20</v>
      </c>
      <c r="H80" s="105">
        <f t="shared" si="15"/>
        <v>390</v>
      </c>
      <c r="I80" s="105">
        <f t="shared" si="23"/>
        <v>4560</v>
      </c>
      <c r="J80" s="105">
        <f t="shared" si="19"/>
        <v>390</v>
      </c>
      <c r="K80" s="104">
        <f t="shared" si="20"/>
        <v>315.90000000000003</v>
      </c>
      <c r="L80" s="105">
        <v>0</v>
      </c>
      <c r="M80" s="104">
        <f t="shared" si="25"/>
        <v>351</v>
      </c>
      <c r="N80" s="104">
        <f t="shared" si="17"/>
        <v>666.90000000000009</v>
      </c>
      <c r="O80" s="582">
        <f t="shared" si="18"/>
        <v>5616.9</v>
      </c>
      <c r="P80" s="573">
        <f t="shared" si="24"/>
        <v>5556.9</v>
      </c>
    </row>
    <row r="81" spans="1:16" ht="18.75" x14ac:dyDescent="0.3">
      <c r="A81" s="101">
        <v>48</v>
      </c>
      <c r="B81" s="102" t="s">
        <v>367</v>
      </c>
      <c r="C81" s="101" t="s">
        <v>368</v>
      </c>
      <c r="D81" s="116" t="s">
        <v>345</v>
      </c>
      <c r="E81" s="103" t="s">
        <v>252</v>
      </c>
      <c r="F81" s="104">
        <v>370</v>
      </c>
      <c r="G81" s="105">
        <v>20</v>
      </c>
      <c r="H81" s="105">
        <f t="shared" si="15"/>
        <v>390</v>
      </c>
      <c r="I81" s="105">
        <f t="shared" si="23"/>
        <v>4560</v>
      </c>
      <c r="J81" s="105">
        <f t="shared" si="19"/>
        <v>390</v>
      </c>
      <c r="K81" s="104">
        <f t="shared" si="20"/>
        <v>315.90000000000003</v>
      </c>
      <c r="L81" s="105">
        <v>0</v>
      </c>
      <c r="M81" s="104">
        <f t="shared" si="25"/>
        <v>351</v>
      </c>
      <c r="N81" s="104">
        <f t="shared" si="17"/>
        <v>666.90000000000009</v>
      </c>
      <c r="O81" s="582">
        <f t="shared" si="18"/>
        <v>5616.9</v>
      </c>
      <c r="P81" s="573">
        <f t="shared" si="24"/>
        <v>5556.9</v>
      </c>
    </row>
    <row r="82" spans="1:16" ht="18.75" x14ac:dyDescent="0.3">
      <c r="A82" s="101">
        <v>49</v>
      </c>
      <c r="B82" s="102" t="s">
        <v>501</v>
      </c>
      <c r="C82" s="101" t="s">
        <v>502</v>
      </c>
      <c r="D82" s="116" t="s">
        <v>345</v>
      </c>
      <c r="E82" s="103" t="s">
        <v>252</v>
      </c>
      <c r="F82" s="104">
        <v>300</v>
      </c>
      <c r="G82" s="105">
        <v>20</v>
      </c>
      <c r="H82" s="105">
        <f t="shared" si="15"/>
        <v>320</v>
      </c>
      <c r="I82" s="105">
        <f t="shared" si="23"/>
        <v>3720</v>
      </c>
      <c r="J82" s="105">
        <f t="shared" si="19"/>
        <v>320</v>
      </c>
      <c r="K82" s="104">
        <f t="shared" si="20"/>
        <v>259.20000000000005</v>
      </c>
      <c r="L82" s="105">
        <v>0</v>
      </c>
      <c r="M82" s="104">
        <f t="shared" si="25"/>
        <v>288</v>
      </c>
      <c r="N82" s="104">
        <f t="shared" si="17"/>
        <v>547.20000000000005</v>
      </c>
      <c r="O82" s="582">
        <f t="shared" si="18"/>
        <v>4587.2</v>
      </c>
      <c r="P82" s="573">
        <f t="shared" si="24"/>
        <v>4527.2</v>
      </c>
    </row>
    <row r="83" spans="1:16" ht="18.75" x14ac:dyDescent="0.3">
      <c r="A83" s="101">
        <v>50</v>
      </c>
      <c r="B83" s="102" t="s">
        <v>508</v>
      </c>
      <c r="C83" s="101" t="s">
        <v>502</v>
      </c>
      <c r="D83" s="116" t="s">
        <v>345</v>
      </c>
      <c r="E83" s="103" t="s">
        <v>252</v>
      </c>
      <c r="F83" s="104">
        <v>300</v>
      </c>
      <c r="G83" s="105">
        <v>20</v>
      </c>
      <c r="H83" s="105">
        <f t="shared" si="15"/>
        <v>320</v>
      </c>
      <c r="I83" s="105">
        <f t="shared" si="23"/>
        <v>3720</v>
      </c>
      <c r="J83" s="105">
        <f t="shared" si="19"/>
        <v>320</v>
      </c>
      <c r="K83" s="104">
        <f t="shared" si="20"/>
        <v>259.20000000000005</v>
      </c>
      <c r="L83" s="105">
        <v>0</v>
      </c>
      <c r="M83" s="104">
        <f t="shared" si="25"/>
        <v>288</v>
      </c>
      <c r="N83" s="104">
        <f t="shared" si="17"/>
        <v>547.20000000000005</v>
      </c>
      <c r="O83" s="582">
        <f t="shared" si="18"/>
        <v>4587.2</v>
      </c>
      <c r="P83" s="573">
        <f t="shared" si="24"/>
        <v>4527.2</v>
      </c>
    </row>
    <row r="84" spans="1:16" ht="18.75" x14ac:dyDescent="0.3">
      <c r="A84" s="101">
        <v>51</v>
      </c>
      <c r="B84" s="102" t="s">
        <v>503</v>
      </c>
      <c r="C84" s="101" t="s">
        <v>504</v>
      </c>
      <c r="D84" s="116" t="s">
        <v>345</v>
      </c>
      <c r="E84" s="103" t="s">
        <v>252</v>
      </c>
      <c r="F84" s="104">
        <v>300</v>
      </c>
      <c r="G84" s="105">
        <v>20</v>
      </c>
      <c r="H84" s="105">
        <f t="shared" si="15"/>
        <v>320</v>
      </c>
      <c r="I84" s="105">
        <f t="shared" si="23"/>
        <v>3720</v>
      </c>
      <c r="J84" s="105">
        <f t="shared" si="19"/>
        <v>320</v>
      </c>
      <c r="K84" s="104">
        <f t="shared" si="20"/>
        <v>259.20000000000005</v>
      </c>
      <c r="L84" s="105">
        <v>0</v>
      </c>
      <c r="M84" s="104">
        <f t="shared" si="25"/>
        <v>288</v>
      </c>
      <c r="N84" s="104">
        <f t="shared" si="17"/>
        <v>547.20000000000005</v>
      </c>
      <c r="O84" s="582">
        <f t="shared" si="18"/>
        <v>4587.2</v>
      </c>
      <c r="P84" s="573">
        <f t="shared" si="24"/>
        <v>4527.2</v>
      </c>
    </row>
    <row r="85" spans="1:16" ht="18.75" x14ac:dyDescent="0.3">
      <c r="A85" s="101">
        <v>52</v>
      </c>
      <c r="B85" s="102" t="s">
        <v>505</v>
      </c>
      <c r="C85" s="101" t="s">
        <v>504</v>
      </c>
      <c r="D85" s="116" t="s">
        <v>345</v>
      </c>
      <c r="E85" s="103" t="s">
        <v>252</v>
      </c>
      <c r="F85" s="104">
        <v>300</v>
      </c>
      <c r="G85" s="105">
        <v>20</v>
      </c>
      <c r="H85" s="105">
        <f t="shared" si="15"/>
        <v>320</v>
      </c>
      <c r="I85" s="105">
        <f t="shared" si="23"/>
        <v>3720</v>
      </c>
      <c r="J85" s="105">
        <f t="shared" si="19"/>
        <v>320</v>
      </c>
      <c r="K85" s="104">
        <f t="shared" si="20"/>
        <v>259.20000000000005</v>
      </c>
      <c r="L85" s="105">
        <v>0</v>
      </c>
      <c r="M85" s="104">
        <f t="shared" si="25"/>
        <v>288</v>
      </c>
      <c r="N85" s="104">
        <f t="shared" si="17"/>
        <v>547.20000000000005</v>
      </c>
      <c r="O85" s="582">
        <f t="shared" si="18"/>
        <v>4587.2</v>
      </c>
      <c r="P85" s="573">
        <f t="shared" si="24"/>
        <v>4527.2</v>
      </c>
    </row>
    <row r="86" spans="1:16" ht="18.75" x14ac:dyDescent="0.3">
      <c r="A86" s="101">
        <v>53</v>
      </c>
      <c r="B86" s="102" t="s">
        <v>506</v>
      </c>
      <c r="C86" s="101" t="s">
        <v>507</v>
      </c>
      <c r="D86" s="116" t="s">
        <v>345</v>
      </c>
      <c r="E86" s="103" t="s">
        <v>252</v>
      </c>
      <c r="F86" s="104">
        <v>320</v>
      </c>
      <c r="G86" s="105">
        <v>20</v>
      </c>
      <c r="H86" s="105">
        <f t="shared" si="15"/>
        <v>340</v>
      </c>
      <c r="I86" s="105">
        <f t="shared" si="23"/>
        <v>3960</v>
      </c>
      <c r="J86" s="105">
        <f t="shared" si="19"/>
        <v>340</v>
      </c>
      <c r="K86" s="104">
        <f t="shared" si="20"/>
        <v>275.40000000000003</v>
      </c>
      <c r="L86" s="105">
        <v>0</v>
      </c>
      <c r="M86" s="104">
        <f t="shared" si="25"/>
        <v>306</v>
      </c>
      <c r="N86" s="104">
        <f t="shared" si="17"/>
        <v>581.40000000000009</v>
      </c>
      <c r="O86" s="582">
        <f t="shared" si="18"/>
        <v>4881.3999999999996</v>
      </c>
      <c r="P86" s="573">
        <f t="shared" si="24"/>
        <v>4821.3999999999996</v>
      </c>
    </row>
    <row r="87" spans="1:16" ht="18.75" x14ac:dyDescent="0.3">
      <c r="A87" s="101">
        <v>54</v>
      </c>
      <c r="B87" s="102" t="s">
        <v>369</v>
      </c>
      <c r="C87" s="101" t="s">
        <v>370</v>
      </c>
      <c r="D87" s="116" t="s">
        <v>345</v>
      </c>
      <c r="E87" s="103" t="s">
        <v>252</v>
      </c>
      <c r="F87" s="104">
        <v>470</v>
      </c>
      <c r="G87" s="105">
        <v>20</v>
      </c>
      <c r="H87" s="105">
        <f t="shared" si="15"/>
        <v>490</v>
      </c>
      <c r="I87" s="105">
        <f t="shared" si="23"/>
        <v>5760</v>
      </c>
      <c r="J87" s="105">
        <f>+H87</f>
        <v>490</v>
      </c>
      <c r="K87" s="104">
        <f>+J87*6.75%*12</f>
        <v>396.90000000000003</v>
      </c>
      <c r="L87" s="105">
        <v>0</v>
      </c>
      <c r="M87" s="104">
        <f t="shared" si="25"/>
        <v>441</v>
      </c>
      <c r="N87" s="104">
        <f>SUM(K87:M87)</f>
        <v>837.90000000000009</v>
      </c>
      <c r="O87" s="582">
        <f>ROUND((+I87+J87+N87),2)</f>
        <v>7087.9</v>
      </c>
      <c r="P87" s="573">
        <f t="shared" si="24"/>
        <v>7027.9</v>
      </c>
    </row>
    <row r="88" spans="1:16" ht="30.75" customHeight="1" x14ac:dyDescent="0.3">
      <c r="A88" s="101">
        <v>55</v>
      </c>
      <c r="B88" s="124" t="s">
        <v>371</v>
      </c>
      <c r="C88" s="125" t="s">
        <v>372</v>
      </c>
      <c r="D88" s="116" t="s">
        <v>345</v>
      </c>
      <c r="E88" s="103" t="s">
        <v>252</v>
      </c>
      <c r="F88" s="104">
        <v>470</v>
      </c>
      <c r="G88" s="105">
        <v>20</v>
      </c>
      <c r="H88" s="105">
        <f t="shared" si="15"/>
        <v>490</v>
      </c>
      <c r="I88" s="105">
        <f t="shared" si="23"/>
        <v>5760</v>
      </c>
      <c r="J88" s="105">
        <f>+H88</f>
        <v>490</v>
      </c>
      <c r="K88" s="104">
        <v>0</v>
      </c>
      <c r="L88" s="105">
        <v>394.8</v>
      </c>
      <c r="M88" s="104">
        <f t="shared" si="25"/>
        <v>441</v>
      </c>
      <c r="N88" s="104">
        <f>SUM(K88:M88)</f>
        <v>835.8</v>
      </c>
      <c r="O88" s="582">
        <f>ROUND((+I88+J88+N88),2)</f>
        <v>7085.8</v>
      </c>
      <c r="P88" s="573">
        <f t="shared" si="24"/>
        <v>7025.8</v>
      </c>
    </row>
    <row r="89" spans="1:16" ht="33.75" customHeight="1" x14ac:dyDescent="0.3">
      <c r="A89" s="101">
        <v>56</v>
      </c>
      <c r="B89" s="102" t="s">
        <v>373</v>
      </c>
      <c r="C89" s="137" t="s">
        <v>374</v>
      </c>
      <c r="D89" s="116" t="s">
        <v>345</v>
      </c>
      <c r="E89" s="103" t="s">
        <v>252</v>
      </c>
      <c r="F89" s="104">
        <v>320</v>
      </c>
      <c r="G89" s="105">
        <v>20</v>
      </c>
      <c r="H89" s="105">
        <f t="shared" si="15"/>
        <v>340</v>
      </c>
      <c r="I89" s="105">
        <f t="shared" si="23"/>
        <v>3960</v>
      </c>
      <c r="J89" s="105">
        <f>+H89</f>
        <v>340</v>
      </c>
      <c r="K89" s="104">
        <f>+J89*6.75%*12</f>
        <v>275.40000000000003</v>
      </c>
      <c r="L89" s="105">
        <v>0</v>
      </c>
      <c r="M89" s="104">
        <f t="shared" si="25"/>
        <v>306</v>
      </c>
      <c r="N89" s="104">
        <f>SUM(K89:M89)</f>
        <v>581.40000000000009</v>
      </c>
      <c r="O89" s="582">
        <f>ROUND((+I89+J89+N89),2)</f>
        <v>4881.3999999999996</v>
      </c>
      <c r="P89" s="573">
        <f t="shared" si="24"/>
        <v>4821.3999999999996</v>
      </c>
    </row>
    <row r="90" spans="1:16" ht="18.75" customHeight="1" x14ac:dyDescent="0.3">
      <c r="A90" s="101">
        <v>57</v>
      </c>
      <c r="B90" s="129" t="s">
        <v>375</v>
      </c>
      <c r="C90" s="140" t="s">
        <v>376</v>
      </c>
      <c r="D90" s="116"/>
      <c r="E90" s="103" t="s">
        <v>252</v>
      </c>
      <c r="F90" s="130">
        <v>1000</v>
      </c>
      <c r="G90" s="105">
        <v>0</v>
      </c>
      <c r="H90" s="105">
        <f t="shared" si="15"/>
        <v>1000</v>
      </c>
      <c r="I90" s="105">
        <f t="shared" si="23"/>
        <v>11880</v>
      </c>
      <c r="J90" s="105">
        <f t="shared" ref="J90:J103" si="28">+H90</f>
        <v>1000</v>
      </c>
      <c r="K90" s="104">
        <f t="shared" ref="K90:K103" si="29">+J90*6.75%*12</f>
        <v>810</v>
      </c>
      <c r="L90" s="105">
        <v>0</v>
      </c>
      <c r="M90" s="104">
        <f t="shared" si="25"/>
        <v>900</v>
      </c>
      <c r="N90" s="104">
        <f>SUM(K90:M90)</f>
        <v>1710</v>
      </c>
      <c r="O90" s="582">
        <f t="shared" ref="O90:O93" si="30">ROUND((+I90+J90+N90),2)</f>
        <v>14590</v>
      </c>
      <c r="P90" s="573">
        <f t="shared" si="24"/>
        <v>14530</v>
      </c>
    </row>
    <row r="91" spans="1:16" ht="16.5" customHeight="1" x14ac:dyDescent="0.3">
      <c r="A91" s="101">
        <v>58</v>
      </c>
      <c r="B91" s="129" t="s">
        <v>377</v>
      </c>
      <c r="C91" s="140" t="s">
        <v>201</v>
      </c>
      <c r="D91" s="116"/>
      <c r="E91" s="103" t="s">
        <v>252</v>
      </c>
      <c r="F91" s="130">
        <v>450</v>
      </c>
      <c r="G91" s="105">
        <v>20</v>
      </c>
      <c r="H91" s="105">
        <f t="shared" si="15"/>
        <v>470</v>
      </c>
      <c r="I91" s="105">
        <f t="shared" si="23"/>
        <v>5520</v>
      </c>
      <c r="J91" s="105">
        <f t="shared" si="28"/>
        <v>470</v>
      </c>
      <c r="K91" s="104">
        <f t="shared" si="29"/>
        <v>380.70000000000005</v>
      </c>
      <c r="L91" s="105">
        <v>0</v>
      </c>
      <c r="M91" s="104">
        <f t="shared" si="25"/>
        <v>423</v>
      </c>
      <c r="N91" s="104">
        <f t="shared" ref="N91:N93" si="31">SUM(K91:M91)</f>
        <v>803.7</v>
      </c>
      <c r="O91" s="582">
        <f t="shared" si="30"/>
        <v>6793.7</v>
      </c>
      <c r="P91" s="573">
        <f t="shared" si="24"/>
        <v>6733.7</v>
      </c>
    </row>
    <row r="92" spans="1:16" ht="21" customHeight="1" x14ac:dyDescent="0.3">
      <c r="A92" s="101">
        <v>59</v>
      </c>
      <c r="B92" s="129" t="s">
        <v>512</v>
      </c>
      <c r="C92" s="140" t="s">
        <v>378</v>
      </c>
      <c r="D92" s="116"/>
      <c r="E92" s="103" t="s">
        <v>252</v>
      </c>
      <c r="F92" s="130">
        <v>300</v>
      </c>
      <c r="G92" s="105">
        <v>20</v>
      </c>
      <c r="H92" s="105">
        <f t="shared" si="15"/>
        <v>320</v>
      </c>
      <c r="I92" s="105">
        <f t="shared" si="23"/>
        <v>3720</v>
      </c>
      <c r="J92" s="105">
        <f t="shared" si="28"/>
        <v>320</v>
      </c>
      <c r="K92" s="104">
        <f t="shared" si="29"/>
        <v>259.20000000000005</v>
      </c>
      <c r="L92" s="105">
        <v>0</v>
      </c>
      <c r="M92" s="104">
        <f t="shared" si="25"/>
        <v>288</v>
      </c>
      <c r="N92" s="104">
        <f t="shared" si="31"/>
        <v>547.20000000000005</v>
      </c>
      <c r="O92" s="582">
        <f t="shared" si="30"/>
        <v>4587.2</v>
      </c>
      <c r="P92" s="573">
        <f t="shared" si="24"/>
        <v>4527.2</v>
      </c>
    </row>
    <row r="93" spans="1:16" ht="21" customHeight="1" x14ac:dyDescent="0.3">
      <c r="A93" s="566">
        <v>60</v>
      </c>
      <c r="B93" s="481" t="s">
        <v>379</v>
      </c>
      <c r="C93" s="482" t="s">
        <v>378</v>
      </c>
      <c r="D93" s="483"/>
      <c r="E93" s="484" t="s">
        <v>252</v>
      </c>
      <c r="F93" s="485">
        <v>300</v>
      </c>
      <c r="G93" s="486">
        <v>20</v>
      </c>
      <c r="H93" s="486">
        <f t="shared" si="15"/>
        <v>320</v>
      </c>
      <c r="I93" s="486">
        <f t="shared" si="23"/>
        <v>3720</v>
      </c>
      <c r="J93" s="486">
        <f t="shared" si="28"/>
        <v>320</v>
      </c>
      <c r="K93" s="487">
        <f t="shared" si="29"/>
        <v>259.20000000000005</v>
      </c>
      <c r="L93" s="486">
        <v>0</v>
      </c>
      <c r="M93" s="487">
        <f t="shared" si="25"/>
        <v>288</v>
      </c>
      <c r="N93" s="487">
        <f t="shared" si="31"/>
        <v>547.20000000000005</v>
      </c>
      <c r="O93" s="581">
        <f t="shared" si="30"/>
        <v>4587.2</v>
      </c>
      <c r="P93" s="573">
        <f t="shared" si="24"/>
        <v>4527.2</v>
      </c>
    </row>
    <row r="94" spans="1:16" ht="21" customHeight="1" x14ac:dyDescent="0.3">
      <c r="A94" s="569">
        <v>61</v>
      </c>
      <c r="B94" s="129"/>
      <c r="C94" s="140" t="s">
        <v>919</v>
      </c>
      <c r="D94" s="570"/>
      <c r="E94" s="571"/>
      <c r="F94" s="130">
        <v>200</v>
      </c>
      <c r="G94" s="572">
        <v>0</v>
      </c>
      <c r="H94" s="486">
        <f t="shared" si="15"/>
        <v>200</v>
      </c>
      <c r="I94" s="486">
        <f>+H94*12</f>
        <v>2400</v>
      </c>
      <c r="J94" s="486">
        <f t="shared" si="28"/>
        <v>200</v>
      </c>
      <c r="K94" s="487">
        <f t="shared" si="29"/>
        <v>162</v>
      </c>
      <c r="L94" s="572">
        <v>0</v>
      </c>
      <c r="M94" s="487">
        <f t="shared" ref="M94:M103" si="32">+J94*7.5%*12</f>
        <v>180</v>
      </c>
      <c r="N94" s="487">
        <f t="shared" ref="N94:N101" si="33">SUM(K94:M94)</f>
        <v>342</v>
      </c>
      <c r="O94" s="581">
        <f t="shared" ref="O94:O101" si="34">ROUND((+I94+J94+N94),2)</f>
        <v>2942</v>
      </c>
      <c r="P94" s="573">
        <f t="shared" ref="P94:P101" si="35">+O94-60</f>
        <v>2882</v>
      </c>
    </row>
    <row r="95" spans="1:16" ht="21" customHeight="1" x14ac:dyDescent="0.3">
      <c r="A95" s="569">
        <v>62</v>
      </c>
      <c r="B95" s="129"/>
      <c r="C95" s="140" t="s">
        <v>919</v>
      </c>
      <c r="D95" s="570"/>
      <c r="E95" s="571"/>
      <c r="F95" s="130">
        <v>200</v>
      </c>
      <c r="G95" s="572">
        <v>0</v>
      </c>
      <c r="H95" s="486">
        <f t="shared" si="15"/>
        <v>200</v>
      </c>
      <c r="I95" s="486">
        <f t="shared" ref="I95:I103" si="36">+H95*12</f>
        <v>2400</v>
      </c>
      <c r="J95" s="486">
        <f t="shared" si="28"/>
        <v>200</v>
      </c>
      <c r="K95" s="487">
        <f t="shared" si="29"/>
        <v>162</v>
      </c>
      <c r="L95" s="572">
        <v>0</v>
      </c>
      <c r="M95" s="487">
        <f t="shared" si="32"/>
        <v>180</v>
      </c>
      <c r="N95" s="487">
        <f t="shared" si="33"/>
        <v>342</v>
      </c>
      <c r="O95" s="581">
        <f t="shared" si="34"/>
        <v>2942</v>
      </c>
      <c r="P95" s="573">
        <f t="shared" si="35"/>
        <v>2882</v>
      </c>
    </row>
    <row r="96" spans="1:16" ht="21" customHeight="1" x14ac:dyDescent="0.3">
      <c r="A96" s="569">
        <v>63</v>
      </c>
      <c r="B96" s="129"/>
      <c r="C96" s="140" t="s">
        <v>920</v>
      </c>
      <c r="D96" s="570"/>
      <c r="E96" s="571"/>
      <c r="F96" s="130">
        <v>300</v>
      </c>
      <c r="G96" s="572">
        <v>0</v>
      </c>
      <c r="H96" s="486">
        <f t="shared" si="15"/>
        <v>300</v>
      </c>
      <c r="I96" s="486">
        <f t="shared" si="36"/>
        <v>3600</v>
      </c>
      <c r="J96" s="486">
        <f t="shared" si="28"/>
        <v>300</v>
      </c>
      <c r="K96" s="487">
        <f t="shared" si="29"/>
        <v>243</v>
      </c>
      <c r="L96" s="572">
        <v>0</v>
      </c>
      <c r="M96" s="487">
        <f t="shared" si="32"/>
        <v>270</v>
      </c>
      <c r="N96" s="487">
        <f t="shared" si="33"/>
        <v>513</v>
      </c>
      <c r="O96" s="581">
        <f t="shared" si="34"/>
        <v>4413</v>
      </c>
      <c r="P96" s="573">
        <f t="shared" si="35"/>
        <v>4353</v>
      </c>
    </row>
    <row r="97" spans="1:16" ht="21" customHeight="1" x14ac:dyDescent="0.3">
      <c r="A97" s="569">
        <v>64</v>
      </c>
      <c r="B97" s="129"/>
      <c r="C97" s="140" t="s">
        <v>920</v>
      </c>
      <c r="D97" s="570"/>
      <c r="E97" s="571"/>
      <c r="F97" s="130">
        <v>300</v>
      </c>
      <c r="G97" s="572">
        <v>0</v>
      </c>
      <c r="H97" s="486">
        <f t="shared" si="15"/>
        <v>300</v>
      </c>
      <c r="I97" s="486">
        <f t="shared" si="36"/>
        <v>3600</v>
      </c>
      <c r="J97" s="486">
        <f t="shared" si="28"/>
        <v>300</v>
      </c>
      <c r="K97" s="487">
        <f t="shared" si="29"/>
        <v>243</v>
      </c>
      <c r="L97" s="572">
        <v>0</v>
      </c>
      <c r="M97" s="487">
        <f t="shared" si="32"/>
        <v>270</v>
      </c>
      <c r="N97" s="487">
        <f t="shared" si="33"/>
        <v>513</v>
      </c>
      <c r="O97" s="581">
        <f t="shared" si="34"/>
        <v>4413</v>
      </c>
      <c r="P97" s="573">
        <f t="shared" si="35"/>
        <v>4353</v>
      </c>
    </row>
    <row r="98" spans="1:16" ht="34.5" customHeight="1" x14ac:dyDescent="0.3">
      <c r="A98" s="569">
        <v>65</v>
      </c>
      <c r="B98" s="574"/>
      <c r="C98" s="575" t="s">
        <v>955</v>
      </c>
      <c r="D98" s="576"/>
      <c r="E98" s="577"/>
      <c r="F98" s="578">
        <v>320</v>
      </c>
      <c r="G98" s="579">
        <v>0</v>
      </c>
      <c r="H98" s="486">
        <f t="shared" si="15"/>
        <v>320</v>
      </c>
      <c r="I98" s="486">
        <f t="shared" si="36"/>
        <v>3840</v>
      </c>
      <c r="J98" s="486">
        <f t="shared" si="28"/>
        <v>320</v>
      </c>
      <c r="K98" s="487">
        <f t="shared" si="29"/>
        <v>259.20000000000005</v>
      </c>
      <c r="L98" s="579">
        <v>0</v>
      </c>
      <c r="M98" s="487">
        <f t="shared" si="32"/>
        <v>288</v>
      </c>
      <c r="N98" s="487">
        <f t="shared" si="33"/>
        <v>547.20000000000005</v>
      </c>
      <c r="O98" s="581">
        <f t="shared" si="34"/>
        <v>4707.2</v>
      </c>
      <c r="P98" s="573">
        <f t="shared" si="35"/>
        <v>4647.2</v>
      </c>
    </row>
    <row r="99" spans="1:16" ht="31.5" customHeight="1" x14ac:dyDescent="0.3">
      <c r="A99" s="569">
        <v>66</v>
      </c>
      <c r="B99" s="574"/>
      <c r="C99" s="575" t="s">
        <v>955</v>
      </c>
      <c r="D99" s="576"/>
      <c r="E99" s="577"/>
      <c r="F99" s="578">
        <v>320</v>
      </c>
      <c r="G99" s="579">
        <v>0</v>
      </c>
      <c r="H99" s="486">
        <f t="shared" si="15"/>
        <v>320</v>
      </c>
      <c r="I99" s="486">
        <f t="shared" si="36"/>
        <v>3840</v>
      </c>
      <c r="J99" s="486">
        <f t="shared" si="28"/>
        <v>320</v>
      </c>
      <c r="K99" s="487">
        <f t="shared" si="29"/>
        <v>259.20000000000005</v>
      </c>
      <c r="L99" s="579">
        <v>0</v>
      </c>
      <c r="M99" s="487">
        <f t="shared" si="32"/>
        <v>288</v>
      </c>
      <c r="N99" s="487">
        <f t="shared" si="33"/>
        <v>547.20000000000005</v>
      </c>
      <c r="O99" s="581">
        <f t="shared" si="34"/>
        <v>4707.2</v>
      </c>
      <c r="P99" s="573">
        <f t="shared" si="35"/>
        <v>4647.2</v>
      </c>
    </row>
    <row r="100" spans="1:16" ht="21" customHeight="1" x14ac:dyDescent="0.3">
      <c r="A100" s="569">
        <v>67</v>
      </c>
      <c r="B100" s="574"/>
      <c r="C100" s="575" t="s">
        <v>921</v>
      </c>
      <c r="D100" s="576"/>
      <c r="E100" s="577"/>
      <c r="F100" s="578">
        <v>650</v>
      </c>
      <c r="G100" s="579">
        <v>0</v>
      </c>
      <c r="H100" s="486">
        <f t="shared" ref="H100:H103" si="37">+F100+G100</f>
        <v>650</v>
      </c>
      <c r="I100" s="486">
        <f t="shared" si="36"/>
        <v>7800</v>
      </c>
      <c r="J100" s="486">
        <f t="shared" si="28"/>
        <v>650</v>
      </c>
      <c r="K100" s="487">
        <f t="shared" si="29"/>
        <v>526.5</v>
      </c>
      <c r="L100" s="579">
        <v>0</v>
      </c>
      <c r="M100" s="487">
        <f t="shared" si="32"/>
        <v>585</v>
      </c>
      <c r="N100" s="487">
        <f t="shared" si="33"/>
        <v>1111.5</v>
      </c>
      <c r="O100" s="581">
        <f t="shared" si="34"/>
        <v>9561.5</v>
      </c>
      <c r="P100" s="573">
        <f t="shared" si="35"/>
        <v>9501.5</v>
      </c>
    </row>
    <row r="101" spans="1:16" ht="27.75" customHeight="1" x14ac:dyDescent="0.3">
      <c r="A101" s="569">
        <v>68</v>
      </c>
      <c r="B101" s="574"/>
      <c r="C101" s="580" t="s">
        <v>922</v>
      </c>
      <c r="D101" s="576"/>
      <c r="E101" s="577"/>
      <c r="F101" s="578">
        <v>300</v>
      </c>
      <c r="G101" s="579">
        <v>0</v>
      </c>
      <c r="H101" s="486">
        <f t="shared" si="37"/>
        <v>300</v>
      </c>
      <c r="I101" s="486">
        <f t="shared" si="36"/>
        <v>3600</v>
      </c>
      <c r="J101" s="486">
        <f t="shared" si="28"/>
        <v>300</v>
      </c>
      <c r="K101" s="487">
        <f t="shared" si="29"/>
        <v>243</v>
      </c>
      <c r="L101" s="579">
        <v>0</v>
      </c>
      <c r="M101" s="487">
        <f t="shared" si="32"/>
        <v>270</v>
      </c>
      <c r="N101" s="487">
        <f t="shared" si="33"/>
        <v>513</v>
      </c>
      <c r="O101" s="581">
        <f t="shared" si="34"/>
        <v>4413</v>
      </c>
      <c r="P101" s="573">
        <f t="shared" si="35"/>
        <v>4353</v>
      </c>
    </row>
    <row r="102" spans="1:16" ht="27.75" customHeight="1" x14ac:dyDescent="0.3">
      <c r="A102" s="596">
        <v>69</v>
      </c>
      <c r="B102" s="574"/>
      <c r="C102" s="137" t="s">
        <v>504</v>
      </c>
      <c r="D102" s="116" t="s">
        <v>345</v>
      </c>
      <c r="E102" s="577"/>
      <c r="F102" s="578">
        <v>300</v>
      </c>
      <c r="G102" s="579">
        <v>0</v>
      </c>
      <c r="H102" s="128">
        <f t="shared" si="37"/>
        <v>300</v>
      </c>
      <c r="I102" s="128">
        <f t="shared" si="36"/>
        <v>3600</v>
      </c>
      <c r="J102" s="128">
        <f t="shared" si="28"/>
        <v>300</v>
      </c>
      <c r="K102" s="127">
        <f t="shared" si="29"/>
        <v>243</v>
      </c>
      <c r="L102" s="579"/>
      <c r="M102" s="127">
        <f t="shared" si="32"/>
        <v>270</v>
      </c>
      <c r="N102" s="487">
        <f t="shared" ref="N102:N103" si="38">SUM(K102:M102)</f>
        <v>513</v>
      </c>
      <c r="O102" s="581">
        <f t="shared" ref="O102:O103" si="39">ROUND((+I102+J102+N102),2)</f>
        <v>4413</v>
      </c>
      <c r="P102" s="573"/>
    </row>
    <row r="103" spans="1:16" ht="27.75" customHeight="1" x14ac:dyDescent="0.3">
      <c r="A103" s="596">
        <v>70</v>
      </c>
      <c r="B103" s="574"/>
      <c r="C103" s="137" t="s">
        <v>504</v>
      </c>
      <c r="D103" s="116" t="s">
        <v>345</v>
      </c>
      <c r="E103" s="577"/>
      <c r="F103" s="578">
        <v>300</v>
      </c>
      <c r="G103" s="579">
        <v>0</v>
      </c>
      <c r="H103" s="128">
        <f t="shared" si="37"/>
        <v>300</v>
      </c>
      <c r="I103" s="128">
        <f t="shared" si="36"/>
        <v>3600</v>
      </c>
      <c r="J103" s="128">
        <f t="shared" si="28"/>
        <v>300</v>
      </c>
      <c r="K103" s="127">
        <f t="shared" si="29"/>
        <v>243</v>
      </c>
      <c r="L103" s="579"/>
      <c r="M103" s="127">
        <f t="shared" si="32"/>
        <v>270</v>
      </c>
      <c r="N103" s="487">
        <f t="shared" si="38"/>
        <v>513</v>
      </c>
      <c r="O103" s="581">
        <f t="shared" si="39"/>
        <v>4413</v>
      </c>
      <c r="P103" s="573"/>
    </row>
    <row r="104" spans="1:16" ht="18.75" x14ac:dyDescent="0.3">
      <c r="A104" s="567"/>
      <c r="B104" s="567"/>
      <c r="C104" s="567"/>
      <c r="D104" s="567"/>
      <c r="E104" s="567"/>
      <c r="F104" s="568">
        <f>SUM(F34:F103)</f>
        <v>28889</v>
      </c>
      <c r="G104" s="568">
        <f t="shared" ref="G104:P104" si="40">SUM(G34:G103)</f>
        <v>1480</v>
      </c>
      <c r="H104" s="568">
        <f t="shared" si="40"/>
        <v>30369</v>
      </c>
      <c r="I104" s="568">
        <f t="shared" si="40"/>
        <v>357138</v>
      </c>
      <c r="J104" s="568">
        <f t="shared" si="40"/>
        <v>29949</v>
      </c>
      <c r="K104" s="568">
        <f t="shared" si="40"/>
        <v>23780.790000000012</v>
      </c>
      <c r="L104" s="568">
        <f t="shared" si="40"/>
        <v>394.8</v>
      </c>
      <c r="M104" s="568">
        <f t="shared" si="40"/>
        <v>27397.655999999995</v>
      </c>
      <c r="N104" s="568">
        <f t="shared" si="40"/>
        <v>51573.245999999999</v>
      </c>
      <c r="O104" s="568">
        <f t="shared" si="40"/>
        <v>438660.25000000035</v>
      </c>
      <c r="P104" s="568">
        <f t="shared" si="40"/>
        <v>425124.25000000035</v>
      </c>
    </row>
    <row r="105" spans="1:16" ht="18.75" x14ac:dyDescent="0.3">
      <c r="A105" s="488"/>
      <c r="B105" s="488"/>
      <c r="C105" s="488"/>
      <c r="D105" s="488"/>
      <c r="E105" s="488"/>
      <c r="F105" s="489"/>
      <c r="G105" s="489"/>
      <c r="H105" s="489"/>
      <c r="I105" s="489"/>
      <c r="J105" s="489"/>
      <c r="K105" s="489"/>
      <c r="L105" s="489"/>
      <c r="M105" s="489"/>
      <c r="N105" s="489"/>
      <c r="O105" s="489"/>
    </row>
    <row r="106" spans="1:16" ht="18.75" x14ac:dyDescent="0.3">
      <c r="A106" s="488"/>
      <c r="B106" s="488" t="s">
        <v>838</v>
      </c>
      <c r="C106" s="488"/>
      <c r="D106" s="476">
        <v>660626.23</v>
      </c>
      <c r="E106" s="488"/>
      <c r="F106" s="489"/>
      <c r="G106" s="489"/>
      <c r="H106" s="489"/>
      <c r="I106" s="489"/>
      <c r="J106" s="489"/>
      <c r="K106" s="489"/>
      <c r="L106" s="489"/>
      <c r="M106" s="489"/>
      <c r="N106" s="489"/>
      <c r="O106" s="489"/>
    </row>
    <row r="107" spans="1:16" ht="18.75" x14ac:dyDescent="0.3">
      <c r="A107" s="488"/>
      <c r="B107" s="488"/>
      <c r="C107" s="488"/>
      <c r="D107" s="488"/>
      <c r="E107" s="488"/>
      <c r="F107" s="489"/>
      <c r="G107" s="489"/>
      <c r="H107" s="489"/>
      <c r="I107" s="489"/>
      <c r="J107" s="489"/>
      <c r="K107" s="489"/>
      <c r="L107" s="489"/>
      <c r="M107" s="489"/>
      <c r="N107" s="489"/>
      <c r="O107" s="489"/>
    </row>
    <row r="108" spans="1:16" ht="20.25" x14ac:dyDescent="0.3">
      <c r="A108" s="488"/>
      <c r="B108" s="358" t="s">
        <v>421</v>
      </c>
      <c r="C108" s="19">
        <v>479625.95</v>
      </c>
      <c r="D108" s="488"/>
      <c r="E108" s="488"/>
      <c r="F108" s="489"/>
      <c r="G108" s="489"/>
      <c r="H108" s="489"/>
      <c r="I108" s="489"/>
      <c r="J108" s="489"/>
      <c r="K108" s="489"/>
      <c r="L108" s="489"/>
      <c r="M108" s="489"/>
      <c r="N108" s="489"/>
      <c r="O108" s="489"/>
    </row>
    <row r="109" spans="1:16" ht="20.25" x14ac:dyDescent="0.3">
      <c r="A109" s="488"/>
      <c r="B109" s="363" t="s">
        <v>423</v>
      </c>
      <c r="C109" s="19">
        <v>700</v>
      </c>
      <c r="D109" s="488"/>
      <c r="E109" s="488"/>
      <c r="F109" s="489"/>
      <c r="G109" s="489"/>
      <c r="H109" s="489"/>
      <c r="I109" s="489"/>
      <c r="J109" s="489"/>
      <c r="K109" s="489"/>
      <c r="L109" s="489"/>
      <c r="M109" s="489"/>
      <c r="N109" s="489"/>
      <c r="O109" s="489"/>
    </row>
    <row r="110" spans="1:16" ht="20.25" x14ac:dyDescent="0.3">
      <c r="A110" s="488"/>
      <c r="B110" s="363" t="s">
        <v>424</v>
      </c>
      <c r="C110" s="19">
        <v>800</v>
      </c>
      <c r="D110" s="488"/>
      <c r="E110" s="488"/>
      <c r="F110" s="489"/>
      <c r="G110" s="489"/>
      <c r="H110" s="489"/>
      <c r="I110" s="489"/>
      <c r="J110" s="489"/>
      <c r="K110" s="489"/>
      <c r="L110" s="489"/>
      <c r="M110" s="489"/>
      <c r="N110" s="489"/>
      <c r="O110" s="489"/>
    </row>
    <row r="111" spans="1:16" ht="20.25" x14ac:dyDescent="0.3">
      <c r="A111" s="488"/>
      <c r="B111" s="363" t="s">
        <v>521</v>
      </c>
      <c r="C111" s="19">
        <v>1209</v>
      </c>
      <c r="D111" s="488"/>
      <c r="E111" s="488"/>
      <c r="F111" s="489" t="s">
        <v>839</v>
      </c>
      <c r="G111" s="489"/>
      <c r="H111" s="489"/>
      <c r="I111" s="489"/>
      <c r="J111" s="489"/>
      <c r="K111" s="489"/>
      <c r="L111" s="489"/>
      <c r="M111" s="489"/>
      <c r="N111" s="489"/>
      <c r="O111" s="489"/>
    </row>
    <row r="112" spans="1:16" ht="20.25" x14ac:dyDescent="0.3">
      <c r="A112" s="488"/>
      <c r="B112" s="363" t="s">
        <v>425</v>
      </c>
      <c r="C112" s="19">
        <v>3500</v>
      </c>
      <c r="D112" s="488"/>
      <c r="E112" s="488"/>
      <c r="F112" s="489">
        <f>+D106-C115</f>
        <v>173791.27999999997</v>
      </c>
      <c r="G112" s="489"/>
      <c r="H112" s="489"/>
      <c r="I112" s="489"/>
      <c r="J112" s="489"/>
      <c r="K112" s="489"/>
      <c r="L112" s="489"/>
      <c r="M112" s="489"/>
      <c r="N112" s="489"/>
      <c r="O112" s="489"/>
    </row>
    <row r="113" spans="1:17" ht="20.25" x14ac:dyDescent="0.3">
      <c r="A113" s="488"/>
      <c r="B113" s="367" t="s">
        <v>426</v>
      </c>
      <c r="C113" s="19"/>
      <c r="D113" s="488"/>
      <c r="E113" s="488"/>
      <c r="F113" s="489"/>
      <c r="G113" s="489"/>
      <c r="H113" s="489"/>
      <c r="I113" s="489"/>
      <c r="J113" s="489"/>
      <c r="K113" s="489"/>
      <c r="L113" s="489"/>
      <c r="M113" s="489"/>
      <c r="N113" s="489"/>
      <c r="O113" s="489"/>
    </row>
    <row r="114" spans="1:17" ht="20.25" x14ac:dyDescent="0.3">
      <c r="A114" s="488"/>
      <c r="B114" s="367" t="s">
        <v>427</v>
      </c>
      <c r="C114" s="19">
        <v>1000</v>
      </c>
      <c r="D114" s="488"/>
      <c r="E114" s="488"/>
      <c r="F114" s="489"/>
      <c r="G114" s="489"/>
      <c r="H114" s="489"/>
      <c r="I114" s="489"/>
      <c r="J114" s="489"/>
      <c r="K114" s="489"/>
      <c r="L114" s="489"/>
      <c r="M114" s="489"/>
      <c r="N114" s="489"/>
      <c r="O114" s="489"/>
    </row>
    <row r="115" spans="1:17" ht="21" x14ac:dyDescent="0.35">
      <c r="A115" s="488"/>
      <c r="C115" s="490">
        <f>SUM(C108:C114)</f>
        <v>486834.95</v>
      </c>
      <c r="D115" s="488"/>
      <c r="E115" s="488"/>
      <c r="F115" s="489"/>
      <c r="G115" s="489"/>
      <c r="H115" s="489"/>
      <c r="I115" s="489"/>
      <c r="J115" s="489"/>
      <c r="K115" s="489"/>
      <c r="L115" s="489"/>
      <c r="M115" s="489"/>
      <c r="N115" s="489"/>
      <c r="O115" s="489"/>
    </row>
    <row r="116" spans="1:17" ht="18.75" x14ac:dyDescent="0.3">
      <c r="A116" s="488"/>
      <c r="D116" s="488"/>
      <c r="E116" s="488"/>
      <c r="F116" s="489"/>
      <c r="G116" s="489"/>
      <c r="H116" s="489"/>
      <c r="I116" s="489"/>
      <c r="J116" s="489"/>
      <c r="K116" s="489"/>
      <c r="L116" s="489"/>
      <c r="M116" s="489"/>
      <c r="N116" s="489"/>
      <c r="O116" s="489"/>
    </row>
    <row r="117" spans="1:17" ht="18.75" x14ac:dyDescent="0.3">
      <c r="A117" s="488"/>
      <c r="B117" s="488"/>
      <c r="C117" s="488"/>
      <c r="D117" s="488"/>
      <c r="E117" s="488"/>
      <c r="F117" s="489"/>
      <c r="G117" s="489"/>
      <c r="H117" s="489"/>
      <c r="I117" s="489"/>
      <c r="J117" s="489"/>
      <c r="K117" s="489"/>
      <c r="L117" s="489"/>
      <c r="M117" s="489"/>
      <c r="N117" s="489"/>
      <c r="O117" s="489"/>
    </row>
    <row r="118" spans="1:17" ht="18.75" x14ac:dyDescent="0.3">
      <c r="A118" s="488"/>
      <c r="B118" s="488"/>
      <c r="C118" s="488"/>
      <c r="D118" s="488"/>
      <c r="E118" s="488"/>
      <c r="F118" s="489"/>
      <c r="G118" s="489"/>
      <c r="H118" s="489"/>
      <c r="I118" s="489"/>
      <c r="J118" s="489"/>
      <c r="K118" s="489"/>
      <c r="L118" s="489"/>
      <c r="M118" s="489"/>
      <c r="N118" s="489"/>
      <c r="O118" s="489"/>
    </row>
    <row r="119" spans="1:17" ht="18.75" x14ac:dyDescent="0.3">
      <c r="A119" s="488"/>
      <c r="B119" s="488"/>
      <c r="C119" s="488"/>
      <c r="D119" s="488"/>
      <c r="E119" s="488"/>
      <c r="F119" s="489"/>
      <c r="G119" s="489"/>
      <c r="H119" s="489"/>
      <c r="I119" s="489"/>
      <c r="J119" s="489"/>
      <c r="K119" s="489"/>
      <c r="L119" s="489"/>
      <c r="M119" s="489"/>
      <c r="N119" s="489"/>
      <c r="O119" s="489"/>
    </row>
    <row r="120" spans="1:17" ht="26.25" x14ac:dyDescent="0.4">
      <c r="A120" s="695" t="s">
        <v>840</v>
      </c>
      <c r="B120" s="695"/>
      <c r="C120" s="695"/>
      <c r="D120" s="695"/>
      <c r="E120" s="695"/>
      <c r="F120" s="695"/>
      <c r="G120" s="695"/>
      <c r="H120" s="695"/>
      <c r="I120" s="695"/>
      <c r="J120" s="695"/>
      <c r="K120" s="695"/>
      <c r="L120" s="695"/>
      <c r="M120" s="695"/>
      <c r="N120" s="695"/>
      <c r="O120" s="695"/>
      <c r="P120" s="499"/>
      <c r="Q120" s="500"/>
    </row>
    <row r="121" spans="1:17" ht="26.25" x14ac:dyDescent="0.4">
      <c r="A121" s="691" t="s">
        <v>217</v>
      </c>
      <c r="B121" s="691" t="s">
        <v>218</v>
      </c>
      <c r="C121" s="690" t="s">
        <v>219</v>
      </c>
      <c r="D121" s="691" t="s">
        <v>220</v>
      </c>
      <c r="E121" s="690" t="s">
        <v>221</v>
      </c>
      <c r="F121" s="690" t="s">
        <v>222</v>
      </c>
      <c r="G121" s="690"/>
      <c r="H121" s="690"/>
      <c r="I121" s="690"/>
      <c r="J121" s="690" t="s">
        <v>223</v>
      </c>
      <c r="K121" s="692" t="s">
        <v>224</v>
      </c>
      <c r="L121" s="692"/>
      <c r="M121" s="692"/>
      <c r="N121" s="692"/>
      <c r="O121" s="691" t="s">
        <v>37</v>
      </c>
      <c r="P121" s="491"/>
      <c r="Q121" s="491"/>
    </row>
    <row r="122" spans="1:17" ht="18.75" x14ac:dyDescent="0.3">
      <c r="A122" s="682"/>
      <c r="B122" s="682"/>
      <c r="C122" s="687"/>
      <c r="D122" s="682"/>
      <c r="E122" s="687"/>
      <c r="F122" s="687"/>
      <c r="G122" s="687"/>
      <c r="H122" s="687"/>
      <c r="I122" s="687"/>
      <c r="J122" s="687"/>
      <c r="K122" s="98" t="s">
        <v>225</v>
      </c>
      <c r="L122" s="683" t="s">
        <v>226</v>
      </c>
      <c r="M122" s="683"/>
      <c r="N122" s="683"/>
      <c r="O122" s="682"/>
      <c r="P122" s="31">
        <f>+O122-150</f>
        <v>-150</v>
      </c>
    </row>
    <row r="123" spans="1:17" ht="31.5" x14ac:dyDescent="0.3">
      <c r="A123" s="682"/>
      <c r="B123" s="682"/>
      <c r="C123" s="687"/>
      <c r="D123" s="682"/>
      <c r="E123" s="687"/>
      <c r="F123" s="99" t="s">
        <v>227</v>
      </c>
      <c r="G123" s="99" t="s">
        <v>228</v>
      </c>
      <c r="H123" s="99" t="s">
        <v>227</v>
      </c>
      <c r="I123" s="99" t="s">
        <v>229</v>
      </c>
      <c r="J123" s="99" t="s">
        <v>230</v>
      </c>
      <c r="K123" s="99" t="s">
        <v>231</v>
      </c>
      <c r="L123" s="100" t="s">
        <v>232</v>
      </c>
      <c r="M123" s="100" t="s">
        <v>233</v>
      </c>
      <c r="N123" s="99" t="s">
        <v>234</v>
      </c>
      <c r="O123" s="682"/>
      <c r="P123" s="31">
        <f t="shared" ref="P123:P138" si="41">+O123-60</f>
        <v>-60</v>
      </c>
    </row>
    <row r="124" spans="1:17" ht="18.75" x14ac:dyDescent="0.3">
      <c r="A124" s="101">
        <v>1</v>
      </c>
      <c r="B124" s="102" t="s">
        <v>320</v>
      </c>
      <c r="C124" s="101" t="s">
        <v>321</v>
      </c>
      <c r="D124" s="116" t="s">
        <v>322</v>
      </c>
      <c r="E124" s="103" t="s">
        <v>281</v>
      </c>
      <c r="F124" s="104">
        <v>550</v>
      </c>
      <c r="G124" s="478">
        <v>50</v>
      </c>
      <c r="H124" s="105">
        <f t="shared" ref="H124:H138" si="42">+F124+G124</f>
        <v>600</v>
      </c>
      <c r="I124" s="105">
        <f>+H124*12-150</f>
        <v>7050</v>
      </c>
      <c r="J124" s="105">
        <f>+H124</f>
        <v>600</v>
      </c>
      <c r="K124" s="104">
        <f t="shared" ref="K124:K137" si="43">+J124*6.75%*12</f>
        <v>486</v>
      </c>
      <c r="L124" s="105">
        <v>0</v>
      </c>
      <c r="M124" s="104">
        <f t="shared" ref="M124:M138" si="44">+J124*7.5%*12</f>
        <v>540</v>
      </c>
      <c r="N124" s="104">
        <f t="shared" ref="N124:N138" si="45">SUM(K124:M124)</f>
        <v>1026</v>
      </c>
      <c r="O124" s="106">
        <f t="shared" ref="O124:O138" si="46">ROUND((+I124+J124+N124),2)</f>
        <v>8676</v>
      </c>
      <c r="P124" s="31"/>
    </row>
    <row r="125" spans="1:17" ht="18.75" x14ac:dyDescent="0.3">
      <c r="A125" s="101">
        <v>2</v>
      </c>
      <c r="B125" s="102" t="s">
        <v>325</v>
      </c>
      <c r="C125" s="101" t="s">
        <v>326</v>
      </c>
      <c r="D125" s="116" t="s">
        <v>322</v>
      </c>
      <c r="E125" s="103" t="s">
        <v>281</v>
      </c>
      <c r="F125" s="104">
        <v>300</v>
      </c>
      <c r="G125" s="105">
        <v>20</v>
      </c>
      <c r="H125" s="105">
        <f t="shared" si="42"/>
        <v>320</v>
      </c>
      <c r="I125" s="105">
        <f>+H125*12-120</f>
        <v>3720</v>
      </c>
      <c r="J125" s="105">
        <f>+H125</f>
        <v>320</v>
      </c>
      <c r="K125" s="104">
        <f t="shared" si="43"/>
        <v>259.20000000000005</v>
      </c>
      <c r="L125" s="105">
        <v>0</v>
      </c>
      <c r="M125" s="104">
        <f t="shared" si="44"/>
        <v>288</v>
      </c>
      <c r="N125" s="104">
        <f t="shared" si="45"/>
        <v>547.20000000000005</v>
      </c>
      <c r="O125" s="106">
        <f t="shared" si="46"/>
        <v>4587.2</v>
      </c>
      <c r="P125" s="31">
        <f t="shared" si="41"/>
        <v>4527.2</v>
      </c>
    </row>
    <row r="126" spans="1:17" ht="18.75" x14ac:dyDescent="0.3">
      <c r="A126" s="101">
        <v>3</v>
      </c>
      <c r="B126" s="102" t="s">
        <v>327</v>
      </c>
      <c r="C126" s="101" t="s">
        <v>328</v>
      </c>
      <c r="D126" s="116" t="s">
        <v>322</v>
      </c>
      <c r="E126" s="103" t="s">
        <v>281</v>
      </c>
      <c r="F126" s="104">
        <v>320</v>
      </c>
      <c r="G126" s="105">
        <v>20</v>
      </c>
      <c r="H126" s="105">
        <f t="shared" si="42"/>
        <v>340</v>
      </c>
      <c r="I126" s="105">
        <f t="shared" ref="I126:I138" si="47">+H126*12-120</f>
        <v>3960</v>
      </c>
      <c r="J126" s="105">
        <f t="shared" ref="J126:J137" si="48">+H126</f>
        <v>340</v>
      </c>
      <c r="K126" s="104">
        <f t="shared" si="43"/>
        <v>275.40000000000003</v>
      </c>
      <c r="L126" s="105">
        <v>0</v>
      </c>
      <c r="M126" s="104">
        <f t="shared" si="44"/>
        <v>306</v>
      </c>
      <c r="N126" s="104">
        <f t="shared" si="45"/>
        <v>581.40000000000009</v>
      </c>
      <c r="O126" s="106">
        <f t="shared" si="46"/>
        <v>4881.3999999999996</v>
      </c>
      <c r="P126" s="31">
        <f t="shared" si="41"/>
        <v>4821.3999999999996</v>
      </c>
    </row>
    <row r="127" spans="1:17" ht="18.75" x14ac:dyDescent="0.3">
      <c r="A127" s="101">
        <v>4</v>
      </c>
      <c r="B127" s="102" t="s">
        <v>329</v>
      </c>
      <c r="C127" s="101" t="s">
        <v>328</v>
      </c>
      <c r="D127" s="116" t="s">
        <v>322</v>
      </c>
      <c r="E127" s="103" t="s">
        <v>281</v>
      </c>
      <c r="F127" s="104">
        <v>320</v>
      </c>
      <c r="G127" s="105">
        <v>20</v>
      </c>
      <c r="H127" s="105">
        <f t="shared" si="42"/>
        <v>340</v>
      </c>
      <c r="I127" s="105">
        <f t="shared" si="47"/>
        <v>3960</v>
      </c>
      <c r="J127" s="105">
        <f t="shared" si="48"/>
        <v>340</v>
      </c>
      <c r="K127" s="104">
        <f t="shared" si="43"/>
        <v>275.40000000000003</v>
      </c>
      <c r="L127" s="105">
        <v>0</v>
      </c>
      <c r="M127" s="104">
        <f t="shared" si="44"/>
        <v>306</v>
      </c>
      <c r="N127" s="104">
        <f t="shared" si="45"/>
        <v>581.40000000000009</v>
      </c>
      <c r="O127" s="106">
        <f t="shared" si="46"/>
        <v>4881.3999999999996</v>
      </c>
      <c r="P127" s="31">
        <f t="shared" si="41"/>
        <v>4821.3999999999996</v>
      </c>
    </row>
    <row r="128" spans="1:17" ht="18.75" x14ac:dyDescent="0.3">
      <c r="A128" s="101">
        <v>5</v>
      </c>
      <c r="B128" s="102" t="s">
        <v>330</v>
      </c>
      <c r="C128" s="101" t="s">
        <v>260</v>
      </c>
      <c r="D128" s="116" t="s">
        <v>322</v>
      </c>
      <c r="E128" s="103" t="s">
        <v>281</v>
      </c>
      <c r="F128" s="104">
        <v>342</v>
      </c>
      <c r="G128" s="105">
        <v>20</v>
      </c>
      <c r="H128" s="105">
        <f t="shared" si="42"/>
        <v>362</v>
      </c>
      <c r="I128" s="105">
        <f t="shared" si="47"/>
        <v>4224</v>
      </c>
      <c r="J128" s="105">
        <f t="shared" si="48"/>
        <v>362</v>
      </c>
      <c r="K128" s="104">
        <f t="shared" si="43"/>
        <v>293.22000000000003</v>
      </c>
      <c r="L128" s="105">
        <v>0</v>
      </c>
      <c r="M128" s="104">
        <f t="shared" si="44"/>
        <v>325.79999999999995</v>
      </c>
      <c r="N128" s="104">
        <f t="shared" si="45"/>
        <v>619.02</v>
      </c>
      <c r="O128" s="106">
        <f t="shared" si="46"/>
        <v>5205.0200000000004</v>
      </c>
      <c r="P128" s="31">
        <f t="shared" si="41"/>
        <v>5145.0200000000004</v>
      </c>
    </row>
    <row r="129" spans="1:16" ht="18.75" x14ac:dyDescent="0.3">
      <c r="A129" s="101">
        <v>6</v>
      </c>
      <c r="B129" s="102" t="s">
        <v>331</v>
      </c>
      <c r="C129" s="101" t="s">
        <v>260</v>
      </c>
      <c r="D129" s="116" t="s">
        <v>322</v>
      </c>
      <c r="E129" s="103" t="s">
        <v>281</v>
      </c>
      <c r="F129" s="104">
        <v>322</v>
      </c>
      <c r="G129" s="105">
        <v>20</v>
      </c>
      <c r="H129" s="105">
        <f t="shared" si="42"/>
        <v>342</v>
      </c>
      <c r="I129" s="105">
        <f t="shared" si="47"/>
        <v>3984</v>
      </c>
      <c r="J129" s="105">
        <f t="shared" si="48"/>
        <v>342</v>
      </c>
      <c r="K129" s="104">
        <f t="shared" si="43"/>
        <v>277.02</v>
      </c>
      <c r="L129" s="105">
        <v>0</v>
      </c>
      <c r="M129" s="104">
        <f t="shared" si="44"/>
        <v>307.79999999999995</v>
      </c>
      <c r="N129" s="104">
        <f t="shared" si="45"/>
        <v>584.81999999999994</v>
      </c>
      <c r="O129" s="106">
        <f t="shared" si="46"/>
        <v>4910.82</v>
      </c>
      <c r="P129" s="31">
        <f t="shared" si="41"/>
        <v>4850.82</v>
      </c>
    </row>
    <row r="130" spans="1:16" ht="18.75" x14ac:dyDescent="0.3">
      <c r="A130" s="101">
        <v>7</v>
      </c>
      <c r="B130" s="102" t="s">
        <v>332</v>
      </c>
      <c r="C130" s="101" t="s">
        <v>260</v>
      </c>
      <c r="D130" s="116" t="s">
        <v>322</v>
      </c>
      <c r="E130" s="103" t="s">
        <v>281</v>
      </c>
      <c r="F130" s="104">
        <v>322</v>
      </c>
      <c r="G130" s="105">
        <v>20</v>
      </c>
      <c r="H130" s="105">
        <f t="shared" si="42"/>
        <v>342</v>
      </c>
      <c r="I130" s="105">
        <f t="shared" si="47"/>
        <v>3984</v>
      </c>
      <c r="J130" s="105">
        <f t="shared" si="48"/>
        <v>342</v>
      </c>
      <c r="K130" s="104">
        <f t="shared" si="43"/>
        <v>277.02</v>
      </c>
      <c r="L130" s="105">
        <v>0</v>
      </c>
      <c r="M130" s="104">
        <f t="shared" si="44"/>
        <v>307.79999999999995</v>
      </c>
      <c r="N130" s="104">
        <f t="shared" si="45"/>
        <v>584.81999999999994</v>
      </c>
      <c r="O130" s="106">
        <f t="shared" si="46"/>
        <v>4910.82</v>
      </c>
      <c r="P130" s="31">
        <f t="shared" si="41"/>
        <v>4850.82</v>
      </c>
    </row>
    <row r="131" spans="1:16" ht="18.75" x14ac:dyDescent="0.3">
      <c r="A131" s="101">
        <v>8</v>
      </c>
      <c r="B131" s="124" t="s">
        <v>333</v>
      </c>
      <c r="C131" s="101" t="s">
        <v>334</v>
      </c>
      <c r="D131" s="116" t="s">
        <v>322</v>
      </c>
      <c r="E131" s="103" t="s">
        <v>281</v>
      </c>
      <c r="F131" s="104">
        <v>320</v>
      </c>
      <c r="G131" s="105">
        <v>20</v>
      </c>
      <c r="H131" s="105">
        <f t="shared" si="42"/>
        <v>340</v>
      </c>
      <c r="I131" s="105">
        <f t="shared" si="47"/>
        <v>3960</v>
      </c>
      <c r="J131" s="105">
        <f t="shared" si="48"/>
        <v>340</v>
      </c>
      <c r="K131" s="104">
        <f t="shared" si="43"/>
        <v>275.40000000000003</v>
      </c>
      <c r="L131" s="105">
        <v>0</v>
      </c>
      <c r="M131" s="104">
        <f t="shared" si="44"/>
        <v>306</v>
      </c>
      <c r="N131" s="104">
        <f t="shared" si="45"/>
        <v>581.40000000000009</v>
      </c>
      <c r="O131" s="106">
        <f t="shared" si="46"/>
        <v>4881.3999999999996</v>
      </c>
      <c r="P131" s="31">
        <f t="shared" si="41"/>
        <v>4821.3999999999996</v>
      </c>
    </row>
    <row r="132" spans="1:16" ht="18.75" x14ac:dyDescent="0.3">
      <c r="A132" s="101">
        <v>9</v>
      </c>
      <c r="B132" s="124" t="s">
        <v>335</v>
      </c>
      <c r="C132" s="101" t="s">
        <v>334</v>
      </c>
      <c r="D132" s="116" t="s">
        <v>322</v>
      </c>
      <c r="E132" s="103" t="s">
        <v>281</v>
      </c>
      <c r="F132" s="104">
        <v>320</v>
      </c>
      <c r="G132" s="105">
        <v>20</v>
      </c>
      <c r="H132" s="105">
        <f t="shared" si="42"/>
        <v>340</v>
      </c>
      <c r="I132" s="105">
        <f t="shared" si="47"/>
        <v>3960</v>
      </c>
      <c r="J132" s="105">
        <f t="shared" si="48"/>
        <v>340</v>
      </c>
      <c r="K132" s="104">
        <f t="shared" si="43"/>
        <v>275.40000000000003</v>
      </c>
      <c r="L132" s="105">
        <v>0</v>
      </c>
      <c r="M132" s="104">
        <f t="shared" si="44"/>
        <v>306</v>
      </c>
      <c r="N132" s="104">
        <f t="shared" si="45"/>
        <v>581.40000000000009</v>
      </c>
      <c r="O132" s="106">
        <f t="shared" si="46"/>
        <v>4881.3999999999996</v>
      </c>
      <c r="P132" s="31">
        <f t="shared" si="41"/>
        <v>4821.3999999999996</v>
      </c>
    </row>
    <row r="133" spans="1:16" ht="18.75" x14ac:dyDescent="0.3">
      <c r="A133" s="101">
        <v>10</v>
      </c>
      <c r="B133" s="124" t="s">
        <v>336</v>
      </c>
      <c r="C133" s="101" t="s">
        <v>334</v>
      </c>
      <c r="D133" s="116" t="s">
        <v>322</v>
      </c>
      <c r="E133" s="103" t="s">
        <v>281</v>
      </c>
      <c r="F133" s="104">
        <v>320</v>
      </c>
      <c r="G133" s="105">
        <v>20</v>
      </c>
      <c r="H133" s="105">
        <f t="shared" si="42"/>
        <v>340</v>
      </c>
      <c r="I133" s="105">
        <f t="shared" si="47"/>
        <v>3960</v>
      </c>
      <c r="J133" s="105">
        <f t="shared" si="48"/>
        <v>340</v>
      </c>
      <c r="K133" s="104">
        <f t="shared" si="43"/>
        <v>275.40000000000003</v>
      </c>
      <c r="L133" s="105">
        <v>0</v>
      </c>
      <c r="M133" s="104">
        <f t="shared" si="44"/>
        <v>306</v>
      </c>
      <c r="N133" s="104">
        <f t="shared" si="45"/>
        <v>581.40000000000009</v>
      </c>
      <c r="O133" s="106">
        <f t="shared" si="46"/>
        <v>4881.3999999999996</v>
      </c>
      <c r="P133" s="31">
        <f t="shared" si="41"/>
        <v>4821.3999999999996</v>
      </c>
    </row>
    <row r="134" spans="1:16" ht="18.75" x14ac:dyDescent="0.3">
      <c r="A134" s="101">
        <v>11</v>
      </c>
      <c r="B134" s="124" t="s">
        <v>337</v>
      </c>
      <c r="C134" s="101" t="s">
        <v>334</v>
      </c>
      <c r="D134" s="116" t="s">
        <v>322</v>
      </c>
      <c r="E134" s="103" t="s">
        <v>281</v>
      </c>
      <c r="F134" s="104">
        <v>320</v>
      </c>
      <c r="G134" s="105">
        <v>20</v>
      </c>
      <c r="H134" s="105">
        <f t="shared" si="42"/>
        <v>340</v>
      </c>
      <c r="I134" s="105">
        <f t="shared" si="47"/>
        <v>3960</v>
      </c>
      <c r="J134" s="105">
        <f t="shared" si="48"/>
        <v>340</v>
      </c>
      <c r="K134" s="104">
        <f t="shared" si="43"/>
        <v>275.40000000000003</v>
      </c>
      <c r="L134" s="105">
        <v>0</v>
      </c>
      <c r="M134" s="104">
        <f t="shared" si="44"/>
        <v>306</v>
      </c>
      <c r="N134" s="104">
        <f t="shared" si="45"/>
        <v>581.40000000000009</v>
      </c>
      <c r="O134" s="106">
        <f t="shared" si="46"/>
        <v>4881.3999999999996</v>
      </c>
      <c r="P134" s="31">
        <f t="shared" si="41"/>
        <v>4821.3999999999996</v>
      </c>
    </row>
    <row r="135" spans="1:16" ht="18.75" x14ac:dyDescent="0.3">
      <c r="A135" s="101">
        <v>12</v>
      </c>
      <c r="B135" s="167" t="s">
        <v>494</v>
      </c>
      <c r="C135" s="101" t="s">
        <v>496</v>
      </c>
      <c r="D135" s="116" t="s">
        <v>322</v>
      </c>
      <c r="E135" s="103" t="s">
        <v>281</v>
      </c>
      <c r="F135" s="104">
        <v>302</v>
      </c>
      <c r="G135" s="105">
        <v>20</v>
      </c>
      <c r="H135" s="105">
        <f t="shared" si="42"/>
        <v>322</v>
      </c>
      <c r="I135" s="105">
        <f t="shared" si="47"/>
        <v>3744</v>
      </c>
      <c r="J135" s="105">
        <f t="shared" si="48"/>
        <v>322</v>
      </c>
      <c r="K135" s="104">
        <f t="shared" si="43"/>
        <v>260.82000000000005</v>
      </c>
      <c r="L135" s="105">
        <v>0</v>
      </c>
      <c r="M135" s="104">
        <f t="shared" si="44"/>
        <v>289.79999999999995</v>
      </c>
      <c r="N135" s="104">
        <f t="shared" si="45"/>
        <v>550.62</v>
      </c>
      <c r="O135" s="106">
        <f t="shared" si="46"/>
        <v>4616.62</v>
      </c>
      <c r="P135" s="31">
        <f t="shared" si="41"/>
        <v>4556.62</v>
      </c>
    </row>
    <row r="136" spans="1:16" ht="18.75" x14ac:dyDescent="0.3">
      <c r="A136" s="101">
        <v>13</v>
      </c>
      <c r="B136" s="107" t="s">
        <v>262</v>
      </c>
      <c r="C136" s="108" t="s">
        <v>260</v>
      </c>
      <c r="D136" s="101" t="s">
        <v>237</v>
      </c>
      <c r="E136" s="103" t="s">
        <v>238</v>
      </c>
      <c r="F136" s="105">
        <v>322</v>
      </c>
      <c r="G136" s="105">
        <v>20</v>
      </c>
      <c r="H136" s="105">
        <f t="shared" si="42"/>
        <v>342</v>
      </c>
      <c r="I136" s="105">
        <f t="shared" si="47"/>
        <v>3984</v>
      </c>
      <c r="J136" s="104">
        <f t="shared" si="48"/>
        <v>342</v>
      </c>
      <c r="K136" s="104">
        <f t="shared" si="43"/>
        <v>277.02</v>
      </c>
      <c r="L136" s="105">
        <v>0</v>
      </c>
      <c r="M136" s="104">
        <f t="shared" si="44"/>
        <v>307.79999999999995</v>
      </c>
      <c r="N136" s="104">
        <f t="shared" ref="N136:N137" si="49">SUM(K136:M136)</f>
        <v>584.81999999999994</v>
      </c>
      <c r="O136" s="106">
        <f t="shared" si="46"/>
        <v>4910.82</v>
      </c>
      <c r="P136" s="31">
        <f t="shared" si="41"/>
        <v>4850.82</v>
      </c>
    </row>
    <row r="137" spans="1:16" ht="18.75" x14ac:dyDescent="0.3">
      <c r="A137" s="101">
        <v>14</v>
      </c>
      <c r="B137" s="107" t="s">
        <v>493</v>
      </c>
      <c r="C137" s="108" t="s">
        <v>260</v>
      </c>
      <c r="D137" s="101" t="s">
        <v>237</v>
      </c>
      <c r="E137" s="103" t="s">
        <v>238</v>
      </c>
      <c r="F137" s="105">
        <v>342</v>
      </c>
      <c r="G137" s="105">
        <v>20</v>
      </c>
      <c r="H137" s="105">
        <f>+F137+G137</f>
        <v>362</v>
      </c>
      <c r="I137" s="105">
        <f t="shared" si="47"/>
        <v>4224</v>
      </c>
      <c r="J137" s="104">
        <f t="shared" si="48"/>
        <v>362</v>
      </c>
      <c r="K137" s="104">
        <f t="shared" si="43"/>
        <v>293.22000000000003</v>
      </c>
      <c r="L137" s="105">
        <v>0</v>
      </c>
      <c r="M137" s="104">
        <f t="shared" si="44"/>
        <v>325.79999999999995</v>
      </c>
      <c r="N137" s="104">
        <f t="shared" si="49"/>
        <v>619.02</v>
      </c>
      <c r="O137" s="106">
        <f t="shared" si="46"/>
        <v>5205.0200000000004</v>
      </c>
      <c r="P137" s="31">
        <f>+O137-60</f>
        <v>5145.0200000000004</v>
      </c>
    </row>
    <row r="138" spans="1:16" ht="18.75" x14ac:dyDescent="0.3">
      <c r="A138" s="101">
        <v>15</v>
      </c>
      <c r="B138" s="167" t="s">
        <v>495</v>
      </c>
      <c r="C138" s="101"/>
      <c r="D138" s="116" t="s">
        <v>322</v>
      </c>
      <c r="E138" s="103" t="s">
        <v>281</v>
      </c>
      <c r="F138" s="104">
        <v>302</v>
      </c>
      <c r="G138" s="105">
        <v>20</v>
      </c>
      <c r="H138" s="105">
        <f t="shared" si="42"/>
        <v>322</v>
      </c>
      <c r="I138" s="105">
        <f t="shared" si="47"/>
        <v>3744</v>
      </c>
      <c r="J138" s="105">
        <f>+H138</f>
        <v>322</v>
      </c>
      <c r="K138" s="104">
        <f>+J138*6.75%*12</f>
        <v>260.82000000000005</v>
      </c>
      <c r="L138" s="105">
        <v>0</v>
      </c>
      <c r="M138" s="104">
        <f t="shared" si="44"/>
        <v>289.79999999999995</v>
      </c>
      <c r="N138" s="104">
        <f t="shared" si="45"/>
        <v>550.62</v>
      </c>
      <c r="O138" s="106">
        <f t="shared" si="46"/>
        <v>4616.62</v>
      </c>
      <c r="P138" s="31">
        <f t="shared" si="41"/>
        <v>4556.62</v>
      </c>
    </row>
    <row r="139" spans="1:16" ht="15.75" x14ac:dyDescent="0.25">
      <c r="A139" s="101"/>
      <c r="B139" s="114" t="s">
        <v>249</v>
      </c>
      <c r="C139" s="101"/>
      <c r="D139" s="116"/>
      <c r="E139" s="103"/>
      <c r="F139" s="115">
        <f t="shared" ref="F139:O139" si="50">SUM(F122:F138)</f>
        <v>5024</v>
      </c>
      <c r="G139" s="115">
        <f t="shared" si="50"/>
        <v>330</v>
      </c>
      <c r="H139" s="115">
        <f t="shared" si="50"/>
        <v>5354</v>
      </c>
      <c r="I139" s="115">
        <f>SUM(I122:I138)</f>
        <v>62418</v>
      </c>
      <c r="J139" s="115">
        <f t="shared" si="50"/>
        <v>5354</v>
      </c>
      <c r="K139" s="115">
        <f t="shared" si="50"/>
        <v>4336.7400000000007</v>
      </c>
      <c r="L139" s="115">
        <f t="shared" si="50"/>
        <v>0</v>
      </c>
      <c r="M139" s="115">
        <f t="shared" si="50"/>
        <v>4818.6000000000004</v>
      </c>
      <c r="N139" s="115">
        <f t="shared" si="50"/>
        <v>9155.3399999999983</v>
      </c>
      <c r="O139" s="115">
        <f t="shared" si="50"/>
        <v>76927.340000000011</v>
      </c>
    </row>
  </sheetData>
  <mergeCells count="34">
    <mergeCell ref="A120:O120"/>
    <mergeCell ref="E33:E35"/>
    <mergeCell ref="F33:I34"/>
    <mergeCell ref="J33:J34"/>
    <mergeCell ref="K33:N33"/>
    <mergeCell ref="O33:O35"/>
    <mergeCell ref="L34:N34"/>
    <mergeCell ref="A31:O31"/>
    <mergeCell ref="A121:A123"/>
    <mergeCell ref="B121:B123"/>
    <mergeCell ref="C121:C123"/>
    <mergeCell ref="D121:D123"/>
    <mergeCell ref="E121:E123"/>
    <mergeCell ref="F121:I122"/>
    <mergeCell ref="J121:J122"/>
    <mergeCell ref="K121:N121"/>
    <mergeCell ref="O121:O123"/>
    <mergeCell ref="L122:N122"/>
    <mergeCell ref="A32:O32"/>
    <mergeCell ref="A33:A35"/>
    <mergeCell ref="B33:B35"/>
    <mergeCell ref="C33:C35"/>
    <mergeCell ref="D33:D35"/>
    <mergeCell ref="A1:O1"/>
    <mergeCell ref="A2:A4"/>
    <mergeCell ref="B2:B4"/>
    <mergeCell ref="C2:C4"/>
    <mergeCell ref="D2:D4"/>
    <mergeCell ref="E2:E4"/>
    <mergeCell ref="F2:I3"/>
    <mergeCell ref="J2:J3"/>
    <mergeCell ref="K2:N2"/>
    <mergeCell ref="O2:O4"/>
    <mergeCell ref="L3:N3"/>
  </mergeCells>
  <pageMargins left="0.7" right="0.7" top="0.75" bottom="0.75" header="0.3" footer="0.3"/>
  <pageSetup paperSize="9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4" workbookViewId="0">
      <selection activeCell="H15" sqref="H15"/>
    </sheetView>
  </sheetViews>
  <sheetFormatPr baseColWidth="10" defaultRowHeight="15" x14ac:dyDescent="0.25"/>
  <cols>
    <col min="7" max="7" width="71.42578125" customWidth="1"/>
    <col min="8" max="8" width="28.42578125" customWidth="1"/>
    <col min="9" max="9" width="17.42578125" bestFit="1" customWidth="1"/>
    <col min="10" max="10" width="18.5703125" customWidth="1"/>
    <col min="11" max="11" width="24.42578125" customWidth="1"/>
    <col min="13" max="13" width="12.5703125" bestFit="1" customWidth="1"/>
  </cols>
  <sheetData>
    <row r="1" spans="1:12" ht="27.75" x14ac:dyDescent="0.45">
      <c r="A1" s="142"/>
      <c r="B1" s="143"/>
      <c r="C1" s="144"/>
      <c r="D1" s="144"/>
      <c r="E1" s="144"/>
      <c r="F1" s="144"/>
      <c r="G1" s="144"/>
      <c r="H1" s="145" t="s">
        <v>387</v>
      </c>
    </row>
    <row r="2" spans="1:12" ht="27.75" x14ac:dyDescent="0.45">
      <c r="A2" s="705" t="s">
        <v>388</v>
      </c>
      <c r="B2" s="706"/>
      <c r="C2" s="706"/>
      <c r="D2" s="706"/>
      <c r="E2" s="706"/>
      <c r="F2" s="706"/>
      <c r="G2" s="706"/>
      <c r="H2" s="706"/>
    </row>
    <row r="3" spans="1:12" ht="27.75" x14ac:dyDescent="0.45">
      <c r="A3" s="705" t="s">
        <v>389</v>
      </c>
      <c r="B3" s="706"/>
      <c r="C3" s="706"/>
      <c r="D3" s="706"/>
      <c r="E3" s="706"/>
      <c r="F3" s="706"/>
      <c r="G3" s="706"/>
      <c r="H3" s="706"/>
    </row>
    <row r="4" spans="1:12" ht="27.75" x14ac:dyDescent="0.45">
      <c r="A4" s="705" t="s">
        <v>390</v>
      </c>
      <c r="B4" s="706"/>
      <c r="C4" s="706"/>
      <c r="D4" s="706"/>
      <c r="E4" s="706"/>
      <c r="F4" s="706"/>
      <c r="G4" s="706"/>
      <c r="H4" s="706"/>
    </row>
    <row r="5" spans="1:12" ht="27.75" x14ac:dyDescent="0.45">
      <c r="A5" s="705" t="s">
        <v>416</v>
      </c>
      <c r="B5" s="706"/>
      <c r="C5" s="706"/>
      <c r="D5" s="706"/>
      <c r="E5" s="706"/>
      <c r="F5" s="706"/>
      <c r="G5" s="706"/>
      <c r="H5" s="706"/>
    </row>
    <row r="6" spans="1:12" ht="27.75" x14ac:dyDescent="0.45">
      <c r="A6" s="705" t="s">
        <v>392</v>
      </c>
      <c r="B6" s="706"/>
      <c r="C6" s="706"/>
      <c r="D6" s="706"/>
      <c r="E6" s="706"/>
      <c r="F6" s="706"/>
      <c r="G6" s="706"/>
      <c r="H6" s="706"/>
    </row>
    <row r="7" spans="1:12" ht="27.75" x14ac:dyDescent="0.45">
      <c r="A7" s="707" t="s">
        <v>393</v>
      </c>
      <c r="B7" s="707"/>
      <c r="C7" s="707"/>
      <c r="D7" s="707"/>
      <c r="E7" s="707"/>
      <c r="F7" s="707"/>
      <c r="G7" s="707"/>
      <c r="H7" s="707"/>
    </row>
    <row r="8" spans="1:12" ht="28.5" thickBot="1" x14ac:dyDescent="0.5">
      <c r="A8" s="698" t="s">
        <v>394</v>
      </c>
      <c r="B8" s="698"/>
      <c r="C8" s="698"/>
      <c r="D8" s="698"/>
      <c r="E8" s="698"/>
      <c r="F8" s="698"/>
      <c r="G8" s="698"/>
      <c r="H8" s="698"/>
    </row>
    <row r="9" spans="1:12" ht="16.5" thickBot="1" x14ac:dyDescent="0.35">
      <c r="A9" s="699" t="s">
        <v>395</v>
      </c>
      <c r="B9" s="700"/>
      <c r="C9" s="700"/>
      <c r="D9" s="700"/>
      <c r="E9" s="700"/>
      <c r="F9" s="700"/>
      <c r="G9" s="701" t="s">
        <v>396</v>
      </c>
      <c r="H9" s="703" t="s">
        <v>397</v>
      </c>
    </row>
    <row r="10" spans="1:12" ht="95.25" x14ac:dyDescent="0.25">
      <c r="A10" s="227" t="s">
        <v>398</v>
      </c>
      <c r="B10" s="228" t="s">
        <v>399</v>
      </c>
      <c r="C10" s="228" t="s">
        <v>400</v>
      </c>
      <c r="D10" s="228" t="s">
        <v>401</v>
      </c>
      <c r="E10" s="229" t="s">
        <v>402</v>
      </c>
      <c r="F10" s="230" t="s">
        <v>403</v>
      </c>
      <c r="G10" s="702"/>
      <c r="H10" s="704"/>
    </row>
    <row r="11" spans="1:12" ht="18" x14ac:dyDescent="0.25">
      <c r="A11" s="146">
        <v>1</v>
      </c>
      <c r="B11" s="147" t="s">
        <v>404</v>
      </c>
      <c r="C11" s="147" t="s">
        <v>404</v>
      </c>
      <c r="D11" s="147" t="s">
        <v>405</v>
      </c>
      <c r="E11" s="147" t="s">
        <v>406</v>
      </c>
      <c r="F11" s="147" t="s">
        <v>75</v>
      </c>
      <c r="G11" s="148" t="s">
        <v>76</v>
      </c>
      <c r="H11" s="380">
        <f>+Hoja1!O18</f>
        <v>197931.51999999999</v>
      </c>
      <c r="I11" s="27"/>
    </row>
    <row r="12" spans="1:12" ht="18" x14ac:dyDescent="0.25">
      <c r="A12" s="146">
        <v>1</v>
      </c>
      <c r="B12" s="147" t="s">
        <v>404</v>
      </c>
      <c r="C12" s="147" t="s">
        <v>404</v>
      </c>
      <c r="D12" s="147" t="s">
        <v>405</v>
      </c>
      <c r="E12" s="147" t="s">
        <v>406</v>
      </c>
      <c r="F12" s="147" t="s">
        <v>75</v>
      </c>
      <c r="G12" s="150" t="s">
        <v>407</v>
      </c>
      <c r="H12" s="381">
        <v>1901.12</v>
      </c>
    </row>
    <row r="13" spans="1:12" ht="21" x14ac:dyDescent="0.35">
      <c r="A13" s="146">
        <v>1</v>
      </c>
      <c r="B13" s="147" t="s">
        <v>404</v>
      </c>
      <c r="C13" s="147" t="s">
        <v>404</v>
      </c>
      <c r="D13" s="147" t="s">
        <v>405</v>
      </c>
      <c r="E13" s="147" t="s">
        <v>406</v>
      </c>
      <c r="F13" s="152">
        <v>51103</v>
      </c>
      <c r="G13" s="148" t="s">
        <v>78</v>
      </c>
      <c r="H13" s="380">
        <f>+Hoja1!J18</f>
        <v>7004</v>
      </c>
      <c r="K13" s="346">
        <f>SUM(H11:H18)</f>
        <v>235156.158</v>
      </c>
      <c r="L13">
        <v>51</v>
      </c>
    </row>
    <row r="14" spans="1:12" ht="21" x14ac:dyDescent="0.35">
      <c r="A14" s="146">
        <v>1</v>
      </c>
      <c r="B14" s="147" t="s">
        <v>404</v>
      </c>
      <c r="C14" s="147" t="s">
        <v>404</v>
      </c>
      <c r="D14" s="147" t="s">
        <v>405</v>
      </c>
      <c r="E14" s="147" t="s">
        <v>406</v>
      </c>
      <c r="F14" s="152">
        <v>51107</v>
      </c>
      <c r="G14" s="148" t="s">
        <v>82</v>
      </c>
      <c r="H14" s="380">
        <v>500</v>
      </c>
      <c r="K14" s="171">
        <f>SUM(H19:H33)</f>
        <v>200212.21</v>
      </c>
      <c r="L14">
        <v>54</v>
      </c>
    </row>
    <row r="15" spans="1:12" ht="21" x14ac:dyDescent="0.35">
      <c r="A15" s="146">
        <v>1</v>
      </c>
      <c r="B15" s="147" t="s">
        <v>404</v>
      </c>
      <c r="C15" s="147" t="s">
        <v>404</v>
      </c>
      <c r="D15" s="147" t="s">
        <v>405</v>
      </c>
      <c r="E15" s="147" t="s">
        <v>406</v>
      </c>
      <c r="F15" s="152">
        <v>51301</v>
      </c>
      <c r="G15" s="148" t="s">
        <v>86</v>
      </c>
      <c r="H15" s="380">
        <v>200</v>
      </c>
      <c r="K15" s="171">
        <f>+H34+H35</f>
        <v>11826.94</v>
      </c>
      <c r="L15">
        <v>55</v>
      </c>
    </row>
    <row r="16" spans="1:12" ht="21" x14ac:dyDescent="0.35">
      <c r="A16" s="146">
        <v>1</v>
      </c>
      <c r="B16" s="147" t="s">
        <v>404</v>
      </c>
      <c r="C16" s="147" t="s">
        <v>404</v>
      </c>
      <c r="D16" s="147" t="s">
        <v>405</v>
      </c>
      <c r="E16" s="147" t="s">
        <v>406</v>
      </c>
      <c r="F16" s="152">
        <v>51401</v>
      </c>
      <c r="G16" s="37" t="s">
        <v>89</v>
      </c>
      <c r="H16" s="380">
        <f>+Hoja1!M18</f>
        <v>11605.878000000002</v>
      </c>
      <c r="K16" s="171">
        <f>+H36</f>
        <v>4000</v>
      </c>
      <c r="L16">
        <v>56</v>
      </c>
    </row>
    <row r="17" spans="1:13" ht="21" x14ac:dyDescent="0.35">
      <c r="A17" s="146">
        <v>1</v>
      </c>
      <c r="B17" s="147" t="s">
        <v>404</v>
      </c>
      <c r="C17" s="147" t="s">
        <v>404</v>
      </c>
      <c r="D17" s="147" t="s">
        <v>405</v>
      </c>
      <c r="E17" s="147" t="s">
        <v>406</v>
      </c>
      <c r="F17" s="152">
        <v>51501</v>
      </c>
      <c r="G17" s="37" t="s">
        <v>91</v>
      </c>
      <c r="H17" s="380">
        <f>+Hoja1!K18</f>
        <v>11213.640000000003</v>
      </c>
      <c r="K17" s="171">
        <f>+H37</f>
        <v>2000</v>
      </c>
      <c r="L17">
        <v>61</v>
      </c>
    </row>
    <row r="18" spans="1:13" ht="21" x14ac:dyDescent="0.35">
      <c r="A18" s="146">
        <v>1</v>
      </c>
      <c r="B18" s="147" t="s">
        <v>404</v>
      </c>
      <c r="C18" s="147" t="s">
        <v>404</v>
      </c>
      <c r="D18" s="147" t="s">
        <v>405</v>
      </c>
      <c r="E18" s="147" t="s">
        <v>406</v>
      </c>
      <c r="F18" s="38">
        <v>51601</v>
      </c>
      <c r="G18" s="39" t="s">
        <v>92</v>
      </c>
      <c r="H18" s="382">
        <v>4800</v>
      </c>
      <c r="I18" s="27">
        <f>SUM(H11:H18)</f>
        <v>235156.158</v>
      </c>
      <c r="K18" s="171">
        <f>+K13+K14+K15+K16+K17</f>
        <v>453195.30800000002</v>
      </c>
    </row>
    <row r="19" spans="1:13" ht="18" x14ac:dyDescent="0.25">
      <c r="A19" s="146">
        <v>1</v>
      </c>
      <c r="B19" s="147" t="s">
        <v>404</v>
      </c>
      <c r="C19" s="147" t="s">
        <v>404</v>
      </c>
      <c r="D19" s="147" t="s">
        <v>405</v>
      </c>
      <c r="E19" s="147" t="s">
        <v>406</v>
      </c>
      <c r="F19" s="152">
        <v>54101</v>
      </c>
      <c r="G19" s="148" t="s">
        <v>408</v>
      </c>
      <c r="H19" s="380">
        <v>2212.21</v>
      </c>
      <c r="K19" s="27"/>
    </row>
    <row r="20" spans="1:13" ht="18" x14ac:dyDescent="0.25">
      <c r="A20" s="146">
        <v>1</v>
      </c>
      <c r="B20" s="147" t="s">
        <v>404</v>
      </c>
      <c r="C20" s="147" t="s">
        <v>404</v>
      </c>
      <c r="D20" s="147" t="s">
        <v>405</v>
      </c>
      <c r="E20" s="147" t="s">
        <v>406</v>
      </c>
      <c r="F20" s="152">
        <v>54105</v>
      </c>
      <c r="G20" s="148" t="s">
        <v>409</v>
      </c>
      <c r="H20" s="380">
        <v>10000</v>
      </c>
      <c r="K20" s="27"/>
    </row>
    <row r="21" spans="1:13" ht="18" x14ac:dyDescent="0.25">
      <c r="A21" s="146">
        <v>1</v>
      </c>
      <c r="B21" s="147" t="s">
        <v>404</v>
      </c>
      <c r="C21" s="147" t="s">
        <v>404</v>
      </c>
      <c r="D21" s="147" t="s">
        <v>405</v>
      </c>
      <c r="E21" s="147" t="s">
        <v>406</v>
      </c>
      <c r="F21" s="152">
        <v>54109</v>
      </c>
      <c r="G21" s="148" t="s">
        <v>410</v>
      </c>
      <c r="H21" s="380">
        <v>8000</v>
      </c>
    </row>
    <row r="22" spans="1:13" ht="18" x14ac:dyDescent="0.25">
      <c r="A22" s="146">
        <v>1</v>
      </c>
      <c r="B22" s="147" t="s">
        <v>404</v>
      </c>
      <c r="C22" s="147" t="s">
        <v>404</v>
      </c>
      <c r="D22" s="147" t="s">
        <v>405</v>
      </c>
      <c r="E22" s="147" t="s">
        <v>406</v>
      </c>
      <c r="F22" s="152">
        <v>54110</v>
      </c>
      <c r="G22" s="148" t="s">
        <v>411</v>
      </c>
      <c r="H22" s="380">
        <v>16000</v>
      </c>
      <c r="M22" s="27"/>
    </row>
    <row r="23" spans="1:13" ht="18" x14ac:dyDescent="0.25">
      <c r="A23" s="146">
        <v>1</v>
      </c>
      <c r="B23" s="147" t="s">
        <v>404</v>
      </c>
      <c r="C23" s="147" t="s">
        <v>404</v>
      </c>
      <c r="D23" s="147" t="s">
        <v>405</v>
      </c>
      <c r="E23" s="147" t="s">
        <v>406</v>
      </c>
      <c r="F23" s="152">
        <v>54114</v>
      </c>
      <c r="G23" s="148" t="s">
        <v>109</v>
      </c>
      <c r="H23" s="380">
        <v>9000</v>
      </c>
      <c r="M23" s="27"/>
    </row>
    <row r="24" spans="1:13" ht="18" x14ac:dyDescent="0.25">
      <c r="A24" s="146">
        <v>1</v>
      </c>
      <c r="B24" s="147" t="s">
        <v>404</v>
      </c>
      <c r="C24" s="147" t="s">
        <v>404</v>
      </c>
      <c r="D24" s="147" t="s">
        <v>405</v>
      </c>
      <c r="E24" s="147" t="s">
        <v>406</v>
      </c>
      <c r="F24" s="152">
        <v>54115</v>
      </c>
      <c r="G24" s="148" t="s">
        <v>110</v>
      </c>
      <c r="H24" s="380">
        <v>8000</v>
      </c>
    </row>
    <row r="25" spans="1:13" ht="18" x14ac:dyDescent="0.25">
      <c r="A25" s="146">
        <v>1</v>
      </c>
      <c r="B25" s="147" t="s">
        <v>404</v>
      </c>
      <c r="C25" s="147" t="s">
        <v>404</v>
      </c>
      <c r="D25" s="147" t="s">
        <v>405</v>
      </c>
      <c r="E25" s="147" t="s">
        <v>406</v>
      </c>
      <c r="F25" s="38">
        <v>54118</v>
      </c>
      <c r="G25" s="39" t="s">
        <v>113</v>
      </c>
      <c r="H25" s="382">
        <v>6000</v>
      </c>
    </row>
    <row r="26" spans="1:13" ht="18" x14ac:dyDescent="0.25">
      <c r="A26" s="146">
        <v>1</v>
      </c>
      <c r="B26" s="147" t="s">
        <v>404</v>
      </c>
      <c r="C26" s="147" t="s">
        <v>404</v>
      </c>
      <c r="D26" s="147" t="s">
        <v>405</v>
      </c>
      <c r="E26" s="147" t="s">
        <v>406</v>
      </c>
      <c r="F26" s="38">
        <v>54121</v>
      </c>
      <c r="G26" s="39" t="s">
        <v>115</v>
      </c>
      <c r="H26" s="382">
        <v>7000</v>
      </c>
    </row>
    <row r="27" spans="1:13" ht="18" x14ac:dyDescent="0.25">
      <c r="A27" s="146">
        <v>1</v>
      </c>
      <c r="B27" s="147" t="s">
        <v>404</v>
      </c>
      <c r="C27" s="147" t="s">
        <v>404</v>
      </c>
      <c r="D27" s="147" t="s">
        <v>405</v>
      </c>
      <c r="E27" s="147" t="s">
        <v>406</v>
      </c>
      <c r="F27" s="38">
        <v>54201</v>
      </c>
      <c r="G27" s="39" t="s">
        <v>117</v>
      </c>
      <c r="H27" s="382">
        <v>28000</v>
      </c>
      <c r="M27" s="27"/>
    </row>
    <row r="28" spans="1:13" ht="18" x14ac:dyDescent="0.25">
      <c r="A28" s="146">
        <v>1</v>
      </c>
      <c r="B28" s="147" t="s">
        <v>404</v>
      </c>
      <c r="C28" s="147" t="s">
        <v>404</v>
      </c>
      <c r="D28" s="147" t="s">
        <v>405</v>
      </c>
      <c r="E28" s="147" t="s">
        <v>406</v>
      </c>
      <c r="F28" s="152">
        <v>54202</v>
      </c>
      <c r="G28" s="148" t="s">
        <v>412</v>
      </c>
      <c r="H28" s="380">
        <v>21000</v>
      </c>
      <c r="M28" s="27"/>
    </row>
    <row r="29" spans="1:13" ht="18" x14ac:dyDescent="0.25">
      <c r="A29" s="146">
        <v>1</v>
      </c>
      <c r="B29" s="147" t="s">
        <v>404</v>
      </c>
      <c r="C29" s="147" t="s">
        <v>404</v>
      </c>
      <c r="D29" s="147" t="s">
        <v>405</v>
      </c>
      <c r="E29" s="147" t="s">
        <v>406</v>
      </c>
      <c r="F29" s="152">
        <v>54203</v>
      </c>
      <c r="G29" s="148" t="s">
        <v>413</v>
      </c>
      <c r="H29" s="380">
        <v>21000</v>
      </c>
      <c r="M29" s="27"/>
    </row>
    <row r="30" spans="1:13" ht="18" x14ac:dyDescent="0.25">
      <c r="A30" s="146">
        <v>1</v>
      </c>
      <c r="B30" s="147" t="s">
        <v>404</v>
      </c>
      <c r="C30" s="147" t="s">
        <v>404</v>
      </c>
      <c r="D30" s="147" t="s">
        <v>405</v>
      </c>
      <c r="E30" s="147" t="s">
        <v>406</v>
      </c>
      <c r="F30" s="152">
        <v>54205</v>
      </c>
      <c r="G30" s="148" t="s">
        <v>13</v>
      </c>
      <c r="H30" s="380">
        <v>42000</v>
      </c>
    </row>
    <row r="31" spans="1:13" ht="18" x14ac:dyDescent="0.25">
      <c r="A31" s="146">
        <v>1</v>
      </c>
      <c r="B31" s="147" t="s">
        <v>404</v>
      </c>
      <c r="C31" s="147" t="s">
        <v>404</v>
      </c>
      <c r="D31" s="147" t="s">
        <v>405</v>
      </c>
      <c r="E31" s="147" t="s">
        <v>406</v>
      </c>
      <c r="F31" s="38">
        <v>54302</v>
      </c>
      <c r="G31" s="39" t="s">
        <v>122</v>
      </c>
      <c r="H31" s="382">
        <v>17000</v>
      </c>
    </row>
    <row r="32" spans="1:13" ht="18" x14ac:dyDescent="0.25">
      <c r="A32" s="146">
        <v>1</v>
      </c>
      <c r="B32" s="147" t="s">
        <v>404</v>
      </c>
      <c r="C32" s="147" t="s">
        <v>404</v>
      </c>
      <c r="D32" s="147" t="s">
        <v>405</v>
      </c>
      <c r="E32" s="147" t="s">
        <v>406</v>
      </c>
      <c r="F32" s="38">
        <v>54305</v>
      </c>
      <c r="G32" s="39" t="s">
        <v>125</v>
      </c>
      <c r="H32" s="382">
        <v>1000</v>
      </c>
    </row>
    <row r="33" spans="1:14" ht="18" x14ac:dyDescent="0.25">
      <c r="A33" s="146">
        <v>1</v>
      </c>
      <c r="B33" s="147" t="s">
        <v>404</v>
      </c>
      <c r="C33" s="147" t="s">
        <v>404</v>
      </c>
      <c r="D33" s="147" t="s">
        <v>405</v>
      </c>
      <c r="E33" s="147" t="s">
        <v>406</v>
      </c>
      <c r="F33" s="38">
        <v>54404</v>
      </c>
      <c r="G33" s="39" t="s">
        <v>138</v>
      </c>
      <c r="H33" s="382">
        <v>4000</v>
      </c>
    </row>
    <row r="34" spans="1:14" ht="18" x14ac:dyDescent="0.25">
      <c r="A34" s="146"/>
      <c r="B34" s="147"/>
      <c r="C34" s="147"/>
      <c r="D34" s="147"/>
      <c r="E34" s="147"/>
      <c r="F34" s="38">
        <v>55601</v>
      </c>
      <c r="G34" s="39" t="str">
        <f>+'FONDO MUNICIPAL'!G46</f>
        <v>Primas y gastos seguros de personas</v>
      </c>
      <c r="H34" s="382">
        <v>3326.94</v>
      </c>
    </row>
    <row r="35" spans="1:14" ht="18" x14ac:dyDescent="0.25">
      <c r="A35" s="146">
        <v>1</v>
      </c>
      <c r="B35" s="147" t="s">
        <v>404</v>
      </c>
      <c r="C35" s="147" t="s">
        <v>404</v>
      </c>
      <c r="D35" s="147" t="s">
        <v>405</v>
      </c>
      <c r="E35" s="147" t="s">
        <v>406</v>
      </c>
      <c r="F35" s="38">
        <v>55602</v>
      </c>
      <c r="G35" s="39" t="s">
        <v>414</v>
      </c>
      <c r="H35" s="382">
        <v>8500</v>
      </c>
      <c r="N35" s="27"/>
    </row>
    <row r="36" spans="1:14" ht="18" x14ac:dyDescent="0.25">
      <c r="A36" s="146">
        <v>1</v>
      </c>
      <c r="B36" s="147" t="s">
        <v>404</v>
      </c>
      <c r="C36" s="147" t="s">
        <v>404</v>
      </c>
      <c r="D36" s="147" t="s">
        <v>405</v>
      </c>
      <c r="E36" s="147" t="s">
        <v>406</v>
      </c>
      <c r="F36" s="152">
        <v>56201</v>
      </c>
      <c r="G36" s="148" t="s">
        <v>152</v>
      </c>
      <c r="H36" s="380">
        <v>4000</v>
      </c>
    </row>
    <row r="37" spans="1:14" ht="18" x14ac:dyDescent="0.25">
      <c r="A37" s="146">
        <v>1</v>
      </c>
      <c r="B37" s="147" t="s">
        <v>404</v>
      </c>
      <c r="C37" s="147" t="s">
        <v>404</v>
      </c>
      <c r="D37" s="147" t="s">
        <v>405</v>
      </c>
      <c r="E37" s="147" t="s">
        <v>406</v>
      </c>
      <c r="F37" s="152">
        <v>61101</v>
      </c>
      <c r="G37" s="148" t="s">
        <v>156</v>
      </c>
      <c r="H37" s="380">
        <v>2000</v>
      </c>
    </row>
    <row r="38" spans="1:14" ht="33" customHeight="1" x14ac:dyDescent="0.35">
      <c r="A38" s="242"/>
      <c r="B38" s="243"/>
      <c r="C38" s="243"/>
      <c r="D38" s="243"/>
      <c r="E38" s="243"/>
      <c r="F38" s="243"/>
      <c r="G38" s="244" t="s">
        <v>415</v>
      </c>
      <c r="H38" s="245">
        <f>+H11+H12+H13+H14+H15+H16+H17+H18+H19+H20+H21+H22+H23+H24+H25+H26+H27+H28+H29+H30+H31+H32+H35+H33+H36+H37+H34</f>
        <v>453195.30800000002</v>
      </c>
      <c r="I38" s="27">
        <f>+H41-H38</f>
        <v>-34263.558000000019</v>
      </c>
    </row>
    <row r="41" spans="1:14" ht="21" x14ac:dyDescent="0.35">
      <c r="G41" t="s">
        <v>821</v>
      </c>
      <c r="H41" s="171">
        <f>401785.2+17146.55</f>
        <v>418931.75</v>
      </c>
    </row>
    <row r="42" spans="1:14" x14ac:dyDescent="0.25">
      <c r="K42" s="27">
        <f>+H41-H38</f>
        <v>-34263.558000000019</v>
      </c>
    </row>
    <row r="43" spans="1:14" ht="18.75" x14ac:dyDescent="0.3">
      <c r="H43" s="7">
        <v>200892.6</v>
      </c>
      <c r="I43" s="7">
        <f>+I18</f>
        <v>235156.158</v>
      </c>
      <c r="J43" s="31">
        <f>+H43-I43</f>
        <v>-34263.55799999999</v>
      </c>
    </row>
    <row r="44" spans="1:14" ht="18.75" x14ac:dyDescent="0.3">
      <c r="H44" s="31">
        <f>+H38</f>
        <v>453195.30800000002</v>
      </c>
    </row>
    <row r="45" spans="1:14" ht="18.75" x14ac:dyDescent="0.3">
      <c r="H45" s="31">
        <f>+H44-H43</f>
        <v>252302.70800000001</v>
      </c>
    </row>
    <row r="46" spans="1:14" ht="18.75" x14ac:dyDescent="0.3">
      <c r="G46" t="s">
        <v>820</v>
      </c>
      <c r="H46" s="7">
        <v>17146.55</v>
      </c>
    </row>
  </sheetData>
  <mergeCells count="10">
    <mergeCell ref="A8:H8"/>
    <mergeCell ref="A9:F9"/>
    <mergeCell ref="G9:G10"/>
    <mergeCell ref="H9:H10"/>
    <mergeCell ref="A2:H2"/>
    <mergeCell ref="A3:H3"/>
    <mergeCell ref="A4:H4"/>
    <mergeCell ref="A5:H5"/>
    <mergeCell ref="A6:H6"/>
    <mergeCell ref="A7:H7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A43" workbookViewId="0">
      <selection activeCell="H65" sqref="H65"/>
    </sheetView>
  </sheetViews>
  <sheetFormatPr baseColWidth="10" defaultRowHeight="15" x14ac:dyDescent="0.25"/>
  <cols>
    <col min="7" max="7" width="57.42578125" customWidth="1"/>
    <col min="8" max="8" width="25.85546875" customWidth="1"/>
    <col min="14" max="14" width="20.7109375" customWidth="1"/>
  </cols>
  <sheetData>
    <row r="1" spans="1:15" ht="27.75" x14ac:dyDescent="0.45">
      <c r="A1" s="142"/>
      <c r="B1" s="143"/>
      <c r="C1" s="170"/>
      <c r="D1" s="170"/>
      <c r="E1" s="170"/>
      <c r="F1" s="170"/>
      <c r="G1" s="170"/>
      <c r="H1" s="145" t="s">
        <v>387</v>
      </c>
    </row>
    <row r="2" spans="1:15" ht="27.75" x14ac:dyDescent="0.45">
      <c r="A2" s="705" t="s">
        <v>388</v>
      </c>
      <c r="B2" s="706"/>
      <c r="C2" s="706"/>
      <c r="D2" s="706"/>
      <c r="E2" s="706"/>
      <c r="F2" s="706"/>
      <c r="G2" s="706"/>
      <c r="H2" s="706"/>
    </row>
    <row r="3" spans="1:15" ht="27.75" x14ac:dyDescent="0.45">
      <c r="A3" s="705" t="s">
        <v>389</v>
      </c>
      <c r="B3" s="706"/>
      <c r="C3" s="706"/>
      <c r="D3" s="706"/>
      <c r="E3" s="706"/>
      <c r="F3" s="706"/>
      <c r="G3" s="706"/>
      <c r="H3" s="706"/>
    </row>
    <row r="4" spans="1:15" ht="27.75" x14ac:dyDescent="0.45">
      <c r="A4" s="705" t="s">
        <v>390</v>
      </c>
      <c r="B4" s="706"/>
      <c r="C4" s="706"/>
      <c r="D4" s="706"/>
      <c r="E4" s="706"/>
      <c r="F4" s="706"/>
      <c r="G4" s="706"/>
      <c r="H4" s="706"/>
    </row>
    <row r="5" spans="1:15" ht="27.75" x14ac:dyDescent="0.45">
      <c r="A5" s="705" t="s">
        <v>416</v>
      </c>
      <c r="B5" s="706"/>
      <c r="C5" s="706"/>
      <c r="D5" s="706"/>
      <c r="E5" s="706"/>
      <c r="F5" s="706"/>
      <c r="G5" s="706"/>
      <c r="H5" s="706"/>
    </row>
    <row r="6" spans="1:15" ht="27.75" x14ac:dyDescent="0.45">
      <c r="A6" s="705" t="s">
        <v>392</v>
      </c>
      <c r="B6" s="706"/>
      <c r="C6" s="706"/>
      <c r="D6" s="706"/>
      <c r="E6" s="706"/>
      <c r="F6" s="706"/>
      <c r="G6" s="706"/>
      <c r="H6" s="706"/>
    </row>
    <row r="7" spans="1:15" ht="62.25" customHeight="1" x14ac:dyDescent="0.45">
      <c r="A7" s="708" t="s">
        <v>393</v>
      </c>
      <c r="B7" s="709"/>
      <c r="C7" s="709"/>
      <c r="D7" s="709"/>
      <c r="E7" s="709"/>
      <c r="F7" s="709"/>
      <c r="G7" s="709"/>
      <c r="H7" s="710"/>
    </row>
    <row r="8" spans="1:15" ht="32.25" customHeight="1" x14ac:dyDescent="0.45">
      <c r="A8" s="711" t="s">
        <v>417</v>
      </c>
      <c r="B8" s="712"/>
      <c r="C8" s="712"/>
      <c r="D8" s="712"/>
      <c r="E8" s="712"/>
      <c r="F8" s="712"/>
      <c r="G8" s="712"/>
      <c r="H8" s="713"/>
    </row>
    <row r="9" spans="1:15" ht="21" thickBot="1" x14ac:dyDescent="0.35">
      <c r="A9" s="355">
        <v>1</v>
      </c>
      <c r="B9" s="356" t="s">
        <v>418</v>
      </c>
      <c r="C9" s="356" t="s">
        <v>404</v>
      </c>
      <c r="D9" s="356" t="s">
        <v>419</v>
      </c>
      <c r="E9" s="356" t="s">
        <v>420</v>
      </c>
      <c r="F9" s="357" t="s">
        <v>75</v>
      </c>
      <c r="G9" s="358" t="s">
        <v>421</v>
      </c>
      <c r="H9" s="353">
        <v>357138</v>
      </c>
    </row>
    <row r="10" spans="1:15" ht="21" thickBot="1" x14ac:dyDescent="0.35">
      <c r="A10" s="359">
        <v>1</v>
      </c>
      <c r="B10" s="360" t="s">
        <v>418</v>
      </c>
      <c r="C10" s="360" t="s">
        <v>404</v>
      </c>
      <c r="D10" s="360" t="s">
        <v>419</v>
      </c>
      <c r="E10" s="361" t="s">
        <v>420</v>
      </c>
      <c r="F10" s="362">
        <v>51103</v>
      </c>
      <c r="G10" s="363" t="s">
        <v>422</v>
      </c>
      <c r="H10" s="354">
        <v>29949</v>
      </c>
      <c r="N10" s="7">
        <f>+H9+H10+H11+H12+H13+H14+H15+H16+H17+H18</f>
        <v>444869.44999999995</v>
      </c>
      <c r="O10">
        <v>51</v>
      </c>
    </row>
    <row r="11" spans="1:15" ht="21" thickBot="1" x14ac:dyDescent="0.35">
      <c r="A11" s="359">
        <v>1</v>
      </c>
      <c r="B11" s="360" t="s">
        <v>418</v>
      </c>
      <c r="C11" s="360" t="s">
        <v>404</v>
      </c>
      <c r="D11" s="360" t="s">
        <v>419</v>
      </c>
      <c r="E11" s="361" t="s">
        <v>420</v>
      </c>
      <c r="F11" s="362">
        <v>51107</v>
      </c>
      <c r="G11" s="363" t="s">
        <v>423</v>
      </c>
      <c r="H11" s="354">
        <v>0</v>
      </c>
      <c r="N11" s="7">
        <f>+H19+H20+H21+H22+H23+H24+H25+H26+H27+H28+H29+H30+H31+H32+H33+H34+H35+H36+H37+H38+H39+H40+H41+H42+H43+H44+H45</f>
        <v>103691.37</v>
      </c>
      <c r="O11">
        <v>54</v>
      </c>
    </row>
    <row r="12" spans="1:15" ht="21" thickBot="1" x14ac:dyDescent="0.35">
      <c r="A12" s="359">
        <v>1</v>
      </c>
      <c r="B12" s="360" t="s">
        <v>418</v>
      </c>
      <c r="C12" s="360" t="s">
        <v>404</v>
      </c>
      <c r="D12" s="360" t="s">
        <v>419</v>
      </c>
      <c r="E12" s="361" t="s">
        <v>420</v>
      </c>
      <c r="F12" s="362">
        <v>51201</v>
      </c>
      <c r="G12" s="363" t="s">
        <v>424</v>
      </c>
      <c r="H12" s="354">
        <v>500</v>
      </c>
      <c r="N12" s="7">
        <f>+H46+H47+H48</f>
        <v>7100</v>
      </c>
      <c r="O12">
        <v>55</v>
      </c>
    </row>
    <row r="13" spans="1:15" ht="21" thickBot="1" x14ac:dyDescent="0.35">
      <c r="A13" s="359">
        <v>1</v>
      </c>
      <c r="B13" s="360" t="s">
        <v>418</v>
      </c>
      <c r="C13" s="360" t="s">
        <v>404</v>
      </c>
      <c r="D13" s="360" t="s">
        <v>419</v>
      </c>
      <c r="E13" s="361" t="s">
        <v>420</v>
      </c>
      <c r="F13" s="362">
        <v>51202</v>
      </c>
      <c r="G13" s="363" t="s">
        <v>521</v>
      </c>
      <c r="H13" s="354">
        <v>1209</v>
      </c>
      <c r="N13" s="27">
        <f>+H49</f>
        <v>5000</v>
      </c>
      <c r="O13">
        <v>56</v>
      </c>
    </row>
    <row r="14" spans="1:15" ht="21" thickBot="1" x14ac:dyDescent="0.35">
      <c r="A14" s="359">
        <v>1</v>
      </c>
      <c r="B14" s="360" t="s">
        <v>418</v>
      </c>
      <c r="C14" s="360" t="s">
        <v>404</v>
      </c>
      <c r="D14" s="360" t="s">
        <v>419</v>
      </c>
      <c r="E14" s="361" t="s">
        <v>420</v>
      </c>
      <c r="F14" s="362">
        <v>51301</v>
      </c>
      <c r="G14" s="363" t="s">
        <v>425</v>
      </c>
      <c r="H14" s="354">
        <v>3500</v>
      </c>
      <c r="N14" s="27">
        <f>+H50+H51+H52+H53+H54</f>
        <v>26335</v>
      </c>
      <c r="O14">
        <v>61</v>
      </c>
    </row>
    <row r="15" spans="1:15" ht="21" thickBot="1" x14ac:dyDescent="0.35">
      <c r="A15" s="359">
        <v>1</v>
      </c>
      <c r="B15" s="360" t="s">
        <v>418</v>
      </c>
      <c r="C15" s="360" t="s">
        <v>404</v>
      </c>
      <c r="D15" s="360" t="s">
        <v>419</v>
      </c>
      <c r="E15" s="361" t="s">
        <v>420</v>
      </c>
      <c r="F15" s="364">
        <v>51401</v>
      </c>
      <c r="G15" s="365" t="s">
        <v>89</v>
      </c>
      <c r="H15" s="354">
        <v>27792.66</v>
      </c>
      <c r="N15" s="27">
        <f>SUM(N10:N14)</f>
        <v>586995.81999999995</v>
      </c>
    </row>
    <row r="16" spans="1:15" ht="21" thickBot="1" x14ac:dyDescent="0.35">
      <c r="A16" s="359">
        <v>1</v>
      </c>
      <c r="B16" s="360" t="s">
        <v>418</v>
      </c>
      <c r="C16" s="360" t="s">
        <v>404</v>
      </c>
      <c r="D16" s="360" t="s">
        <v>419</v>
      </c>
      <c r="E16" s="361" t="s">
        <v>420</v>
      </c>
      <c r="F16" s="364">
        <v>51501</v>
      </c>
      <c r="G16" s="366" t="s">
        <v>91</v>
      </c>
      <c r="H16" s="354">
        <v>23780.79</v>
      </c>
    </row>
    <row r="17" spans="1:8" ht="21" thickBot="1" x14ac:dyDescent="0.35">
      <c r="A17" s="359">
        <v>1</v>
      </c>
      <c r="B17" s="360" t="s">
        <v>418</v>
      </c>
      <c r="C17" s="360" t="s">
        <v>404</v>
      </c>
      <c r="D17" s="360" t="s">
        <v>419</v>
      </c>
      <c r="E17" s="361" t="s">
        <v>420</v>
      </c>
      <c r="F17" s="364">
        <v>51701</v>
      </c>
      <c r="G17" s="367" t="s">
        <v>426</v>
      </c>
      <c r="H17" s="354">
        <v>0</v>
      </c>
    </row>
    <row r="18" spans="1:8" ht="21" thickBot="1" x14ac:dyDescent="0.35">
      <c r="A18" s="359">
        <v>1</v>
      </c>
      <c r="B18" s="360" t="s">
        <v>418</v>
      </c>
      <c r="C18" s="360" t="s">
        <v>404</v>
      </c>
      <c r="D18" s="360" t="s">
        <v>419</v>
      </c>
      <c r="E18" s="361" t="s">
        <v>420</v>
      </c>
      <c r="F18" s="364">
        <v>51901</v>
      </c>
      <c r="G18" s="367" t="s">
        <v>427</v>
      </c>
      <c r="H18" s="354">
        <v>1000</v>
      </c>
    </row>
    <row r="19" spans="1:8" ht="21" thickBot="1" x14ac:dyDescent="0.35">
      <c r="A19" s="359">
        <v>1</v>
      </c>
      <c r="B19" s="360" t="s">
        <v>418</v>
      </c>
      <c r="C19" s="360" t="s">
        <v>404</v>
      </c>
      <c r="D19" s="360" t="s">
        <v>419</v>
      </c>
      <c r="E19" s="361" t="s">
        <v>420</v>
      </c>
      <c r="F19" s="362">
        <v>54101</v>
      </c>
      <c r="G19" s="363" t="s">
        <v>428</v>
      </c>
      <c r="H19" s="354">
        <v>1771.2</v>
      </c>
    </row>
    <row r="20" spans="1:8" ht="21" thickBot="1" x14ac:dyDescent="0.35">
      <c r="A20" s="359">
        <v>1</v>
      </c>
      <c r="B20" s="360" t="s">
        <v>418</v>
      </c>
      <c r="C20" s="360" t="s">
        <v>404</v>
      </c>
      <c r="D20" s="360" t="s">
        <v>419</v>
      </c>
      <c r="E20" s="361" t="s">
        <v>420</v>
      </c>
      <c r="F20" s="362">
        <v>54104</v>
      </c>
      <c r="G20" s="363" t="s">
        <v>429</v>
      </c>
      <c r="H20" s="354">
        <v>7000</v>
      </c>
    </row>
    <row r="21" spans="1:8" ht="21" thickBot="1" x14ac:dyDescent="0.35">
      <c r="A21" s="359">
        <v>1</v>
      </c>
      <c r="B21" s="360" t="s">
        <v>418</v>
      </c>
      <c r="C21" s="360" t="s">
        <v>404</v>
      </c>
      <c r="D21" s="360" t="s">
        <v>419</v>
      </c>
      <c r="E21" s="361" t="s">
        <v>420</v>
      </c>
      <c r="F21" s="362">
        <v>54105</v>
      </c>
      <c r="G21" s="363" t="s">
        <v>430</v>
      </c>
      <c r="H21" s="354">
        <v>7199</v>
      </c>
    </row>
    <row r="22" spans="1:8" ht="21" thickBot="1" x14ac:dyDescent="0.35">
      <c r="A22" s="359">
        <v>1</v>
      </c>
      <c r="B22" s="360" t="s">
        <v>418</v>
      </c>
      <c r="C22" s="360" t="s">
        <v>404</v>
      </c>
      <c r="D22" s="360" t="s">
        <v>419</v>
      </c>
      <c r="E22" s="361" t="s">
        <v>420</v>
      </c>
      <c r="F22" s="362">
        <v>54106</v>
      </c>
      <c r="G22" s="363" t="s">
        <v>431</v>
      </c>
      <c r="H22" s="354">
        <v>2092</v>
      </c>
    </row>
    <row r="23" spans="1:8" ht="21" thickBot="1" x14ac:dyDescent="0.35">
      <c r="A23" s="359">
        <v>1</v>
      </c>
      <c r="B23" s="360" t="s">
        <v>418</v>
      </c>
      <c r="C23" s="360" t="s">
        <v>404</v>
      </c>
      <c r="D23" s="360" t="s">
        <v>419</v>
      </c>
      <c r="E23" s="361" t="s">
        <v>420</v>
      </c>
      <c r="F23" s="362">
        <v>54107</v>
      </c>
      <c r="G23" s="363" t="s">
        <v>432</v>
      </c>
      <c r="H23" s="354">
        <v>9074.64</v>
      </c>
    </row>
    <row r="24" spans="1:8" ht="21" thickBot="1" x14ac:dyDescent="0.35">
      <c r="A24" s="359">
        <v>1</v>
      </c>
      <c r="B24" s="360" t="s">
        <v>418</v>
      </c>
      <c r="C24" s="360" t="s">
        <v>404</v>
      </c>
      <c r="D24" s="360" t="s">
        <v>419</v>
      </c>
      <c r="E24" s="361" t="s">
        <v>420</v>
      </c>
      <c r="F24" s="362">
        <v>54109</v>
      </c>
      <c r="G24" s="363" t="s">
        <v>433</v>
      </c>
      <c r="H24" s="354">
        <v>2000</v>
      </c>
    </row>
    <row r="25" spans="1:8" ht="21" thickBot="1" x14ac:dyDescent="0.35">
      <c r="A25" s="359">
        <v>1</v>
      </c>
      <c r="B25" s="360" t="s">
        <v>418</v>
      </c>
      <c r="C25" s="360" t="s">
        <v>404</v>
      </c>
      <c r="D25" s="360" t="s">
        <v>419</v>
      </c>
      <c r="E25" s="361" t="s">
        <v>420</v>
      </c>
      <c r="F25" s="362">
        <v>54110</v>
      </c>
      <c r="G25" s="363" t="s">
        <v>434</v>
      </c>
      <c r="H25" s="354">
        <v>700</v>
      </c>
    </row>
    <row r="26" spans="1:8" ht="21" thickBot="1" x14ac:dyDescent="0.35">
      <c r="A26" s="359">
        <v>1</v>
      </c>
      <c r="B26" s="360" t="s">
        <v>418</v>
      </c>
      <c r="C26" s="360" t="s">
        <v>404</v>
      </c>
      <c r="D26" s="360" t="s">
        <v>419</v>
      </c>
      <c r="E26" s="361" t="s">
        <v>420</v>
      </c>
      <c r="F26" s="362">
        <v>54111</v>
      </c>
      <c r="G26" s="363" t="s">
        <v>435</v>
      </c>
      <c r="H26" s="354">
        <v>200</v>
      </c>
    </row>
    <row r="27" spans="1:8" ht="21" thickBot="1" x14ac:dyDescent="0.35">
      <c r="A27" s="359">
        <v>1</v>
      </c>
      <c r="B27" s="360" t="s">
        <v>418</v>
      </c>
      <c r="C27" s="360" t="s">
        <v>404</v>
      </c>
      <c r="D27" s="360" t="s">
        <v>419</v>
      </c>
      <c r="E27" s="361" t="s">
        <v>420</v>
      </c>
      <c r="F27" s="362">
        <v>54112</v>
      </c>
      <c r="G27" s="363" t="s">
        <v>436</v>
      </c>
      <c r="H27" s="354">
        <v>300</v>
      </c>
    </row>
    <row r="28" spans="1:8" ht="21" thickBot="1" x14ac:dyDescent="0.35">
      <c r="A28" s="359">
        <v>1</v>
      </c>
      <c r="B28" s="360" t="s">
        <v>418</v>
      </c>
      <c r="C28" s="360" t="s">
        <v>404</v>
      </c>
      <c r="D28" s="360" t="s">
        <v>419</v>
      </c>
      <c r="E28" s="361" t="s">
        <v>420</v>
      </c>
      <c r="F28" s="362">
        <v>54114</v>
      </c>
      <c r="G28" s="363" t="s">
        <v>437</v>
      </c>
      <c r="H28" s="354">
        <v>4409.6899999999996</v>
      </c>
    </row>
    <row r="29" spans="1:8" ht="21" thickBot="1" x14ac:dyDescent="0.35">
      <c r="A29" s="359">
        <v>1</v>
      </c>
      <c r="B29" s="360" t="s">
        <v>418</v>
      </c>
      <c r="C29" s="360" t="s">
        <v>404</v>
      </c>
      <c r="D29" s="360" t="s">
        <v>419</v>
      </c>
      <c r="E29" s="361" t="s">
        <v>420</v>
      </c>
      <c r="F29" s="362">
        <v>54115</v>
      </c>
      <c r="G29" s="363" t="s">
        <v>438</v>
      </c>
      <c r="H29" s="354">
        <v>13373.48</v>
      </c>
    </row>
    <row r="30" spans="1:8" ht="21" thickBot="1" x14ac:dyDescent="0.35">
      <c r="A30" s="359">
        <v>1</v>
      </c>
      <c r="B30" s="360" t="s">
        <v>418</v>
      </c>
      <c r="C30" s="360" t="s">
        <v>404</v>
      </c>
      <c r="D30" s="360" t="s">
        <v>419</v>
      </c>
      <c r="E30" s="361" t="s">
        <v>420</v>
      </c>
      <c r="F30" s="362">
        <v>54116</v>
      </c>
      <c r="G30" s="363" t="s">
        <v>439</v>
      </c>
      <c r="H30" s="354">
        <v>1000</v>
      </c>
    </row>
    <row r="31" spans="1:8" ht="21" thickBot="1" x14ac:dyDescent="0.35">
      <c r="A31" s="359">
        <v>1</v>
      </c>
      <c r="B31" s="360" t="s">
        <v>418</v>
      </c>
      <c r="C31" s="360" t="s">
        <v>404</v>
      </c>
      <c r="D31" s="360" t="s">
        <v>419</v>
      </c>
      <c r="E31" s="361" t="s">
        <v>420</v>
      </c>
      <c r="F31" s="362">
        <v>54118</v>
      </c>
      <c r="G31" s="363" t="s">
        <v>440</v>
      </c>
      <c r="H31" s="354">
        <v>8169.65</v>
      </c>
    </row>
    <row r="32" spans="1:8" ht="21" thickBot="1" x14ac:dyDescent="0.35">
      <c r="A32" s="359">
        <v>1</v>
      </c>
      <c r="B32" s="360" t="s">
        <v>418</v>
      </c>
      <c r="C32" s="360" t="s">
        <v>404</v>
      </c>
      <c r="D32" s="360" t="s">
        <v>419</v>
      </c>
      <c r="E32" s="361" t="s">
        <v>420</v>
      </c>
      <c r="F32" s="362">
        <v>54119</v>
      </c>
      <c r="G32" s="363" t="s">
        <v>441</v>
      </c>
      <c r="H32" s="354">
        <v>500</v>
      </c>
    </row>
    <row r="33" spans="1:8" ht="21" thickBot="1" x14ac:dyDescent="0.35">
      <c r="A33" s="359">
        <v>1</v>
      </c>
      <c r="B33" s="360" t="s">
        <v>418</v>
      </c>
      <c r="C33" s="360" t="s">
        <v>404</v>
      </c>
      <c r="D33" s="360" t="s">
        <v>419</v>
      </c>
      <c r="E33" s="361" t="s">
        <v>420</v>
      </c>
      <c r="F33" s="362">
        <v>54199</v>
      </c>
      <c r="G33" s="363" t="s">
        <v>442</v>
      </c>
      <c r="H33" s="354">
        <v>6514.71</v>
      </c>
    </row>
    <row r="34" spans="1:8" ht="21" thickBot="1" x14ac:dyDescent="0.35">
      <c r="A34" s="359">
        <v>1</v>
      </c>
      <c r="B34" s="360" t="s">
        <v>418</v>
      </c>
      <c r="C34" s="360" t="s">
        <v>404</v>
      </c>
      <c r="D34" s="360" t="s">
        <v>419</v>
      </c>
      <c r="E34" s="361" t="s">
        <v>420</v>
      </c>
      <c r="F34" s="362">
        <v>54201</v>
      </c>
      <c r="G34" s="363" t="s">
        <v>443</v>
      </c>
      <c r="H34" s="354">
        <v>3000</v>
      </c>
    </row>
    <row r="35" spans="1:8" ht="21" thickBot="1" x14ac:dyDescent="0.35">
      <c r="A35" s="359">
        <v>1</v>
      </c>
      <c r="B35" s="360" t="s">
        <v>418</v>
      </c>
      <c r="C35" s="360" t="s">
        <v>404</v>
      </c>
      <c r="D35" s="360" t="s">
        <v>419</v>
      </c>
      <c r="E35" s="361" t="s">
        <v>420</v>
      </c>
      <c r="F35" s="362">
        <v>54202</v>
      </c>
      <c r="G35" s="363" t="s">
        <v>444</v>
      </c>
      <c r="H35" s="354">
        <v>2000</v>
      </c>
    </row>
    <row r="36" spans="1:8" ht="21" thickBot="1" x14ac:dyDescent="0.35">
      <c r="A36" s="359">
        <v>1</v>
      </c>
      <c r="B36" s="360" t="s">
        <v>418</v>
      </c>
      <c r="C36" s="360" t="s">
        <v>404</v>
      </c>
      <c r="D36" s="360" t="s">
        <v>419</v>
      </c>
      <c r="E36" s="361" t="s">
        <v>420</v>
      </c>
      <c r="F36" s="362">
        <v>54203</v>
      </c>
      <c r="G36" s="363" t="s">
        <v>445</v>
      </c>
      <c r="H36" s="354">
        <v>3000</v>
      </c>
    </row>
    <row r="37" spans="1:8" ht="21" thickBot="1" x14ac:dyDescent="0.35">
      <c r="A37" s="359">
        <v>1</v>
      </c>
      <c r="B37" s="360" t="s">
        <v>418</v>
      </c>
      <c r="C37" s="360" t="s">
        <v>404</v>
      </c>
      <c r="D37" s="360" t="s">
        <v>419</v>
      </c>
      <c r="E37" s="361" t="s">
        <v>420</v>
      </c>
      <c r="F37" s="362">
        <v>54301</v>
      </c>
      <c r="G37" s="363" t="s">
        <v>446</v>
      </c>
      <c r="H37" s="354">
        <v>6880</v>
      </c>
    </row>
    <row r="38" spans="1:8" ht="21" thickBot="1" x14ac:dyDescent="0.35">
      <c r="A38" s="359">
        <v>1</v>
      </c>
      <c r="B38" s="360" t="s">
        <v>418</v>
      </c>
      <c r="C38" s="360" t="s">
        <v>404</v>
      </c>
      <c r="D38" s="360" t="s">
        <v>419</v>
      </c>
      <c r="E38" s="361" t="s">
        <v>420</v>
      </c>
      <c r="F38" s="362">
        <v>54302</v>
      </c>
      <c r="G38" s="363" t="s">
        <v>447</v>
      </c>
      <c r="H38" s="354">
        <v>3000</v>
      </c>
    </row>
    <row r="39" spans="1:8" ht="21" thickBot="1" x14ac:dyDescent="0.35">
      <c r="A39" s="359">
        <v>1</v>
      </c>
      <c r="B39" s="360" t="s">
        <v>418</v>
      </c>
      <c r="C39" s="360" t="s">
        <v>404</v>
      </c>
      <c r="D39" s="360" t="s">
        <v>419</v>
      </c>
      <c r="E39" s="361" t="s">
        <v>420</v>
      </c>
      <c r="F39" s="362">
        <v>54303</v>
      </c>
      <c r="G39" s="363" t="s">
        <v>448</v>
      </c>
      <c r="H39" s="354">
        <v>4200</v>
      </c>
    </row>
    <row r="40" spans="1:8" ht="21" thickBot="1" x14ac:dyDescent="0.35">
      <c r="A40" s="359">
        <v>1</v>
      </c>
      <c r="B40" s="360" t="s">
        <v>418</v>
      </c>
      <c r="C40" s="360" t="s">
        <v>404</v>
      </c>
      <c r="D40" s="360" t="s">
        <v>419</v>
      </c>
      <c r="E40" s="361" t="s">
        <v>420</v>
      </c>
      <c r="F40" s="362">
        <v>54304</v>
      </c>
      <c r="G40" s="363" t="s">
        <v>449</v>
      </c>
      <c r="H40" s="354">
        <v>5000</v>
      </c>
    </row>
    <row r="41" spans="1:8" ht="21" thickBot="1" x14ac:dyDescent="0.35">
      <c r="A41" s="359">
        <v>1</v>
      </c>
      <c r="B41" s="360" t="s">
        <v>418</v>
      </c>
      <c r="C41" s="360" t="s">
        <v>404</v>
      </c>
      <c r="D41" s="360" t="s">
        <v>419</v>
      </c>
      <c r="E41" s="361" t="s">
        <v>420</v>
      </c>
      <c r="F41" s="362">
        <v>54307</v>
      </c>
      <c r="G41" s="363" t="s">
        <v>450</v>
      </c>
      <c r="H41" s="354">
        <v>2000</v>
      </c>
    </row>
    <row r="42" spans="1:8" ht="21" thickBot="1" x14ac:dyDescent="0.35">
      <c r="A42" s="359">
        <v>1</v>
      </c>
      <c r="B42" s="360" t="s">
        <v>418</v>
      </c>
      <c r="C42" s="360" t="s">
        <v>404</v>
      </c>
      <c r="D42" s="360" t="s">
        <v>419</v>
      </c>
      <c r="E42" s="361" t="s">
        <v>420</v>
      </c>
      <c r="F42" s="362">
        <v>54313</v>
      </c>
      <c r="G42" s="363" t="s">
        <v>451</v>
      </c>
      <c r="H42" s="354">
        <v>1307</v>
      </c>
    </row>
    <row r="43" spans="1:8" ht="21" thickBot="1" x14ac:dyDescent="0.35">
      <c r="A43" s="359">
        <v>1</v>
      </c>
      <c r="B43" s="360" t="s">
        <v>418</v>
      </c>
      <c r="C43" s="360" t="s">
        <v>404</v>
      </c>
      <c r="D43" s="360" t="s">
        <v>419</v>
      </c>
      <c r="E43" s="361" t="s">
        <v>420</v>
      </c>
      <c r="F43" s="362">
        <v>54314</v>
      </c>
      <c r="G43" s="363" t="s">
        <v>452</v>
      </c>
      <c r="H43" s="354">
        <v>7000</v>
      </c>
    </row>
    <row r="44" spans="1:8" ht="21" thickBot="1" x14ac:dyDescent="0.35">
      <c r="A44" s="359">
        <v>1</v>
      </c>
      <c r="B44" s="360" t="s">
        <v>418</v>
      </c>
      <c r="C44" s="360" t="s">
        <v>404</v>
      </c>
      <c r="D44" s="360" t="s">
        <v>419</v>
      </c>
      <c r="E44" s="361" t="s">
        <v>420</v>
      </c>
      <c r="F44" s="362">
        <v>54317</v>
      </c>
      <c r="G44" s="363" t="s">
        <v>453</v>
      </c>
      <c r="H44" s="354">
        <v>1000</v>
      </c>
    </row>
    <row r="45" spans="1:8" ht="21" thickBot="1" x14ac:dyDescent="0.35">
      <c r="A45" s="359">
        <v>1</v>
      </c>
      <c r="B45" s="360" t="s">
        <v>418</v>
      </c>
      <c r="C45" s="360" t="s">
        <v>404</v>
      </c>
      <c r="D45" s="360" t="s">
        <v>419</v>
      </c>
      <c r="E45" s="361" t="s">
        <v>420</v>
      </c>
      <c r="F45" s="362">
        <v>54403</v>
      </c>
      <c r="G45" s="363" t="s">
        <v>454</v>
      </c>
      <c r="H45" s="354">
        <v>1000</v>
      </c>
    </row>
    <row r="46" spans="1:8" ht="21" thickBot="1" x14ac:dyDescent="0.35">
      <c r="A46" s="359">
        <v>1</v>
      </c>
      <c r="B46" s="360" t="s">
        <v>418</v>
      </c>
      <c r="C46" s="360" t="s">
        <v>404</v>
      </c>
      <c r="D46" s="360" t="s">
        <v>419</v>
      </c>
      <c r="E46" s="361" t="s">
        <v>420</v>
      </c>
      <c r="F46" s="362">
        <v>55601</v>
      </c>
      <c r="G46" s="363" t="s">
        <v>455</v>
      </c>
      <c r="H46" s="354">
        <v>5000</v>
      </c>
    </row>
    <row r="47" spans="1:8" ht="21" thickBot="1" x14ac:dyDescent="0.35">
      <c r="A47" s="359">
        <v>1</v>
      </c>
      <c r="B47" s="360" t="s">
        <v>418</v>
      </c>
      <c r="C47" s="360" t="s">
        <v>404</v>
      </c>
      <c r="D47" s="360" t="s">
        <v>419</v>
      </c>
      <c r="E47" s="361" t="s">
        <v>420</v>
      </c>
      <c r="F47" s="362">
        <v>55602</v>
      </c>
      <c r="G47" s="363" t="s">
        <v>456</v>
      </c>
      <c r="H47" s="354">
        <v>2000</v>
      </c>
    </row>
    <row r="48" spans="1:8" ht="21" thickBot="1" x14ac:dyDescent="0.35">
      <c r="A48" s="359">
        <v>1</v>
      </c>
      <c r="B48" s="360" t="s">
        <v>418</v>
      </c>
      <c r="C48" s="360" t="s">
        <v>404</v>
      </c>
      <c r="D48" s="360" t="s">
        <v>419</v>
      </c>
      <c r="E48" s="361" t="s">
        <v>420</v>
      </c>
      <c r="F48" s="362">
        <v>55603</v>
      </c>
      <c r="G48" s="363" t="s">
        <v>457</v>
      </c>
      <c r="H48" s="354">
        <v>100</v>
      </c>
    </row>
    <row r="49" spans="1:8" ht="21" thickBot="1" x14ac:dyDescent="0.35">
      <c r="A49" s="359">
        <v>1</v>
      </c>
      <c r="B49" s="360" t="s">
        <v>418</v>
      </c>
      <c r="C49" s="360" t="s">
        <v>404</v>
      </c>
      <c r="D49" s="360" t="s">
        <v>419</v>
      </c>
      <c r="E49" s="361" t="s">
        <v>420</v>
      </c>
      <c r="F49" s="362">
        <v>56304</v>
      </c>
      <c r="G49" s="363" t="s">
        <v>458</v>
      </c>
      <c r="H49" s="354">
        <v>5000</v>
      </c>
    </row>
    <row r="50" spans="1:8" ht="21" thickBot="1" x14ac:dyDescent="0.35">
      <c r="A50" s="359">
        <v>1</v>
      </c>
      <c r="B50" s="360" t="s">
        <v>418</v>
      </c>
      <c r="C50" s="360" t="s">
        <v>404</v>
      </c>
      <c r="D50" s="360" t="s">
        <v>419</v>
      </c>
      <c r="E50" s="361" t="s">
        <v>420</v>
      </c>
      <c r="F50" s="362">
        <v>61101</v>
      </c>
      <c r="G50" s="363" t="s">
        <v>459</v>
      </c>
      <c r="H50" s="354">
        <v>11370</v>
      </c>
    </row>
    <row r="51" spans="1:8" ht="21" thickBot="1" x14ac:dyDescent="0.35">
      <c r="A51" s="359">
        <v>1</v>
      </c>
      <c r="B51" s="360" t="s">
        <v>418</v>
      </c>
      <c r="C51" s="360" t="s">
        <v>404</v>
      </c>
      <c r="D51" s="360" t="s">
        <v>419</v>
      </c>
      <c r="E51" s="361" t="s">
        <v>420</v>
      </c>
      <c r="F51" s="362">
        <v>61102</v>
      </c>
      <c r="G51" s="363" t="s">
        <v>460</v>
      </c>
      <c r="H51" s="354">
        <v>2465</v>
      </c>
    </row>
    <row r="52" spans="1:8" ht="21" thickBot="1" x14ac:dyDescent="0.35">
      <c r="A52" s="359">
        <v>1</v>
      </c>
      <c r="B52" s="360" t="s">
        <v>418</v>
      </c>
      <c r="C52" s="360" t="s">
        <v>404</v>
      </c>
      <c r="D52" s="360" t="s">
        <v>419</v>
      </c>
      <c r="E52" s="361" t="s">
        <v>420</v>
      </c>
      <c r="F52" s="362">
        <v>61104</v>
      </c>
      <c r="G52" s="363" t="s">
        <v>461</v>
      </c>
      <c r="H52" s="354">
        <v>12500</v>
      </c>
    </row>
    <row r="53" spans="1:8" ht="21" thickBot="1" x14ac:dyDescent="0.35">
      <c r="A53" s="359">
        <v>1</v>
      </c>
      <c r="B53" s="360" t="s">
        <v>418</v>
      </c>
      <c r="C53" s="360" t="s">
        <v>404</v>
      </c>
      <c r="D53" s="360" t="s">
        <v>419</v>
      </c>
      <c r="E53" s="361" t="s">
        <v>420</v>
      </c>
      <c r="F53" s="368" t="s">
        <v>462</v>
      </c>
      <c r="G53" s="363" t="s">
        <v>463</v>
      </c>
      <c r="H53" s="354">
        <v>0</v>
      </c>
    </row>
    <row r="54" spans="1:8" ht="20.25" x14ac:dyDescent="0.3">
      <c r="A54" s="359">
        <v>1</v>
      </c>
      <c r="B54" s="360" t="s">
        <v>418</v>
      </c>
      <c r="C54" s="360" t="s">
        <v>404</v>
      </c>
      <c r="D54" s="360" t="s">
        <v>419</v>
      </c>
      <c r="E54" s="361" t="s">
        <v>420</v>
      </c>
      <c r="F54" s="369" t="s">
        <v>464</v>
      </c>
      <c r="G54" s="370" t="s">
        <v>465</v>
      </c>
      <c r="H54" s="354">
        <v>0</v>
      </c>
    </row>
    <row r="55" spans="1:8" ht="27.75" customHeight="1" thickBot="1" x14ac:dyDescent="0.35">
      <c r="A55" s="235"/>
      <c r="B55" s="236"/>
      <c r="C55" s="236"/>
      <c r="D55" s="236"/>
      <c r="E55" s="236"/>
      <c r="F55" s="237"/>
      <c r="G55" s="238" t="s">
        <v>415</v>
      </c>
      <c r="H55" s="239">
        <f>SUM(H9:H54)</f>
        <v>586995.82000000007</v>
      </c>
    </row>
    <row r="58" spans="1:8" ht="23.25" x14ac:dyDescent="0.35">
      <c r="H58" s="172">
        <f>+H55+'PUERTO SAN JUAN'!H37</f>
        <v>691093.16</v>
      </c>
    </row>
    <row r="59" spans="1:8" ht="23.25" x14ac:dyDescent="0.35">
      <c r="G59" t="s">
        <v>526</v>
      </c>
      <c r="H59" s="172">
        <f>+'PROYECCION INGRESOS 2017'!C47</f>
        <v>660626.22999999986</v>
      </c>
    </row>
    <row r="60" spans="1:8" ht="23.25" x14ac:dyDescent="0.35">
      <c r="G60" t="s">
        <v>527</v>
      </c>
      <c r="H60" s="173">
        <f>+'[1]HSBC PUERTO S J'!$H$41</f>
        <v>22053.741890873793</v>
      </c>
    </row>
    <row r="61" spans="1:8" ht="23.25" x14ac:dyDescent="0.35">
      <c r="H61" s="173">
        <f>+'[1]FONDO MUN. HSBC'!$H$96</f>
        <v>5399.5613413088504</v>
      </c>
    </row>
    <row r="62" spans="1:8" ht="23.25" x14ac:dyDescent="0.35">
      <c r="H62" s="173">
        <f>+[1]COMPOSTAJE!$H$10</f>
        <v>425.23084753142564</v>
      </c>
    </row>
    <row r="63" spans="1:8" ht="23.25" x14ac:dyDescent="0.35">
      <c r="H63" s="173">
        <f>+'[1]FIESTAS PATRONALES '!$H$16</f>
        <v>2588.3999991914998</v>
      </c>
    </row>
    <row r="64" spans="1:8" ht="23.25" x14ac:dyDescent="0.35">
      <c r="H64" s="172">
        <f>SUM(H59:H63)</f>
        <v>691093.16407890548</v>
      </c>
    </row>
    <row r="65" spans="8:8" ht="23.25" x14ac:dyDescent="0.35">
      <c r="H65" s="172">
        <f>+H64-H58</f>
        <v>4.0789054473862052E-3</v>
      </c>
    </row>
  </sheetData>
  <mergeCells count="7">
    <mergeCell ref="A7:H7"/>
    <mergeCell ref="A8:H8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22" workbookViewId="0">
      <selection activeCell="K16" sqref="K16"/>
    </sheetView>
  </sheetViews>
  <sheetFormatPr baseColWidth="10" defaultRowHeight="15" x14ac:dyDescent="0.25"/>
  <cols>
    <col min="7" max="7" width="53.5703125" customWidth="1"/>
    <col min="8" max="8" width="26.85546875" customWidth="1"/>
    <col min="12" max="12" width="22.42578125" customWidth="1"/>
  </cols>
  <sheetData>
    <row r="1" spans="1:13" ht="27.75" x14ac:dyDescent="0.45">
      <c r="A1" s="142"/>
      <c r="B1" s="143"/>
      <c r="C1" s="170"/>
      <c r="D1" s="170"/>
      <c r="E1" s="170"/>
      <c r="F1" s="170"/>
      <c r="G1" s="170"/>
      <c r="H1" s="145" t="s">
        <v>466</v>
      </c>
    </row>
    <row r="2" spans="1:13" ht="27.75" x14ac:dyDescent="0.45">
      <c r="A2" s="705" t="s">
        <v>388</v>
      </c>
      <c r="B2" s="706"/>
      <c r="C2" s="706"/>
      <c r="D2" s="706"/>
      <c r="E2" s="706"/>
      <c r="F2" s="706"/>
      <c r="G2" s="706"/>
      <c r="H2" s="706"/>
    </row>
    <row r="3" spans="1:13" ht="27.75" x14ac:dyDescent="0.45">
      <c r="A3" s="705" t="s">
        <v>389</v>
      </c>
      <c r="B3" s="706"/>
      <c r="C3" s="706"/>
      <c r="D3" s="706"/>
      <c r="E3" s="706"/>
      <c r="F3" s="706"/>
      <c r="G3" s="706"/>
      <c r="H3" s="706"/>
    </row>
    <row r="4" spans="1:13" ht="27.75" x14ac:dyDescent="0.45">
      <c r="A4" s="705" t="s">
        <v>390</v>
      </c>
      <c r="B4" s="706"/>
      <c r="C4" s="706"/>
      <c r="D4" s="706"/>
      <c r="E4" s="706"/>
      <c r="F4" s="706"/>
      <c r="G4" s="706"/>
      <c r="H4" s="706"/>
    </row>
    <row r="5" spans="1:13" ht="27.75" x14ac:dyDescent="0.45">
      <c r="A5" s="705" t="s">
        <v>391</v>
      </c>
      <c r="B5" s="706"/>
      <c r="C5" s="706"/>
      <c r="D5" s="706"/>
      <c r="E5" s="706"/>
      <c r="F5" s="706"/>
      <c r="G5" s="706"/>
      <c r="H5" s="706"/>
    </row>
    <row r="6" spans="1:13" ht="27.75" x14ac:dyDescent="0.45">
      <c r="A6" s="705" t="s">
        <v>392</v>
      </c>
      <c r="B6" s="706"/>
      <c r="C6" s="706"/>
      <c r="D6" s="706"/>
      <c r="E6" s="706"/>
      <c r="F6" s="706"/>
      <c r="G6" s="706"/>
      <c r="H6" s="706"/>
    </row>
    <row r="7" spans="1:13" ht="63.75" customHeight="1" x14ac:dyDescent="0.45">
      <c r="A7" s="708" t="s">
        <v>393</v>
      </c>
      <c r="B7" s="709"/>
      <c r="C7" s="709"/>
      <c r="D7" s="709"/>
      <c r="E7" s="709"/>
      <c r="F7" s="709"/>
      <c r="G7" s="709"/>
      <c r="H7" s="710"/>
    </row>
    <row r="8" spans="1:13" ht="58.5" customHeight="1" x14ac:dyDescent="0.45">
      <c r="A8" s="714" t="s">
        <v>472</v>
      </c>
      <c r="B8" s="715"/>
      <c r="C8" s="715"/>
      <c r="D8" s="715"/>
      <c r="E8" s="715"/>
      <c r="F8" s="715"/>
      <c r="G8" s="715"/>
      <c r="H8" s="716"/>
      <c r="L8" s="171">
        <f>+H9+H10+H11+H12+H13+H14+H15+H16</f>
        <v>80936.340000000011</v>
      </c>
      <c r="M8">
        <v>511</v>
      </c>
    </row>
    <row r="9" spans="1:13" ht="21" x14ac:dyDescent="0.35">
      <c r="A9" s="376">
        <v>1</v>
      </c>
      <c r="B9" s="360" t="s">
        <v>418</v>
      </c>
      <c r="C9" s="360" t="s">
        <v>418</v>
      </c>
      <c r="D9" s="360" t="s">
        <v>419</v>
      </c>
      <c r="E9" s="360" t="s">
        <v>420</v>
      </c>
      <c r="F9" s="360" t="s">
        <v>75</v>
      </c>
      <c r="G9" s="377" t="s">
        <v>421</v>
      </c>
      <c r="H9" s="378">
        <v>67038</v>
      </c>
      <c r="L9" s="171">
        <f>+H17+H18+H19+H20+H21+H22+H23+H24+H25+H26+H27+H28+H29+H30+H31+H32+H33+H34</f>
        <v>23161</v>
      </c>
      <c r="M9">
        <v>541</v>
      </c>
    </row>
    <row r="10" spans="1:13" ht="21" x14ac:dyDescent="0.35">
      <c r="A10" s="376">
        <v>1</v>
      </c>
      <c r="B10" s="360" t="s">
        <v>418</v>
      </c>
      <c r="C10" s="360" t="s">
        <v>418</v>
      </c>
      <c r="D10" s="360" t="s">
        <v>419</v>
      </c>
      <c r="E10" s="360" t="s">
        <v>420</v>
      </c>
      <c r="F10" s="364">
        <v>51103</v>
      </c>
      <c r="G10" s="377" t="s">
        <v>422</v>
      </c>
      <c r="H10" s="378">
        <v>4754</v>
      </c>
      <c r="L10" s="171">
        <f>SUM(L8:L9)</f>
        <v>104097.34000000001</v>
      </c>
    </row>
    <row r="11" spans="1:13" ht="21" x14ac:dyDescent="0.35">
      <c r="A11" s="376">
        <v>1</v>
      </c>
      <c r="B11" s="360" t="s">
        <v>418</v>
      </c>
      <c r="C11" s="360" t="s">
        <v>418</v>
      </c>
      <c r="D11" s="360" t="s">
        <v>419</v>
      </c>
      <c r="E11" s="360" t="s">
        <v>420</v>
      </c>
      <c r="F11" s="364">
        <v>51109</v>
      </c>
      <c r="G11" s="377" t="s">
        <v>721</v>
      </c>
      <c r="H11" s="383">
        <v>715</v>
      </c>
      <c r="L11" s="345"/>
    </row>
    <row r="12" spans="1:13" ht="21" x14ac:dyDescent="0.35">
      <c r="A12" s="376">
        <v>1</v>
      </c>
      <c r="B12" s="360" t="s">
        <v>418</v>
      </c>
      <c r="C12" s="360" t="s">
        <v>418</v>
      </c>
      <c r="D12" s="360" t="s">
        <v>419</v>
      </c>
      <c r="E12" s="360" t="s">
        <v>420</v>
      </c>
      <c r="F12" s="364">
        <v>51201</v>
      </c>
      <c r="G12" s="377" t="s">
        <v>467</v>
      </c>
      <c r="H12" s="378">
        <v>300</v>
      </c>
      <c r="L12" s="345"/>
    </row>
    <row r="13" spans="1:13" ht="21" x14ac:dyDescent="0.35">
      <c r="A13" s="376">
        <v>1</v>
      </c>
      <c r="B13" s="360" t="s">
        <v>418</v>
      </c>
      <c r="C13" s="360" t="s">
        <v>418</v>
      </c>
      <c r="D13" s="360" t="s">
        <v>419</v>
      </c>
      <c r="E13" s="360" t="s">
        <v>420</v>
      </c>
      <c r="F13" s="364">
        <v>51301</v>
      </c>
      <c r="G13" s="377" t="s">
        <v>425</v>
      </c>
      <c r="H13" s="378">
        <v>0</v>
      </c>
      <c r="L13" s="345"/>
    </row>
    <row r="14" spans="1:13" ht="41.25" x14ac:dyDescent="0.35">
      <c r="A14" s="376">
        <v>1</v>
      </c>
      <c r="B14" s="360" t="s">
        <v>418</v>
      </c>
      <c r="C14" s="360" t="s">
        <v>418</v>
      </c>
      <c r="D14" s="360" t="s">
        <v>419</v>
      </c>
      <c r="E14" s="360" t="s">
        <v>420</v>
      </c>
      <c r="F14" s="364">
        <v>51401</v>
      </c>
      <c r="G14" s="379" t="s">
        <v>468</v>
      </c>
      <c r="H14" s="378">
        <v>4278.6000000000004</v>
      </c>
      <c r="L14" s="345"/>
    </row>
    <row r="15" spans="1:13" ht="40.5" x14ac:dyDescent="0.3">
      <c r="A15" s="376">
        <v>1</v>
      </c>
      <c r="B15" s="360" t="s">
        <v>418</v>
      </c>
      <c r="C15" s="360" t="s">
        <v>418</v>
      </c>
      <c r="D15" s="360" t="s">
        <v>419</v>
      </c>
      <c r="E15" s="360" t="s">
        <v>420</v>
      </c>
      <c r="F15" s="364">
        <v>51501</v>
      </c>
      <c r="G15" s="379" t="s">
        <v>469</v>
      </c>
      <c r="H15" s="378">
        <v>3850.74</v>
      </c>
    </row>
    <row r="16" spans="1:13" ht="20.25" x14ac:dyDescent="0.3">
      <c r="A16" s="376">
        <v>1</v>
      </c>
      <c r="B16" s="360" t="s">
        <v>418</v>
      </c>
      <c r="C16" s="360" t="s">
        <v>418</v>
      </c>
      <c r="D16" s="360" t="s">
        <v>419</v>
      </c>
      <c r="E16" s="360" t="s">
        <v>420</v>
      </c>
      <c r="F16" s="364">
        <v>51999</v>
      </c>
      <c r="G16" s="377" t="s">
        <v>470</v>
      </c>
      <c r="H16" s="378">
        <v>0</v>
      </c>
    </row>
    <row r="17" spans="1:11" ht="20.25" x14ac:dyDescent="0.3">
      <c r="A17" s="376">
        <v>1</v>
      </c>
      <c r="B17" s="360" t="s">
        <v>418</v>
      </c>
      <c r="C17" s="360" t="s">
        <v>418</v>
      </c>
      <c r="D17" s="360" t="s">
        <v>419</v>
      </c>
      <c r="E17" s="360" t="s">
        <v>420</v>
      </c>
      <c r="F17" s="364">
        <v>54101</v>
      </c>
      <c r="G17" s="377" t="s">
        <v>428</v>
      </c>
      <c r="H17" s="378">
        <v>0</v>
      </c>
    </row>
    <row r="18" spans="1:11" ht="20.25" x14ac:dyDescent="0.3">
      <c r="A18" s="376">
        <v>1</v>
      </c>
      <c r="B18" s="360" t="s">
        <v>418</v>
      </c>
      <c r="C18" s="360" t="s">
        <v>418</v>
      </c>
      <c r="D18" s="360" t="s">
        <v>419</v>
      </c>
      <c r="E18" s="360" t="s">
        <v>420</v>
      </c>
      <c r="F18" s="364">
        <v>54104</v>
      </c>
      <c r="G18" s="377" t="s">
        <v>522</v>
      </c>
      <c r="H18" s="378">
        <v>352</v>
      </c>
    </row>
    <row r="19" spans="1:11" ht="20.25" x14ac:dyDescent="0.3">
      <c r="A19" s="376">
        <v>1</v>
      </c>
      <c r="B19" s="360" t="s">
        <v>418</v>
      </c>
      <c r="C19" s="360" t="s">
        <v>418</v>
      </c>
      <c r="D19" s="360" t="s">
        <v>419</v>
      </c>
      <c r="E19" s="360" t="s">
        <v>420</v>
      </c>
      <c r="F19" s="364">
        <v>54105</v>
      </c>
      <c r="G19" s="377" t="s">
        <v>430</v>
      </c>
      <c r="H19" s="378">
        <v>0</v>
      </c>
    </row>
    <row r="20" spans="1:11" ht="20.25" x14ac:dyDescent="0.3">
      <c r="A20" s="376">
        <v>1</v>
      </c>
      <c r="B20" s="360" t="s">
        <v>418</v>
      </c>
      <c r="C20" s="360" t="s">
        <v>418</v>
      </c>
      <c r="D20" s="360" t="s">
        <v>419</v>
      </c>
      <c r="E20" s="360" t="s">
        <v>420</v>
      </c>
      <c r="F20" s="364">
        <v>54107</v>
      </c>
      <c r="G20" s="377" t="s">
        <v>471</v>
      </c>
      <c r="H20" s="378">
        <v>9272</v>
      </c>
    </row>
    <row r="21" spans="1:11" ht="20.25" x14ac:dyDescent="0.3">
      <c r="A21" s="376">
        <v>1</v>
      </c>
      <c r="B21" s="360" t="s">
        <v>418</v>
      </c>
      <c r="C21" s="360" t="s">
        <v>418</v>
      </c>
      <c r="D21" s="360" t="s">
        <v>419</v>
      </c>
      <c r="E21" s="360" t="s">
        <v>420</v>
      </c>
      <c r="F21" s="364">
        <v>54110</v>
      </c>
      <c r="G21" s="377" t="s">
        <v>434</v>
      </c>
      <c r="H21" s="378">
        <v>80</v>
      </c>
    </row>
    <row r="22" spans="1:11" ht="20.25" x14ac:dyDescent="0.3">
      <c r="A22" s="376">
        <v>1</v>
      </c>
      <c r="B22" s="360" t="s">
        <v>418</v>
      </c>
      <c r="C22" s="360" t="s">
        <v>418</v>
      </c>
      <c r="D22" s="360" t="s">
        <v>419</v>
      </c>
      <c r="E22" s="360" t="s">
        <v>420</v>
      </c>
      <c r="F22" s="364">
        <v>54111</v>
      </c>
      <c r="G22" s="377" t="s">
        <v>435</v>
      </c>
      <c r="H22" s="378">
        <v>0</v>
      </c>
    </row>
    <row r="23" spans="1:11" ht="20.25" x14ac:dyDescent="0.3">
      <c r="A23" s="376">
        <v>1</v>
      </c>
      <c r="B23" s="360" t="s">
        <v>418</v>
      </c>
      <c r="C23" s="360" t="s">
        <v>418</v>
      </c>
      <c r="D23" s="360" t="s">
        <v>419</v>
      </c>
      <c r="E23" s="360" t="s">
        <v>420</v>
      </c>
      <c r="F23" s="364">
        <v>54112</v>
      </c>
      <c r="G23" s="377" t="s">
        <v>436</v>
      </c>
      <c r="H23" s="378">
        <v>0</v>
      </c>
      <c r="K23" s="234"/>
    </row>
    <row r="24" spans="1:11" ht="20.25" x14ac:dyDescent="0.3">
      <c r="A24" s="376">
        <v>1</v>
      </c>
      <c r="B24" s="360" t="s">
        <v>418</v>
      </c>
      <c r="C24" s="360" t="s">
        <v>418</v>
      </c>
      <c r="D24" s="360" t="s">
        <v>419</v>
      </c>
      <c r="E24" s="360" t="s">
        <v>420</v>
      </c>
      <c r="F24" s="364">
        <v>54114</v>
      </c>
      <c r="G24" s="377" t="s">
        <v>437</v>
      </c>
      <c r="H24" s="378">
        <v>49</v>
      </c>
    </row>
    <row r="25" spans="1:11" ht="20.25" x14ac:dyDescent="0.3">
      <c r="A25" s="376">
        <v>1</v>
      </c>
      <c r="B25" s="360" t="s">
        <v>418</v>
      </c>
      <c r="C25" s="360" t="s">
        <v>418</v>
      </c>
      <c r="D25" s="360" t="s">
        <v>419</v>
      </c>
      <c r="E25" s="360" t="s">
        <v>420</v>
      </c>
      <c r="F25" s="364">
        <v>54118</v>
      </c>
      <c r="G25" s="377" t="s">
        <v>440</v>
      </c>
      <c r="H25" s="378">
        <v>828</v>
      </c>
    </row>
    <row r="26" spans="1:11" ht="20.25" x14ac:dyDescent="0.3">
      <c r="A26" s="376">
        <v>1</v>
      </c>
      <c r="B26" s="360" t="s">
        <v>418</v>
      </c>
      <c r="C26" s="360" t="s">
        <v>418</v>
      </c>
      <c r="D26" s="360" t="s">
        <v>419</v>
      </c>
      <c r="E26" s="360" t="s">
        <v>420</v>
      </c>
      <c r="F26" s="364">
        <v>54201</v>
      </c>
      <c r="G26" s="377" t="s">
        <v>443</v>
      </c>
      <c r="H26" s="378">
        <v>1080</v>
      </c>
    </row>
    <row r="27" spans="1:11" ht="20.25" x14ac:dyDescent="0.3">
      <c r="A27" s="376">
        <v>1</v>
      </c>
      <c r="B27" s="360" t="s">
        <v>418</v>
      </c>
      <c r="C27" s="360" t="s">
        <v>418</v>
      </c>
      <c r="D27" s="360" t="s">
        <v>419</v>
      </c>
      <c r="E27" s="360" t="s">
        <v>420</v>
      </c>
      <c r="F27" s="364">
        <v>54202</v>
      </c>
      <c r="G27" s="377" t="s">
        <v>444</v>
      </c>
      <c r="H27" s="378">
        <v>6000</v>
      </c>
    </row>
    <row r="28" spans="1:11" ht="20.25" x14ac:dyDescent="0.3">
      <c r="A28" s="376">
        <v>1</v>
      </c>
      <c r="B28" s="360" t="s">
        <v>418</v>
      </c>
      <c r="C28" s="360" t="s">
        <v>418</v>
      </c>
      <c r="D28" s="360" t="s">
        <v>419</v>
      </c>
      <c r="E28" s="360" t="s">
        <v>420</v>
      </c>
      <c r="F28" s="364">
        <v>54203</v>
      </c>
      <c r="G28" s="377" t="s">
        <v>445</v>
      </c>
      <c r="H28" s="378">
        <v>0</v>
      </c>
    </row>
    <row r="29" spans="1:11" ht="20.25" x14ac:dyDescent="0.3">
      <c r="A29" s="376">
        <v>1</v>
      </c>
      <c r="B29" s="360" t="s">
        <v>418</v>
      </c>
      <c r="C29" s="360" t="s">
        <v>418</v>
      </c>
      <c r="D29" s="360" t="s">
        <v>419</v>
      </c>
      <c r="E29" s="360" t="s">
        <v>420</v>
      </c>
      <c r="F29" s="364">
        <v>54301</v>
      </c>
      <c r="G29" s="377" t="s">
        <v>446</v>
      </c>
      <c r="H29" s="378">
        <v>0</v>
      </c>
    </row>
    <row r="30" spans="1:11" ht="20.25" x14ac:dyDescent="0.3">
      <c r="A30" s="376">
        <v>1</v>
      </c>
      <c r="B30" s="360" t="s">
        <v>418</v>
      </c>
      <c r="C30" s="360" t="s">
        <v>418</v>
      </c>
      <c r="D30" s="360" t="s">
        <v>419</v>
      </c>
      <c r="E30" s="360" t="s">
        <v>420</v>
      </c>
      <c r="F30" s="364">
        <v>54302</v>
      </c>
      <c r="G30" s="377" t="s">
        <v>447</v>
      </c>
      <c r="H30" s="378">
        <v>0</v>
      </c>
    </row>
    <row r="31" spans="1:11" ht="20.25" x14ac:dyDescent="0.3">
      <c r="A31" s="376">
        <v>1</v>
      </c>
      <c r="B31" s="360" t="s">
        <v>418</v>
      </c>
      <c r="C31" s="360" t="s">
        <v>418</v>
      </c>
      <c r="D31" s="360" t="s">
        <v>418</v>
      </c>
      <c r="E31" s="360" t="s">
        <v>419</v>
      </c>
      <c r="F31" s="360" t="s">
        <v>525</v>
      </c>
      <c r="G31" s="377" t="s">
        <v>448</v>
      </c>
      <c r="H31" s="378">
        <v>500</v>
      </c>
    </row>
    <row r="32" spans="1:11" ht="20.25" x14ac:dyDescent="0.3">
      <c r="A32" s="376">
        <v>1</v>
      </c>
      <c r="B32" s="360" t="s">
        <v>418</v>
      </c>
      <c r="C32" s="360" t="s">
        <v>418</v>
      </c>
      <c r="D32" s="360" t="s">
        <v>419</v>
      </c>
      <c r="E32" s="360" t="s">
        <v>420</v>
      </c>
      <c r="F32" s="364">
        <v>54307</v>
      </c>
      <c r="G32" s="377" t="s">
        <v>450</v>
      </c>
      <c r="H32" s="378">
        <v>0</v>
      </c>
    </row>
    <row r="33" spans="1:9" ht="20.25" x14ac:dyDescent="0.3">
      <c r="A33" s="376">
        <v>1</v>
      </c>
      <c r="B33" s="360" t="s">
        <v>418</v>
      </c>
      <c r="C33" s="360" t="s">
        <v>418</v>
      </c>
      <c r="D33" s="360" t="s">
        <v>419</v>
      </c>
      <c r="E33" s="360" t="s">
        <v>420</v>
      </c>
      <c r="F33" s="364">
        <v>54314</v>
      </c>
      <c r="G33" s="377" t="s">
        <v>524</v>
      </c>
      <c r="H33" s="378">
        <v>4400</v>
      </c>
      <c r="I33" t="s">
        <v>918</v>
      </c>
    </row>
    <row r="34" spans="1:9" ht="20.25" x14ac:dyDescent="0.3">
      <c r="A34" s="376">
        <v>1</v>
      </c>
      <c r="B34" s="360" t="s">
        <v>418</v>
      </c>
      <c r="C34" s="360" t="s">
        <v>418</v>
      </c>
      <c r="D34" s="360" t="s">
        <v>419</v>
      </c>
      <c r="E34" s="360" t="s">
        <v>420</v>
      </c>
      <c r="F34" s="364">
        <v>54317</v>
      </c>
      <c r="G34" s="377" t="s">
        <v>523</v>
      </c>
      <c r="H34" s="378">
        <v>600</v>
      </c>
    </row>
    <row r="35" spans="1:9" ht="20.25" x14ac:dyDescent="0.3">
      <c r="A35" s="376">
        <v>1</v>
      </c>
      <c r="B35" s="360" t="s">
        <v>418</v>
      </c>
      <c r="C35" s="360" t="s">
        <v>418</v>
      </c>
      <c r="D35" s="360" t="s">
        <v>419</v>
      </c>
      <c r="E35" s="360" t="s">
        <v>420</v>
      </c>
      <c r="F35" s="364">
        <v>61101</v>
      </c>
      <c r="G35" s="377" t="s">
        <v>459</v>
      </c>
      <c r="H35" s="378">
        <v>0</v>
      </c>
    </row>
    <row r="36" spans="1:9" ht="20.25" x14ac:dyDescent="0.3">
      <c r="A36" s="376">
        <v>1</v>
      </c>
      <c r="B36" s="360" t="s">
        <v>418</v>
      </c>
      <c r="C36" s="360" t="s">
        <v>418</v>
      </c>
      <c r="D36" s="360" t="s">
        <v>419</v>
      </c>
      <c r="E36" s="360" t="s">
        <v>420</v>
      </c>
      <c r="F36" s="360" t="s">
        <v>462</v>
      </c>
      <c r="G36" s="377" t="s">
        <v>463</v>
      </c>
      <c r="H36" s="378">
        <v>0</v>
      </c>
    </row>
    <row r="37" spans="1:9" ht="38.25" customHeight="1" thickBot="1" x14ac:dyDescent="0.4">
      <c r="A37" s="371"/>
      <c r="B37" s="372"/>
      <c r="C37" s="372"/>
      <c r="D37" s="372"/>
      <c r="E37" s="372"/>
      <c r="F37" s="373"/>
      <c r="G37" s="374" t="s">
        <v>415</v>
      </c>
      <c r="H37" s="375">
        <f>SUM(H9:H36)</f>
        <v>104097.34000000001</v>
      </c>
    </row>
  </sheetData>
  <mergeCells count="7">
    <mergeCell ref="A8:H8"/>
    <mergeCell ref="A2:H2"/>
    <mergeCell ref="A3:H3"/>
    <mergeCell ref="A4:H4"/>
    <mergeCell ref="A5:H5"/>
    <mergeCell ref="A6:H6"/>
    <mergeCell ref="A7:H7"/>
  </mergeCells>
  <pageMargins left="0.62992125984251968" right="3.937007874015748E-2" top="0.55118110236220474" bottom="0.55118110236220474" header="0.31496062992125984" footer="0.31496062992125984"/>
  <pageSetup scale="65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J24" sqref="J24"/>
    </sheetView>
  </sheetViews>
  <sheetFormatPr baseColWidth="10" defaultRowHeight="15" x14ac:dyDescent="0.25"/>
  <cols>
    <col min="7" max="7" width="58.42578125" customWidth="1"/>
    <col min="8" max="8" width="24.28515625" customWidth="1"/>
  </cols>
  <sheetData>
    <row r="1" spans="1:8" ht="27.75" x14ac:dyDescent="0.45">
      <c r="A1" s="705" t="s">
        <v>390</v>
      </c>
      <c r="B1" s="706"/>
      <c r="C1" s="706"/>
      <c r="D1" s="706"/>
      <c r="E1" s="706"/>
      <c r="F1" s="706"/>
      <c r="G1" s="706"/>
      <c r="H1" s="706"/>
    </row>
    <row r="2" spans="1:8" ht="27.75" x14ac:dyDescent="0.45">
      <c r="A2" s="705" t="s">
        <v>416</v>
      </c>
      <c r="B2" s="706"/>
      <c r="C2" s="706"/>
      <c r="D2" s="706"/>
      <c r="E2" s="706"/>
      <c r="F2" s="706"/>
      <c r="G2" s="706"/>
      <c r="H2" s="706"/>
    </row>
    <row r="3" spans="1:8" ht="27.75" x14ac:dyDescent="0.45">
      <c r="A3" s="705" t="s">
        <v>392</v>
      </c>
      <c r="B3" s="706"/>
      <c r="C3" s="706"/>
      <c r="D3" s="706"/>
      <c r="E3" s="706"/>
      <c r="F3" s="706"/>
      <c r="G3" s="706"/>
      <c r="H3" s="706"/>
    </row>
    <row r="4" spans="1:8" ht="27.75" x14ac:dyDescent="0.45">
      <c r="A4" s="707" t="s">
        <v>393</v>
      </c>
      <c r="B4" s="707"/>
      <c r="C4" s="707"/>
      <c r="D4" s="707"/>
      <c r="E4" s="707"/>
      <c r="F4" s="707"/>
      <c r="G4" s="707"/>
      <c r="H4" s="707"/>
    </row>
    <row r="5" spans="1:8" ht="28.5" thickBot="1" x14ac:dyDescent="0.5">
      <c r="A5" s="698" t="s">
        <v>473</v>
      </c>
      <c r="B5" s="698"/>
      <c r="C5" s="698"/>
      <c r="D5" s="698"/>
      <c r="E5" s="698"/>
      <c r="F5" s="698"/>
      <c r="G5" s="698"/>
      <c r="H5" s="698"/>
    </row>
    <row r="6" spans="1:8" ht="16.5" thickBot="1" x14ac:dyDescent="0.35">
      <c r="A6" s="699" t="s">
        <v>395</v>
      </c>
      <c r="B6" s="700"/>
      <c r="C6" s="700"/>
      <c r="D6" s="700"/>
      <c r="E6" s="700"/>
      <c r="F6" s="700"/>
      <c r="G6" s="701" t="s">
        <v>396</v>
      </c>
      <c r="H6" s="703" t="s">
        <v>397</v>
      </c>
    </row>
    <row r="7" spans="1:8" ht="95.25" x14ac:dyDescent="0.25">
      <c r="A7" s="227" t="s">
        <v>398</v>
      </c>
      <c r="B7" s="228" t="s">
        <v>399</v>
      </c>
      <c r="C7" s="228" t="s">
        <v>400</v>
      </c>
      <c r="D7" s="228" t="s">
        <v>401</v>
      </c>
      <c r="E7" s="229" t="s">
        <v>402</v>
      </c>
      <c r="F7" s="230" t="s">
        <v>403</v>
      </c>
      <c r="G7" s="702"/>
      <c r="H7" s="704"/>
    </row>
    <row r="8" spans="1:8" ht="18" x14ac:dyDescent="0.25">
      <c r="A8" s="231"/>
      <c r="B8" s="231"/>
      <c r="C8" s="231"/>
      <c r="D8" s="231"/>
      <c r="E8" s="231"/>
      <c r="F8" s="231"/>
      <c r="G8" s="232"/>
      <c r="H8" s="233"/>
    </row>
    <row r="9" spans="1:8" ht="57.75" customHeight="1" x14ac:dyDescent="0.25">
      <c r="A9" s="146">
        <v>3</v>
      </c>
      <c r="B9" s="147" t="s">
        <v>474</v>
      </c>
      <c r="C9" s="147" t="s">
        <v>474</v>
      </c>
      <c r="D9" s="147" t="s">
        <v>405</v>
      </c>
      <c r="E9" s="147" t="s">
        <v>475</v>
      </c>
      <c r="F9" s="152">
        <v>61607</v>
      </c>
      <c r="G9" s="37" t="s">
        <v>171</v>
      </c>
      <c r="H9" s="149">
        <f>+'DETALLE CONSOLIDADO INGRESOS FF'!J52</f>
        <v>10615.58</v>
      </c>
    </row>
    <row r="10" spans="1:8" ht="39" customHeight="1" x14ac:dyDescent="0.3">
      <c r="A10" s="154"/>
      <c r="B10" s="150"/>
      <c r="C10" s="150"/>
      <c r="D10" s="150"/>
      <c r="E10" s="150"/>
      <c r="F10" s="150"/>
      <c r="G10" s="155" t="s">
        <v>415</v>
      </c>
      <c r="H10" s="226">
        <f>+H9</f>
        <v>10615.58</v>
      </c>
    </row>
  </sheetData>
  <mergeCells count="8">
    <mergeCell ref="A6:F6"/>
    <mergeCell ref="G6:G7"/>
    <mergeCell ref="H6:H7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25" sqref="H25"/>
    </sheetView>
  </sheetViews>
  <sheetFormatPr baseColWidth="10" defaultRowHeight="15" x14ac:dyDescent="0.25"/>
  <cols>
    <col min="5" max="5" width="12.42578125" customWidth="1"/>
    <col min="6" max="6" width="15.5703125" customWidth="1"/>
    <col min="7" max="7" width="64.85546875" customWidth="1"/>
    <col min="8" max="8" width="26" customWidth="1"/>
  </cols>
  <sheetData>
    <row r="1" spans="1:8" ht="27.75" x14ac:dyDescent="0.45">
      <c r="A1" s="705" t="s">
        <v>416</v>
      </c>
      <c r="B1" s="706"/>
      <c r="C1" s="706"/>
      <c r="D1" s="706"/>
      <c r="E1" s="706"/>
      <c r="F1" s="706"/>
      <c r="G1" s="706"/>
      <c r="H1" s="706"/>
    </row>
    <row r="2" spans="1:8" ht="27.75" x14ac:dyDescent="0.45">
      <c r="A2" s="705" t="s">
        <v>392</v>
      </c>
      <c r="B2" s="706"/>
      <c r="C2" s="706"/>
      <c r="D2" s="706"/>
      <c r="E2" s="706"/>
      <c r="F2" s="706"/>
      <c r="G2" s="706"/>
      <c r="H2" s="706"/>
    </row>
    <row r="3" spans="1:8" ht="27.75" x14ac:dyDescent="0.45">
      <c r="A3" s="707" t="s">
        <v>393</v>
      </c>
      <c r="B3" s="707"/>
      <c r="C3" s="707"/>
      <c r="D3" s="707"/>
      <c r="E3" s="707"/>
      <c r="F3" s="707"/>
      <c r="G3" s="707"/>
      <c r="H3" s="707"/>
    </row>
    <row r="4" spans="1:8" ht="28.5" thickBot="1" x14ac:dyDescent="0.5">
      <c r="A4" s="698" t="s">
        <v>476</v>
      </c>
      <c r="B4" s="698"/>
      <c r="C4" s="698"/>
      <c r="D4" s="698"/>
      <c r="E4" s="698"/>
      <c r="F4" s="698"/>
      <c r="G4" s="698"/>
      <c r="H4" s="698"/>
    </row>
    <row r="5" spans="1:8" ht="16.5" thickBot="1" x14ac:dyDescent="0.35">
      <c r="A5" s="699" t="s">
        <v>395</v>
      </c>
      <c r="B5" s="700"/>
      <c r="C5" s="700"/>
      <c r="D5" s="700"/>
      <c r="E5" s="700"/>
      <c r="F5" s="700"/>
      <c r="G5" s="701" t="s">
        <v>396</v>
      </c>
      <c r="H5" s="703" t="s">
        <v>397</v>
      </c>
    </row>
    <row r="6" spans="1:8" ht="95.25" x14ac:dyDescent="0.25">
      <c r="A6" s="227" t="s">
        <v>398</v>
      </c>
      <c r="B6" s="228" t="s">
        <v>399</v>
      </c>
      <c r="C6" s="228" t="s">
        <v>400</v>
      </c>
      <c r="D6" s="228" t="s">
        <v>401</v>
      </c>
      <c r="E6" s="229" t="s">
        <v>402</v>
      </c>
      <c r="F6" s="230" t="s">
        <v>403</v>
      </c>
      <c r="G6" s="702"/>
      <c r="H6" s="704"/>
    </row>
    <row r="7" spans="1:8" ht="18" x14ac:dyDescent="0.25">
      <c r="A7" s="231"/>
      <c r="B7" s="231"/>
      <c r="C7" s="231"/>
      <c r="D7" s="231"/>
      <c r="E7" s="231"/>
      <c r="F7" s="231"/>
      <c r="G7" s="232"/>
      <c r="H7" s="233"/>
    </row>
    <row r="8" spans="1:8" ht="18" x14ac:dyDescent="0.25">
      <c r="A8" s="160">
        <v>3</v>
      </c>
      <c r="B8" s="161" t="s">
        <v>474</v>
      </c>
      <c r="C8" s="161" t="s">
        <v>418</v>
      </c>
      <c r="D8" s="161" t="s">
        <v>405</v>
      </c>
      <c r="E8" s="161" t="s">
        <v>475</v>
      </c>
      <c r="F8" s="162">
        <v>56201</v>
      </c>
      <c r="G8" s="150" t="s">
        <v>152</v>
      </c>
      <c r="H8" s="151">
        <v>0</v>
      </c>
    </row>
    <row r="9" spans="1:8" ht="18" x14ac:dyDescent="0.25">
      <c r="A9" s="160">
        <v>3</v>
      </c>
      <c r="B9" s="161" t="s">
        <v>474</v>
      </c>
      <c r="C9" s="161" t="s">
        <v>418</v>
      </c>
      <c r="D9" s="161" t="s">
        <v>405</v>
      </c>
      <c r="E9" s="161" t="s">
        <v>475</v>
      </c>
      <c r="F9" s="147" t="s">
        <v>477</v>
      </c>
      <c r="G9" s="163" t="s">
        <v>161</v>
      </c>
      <c r="H9" s="153">
        <v>0</v>
      </c>
    </row>
    <row r="10" spans="1:8" ht="18" x14ac:dyDescent="0.25">
      <c r="A10" s="160">
        <v>3</v>
      </c>
      <c r="B10" s="161" t="s">
        <v>474</v>
      </c>
      <c r="C10" s="161" t="s">
        <v>418</v>
      </c>
      <c r="D10" s="161" t="s">
        <v>405</v>
      </c>
      <c r="E10" s="161" t="s">
        <v>475</v>
      </c>
      <c r="F10" s="161" t="s">
        <v>478</v>
      </c>
      <c r="G10" s="164" t="s">
        <v>479</v>
      </c>
      <c r="H10" s="165">
        <v>0</v>
      </c>
    </row>
    <row r="11" spans="1:8" ht="18" x14ac:dyDescent="0.25">
      <c r="A11" s="146">
        <v>3</v>
      </c>
      <c r="B11" s="147" t="s">
        <v>474</v>
      </c>
      <c r="C11" s="161" t="s">
        <v>418</v>
      </c>
      <c r="D11" s="147" t="s">
        <v>405</v>
      </c>
      <c r="E11" s="147" t="s">
        <v>475</v>
      </c>
      <c r="F11" s="147" t="s">
        <v>480</v>
      </c>
      <c r="G11" s="150" t="s">
        <v>167</v>
      </c>
      <c r="H11" s="165">
        <v>0</v>
      </c>
    </row>
    <row r="12" spans="1:8" ht="18" x14ac:dyDescent="0.25">
      <c r="A12" s="146">
        <v>3</v>
      </c>
      <c r="B12" s="147" t="s">
        <v>474</v>
      </c>
      <c r="C12" s="161" t="s">
        <v>418</v>
      </c>
      <c r="D12" s="147" t="s">
        <v>405</v>
      </c>
      <c r="E12" s="147" t="s">
        <v>475</v>
      </c>
      <c r="F12" s="152">
        <v>61603</v>
      </c>
      <c r="G12" s="148" t="s">
        <v>168</v>
      </c>
      <c r="H12" s="165">
        <v>0</v>
      </c>
    </row>
    <row r="13" spans="1:8" ht="18" x14ac:dyDescent="0.25">
      <c r="A13" s="146">
        <v>3</v>
      </c>
      <c r="B13" s="147" t="s">
        <v>474</v>
      </c>
      <c r="C13" s="161" t="s">
        <v>418</v>
      </c>
      <c r="D13" s="147" t="s">
        <v>405</v>
      </c>
      <c r="E13" s="147" t="s">
        <v>475</v>
      </c>
      <c r="F13" s="152">
        <v>61604</v>
      </c>
      <c r="G13" s="148" t="s">
        <v>169</v>
      </c>
      <c r="H13" s="165">
        <v>0</v>
      </c>
    </row>
    <row r="14" spans="1:8" ht="18" x14ac:dyDescent="0.25">
      <c r="A14" s="146">
        <v>3</v>
      </c>
      <c r="B14" s="147" t="s">
        <v>474</v>
      </c>
      <c r="C14" s="161" t="s">
        <v>418</v>
      </c>
      <c r="D14" s="147" t="s">
        <v>405</v>
      </c>
      <c r="E14" s="147" t="s">
        <v>475</v>
      </c>
      <c r="F14" s="152">
        <v>6166</v>
      </c>
      <c r="G14" s="148" t="s">
        <v>481</v>
      </c>
      <c r="H14" s="165">
        <v>0</v>
      </c>
    </row>
    <row r="15" spans="1:8" ht="18" x14ac:dyDescent="0.25">
      <c r="A15" s="146">
        <v>3</v>
      </c>
      <c r="B15" s="147" t="s">
        <v>474</v>
      </c>
      <c r="C15" s="161" t="s">
        <v>418</v>
      </c>
      <c r="D15" s="147" t="s">
        <v>405</v>
      </c>
      <c r="E15" s="147" t="s">
        <v>475</v>
      </c>
      <c r="F15" s="152">
        <v>61607</v>
      </c>
      <c r="G15" s="37" t="s">
        <v>171</v>
      </c>
      <c r="H15" s="165">
        <v>0</v>
      </c>
    </row>
    <row r="16" spans="1:8" ht="18" x14ac:dyDescent="0.25">
      <c r="A16" s="146">
        <v>3</v>
      </c>
      <c r="B16" s="147" t="s">
        <v>474</v>
      </c>
      <c r="C16" s="161" t="s">
        <v>418</v>
      </c>
      <c r="D16" s="147" t="s">
        <v>405</v>
      </c>
      <c r="E16" s="147" t="s">
        <v>475</v>
      </c>
      <c r="F16" s="152">
        <v>61608</v>
      </c>
      <c r="G16" s="37" t="s">
        <v>482</v>
      </c>
      <c r="H16" s="165">
        <v>0</v>
      </c>
    </row>
    <row r="17" spans="1:8" ht="18" x14ac:dyDescent="0.25">
      <c r="A17" s="146">
        <v>3</v>
      </c>
      <c r="B17" s="147" t="s">
        <v>474</v>
      </c>
      <c r="C17" s="161" t="s">
        <v>418</v>
      </c>
      <c r="D17" s="147" t="s">
        <v>405</v>
      </c>
      <c r="E17" s="147" t="s">
        <v>475</v>
      </c>
      <c r="F17" s="38">
        <v>61699</v>
      </c>
      <c r="G17" s="39" t="s">
        <v>483</v>
      </c>
      <c r="H17" s="165">
        <v>0</v>
      </c>
    </row>
    <row r="18" spans="1:8" ht="24" customHeight="1" x14ac:dyDescent="0.35">
      <c r="A18" s="242"/>
      <c r="B18" s="243"/>
      <c r="C18" s="243"/>
      <c r="D18" s="243"/>
      <c r="E18" s="243"/>
      <c r="F18" s="243"/>
      <c r="G18" s="244" t="s">
        <v>415</v>
      </c>
      <c r="H18" s="245">
        <f>SUM(H8:H17)</f>
        <v>0</v>
      </c>
    </row>
  </sheetData>
  <mergeCells count="7">
    <mergeCell ref="A1:H1"/>
    <mergeCell ref="A2:H2"/>
    <mergeCell ref="A3:H3"/>
    <mergeCell ref="A4:H4"/>
    <mergeCell ref="A5:F5"/>
    <mergeCell ref="G5:G6"/>
    <mergeCell ref="H5:H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I20" sqref="I20"/>
    </sheetView>
  </sheetViews>
  <sheetFormatPr baseColWidth="10" defaultRowHeight="15" x14ac:dyDescent="0.25"/>
  <cols>
    <col min="5" max="5" width="13.85546875" customWidth="1"/>
    <col min="6" max="6" width="15" customWidth="1"/>
    <col min="7" max="7" width="57.85546875" customWidth="1"/>
    <col min="8" max="8" width="22.7109375" customWidth="1"/>
  </cols>
  <sheetData>
    <row r="1" spans="1:8" ht="27.75" x14ac:dyDescent="0.45">
      <c r="A1" s="705" t="s">
        <v>390</v>
      </c>
      <c r="B1" s="706"/>
      <c r="C1" s="706"/>
      <c r="D1" s="706"/>
      <c r="E1" s="706"/>
      <c r="F1" s="706"/>
      <c r="G1" s="706"/>
      <c r="H1" s="706"/>
    </row>
    <row r="2" spans="1:8" ht="27.75" x14ac:dyDescent="0.45">
      <c r="A2" s="705" t="s">
        <v>416</v>
      </c>
      <c r="B2" s="706"/>
      <c r="C2" s="706"/>
      <c r="D2" s="706"/>
      <c r="E2" s="706"/>
      <c r="F2" s="706"/>
      <c r="G2" s="706"/>
      <c r="H2" s="706"/>
    </row>
    <row r="3" spans="1:8" ht="27.75" x14ac:dyDescent="0.45">
      <c r="A3" s="705" t="s">
        <v>392</v>
      </c>
      <c r="B3" s="706"/>
      <c r="C3" s="706"/>
      <c r="D3" s="706"/>
      <c r="E3" s="706"/>
      <c r="F3" s="706"/>
      <c r="G3" s="706"/>
      <c r="H3" s="706"/>
    </row>
    <row r="4" spans="1:8" ht="27.75" x14ac:dyDescent="0.45">
      <c r="A4" s="707" t="s">
        <v>393</v>
      </c>
      <c r="B4" s="707"/>
      <c r="C4" s="707"/>
      <c r="D4" s="707"/>
      <c r="E4" s="707"/>
      <c r="F4" s="707"/>
      <c r="G4" s="707"/>
      <c r="H4" s="707"/>
    </row>
    <row r="5" spans="1:8" ht="28.5" thickBot="1" x14ac:dyDescent="0.5">
      <c r="A5" s="698" t="s">
        <v>484</v>
      </c>
      <c r="B5" s="698"/>
      <c r="C5" s="698"/>
      <c r="D5" s="698"/>
      <c r="E5" s="698"/>
      <c r="F5" s="698"/>
      <c r="G5" s="698"/>
      <c r="H5" s="698"/>
    </row>
    <row r="6" spans="1:8" ht="16.5" thickBot="1" x14ac:dyDescent="0.35">
      <c r="A6" s="699" t="s">
        <v>395</v>
      </c>
      <c r="B6" s="700"/>
      <c r="C6" s="700"/>
      <c r="D6" s="700"/>
      <c r="E6" s="700"/>
      <c r="F6" s="700"/>
      <c r="G6" s="701" t="s">
        <v>396</v>
      </c>
      <c r="H6" s="703" t="s">
        <v>397</v>
      </c>
    </row>
    <row r="7" spans="1:8" ht="95.25" x14ac:dyDescent="0.25">
      <c r="A7" s="227" t="s">
        <v>398</v>
      </c>
      <c r="B7" s="228" t="s">
        <v>399</v>
      </c>
      <c r="C7" s="228" t="s">
        <v>400</v>
      </c>
      <c r="D7" s="228" t="s">
        <v>401</v>
      </c>
      <c r="E7" s="229" t="s">
        <v>402</v>
      </c>
      <c r="F7" s="230" t="s">
        <v>403</v>
      </c>
      <c r="G7" s="702"/>
      <c r="H7" s="704"/>
    </row>
    <row r="8" spans="1:8" ht="51" customHeight="1" x14ac:dyDescent="0.25">
      <c r="A8" s="160">
        <v>3</v>
      </c>
      <c r="B8" s="161" t="s">
        <v>474</v>
      </c>
      <c r="C8" s="161" t="s">
        <v>404</v>
      </c>
      <c r="D8" s="161" t="s">
        <v>405</v>
      </c>
      <c r="E8" s="161" t="s">
        <v>475</v>
      </c>
      <c r="F8" s="162">
        <v>54599</v>
      </c>
      <c r="G8" s="163" t="s">
        <v>144</v>
      </c>
      <c r="H8" s="151">
        <v>0</v>
      </c>
    </row>
    <row r="9" spans="1:8" ht="27" customHeight="1" x14ac:dyDescent="0.25">
      <c r="A9" s="160">
        <v>3</v>
      </c>
      <c r="B9" s="161" t="s">
        <v>474</v>
      </c>
      <c r="C9" s="161" t="s">
        <v>404</v>
      </c>
      <c r="D9" s="161" t="s">
        <v>405</v>
      </c>
      <c r="E9" s="161" t="s">
        <v>475</v>
      </c>
      <c r="F9" s="161" t="s">
        <v>485</v>
      </c>
      <c r="G9" s="166" t="s">
        <v>486</v>
      </c>
      <c r="H9" s="470">
        <f>+'PROYECTOS 2017'!E6</f>
        <v>34188</v>
      </c>
    </row>
    <row r="10" spans="1:8" ht="24.75" customHeight="1" x14ac:dyDescent="0.25">
      <c r="A10" s="160">
        <v>3</v>
      </c>
      <c r="B10" s="161" t="s">
        <v>474</v>
      </c>
      <c r="C10" s="161" t="s">
        <v>404</v>
      </c>
      <c r="D10" s="161" t="s">
        <v>405</v>
      </c>
      <c r="E10" s="161" t="s">
        <v>475</v>
      </c>
      <c r="F10" s="161" t="s">
        <v>487</v>
      </c>
      <c r="G10" s="166" t="s">
        <v>488</v>
      </c>
      <c r="H10" s="470">
        <f>+'PROYECTOS 2017'!E7</f>
        <v>14080.26</v>
      </c>
    </row>
    <row r="11" spans="1:8" ht="25.5" customHeight="1" x14ac:dyDescent="0.25">
      <c r="A11" s="160">
        <v>3</v>
      </c>
      <c r="B11" s="161" t="s">
        <v>474</v>
      </c>
      <c r="C11" s="161" t="s">
        <v>404</v>
      </c>
      <c r="D11" s="161" t="s">
        <v>405</v>
      </c>
      <c r="E11" s="161" t="s">
        <v>475</v>
      </c>
      <c r="F11" s="161" t="s">
        <v>489</v>
      </c>
      <c r="G11" s="166" t="s">
        <v>490</v>
      </c>
      <c r="H11" s="470">
        <f>+'PROYECTOS 2017'!E8</f>
        <v>7000</v>
      </c>
    </row>
    <row r="12" spans="1:8" ht="26.25" customHeight="1" x14ac:dyDescent="0.25">
      <c r="A12" s="160">
        <v>3</v>
      </c>
      <c r="B12" s="161" t="s">
        <v>474</v>
      </c>
      <c r="C12" s="161" t="s">
        <v>404</v>
      </c>
      <c r="D12" s="161" t="s">
        <v>405</v>
      </c>
      <c r="E12" s="161" t="s">
        <v>475</v>
      </c>
      <c r="F12" s="161" t="s">
        <v>491</v>
      </c>
      <c r="G12" s="166" t="s">
        <v>492</v>
      </c>
      <c r="H12" s="470">
        <f>+'PROYECTOS 2017'!E9</f>
        <v>5000</v>
      </c>
    </row>
    <row r="13" spans="1:8" ht="33" customHeight="1" x14ac:dyDescent="0.3">
      <c r="A13" s="240"/>
      <c r="B13" s="241"/>
      <c r="C13" s="241"/>
      <c r="D13" s="241"/>
      <c r="E13" s="241"/>
      <c r="F13" s="241"/>
      <c r="G13" s="244" t="s">
        <v>415</v>
      </c>
      <c r="H13" s="245">
        <f>SUM(H8:H12)</f>
        <v>60268.26</v>
      </c>
    </row>
  </sheetData>
  <mergeCells count="8">
    <mergeCell ref="A6:F6"/>
    <mergeCell ref="G6:G7"/>
    <mergeCell ref="H6:H7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9"/>
  <sheetViews>
    <sheetView topLeftCell="A4" workbookViewId="0">
      <selection activeCell="I25" sqref="I25"/>
    </sheetView>
  </sheetViews>
  <sheetFormatPr baseColWidth="10" defaultRowHeight="15" x14ac:dyDescent="0.25"/>
  <cols>
    <col min="1" max="1" width="13.7109375" customWidth="1"/>
    <col min="2" max="2" width="13.140625" customWidth="1"/>
    <col min="3" max="3" width="12.5703125" customWidth="1"/>
    <col min="4" max="4" width="12.85546875" customWidth="1"/>
    <col min="5" max="5" width="12.7109375" customWidth="1"/>
    <col min="6" max="6" width="15.140625" customWidth="1"/>
    <col min="7" max="7" width="50.7109375" customWidth="1"/>
    <col min="8" max="8" width="25.5703125" customWidth="1"/>
  </cols>
  <sheetData>
    <row r="2" spans="1:8" ht="18" x14ac:dyDescent="0.35">
      <c r="A2" s="156"/>
      <c r="B2" s="157"/>
      <c r="C2" s="158"/>
      <c r="D2" s="158"/>
      <c r="E2" s="158"/>
      <c r="F2" s="158"/>
      <c r="G2" s="158"/>
      <c r="H2" s="159" t="s">
        <v>722</v>
      </c>
    </row>
    <row r="3" spans="1:8" ht="23.25" x14ac:dyDescent="0.35">
      <c r="A3" s="717" t="s">
        <v>388</v>
      </c>
      <c r="B3" s="718"/>
      <c r="C3" s="718"/>
      <c r="D3" s="718"/>
      <c r="E3" s="718"/>
      <c r="F3" s="718"/>
      <c r="G3" s="718"/>
      <c r="H3" s="718"/>
    </row>
    <row r="4" spans="1:8" ht="23.25" x14ac:dyDescent="0.35">
      <c r="A4" s="717" t="s">
        <v>389</v>
      </c>
      <c r="B4" s="718"/>
      <c r="C4" s="718"/>
      <c r="D4" s="718"/>
      <c r="E4" s="718"/>
      <c r="F4" s="718"/>
      <c r="G4" s="718"/>
      <c r="H4" s="718"/>
    </row>
    <row r="5" spans="1:8" ht="23.25" x14ac:dyDescent="0.35">
      <c r="A5" s="717" t="s">
        <v>390</v>
      </c>
      <c r="B5" s="718"/>
      <c r="C5" s="718"/>
      <c r="D5" s="718"/>
      <c r="E5" s="718"/>
      <c r="F5" s="718"/>
      <c r="G5" s="718"/>
      <c r="H5" s="718"/>
    </row>
    <row r="6" spans="1:8" ht="23.25" x14ac:dyDescent="0.35">
      <c r="A6" s="717" t="s">
        <v>416</v>
      </c>
      <c r="B6" s="718"/>
      <c r="C6" s="718"/>
      <c r="D6" s="718"/>
      <c r="E6" s="718"/>
      <c r="F6" s="718"/>
      <c r="G6" s="718"/>
      <c r="H6" s="718"/>
    </row>
    <row r="7" spans="1:8" ht="23.25" x14ac:dyDescent="0.35">
      <c r="A7" s="717" t="s">
        <v>392</v>
      </c>
      <c r="B7" s="718"/>
      <c r="C7" s="718"/>
      <c r="D7" s="718"/>
      <c r="E7" s="718"/>
      <c r="F7" s="718"/>
      <c r="G7" s="718"/>
      <c r="H7" s="718"/>
    </row>
    <row r="8" spans="1:8" ht="48" customHeight="1" thickBot="1" x14ac:dyDescent="0.4">
      <c r="A8" s="719" t="s">
        <v>723</v>
      </c>
      <c r="B8" s="719"/>
      <c r="C8" s="719"/>
      <c r="D8" s="719"/>
      <c r="E8" s="719"/>
      <c r="F8" s="719"/>
      <c r="G8" s="719"/>
      <c r="H8" s="719"/>
    </row>
    <row r="9" spans="1:8" ht="16.5" thickBot="1" x14ac:dyDescent="0.35">
      <c r="A9" s="720" t="s">
        <v>395</v>
      </c>
      <c r="B9" s="721"/>
      <c r="C9" s="721"/>
      <c r="D9" s="721"/>
      <c r="E9" s="721"/>
      <c r="F9" s="721"/>
      <c r="G9" s="722" t="s">
        <v>396</v>
      </c>
      <c r="H9" s="724" t="s">
        <v>397</v>
      </c>
    </row>
    <row r="10" spans="1:8" ht="96" thickBot="1" x14ac:dyDescent="0.3">
      <c r="A10" s="385" t="s">
        <v>398</v>
      </c>
      <c r="B10" s="386" t="s">
        <v>399</v>
      </c>
      <c r="C10" s="386" t="s">
        <v>400</v>
      </c>
      <c r="D10" s="386" t="s">
        <v>401</v>
      </c>
      <c r="E10" s="387" t="s">
        <v>402</v>
      </c>
      <c r="F10" s="388" t="s">
        <v>403</v>
      </c>
      <c r="G10" s="723"/>
      <c r="H10" s="725"/>
    </row>
    <row r="11" spans="1:8" ht="24" thickBot="1" x14ac:dyDescent="0.4">
      <c r="A11" s="398">
        <v>5</v>
      </c>
      <c r="B11" s="399" t="s">
        <v>597</v>
      </c>
      <c r="C11" s="399" t="s">
        <v>404</v>
      </c>
      <c r="D11" s="399" t="s">
        <v>405</v>
      </c>
      <c r="E11" s="399" t="s">
        <v>475</v>
      </c>
      <c r="F11" s="400" t="s">
        <v>724</v>
      </c>
      <c r="G11" s="401" t="s">
        <v>725</v>
      </c>
      <c r="H11" s="402">
        <v>121000</v>
      </c>
    </row>
    <row r="12" spans="1:8" ht="23.25" x14ac:dyDescent="0.35">
      <c r="A12" s="403">
        <v>5</v>
      </c>
      <c r="B12" s="404" t="s">
        <v>597</v>
      </c>
      <c r="C12" s="404" t="s">
        <v>404</v>
      </c>
      <c r="D12" s="404" t="s">
        <v>405</v>
      </c>
      <c r="E12" s="404" t="s">
        <v>475</v>
      </c>
      <c r="F12" s="405" t="s">
        <v>726</v>
      </c>
      <c r="G12" s="401" t="s">
        <v>725</v>
      </c>
      <c r="H12" s="402">
        <v>29000</v>
      </c>
    </row>
    <row r="13" spans="1:8" ht="23.25" x14ac:dyDescent="0.35">
      <c r="A13" s="403"/>
      <c r="B13" s="404"/>
      <c r="C13" s="404"/>
      <c r="D13" s="404"/>
      <c r="E13" s="404"/>
      <c r="F13" s="405"/>
      <c r="G13" s="406"/>
      <c r="H13" s="407"/>
    </row>
    <row r="14" spans="1:8" ht="23.25" x14ac:dyDescent="0.35">
      <c r="A14" s="403"/>
      <c r="B14" s="404"/>
      <c r="C14" s="404"/>
      <c r="D14" s="404"/>
      <c r="E14" s="404"/>
      <c r="F14" s="405"/>
      <c r="G14" s="406"/>
      <c r="H14" s="407"/>
    </row>
    <row r="15" spans="1:8" ht="23.25" x14ac:dyDescent="0.35">
      <c r="A15" s="408"/>
      <c r="B15" s="404"/>
      <c r="C15" s="404"/>
      <c r="D15" s="404"/>
      <c r="E15" s="404"/>
      <c r="F15" s="405"/>
      <c r="G15" s="409"/>
      <c r="H15" s="410"/>
    </row>
    <row r="16" spans="1:8" ht="26.25" thickBot="1" x14ac:dyDescent="0.3">
      <c r="A16" s="389"/>
      <c r="B16" s="390"/>
      <c r="C16" s="390"/>
      <c r="D16" s="390"/>
      <c r="E16" s="390"/>
      <c r="F16" s="391"/>
      <c r="G16" s="411" t="s">
        <v>727</v>
      </c>
      <c r="H16" s="412">
        <f>SUM(H11:H15)</f>
        <v>150000</v>
      </c>
    </row>
    <row r="17" spans="1:8" ht="15.75" x14ac:dyDescent="0.3">
      <c r="A17" s="316"/>
      <c r="B17" s="316"/>
      <c r="C17" s="392"/>
      <c r="D17" s="393"/>
      <c r="E17" s="393"/>
      <c r="F17" s="393"/>
      <c r="G17" s="156"/>
      <c r="H17" s="317"/>
    </row>
    <row r="18" spans="1:8" ht="18" x14ac:dyDescent="0.35">
      <c r="A18" s="726" t="s">
        <v>693</v>
      </c>
      <c r="B18" s="726"/>
      <c r="C18" s="726"/>
      <c r="D18" s="726"/>
      <c r="E18" s="726"/>
      <c r="F18" s="726"/>
      <c r="G18" s="156"/>
      <c r="H18" s="317"/>
    </row>
    <row r="19" spans="1:8" ht="15.75" x14ac:dyDescent="0.3">
      <c r="A19" s="652" t="s">
        <v>728</v>
      </c>
      <c r="B19" s="652"/>
      <c r="C19" s="652"/>
      <c r="D19" s="652"/>
      <c r="E19" s="652"/>
      <c r="F19" s="652"/>
      <c r="G19" s="652"/>
      <c r="H19" s="317"/>
    </row>
    <row r="20" spans="1:8" ht="15.75" x14ac:dyDescent="0.3">
      <c r="A20" s="652" t="s">
        <v>729</v>
      </c>
      <c r="B20" s="652"/>
      <c r="C20" s="652"/>
      <c r="D20" s="652"/>
      <c r="E20" s="652"/>
      <c r="F20" s="652"/>
      <c r="G20" s="652"/>
      <c r="H20" s="317"/>
    </row>
    <row r="21" spans="1:8" ht="15.75" x14ac:dyDescent="0.3">
      <c r="A21" s="316"/>
      <c r="B21" s="316"/>
      <c r="C21" s="392"/>
      <c r="D21" s="393"/>
      <c r="E21" s="393"/>
      <c r="F21" s="393"/>
      <c r="G21" s="156"/>
      <c r="H21" s="317"/>
    </row>
    <row r="22" spans="1:8" ht="18" x14ac:dyDescent="0.35">
      <c r="A22" s="394" t="s">
        <v>730</v>
      </c>
      <c r="B22" s="320"/>
      <c r="C22" s="395"/>
      <c r="D22" s="312"/>
      <c r="E22" s="312"/>
      <c r="F22" s="312"/>
      <c r="G22" s="156"/>
      <c r="H22" s="317"/>
    </row>
    <row r="23" spans="1:8" ht="18" x14ac:dyDescent="0.35">
      <c r="A23" s="394"/>
      <c r="B23" s="320"/>
      <c r="C23" s="395"/>
      <c r="D23" s="312"/>
      <c r="E23" s="312"/>
      <c r="F23" s="312"/>
      <c r="G23" s="156"/>
      <c r="H23" s="317"/>
    </row>
    <row r="24" spans="1:8" ht="15.75" x14ac:dyDescent="0.3">
      <c r="A24" s="321" t="s">
        <v>731</v>
      </c>
      <c r="B24" s="322"/>
      <c r="C24" s="395"/>
      <c r="D24" s="312"/>
      <c r="E24" s="312"/>
      <c r="F24" s="312"/>
      <c r="G24" s="156"/>
      <c r="H24" s="317"/>
    </row>
    <row r="25" spans="1:8" ht="15.75" x14ac:dyDescent="0.3">
      <c r="A25" s="321" t="s">
        <v>732</v>
      </c>
      <c r="B25" s="396"/>
      <c r="C25" s="395"/>
      <c r="D25" s="312"/>
      <c r="E25" s="312"/>
      <c r="F25" s="312"/>
      <c r="G25" s="156"/>
      <c r="H25" s="317"/>
    </row>
    <row r="26" spans="1:8" ht="15.75" x14ac:dyDescent="0.3">
      <c r="A26" s="321" t="s">
        <v>733</v>
      </c>
      <c r="B26" s="396"/>
      <c r="C26" s="395"/>
      <c r="D26" s="312"/>
      <c r="E26" s="312"/>
      <c r="F26" s="312"/>
      <c r="G26" s="156"/>
      <c r="H26" s="317"/>
    </row>
    <row r="27" spans="1:8" ht="15.75" x14ac:dyDescent="0.3">
      <c r="A27" s="321" t="s">
        <v>734</v>
      </c>
      <c r="B27" s="396"/>
      <c r="C27" s="395"/>
      <c r="D27" s="312"/>
      <c r="E27" s="312"/>
      <c r="F27" s="312"/>
      <c r="G27" s="156"/>
      <c r="H27" s="317"/>
    </row>
    <row r="28" spans="1:8" ht="15.75" x14ac:dyDescent="0.3">
      <c r="A28" s="321" t="s">
        <v>735</v>
      </c>
      <c r="B28" s="396"/>
      <c r="C28" s="395"/>
      <c r="D28" s="312"/>
      <c r="E28" s="312"/>
      <c r="F28" s="312"/>
      <c r="G28" s="156"/>
      <c r="H28" s="317"/>
    </row>
    <row r="29" spans="1:8" ht="15.75" x14ac:dyDescent="0.3">
      <c r="A29" s="321" t="s">
        <v>736</v>
      </c>
      <c r="B29" s="396"/>
      <c r="C29" s="395"/>
      <c r="D29" s="312"/>
      <c r="E29" s="312"/>
      <c r="F29" s="312"/>
      <c r="G29" s="156"/>
      <c r="H29" s="317"/>
    </row>
    <row r="30" spans="1:8" ht="15.75" x14ac:dyDescent="0.3">
      <c r="A30" s="321" t="s">
        <v>737</v>
      </c>
      <c r="B30" s="396"/>
      <c r="C30" s="395"/>
      <c r="D30" s="312"/>
      <c r="E30" s="312"/>
      <c r="F30" s="312"/>
      <c r="G30" s="156"/>
      <c r="H30" s="317"/>
    </row>
    <row r="31" spans="1:8" ht="15.75" x14ac:dyDescent="0.3">
      <c r="A31" s="323" t="s">
        <v>738</v>
      </c>
      <c r="B31" s="396"/>
      <c r="C31" s="395"/>
      <c r="D31" s="312"/>
      <c r="E31" s="312"/>
      <c r="F31" s="312"/>
      <c r="G31" s="156"/>
      <c r="H31" s="317"/>
    </row>
    <row r="32" spans="1:8" ht="15.75" x14ac:dyDescent="0.3">
      <c r="A32" s="323" t="s">
        <v>739</v>
      </c>
      <c r="B32" s="396"/>
      <c r="C32" s="395"/>
      <c r="D32" s="312"/>
      <c r="E32" s="312"/>
      <c r="F32" s="312"/>
      <c r="G32" s="156"/>
      <c r="H32" s="317"/>
    </row>
    <row r="33" spans="1:8" ht="15.75" x14ac:dyDescent="0.3">
      <c r="A33" s="324"/>
      <c r="B33" s="396"/>
      <c r="C33" s="395"/>
      <c r="D33" s="312"/>
      <c r="E33" s="312"/>
      <c r="F33" s="312"/>
      <c r="G33" s="156"/>
      <c r="H33" s="317"/>
    </row>
    <row r="34" spans="1:8" ht="15.75" x14ac:dyDescent="0.3">
      <c r="A34" s="396"/>
      <c r="B34" s="396"/>
      <c r="C34" s="395"/>
      <c r="D34" s="312"/>
      <c r="E34" s="312"/>
      <c r="F34" s="312"/>
      <c r="G34" s="156"/>
      <c r="H34" s="317"/>
    </row>
    <row r="35" spans="1:8" ht="15.75" x14ac:dyDescent="0.3">
      <c r="A35" s="157"/>
      <c r="B35" s="157"/>
      <c r="C35" s="397"/>
      <c r="D35" s="325"/>
      <c r="E35" s="325"/>
      <c r="F35" s="325"/>
      <c r="G35" s="156"/>
      <c r="H35" s="317"/>
    </row>
    <row r="36" spans="1:8" ht="15.75" x14ac:dyDescent="0.3">
      <c r="A36" s="157"/>
      <c r="B36" s="157"/>
      <c r="C36" s="397"/>
      <c r="D36" s="325"/>
      <c r="E36" s="325"/>
      <c r="F36" s="325"/>
      <c r="G36" s="156"/>
      <c r="H36" s="317"/>
    </row>
    <row r="37" spans="1:8" ht="15.75" x14ac:dyDescent="0.3">
      <c r="A37" s="157"/>
      <c r="B37" s="157"/>
      <c r="C37" s="397"/>
      <c r="D37" s="325"/>
      <c r="E37" s="325"/>
      <c r="F37" s="325"/>
      <c r="G37" s="156"/>
      <c r="H37" s="317"/>
    </row>
    <row r="38" spans="1:8" ht="15.75" x14ac:dyDescent="0.3">
      <c r="A38" s="157"/>
      <c r="B38" s="157"/>
      <c r="C38" s="397"/>
      <c r="D38" s="325"/>
      <c r="E38" s="325"/>
      <c r="F38" s="325"/>
      <c r="G38" s="156"/>
      <c r="H38" s="317"/>
    </row>
    <row r="39" spans="1:8" ht="15.75" x14ac:dyDescent="0.3">
      <c r="A39" s="157"/>
      <c r="B39" s="157"/>
      <c r="C39" s="397"/>
      <c r="D39" s="325"/>
      <c r="E39" s="325"/>
      <c r="F39" s="325"/>
      <c r="G39" s="156"/>
      <c r="H39" s="317"/>
    </row>
  </sheetData>
  <mergeCells count="12">
    <mergeCell ref="A20:G20"/>
    <mergeCell ref="A3:H3"/>
    <mergeCell ref="A4:H4"/>
    <mergeCell ref="A5:H5"/>
    <mergeCell ref="A6:H6"/>
    <mergeCell ref="A7:H7"/>
    <mergeCell ref="A8:H8"/>
    <mergeCell ref="A9:F9"/>
    <mergeCell ref="G9:G10"/>
    <mergeCell ref="H9:H10"/>
    <mergeCell ref="A18:F18"/>
    <mergeCell ref="A19:G1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tabSelected="1" view="pageBreakPreview" topLeftCell="A33" zoomScale="60" zoomScaleNormal="100" workbookViewId="0">
      <selection activeCell="C39" sqref="C39"/>
    </sheetView>
  </sheetViews>
  <sheetFormatPr baseColWidth="10" defaultRowHeight="15" x14ac:dyDescent="0.25"/>
  <cols>
    <col min="3" max="3" width="54.85546875" customWidth="1"/>
    <col min="4" max="4" width="22.140625" customWidth="1"/>
    <col min="5" max="5" width="26.7109375" customWidth="1"/>
    <col min="6" max="6" width="20.7109375" customWidth="1"/>
    <col min="7" max="7" width="36.85546875" customWidth="1"/>
    <col min="8" max="8" width="27.85546875" customWidth="1"/>
    <col min="9" max="9" width="20.85546875" customWidth="1"/>
    <col min="10" max="10" width="20" customWidth="1"/>
    <col min="11" max="11" width="20.140625" customWidth="1"/>
  </cols>
  <sheetData>
    <row r="1" spans="1:9" ht="46.5" x14ac:dyDescent="0.7">
      <c r="A1" s="731" t="s">
        <v>740</v>
      </c>
      <c r="B1" s="732"/>
      <c r="C1" s="732"/>
      <c r="D1" s="732"/>
      <c r="E1" s="732"/>
      <c r="F1" s="732"/>
      <c r="G1" s="732"/>
      <c r="H1" s="522"/>
      <c r="I1" s="154"/>
    </row>
    <row r="2" spans="1:9" ht="46.5" x14ac:dyDescent="0.7">
      <c r="A2" s="413"/>
      <c r="B2" s="733" t="s">
        <v>741</v>
      </c>
      <c r="C2" s="733"/>
      <c r="D2" s="733"/>
      <c r="E2" s="733"/>
      <c r="F2" s="733"/>
      <c r="G2" s="731"/>
      <c r="H2" s="522"/>
      <c r="I2" s="154"/>
    </row>
    <row r="3" spans="1:9" ht="46.5" x14ac:dyDescent="0.7">
      <c r="A3" s="413"/>
      <c r="B3" s="733" t="s">
        <v>388</v>
      </c>
      <c r="C3" s="733"/>
      <c r="D3" s="733"/>
      <c r="E3" s="733"/>
      <c r="F3" s="733"/>
      <c r="G3" s="731"/>
      <c r="H3" s="522"/>
      <c r="I3" s="154"/>
    </row>
    <row r="4" spans="1:9" ht="66.75" customHeight="1" x14ac:dyDescent="0.35">
      <c r="A4" s="414"/>
      <c r="B4" s="729" t="s">
        <v>742</v>
      </c>
      <c r="C4" s="729"/>
      <c r="D4" s="729"/>
      <c r="E4" s="729"/>
      <c r="F4" s="415"/>
      <c r="G4" s="503" t="s">
        <v>743</v>
      </c>
      <c r="H4" s="527" t="s">
        <v>856</v>
      </c>
      <c r="I4" s="94" t="s">
        <v>969</v>
      </c>
    </row>
    <row r="5" spans="1:9" ht="98.25" customHeight="1" x14ac:dyDescent="0.35">
      <c r="A5" s="414"/>
      <c r="B5" s="416" t="s">
        <v>61</v>
      </c>
      <c r="C5" s="416" t="s">
        <v>744</v>
      </c>
      <c r="D5" s="417" t="s">
        <v>745</v>
      </c>
      <c r="E5" s="417" t="s">
        <v>746</v>
      </c>
      <c r="F5" s="418"/>
      <c r="G5" s="504"/>
      <c r="H5" s="608"/>
      <c r="I5" s="154"/>
    </row>
    <row r="6" spans="1:9" ht="23.25" x14ac:dyDescent="0.35">
      <c r="A6" s="414"/>
      <c r="B6" s="419">
        <v>61501</v>
      </c>
      <c r="C6" s="420" t="s">
        <v>747</v>
      </c>
      <c r="D6" s="421"/>
      <c r="E6" s="421">
        <v>34188</v>
      </c>
      <c r="F6" s="422"/>
      <c r="G6" s="504"/>
      <c r="H6" s="608"/>
      <c r="I6" s="154"/>
    </row>
    <row r="7" spans="1:9" ht="23.25" x14ac:dyDescent="0.35">
      <c r="A7" s="414"/>
      <c r="B7" s="419">
        <v>61502</v>
      </c>
      <c r="C7" s="420" t="s">
        <v>748</v>
      </c>
      <c r="D7" s="421"/>
      <c r="E7" s="421">
        <v>14080.26</v>
      </c>
      <c r="F7" s="422"/>
      <c r="G7" s="504"/>
      <c r="H7" s="608"/>
      <c r="I7" s="154"/>
    </row>
    <row r="8" spans="1:9" ht="23.25" x14ac:dyDescent="0.35">
      <c r="A8" s="414"/>
      <c r="B8" s="419">
        <v>61503</v>
      </c>
      <c r="C8" s="420" t="s">
        <v>749</v>
      </c>
      <c r="D8" s="421"/>
      <c r="E8" s="421">
        <v>7000</v>
      </c>
      <c r="F8" s="422"/>
      <c r="G8" s="504"/>
      <c r="H8" s="608"/>
      <c r="I8" s="154"/>
    </row>
    <row r="9" spans="1:9" ht="23.25" x14ac:dyDescent="0.35">
      <c r="A9" s="414"/>
      <c r="B9" s="419">
        <v>61599</v>
      </c>
      <c r="C9" s="420" t="s">
        <v>750</v>
      </c>
      <c r="D9" s="423"/>
      <c r="E9" s="421">
        <v>5000</v>
      </c>
      <c r="F9" s="422"/>
      <c r="G9" s="504"/>
      <c r="H9" s="608"/>
      <c r="I9" s="154"/>
    </row>
    <row r="10" spans="1:9" ht="23.25" x14ac:dyDescent="0.35">
      <c r="A10" s="414"/>
      <c r="B10" s="424" t="s">
        <v>751</v>
      </c>
      <c r="C10" s="425"/>
      <c r="D10" s="425"/>
      <c r="E10" s="426">
        <f>SUM(E6:E9)</f>
        <v>60268.26</v>
      </c>
      <c r="F10" s="427">
        <v>60267.78</v>
      </c>
      <c r="G10" s="505">
        <f>+E10-F10</f>
        <v>0.48000000000320142</v>
      </c>
      <c r="H10" s="608"/>
      <c r="I10" s="154"/>
    </row>
    <row r="11" spans="1:9" ht="23.25" x14ac:dyDescent="0.35">
      <c r="A11" s="414"/>
      <c r="B11" s="734" t="s">
        <v>752</v>
      </c>
      <c r="C11" s="734"/>
      <c r="D11" s="734"/>
      <c r="E11" s="734"/>
      <c r="F11" s="734"/>
      <c r="G11" s="735"/>
      <c r="H11" s="608"/>
      <c r="I11" s="154"/>
    </row>
    <row r="12" spans="1:9" ht="23.25" x14ac:dyDescent="0.35">
      <c r="A12" s="414"/>
      <c r="B12" s="729" t="s">
        <v>753</v>
      </c>
      <c r="C12" s="729"/>
      <c r="D12" s="729"/>
      <c r="E12" s="729"/>
      <c r="F12" s="729"/>
      <c r="G12" s="730"/>
      <c r="H12" s="608"/>
      <c r="I12" s="154"/>
    </row>
    <row r="13" spans="1:9" ht="69.75" x14ac:dyDescent="0.35">
      <c r="A13" s="428" t="s">
        <v>754</v>
      </c>
      <c r="B13" s="414"/>
      <c r="C13" s="429" t="s">
        <v>744</v>
      </c>
      <c r="D13" s="418"/>
      <c r="E13" s="430"/>
      <c r="F13" s="418"/>
      <c r="G13" s="506" t="s">
        <v>830</v>
      </c>
      <c r="H13" s="608"/>
      <c r="I13" s="154"/>
    </row>
    <row r="14" spans="1:9" ht="48" customHeight="1" x14ac:dyDescent="0.35">
      <c r="A14" s="431"/>
      <c r="B14" s="431">
        <v>61601</v>
      </c>
      <c r="C14" s="432" t="s">
        <v>756</v>
      </c>
      <c r="D14" s="418"/>
      <c r="E14" s="414"/>
      <c r="F14" s="418"/>
      <c r="G14" s="593">
        <v>100000</v>
      </c>
      <c r="H14" s="608"/>
      <c r="I14" s="154"/>
    </row>
    <row r="15" spans="1:9" ht="73.5" customHeight="1" x14ac:dyDescent="0.35">
      <c r="A15" s="431"/>
      <c r="B15" s="431">
        <v>61601</v>
      </c>
      <c r="C15" s="433" t="s">
        <v>757</v>
      </c>
      <c r="D15" s="418"/>
      <c r="E15" s="414"/>
      <c r="F15" s="418"/>
      <c r="G15" s="507" t="s">
        <v>758</v>
      </c>
      <c r="H15" s="608" t="s">
        <v>959</v>
      </c>
      <c r="I15" s="528" t="s">
        <v>960</v>
      </c>
    </row>
    <row r="16" spans="1:9" ht="36" customHeight="1" x14ac:dyDescent="0.35">
      <c r="A16" s="431"/>
      <c r="B16" s="431">
        <v>61601</v>
      </c>
      <c r="C16" s="434" t="s">
        <v>759</v>
      </c>
      <c r="D16" s="435"/>
      <c r="E16" s="436"/>
      <c r="F16" s="435"/>
      <c r="G16" s="508">
        <v>41087.699999999997</v>
      </c>
      <c r="H16" s="608"/>
      <c r="I16" s="154"/>
    </row>
    <row r="17" spans="1:9" ht="75" customHeight="1" x14ac:dyDescent="0.35">
      <c r="A17" s="431"/>
      <c r="B17" s="431">
        <v>61601</v>
      </c>
      <c r="C17" s="438" t="s">
        <v>908</v>
      </c>
      <c r="D17" s="418"/>
      <c r="E17" s="414"/>
      <c r="F17" s="418"/>
      <c r="G17" s="509">
        <v>9000</v>
      </c>
      <c r="H17" s="608"/>
      <c r="I17" s="154"/>
    </row>
    <row r="18" spans="1:9" ht="43.5" customHeight="1" x14ac:dyDescent="0.35">
      <c r="A18" s="439"/>
      <c r="B18" s="431"/>
      <c r="C18" s="438" t="s">
        <v>760</v>
      </c>
      <c r="D18" s="418"/>
      <c r="E18" s="414"/>
      <c r="F18" s="418"/>
      <c r="G18" s="510">
        <v>23000</v>
      </c>
      <c r="H18" s="608"/>
      <c r="I18" s="154"/>
    </row>
    <row r="19" spans="1:9" ht="43.5" customHeight="1" x14ac:dyDescent="0.35">
      <c r="A19" s="439"/>
      <c r="B19" s="431"/>
      <c r="C19" s="603" t="s">
        <v>953</v>
      </c>
      <c r="D19" s="418">
        <v>4000</v>
      </c>
      <c r="E19" s="414"/>
      <c r="F19" s="418"/>
      <c r="G19" s="510"/>
      <c r="H19" s="608"/>
      <c r="I19" s="154"/>
    </row>
    <row r="20" spans="1:9" ht="43.5" customHeight="1" x14ac:dyDescent="0.35">
      <c r="A20" s="439"/>
      <c r="B20" s="431"/>
      <c r="C20" s="603" t="s">
        <v>954</v>
      </c>
      <c r="D20" s="418">
        <v>11000</v>
      </c>
      <c r="E20" s="414"/>
      <c r="F20" s="418"/>
      <c r="G20" s="510"/>
      <c r="H20" s="608"/>
      <c r="I20" s="154"/>
    </row>
    <row r="21" spans="1:9" ht="43.5" customHeight="1" x14ac:dyDescent="0.35">
      <c r="A21" s="439"/>
      <c r="B21" s="431"/>
      <c r="C21" s="603" t="s">
        <v>952</v>
      </c>
      <c r="D21" s="418">
        <v>5000</v>
      </c>
      <c r="E21" s="414"/>
      <c r="F21" s="418"/>
      <c r="G21" s="510"/>
      <c r="H21" s="608"/>
      <c r="I21" s="154"/>
    </row>
    <row r="22" spans="1:9" ht="43.5" customHeight="1" x14ac:dyDescent="0.65">
      <c r="A22" s="439"/>
      <c r="B22" s="431"/>
      <c r="C22" s="603"/>
      <c r="D22" s="471">
        <v>3000</v>
      </c>
      <c r="E22" s="414"/>
      <c r="F22" s="418"/>
      <c r="G22" s="510"/>
      <c r="H22" s="608"/>
      <c r="I22" s="154"/>
    </row>
    <row r="23" spans="1:9" ht="309" customHeight="1" x14ac:dyDescent="0.35">
      <c r="A23" s="439"/>
      <c r="B23" s="431"/>
      <c r="C23" s="618" t="s">
        <v>986</v>
      </c>
      <c r="D23" s="619" t="s">
        <v>987</v>
      </c>
      <c r="E23" s="417"/>
      <c r="F23" s="620"/>
      <c r="G23" s="510">
        <v>25000</v>
      </c>
      <c r="H23" s="608"/>
      <c r="I23" s="154"/>
    </row>
    <row r="24" spans="1:9" ht="32.25" customHeight="1" x14ac:dyDescent="0.35">
      <c r="A24" s="439"/>
      <c r="B24" s="431"/>
      <c r="C24" s="502" t="s">
        <v>842</v>
      </c>
      <c r="D24" s="418"/>
      <c r="E24" s="414"/>
      <c r="F24" s="418"/>
      <c r="G24" s="510">
        <v>26000</v>
      </c>
      <c r="H24" s="608"/>
      <c r="I24" s="154"/>
    </row>
    <row r="25" spans="1:9" ht="44.25" customHeight="1" x14ac:dyDescent="0.35">
      <c r="A25" s="439"/>
      <c r="B25" s="431"/>
      <c r="C25" s="472" t="s">
        <v>963</v>
      </c>
      <c r="D25" s="418">
        <v>5000</v>
      </c>
      <c r="E25" s="414"/>
      <c r="F25" s="418"/>
      <c r="G25" s="510"/>
      <c r="H25" s="608" t="s">
        <v>964</v>
      </c>
      <c r="I25" s="530" t="s">
        <v>965</v>
      </c>
    </row>
    <row r="26" spans="1:9" ht="52.5" customHeight="1" x14ac:dyDescent="0.35">
      <c r="A26" s="439"/>
      <c r="B26" s="431"/>
      <c r="C26" s="472" t="s">
        <v>843</v>
      </c>
      <c r="D26" s="418">
        <v>7000</v>
      </c>
      <c r="E26" s="414"/>
      <c r="F26" s="418"/>
      <c r="G26" s="510"/>
      <c r="H26" s="608"/>
      <c r="I26" s="529"/>
    </row>
    <row r="27" spans="1:9" ht="39.75" customHeight="1" x14ac:dyDescent="0.35">
      <c r="A27" s="439"/>
      <c r="B27" s="431"/>
      <c r="C27" s="472" t="s">
        <v>844</v>
      </c>
      <c r="D27" s="418">
        <v>1500</v>
      </c>
      <c r="E27" s="736"/>
      <c r="F27" s="737"/>
      <c r="G27" s="738"/>
      <c r="H27" s="604" t="s">
        <v>923</v>
      </c>
      <c r="I27" s="583" t="s">
        <v>924</v>
      </c>
    </row>
    <row r="28" spans="1:9" ht="32.25" customHeight="1" x14ac:dyDescent="0.35">
      <c r="A28" s="439"/>
      <c r="B28" s="431"/>
      <c r="C28" s="472" t="s">
        <v>845</v>
      </c>
      <c r="D28" s="418">
        <v>3000</v>
      </c>
      <c r="E28" s="414"/>
      <c r="F28" s="418"/>
      <c r="G28" s="510"/>
      <c r="H28" s="608"/>
      <c r="I28" s="154"/>
    </row>
    <row r="29" spans="1:9" ht="48.75" customHeight="1" x14ac:dyDescent="0.65">
      <c r="A29" s="439"/>
      <c r="B29" s="431"/>
      <c r="C29" s="617" t="s">
        <v>951</v>
      </c>
      <c r="D29" s="471">
        <v>9500</v>
      </c>
      <c r="E29" s="414"/>
      <c r="F29" s="418"/>
      <c r="G29" s="510"/>
      <c r="H29" s="608"/>
      <c r="I29" s="154"/>
    </row>
    <row r="30" spans="1:9" ht="46.5" customHeight="1" x14ac:dyDescent="0.35">
      <c r="A30" s="439"/>
      <c r="B30" s="431"/>
      <c r="C30" s="438" t="s">
        <v>761</v>
      </c>
      <c r="D30" s="418"/>
      <c r="E30" s="414"/>
      <c r="F30" s="418"/>
      <c r="G30" s="510">
        <v>26000</v>
      </c>
      <c r="H30" s="608"/>
      <c r="I30" s="154"/>
    </row>
    <row r="31" spans="1:9" ht="47.25" customHeight="1" x14ac:dyDescent="0.35">
      <c r="A31" s="439"/>
      <c r="B31" s="431" t="s">
        <v>823</v>
      </c>
      <c r="C31" s="502" t="s">
        <v>822</v>
      </c>
      <c r="D31" s="418"/>
      <c r="E31" s="414"/>
      <c r="F31" s="418"/>
      <c r="G31" s="510">
        <v>14000</v>
      </c>
      <c r="H31" s="608"/>
      <c r="I31" s="154"/>
    </row>
    <row r="32" spans="1:9" ht="47.25" customHeight="1" x14ac:dyDescent="0.35">
      <c r="A32" s="439"/>
      <c r="B32" s="431"/>
      <c r="C32" s="472" t="s">
        <v>824</v>
      </c>
      <c r="D32" s="418">
        <v>3000</v>
      </c>
      <c r="E32" s="414"/>
      <c r="F32" s="418"/>
      <c r="G32" s="510"/>
      <c r="H32" s="608"/>
      <c r="I32" s="154"/>
    </row>
    <row r="33" spans="1:9" ht="47.25" customHeight="1" x14ac:dyDescent="0.35">
      <c r="A33" s="439"/>
      <c r="B33" s="431"/>
      <c r="C33" s="472" t="s">
        <v>825</v>
      </c>
      <c r="D33" s="418">
        <v>3000</v>
      </c>
      <c r="E33" s="414"/>
      <c r="F33" s="418"/>
      <c r="G33" s="510"/>
      <c r="H33" s="608"/>
      <c r="I33" s="154"/>
    </row>
    <row r="34" spans="1:9" ht="47.25" customHeight="1" x14ac:dyDescent="0.35">
      <c r="A34" s="439"/>
      <c r="B34" s="431"/>
      <c r="C34" s="472" t="s">
        <v>826</v>
      </c>
      <c r="D34" s="418">
        <v>1000</v>
      </c>
      <c r="E34" s="414"/>
      <c r="F34" s="418"/>
      <c r="G34" s="510"/>
      <c r="H34" s="608"/>
      <c r="I34" s="154"/>
    </row>
    <row r="35" spans="1:9" ht="47.25" customHeight="1" x14ac:dyDescent="0.35">
      <c r="A35" s="439"/>
      <c r="B35" s="431"/>
      <c r="C35" s="472" t="s">
        <v>827</v>
      </c>
      <c r="D35" s="418">
        <v>3000</v>
      </c>
      <c r="E35" s="414"/>
      <c r="F35" s="418"/>
      <c r="G35" s="510"/>
      <c r="H35" s="608"/>
      <c r="I35" s="154"/>
    </row>
    <row r="36" spans="1:9" ht="47.25" customHeight="1" x14ac:dyDescent="0.35">
      <c r="A36" s="439"/>
      <c r="B36" s="431"/>
      <c r="C36" s="472" t="s">
        <v>828</v>
      </c>
      <c r="D36" s="418">
        <v>1000</v>
      </c>
      <c r="E36" s="414"/>
      <c r="F36" s="418"/>
      <c r="G36" s="510"/>
      <c r="H36" s="608"/>
      <c r="I36" s="154"/>
    </row>
    <row r="37" spans="1:9" ht="47.25" customHeight="1" x14ac:dyDescent="0.65">
      <c r="A37" s="439"/>
      <c r="B37" s="431"/>
      <c r="C37" s="472" t="s">
        <v>829</v>
      </c>
      <c r="D37" s="471">
        <v>3000</v>
      </c>
      <c r="E37" s="414"/>
      <c r="F37" s="418"/>
      <c r="G37" s="510"/>
      <c r="H37" s="608"/>
      <c r="I37" s="154"/>
    </row>
    <row r="38" spans="1:9" ht="37.5" customHeight="1" x14ac:dyDescent="0.35">
      <c r="A38" s="439"/>
      <c r="B38" s="431"/>
      <c r="C38" s="438" t="s">
        <v>762</v>
      </c>
      <c r="D38" s="418"/>
      <c r="E38" s="414"/>
      <c r="F38" s="418"/>
      <c r="G38" s="510">
        <v>15000</v>
      </c>
      <c r="H38" s="608"/>
      <c r="I38" s="154"/>
    </row>
    <row r="39" spans="1:9" ht="48" customHeight="1" x14ac:dyDescent="0.35">
      <c r="A39" s="439"/>
      <c r="B39" s="431"/>
      <c r="C39" s="502" t="s">
        <v>846</v>
      </c>
      <c r="D39" s="418"/>
      <c r="E39" s="414"/>
      <c r="F39" s="418"/>
      <c r="G39" s="510">
        <v>26000</v>
      </c>
      <c r="H39" s="608"/>
      <c r="I39" s="154"/>
    </row>
    <row r="40" spans="1:9" ht="33.75" customHeight="1" x14ac:dyDescent="0.35">
      <c r="A40" s="439"/>
      <c r="B40" s="431"/>
      <c r="C40" s="472" t="s">
        <v>847</v>
      </c>
      <c r="D40" s="418">
        <v>4000</v>
      </c>
      <c r="E40" s="414"/>
      <c r="F40" s="418"/>
      <c r="G40" s="510"/>
      <c r="H40" s="608"/>
      <c r="I40" s="154"/>
    </row>
    <row r="41" spans="1:9" ht="59.25" customHeight="1" x14ac:dyDescent="0.35">
      <c r="A41" s="439"/>
      <c r="B41" s="431"/>
      <c r="C41" s="472" t="s">
        <v>848</v>
      </c>
      <c r="D41" s="418">
        <v>3000</v>
      </c>
      <c r="E41" s="414"/>
      <c r="F41" s="418"/>
      <c r="G41" s="510"/>
      <c r="H41" s="608" t="s">
        <v>975</v>
      </c>
      <c r="I41" s="615" t="s">
        <v>976</v>
      </c>
    </row>
    <row r="42" spans="1:9" ht="36.75" customHeight="1" x14ac:dyDescent="0.35">
      <c r="A42" s="439"/>
      <c r="B42" s="431"/>
      <c r="C42" s="472" t="s">
        <v>849</v>
      </c>
      <c r="D42" s="418">
        <v>2000</v>
      </c>
      <c r="E42" s="414"/>
      <c r="F42" s="418"/>
      <c r="G42" s="510"/>
      <c r="H42" s="608"/>
      <c r="I42" s="154"/>
    </row>
    <row r="43" spans="1:9" ht="31.5" customHeight="1" x14ac:dyDescent="0.35">
      <c r="A43" s="439"/>
      <c r="B43" s="431"/>
      <c r="C43" s="472" t="s">
        <v>850</v>
      </c>
      <c r="D43" s="418">
        <v>2000</v>
      </c>
      <c r="E43" s="414"/>
      <c r="F43" s="418"/>
      <c r="G43" s="510"/>
      <c r="H43" s="608"/>
      <c r="I43" s="154"/>
    </row>
    <row r="44" spans="1:9" ht="27" customHeight="1" x14ac:dyDescent="0.35">
      <c r="A44" s="439"/>
      <c r="B44" s="431"/>
      <c r="C44" s="472" t="s">
        <v>933</v>
      </c>
      <c r="D44" s="418">
        <v>2000</v>
      </c>
      <c r="E44" s="414"/>
      <c r="F44" s="418"/>
      <c r="G44" s="510"/>
      <c r="H44" s="608"/>
      <c r="I44" s="154"/>
    </row>
    <row r="45" spans="1:9" ht="51" customHeight="1" x14ac:dyDescent="0.35">
      <c r="A45" s="439"/>
      <c r="B45" s="431"/>
      <c r="C45" s="472" t="s">
        <v>935</v>
      </c>
      <c r="D45" s="418">
        <v>2000</v>
      </c>
      <c r="E45" s="414"/>
      <c r="F45" s="418"/>
      <c r="G45" s="510"/>
      <c r="H45" s="608"/>
      <c r="I45" s="154"/>
    </row>
    <row r="46" spans="1:9" ht="40.5" customHeight="1" x14ac:dyDescent="0.35">
      <c r="A46" s="439"/>
      <c r="B46" s="431"/>
      <c r="C46" s="472" t="s">
        <v>851</v>
      </c>
      <c r="D46" s="418">
        <v>2000</v>
      </c>
      <c r="E46" s="414"/>
      <c r="F46" s="418"/>
      <c r="G46" s="510"/>
      <c r="H46" s="608"/>
      <c r="I46" s="529">
        <f>SUM(D40:D49)</f>
        <v>26000</v>
      </c>
    </row>
    <row r="47" spans="1:9" ht="42" customHeight="1" x14ac:dyDescent="0.35">
      <c r="A47" s="439"/>
      <c r="B47" s="431"/>
      <c r="C47" s="472" t="s">
        <v>852</v>
      </c>
      <c r="D47" s="418">
        <v>2000</v>
      </c>
      <c r="E47" s="414"/>
      <c r="F47" s="418"/>
      <c r="G47" s="510"/>
      <c r="H47" s="608"/>
      <c r="I47" s="154"/>
    </row>
    <row r="48" spans="1:9" ht="34.5" customHeight="1" x14ac:dyDescent="0.35">
      <c r="A48" s="439"/>
      <c r="B48" s="431"/>
      <c r="C48" s="472" t="s">
        <v>853</v>
      </c>
      <c r="D48" s="418">
        <v>5000</v>
      </c>
      <c r="E48" s="414"/>
      <c r="F48" s="418"/>
      <c r="G48" s="510"/>
      <c r="H48" s="608"/>
      <c r="I48" s="154"/>
    </row>
    <row r="49" spans="1:9" ht="45.75" customHeight="1" x14ac:dyDescent="0.65">
      <c r="A49" s="439"/>
      <c r="B49" s="431"/>
      <c r="C49" s="472" t="s">
        <v>854</v>
      </c>
      <c r="D49" s="471">
        <v>2000</v>
      </c>
      <c r="E49" s="414"/>
      <c r="F49" s="418"/>
      <c r="G49" s="510"/>
      <c r="H49" s="608"/>
      <c r="I49" s="154"/>
    </row>
    <row r="50" spans="1:9" ht="58.5" customHeight="1" x14ac:dyDescent="0.35">
      <c r="A50" s="439"/>
      <c r="B50" s="431"/>
      <c r="C50" s="438" t="s">
        <v>763</v>
      </c>
      <c r="D50" s="418"/>
      <c r="E50" s="414"/>
      <c r="F50" s="418"/>
      <c r="G50" s="510">
        <v>9000</v>
      </c>
      <c r="H50" s="608"/>
      <c r="I50" s="154"/>
    </row>
    <row r="51" spans="1:9" ht="28.5" customHeight="1" x14ac:dyDescent="0.35">
      <c r="A51" s="439"/>
      <c r="B51" s="431"/>
      <c r="C51" s="438" t="s">
        <v>936</v>
      </c>
      <c r="D51" s="418"/>
      <c r="E51" s="414"/>
      <c r="F51" s="418"/>
      <c r="G51" s="510">
        <v>10000</v>
      </c>
      <c r="H51" s="608"/>
      <c r="I51" s="154"/>
    </row>
    <row r="52" spans="1:9" ht="50.25" customHeight="1" x14ac:dyDescent="0.35">
      <c r="A52" s="439"/>
      <c r="B52" s="431"/>
      <c r="C52" s="438" t="s">
        <v>937</v>
      </c>
      <c r="D52" s="418"/>
      <c r="E52" s="414"/>
      <c r="F52" s="418"/>
      <c r="G52" s="510">
        <v>5000</v>
      </c>
      <c r="H52" s="608"/>
      <c r="I52" s="154"/>
    </row>
    <row r="53" spans="1:9" ht="29.25" customHeight="1" x14ac:dyDescent="0.35">
      <c r="A53" s="439"/>
      <c r="B53" s="431"/>
      <c r="C53" s="438" t="s">
        <v>764</v>
      </c>
      <c r="D53" s="418"/>
      <c r="E53" s="414"/>
      <c r="F53" s="418"/>
      <c r="G53" s="510">
        <v>7000</v>
      </c>
      <c r="H53" s="608"/>
      <c r="I53" s="154"/>
    </row>
    <row r="54" spans="1:9" ht="63.75" customHeight="1" x14ac:dyDescent="0.35">
      <c r="A54" s="439"/>
      <c r="B54" s="431"/>
      <c r="C54" s="438" t="s">
        <v>765</v>
      </c>
      <c r="D54" s="418"/>
      <c r="E54" s="414"/>
      <c r="F54" s="418"/>
      <c r="G54" s="510">
        <v>60000</v>
      </c>
      <c r="H54" s="604" t="s">
        <v>867</v>
      </c>
      <c r="I54" s="534" t="s">
        <v>868</v>
      </c>
    </row>
    <row r="55" spans="1:9" ht="23.25" x14ac:dyDescent="0.35">
      <c r="A55" s="440"/>
      <c r="B55" s="414"/>
      <c r="C55" s="729" t="s">
        <v>766</v>
      </c>
      <c r="D55" s="729"/>
      <c r="E55" s="729"/>
      <c r="F55" s="729"/>
      <c r="G55" s="730"/>
      <c r="H55" s="608"/>
      <c r="I55" s="154"/>
    </row>
    <row r="56" spans="1:9" ht="55.5" customHeight="1" x14ac:dyDescent="0.35">
      <c r="A56" s="431"/>
      <c r="B56" s="414">
        <v>61602</v>
      </c>
      <c r="C56" s="433" t="s">
        <v>767</v>
      </c>
      <c r="D56" s="418"/>
      <c r="E56" s="441"/>
      <c r="F56" s="418"/>
      <c r="G56" s="504">
        <v>20000</v>
      </c>
      <c r="H56" s="604" t="s">
        <v>858</v>
      </c>
      <c r="I56" s="475" t="s">
        <v>859</v>
      </c>
    </row>
    <row r="57" spans="1:9" ht="69.75" x14ac:dyDescent="0.35">
      <c r="A57" s="414"/>
      <c r="B57" s="414">
        <v>61602</v>
      </c>
      <c r="C57" s="442" t="s">
        <v>768</v>
      </c>
      <c r="D57" s="418"/>
      <c r="E57" s="441"/>
      <c r="F57" s="418"/>
      <c r="G57" s="504">
        <v>38000</v>
      </c>
      <c r="H57" s="604" t="s">
        <v>874</v>
      </c>
      <c r="I57" s="154" t="s">
        <v>875</v>
      </c>
    </row>
    <row r="58" spans="1:9" ht="61.5" x14ac:dyDescent="0.35">
      <c r="A58" s="414"/>
      <c r="B58" s="414">
        <v>61602</v>
      </c>
      <c r="C58" s="433" t="s">
        <v>769</v>
      </c>
      <c r="D58" s="418"/>
      <c r="E58" s="441"/>
      <c r="F58" s="418"/>
      <c r="G58" s="504">
        <v>2500</v>
      </c>
      <c r="H58" s="608" t="s">
        <v>977</v>
      </c>
      <c r="I58" s="528" t="s">
        <v>978</v>
      </c>
    </row>
    <row r="59" spans="1:9" ht="23.25" x14ac:dyDescent="0.35">
      <c r="A59" s="414"/>
      <c r="B59" s="414">
        <v>61602</v>
      </c>
      <c r="C59" s="433" t="s">
        <v>770</v>
      </c>
      <c r="D59" s="418"/>
      <c r="E59" s="441"/>
      <c r="F59" s="418"/>
      <c r="G59" s="504">
        <v>6000</v>
      </c>
      <c r="H59" s="608"/>
      <c r="I59" s="154"/>
    </row>
    <row r="60" spans="1:9" ht="23.25" x14ac:dyDescent="0.35">
      <c r="A60" s="414"/>
      <c r="B60" s="414"/>
      <c r="C60" s="729" t="s">
        <v>771</v>
      </c>
      <c r="D60" s="729"/>
      <c r="E60" s="729"/>
      <c r="F60" s="729"/>
      <c r="G60" s="730"/>
      <c r="H60" s="608"/>
      <c r="I60" s="154"/>
    </row>
    <row r="61" spans="1:9" ht="97.5" customHeight="1" x14ac:dyDescent="0.35">
      <c r="A61" s="431"/>
      <c r="B61" s="414">
        <v>61603</v>
      </c>
      <c r="C61" s="433" t="s">
        <v>772</v>
      </c>
      <c r="D61" s="418"/>
      <c r="E61" s="441"/>
      <c r="F61" s="418"/>
      <c r="G61" s="504">
        <v>12000</v>
      </c>
      <c r="H61" s="604" t="s">
        <v>879</v>
      </c>
      <c r="I61" s="528" t="s">
        <v>880</v>
      </c>
    </row>
    <row r="62" spans="1:9" ht="54" customHeight="1" x14ac:dyDescent="0.35">
      <c r="A62" s="431"/>
      <c r="B62" s="431">
        <v>61603</v>
      </c>
      <c r="C62" s="434" t="s">
        <v>773</v>
      </c>
      <c r="D62" s="443"/>
      <c r="E62" s="435"/>
      <c r="F62" s="435"/>
      <c r="G62" s="511">
        <v>9000</v>
      </c>
      <c r="H62" s="608"/>
      <c r="I62" s="154"/>
    </row>
    <row r="63" spans="1:9" ht="35.25" customHeight="1" x14ac:dyDescent="0.35">
      <c r="A63" s="414"/>
      <c r="B63" s="414">
        <v>61603</v>
      </c>
      <c r="C63" s="535" t="s">
        <v>774</v>
      </c>
      <c r="D63" s="444"/>
      <c r="E63" s="445"/>
      <c r="F63" s="445"/>
      <c r="G63" s="512">
        <v>5000</v>
      </c>
      <c r="H63" s="608"/>
      <c r="I63" s="154"/>
    </row>
    <row r="64" spans="1:9" ht="46.5" x14ac:dyDescent="0.35">
      <c r="A64" s="414"/>
      <c r="B64" s="414"/>
      <c r="C64" s="432" t="s">
        <v>775</v>
      </c>
      <c r="D64" s="444"/>
      <c r="E64" s="445"/>
      <c r="F64" s="445"/>
      <c r="G64" s="513">
        <v>5000</v>
      </c>
      <c r="H64" s="608"/>
      <c r="I64" s="154"/>
    </row>
    <row r="65" spans="1:9" ht="69.75" x14ac:dyDescent="0.35">
      <c r="A65" s="414"/>
      <c r="B65" s="414"/>
      <c r="C65" s="432" t="s">
        <v>776</v>
      </c>
      <c r="D65" s="444"/>
      <c r="E65" s="445"/>
      <c r="F65" s="444">
        <v>6000</v>
      </c>
      <c r="G65" s="513" t="s">
        <v>984</v>
      </c>
      <c r="H65" s="616" t="s">
        <v>983</v>
      </c>
      <c r="I65" s="154"/>
    </row>
    <row r="66" spans="1:9" ht="49.5" customHeight="1" x14ac:dyDescent="0.35">
      <c r="A66" s="431"/>
      <c r="B66" s="431">
        <v>61603</v>
      </c>
      <c r="C66" s="434" t="s">
        <v>777</v>
      </c>
      <c r="D66" s="446"/>
      <c r="E66" s="437"/>
      <c r="F66" s="437"/>
      <c r="G66" s="508">
        <v>5000</v>
      </c>
      <c r="H66" s="608"/>
      <c r="I66" s="154"/>
    </row>
    <row r="67" spans="1:9" ht="66" customHeight="1" x14ac:dyDescent="0.35">
      <c r="A67" s="431"/>
      <c r="B67" s="431"/>
      <c r="C67" s="434" t="s">
        <v>966</v>
      </c>
      <c r="D67" s="446"/>
      <c r="E67" s="437"/>
      <c r="F67" s="437"/>
      <c r="G67" s="514">
        <v>10000</v>
      </c>
      <c r="H67" s="608" t="s">
        <v>967</v>
      </c>
      <c r="I67" s="530" t="s">
        <v>968</v>
      </c>
    </row>
    <row r="68" spans="1:9" ht="34.5" customHeight="1" x14ac:dyDescent="0.35">
      <c r="A68" s="431"/>
      <c r="B68" s="431"/>
      <c r="C68" s="434" t="s">
        <v>778</v>
      </c>
      <c r="D68" s="446"/>
      <c r="E68" s="437"/>
      <c r="F68" s="437"/>
      <c r="G68" s="594" t="s">
        <v>938</v>
      </c>
      <c r="H68" s="608"/>
      <c r="I68" s="154"/>
    </row>
    <row r="69" spans="1:9" ht="51" customHeight="1" x14ac:dyDescent="0.35">
      <c r="A69" s="431"/>
      <c r="B69" s="431"/>
      <c r="C69" s="434" t="s">
        <v>934</v>
      </c>
      <c r="D69" s="446"/>
      <c r="E69" s="437"/>
      <c r="F69" s="437"/>
      <c r="G69" s="514">
        <v>6000</v>
      </c>
      <c r="H69" s="608"/>
      <c r="I69" s="154"/>
    </row>
    <row r="70" spans="1:9" ht="23.25" x14ac:dyDescent="0.35">
      <c r="A70" s="414"/>
      <c r="B70" s="414">
        <v>61603</v>
      </c>
      <c r="C70" s="414" t="s">
        <v>779</v>
      </c>
      <c r="D70" s="418"/>
      <c r="E70" s="441"/>
      <c r="F70" s="418"/>
      <c r="G70" s="504">
        <v>11500</v>
      </c>
      <c r="H70" s="604" t="s">
        <v>872</v>
      </c>
      <c r="I70" s="532" t="s">
        <v>873</v>
      </c>
    </row>
    <row r="71" spans="1:9" ht="23.25" x14ac:dyDescent="0.35">
      <c r="A71" s="414"/>
      <c r="B71" s="414">
        <v>61603</v>
      </c>
      <c r="C71" s="414" t="s">
        <v>780</v>
      </c>
      <c r="D71" s="418"/>
      <c r="E71" s="441"/>
      <c r="F71" s="418"/>
      <c r="G71" s="515">
        <v>5000</v>
      </c>
      <c r="H71" s="608"/>
      <c r="I71" s="154"/>
    </row>
    <row r="72" spans="1:9" ht="67.5" customHeight="1" x14ac:dyDescent="0.35">
      <c r="A72" s="414"/>
      <c r="B72" s="440">
        <v>61603</v>
      </c>
      <c r="C72" s="433" t="s">
        <v>781</v>
      </c>
      <c r="D72" s="418"/>
      <c r="E72" s="441"/>
      <c r="F72" s="447"/>
      <c r="G72" s="516">
        <v>10000</v>
      </c>
      <c r="H72" s="608" t="s">
        <v>961</v>
      </c>
      <c r="I72" s="528" t="s">
        <v>962</v>
      </c>
    </row>
    <row r="73" spans="1:9" ht="23.25" x14ac:dyDescent="0.35">
      <c r="A73" s="414"/>
      <c r="B73" s="414"/>
      <c r="C73" s="739" t="s">
        <v>782</v>
      </c>
      <c r="D73" s="739"/>
      <c r="E73" s="739"/>
      <c r="F73" s="739"/>
      <c r="G73" s="736"/>
      <c r="H73" s="608"/>
      <c r="I73" s="154"/>
    </row>
    <row r="74" spans="1:9" ht="23.25" x14ac:dyDescent="0.35">
      <c r="A74" s="414"/>
      <c r="B74" s="414"/>
      <c r="C74" s="416" t="s">
        <v>783</v>
      </c>
      <c r="D74" s="416"/>
      <c r="E74" s="416"/>
      <c r="F74" s="416"/>
      <c r="G74" s="611">
        <v>8000</v>
      </c>
      <c r="H74" s="608"/>
      <c r="I74" s="154"/>
    </row>
    <row r="75" spans="1:9" ht="39.75" customHeight="1" x14ac:dyDescent="0.35">
      <c r="A75" s="414"/>
      <c r="B75" s="448">
        <v>61604</v>
      </c>
      <c r="C75" s="449" t="s">
        <v>784</v>
      </c>
      <c r="D75" s="450"/>
      <c r="E75" s="451"/>
      <c r="F75" s="450"/>
      <c r="G75" s="517">
        <v>5000</v>
      </c>
      <c r="H75" s="608"/>
      <c r="I75" s="154"/>
    </row>
    <row r="76" spans="1:9" ht="41.25" customHeight="1" x14ac:dyDescent="0.35">
      <c r="A76" s="414"/>
      <c r="B76" s="414">
        <v>61604</v>
      </c>
      <c r="C76" s="452" t="s">
        <v>785</v>
      </c>
      <c r="D76" s="418"/>
      <c r="E76" s="441"/>
      <c r="F76" s="418"/>
      <c r="G76" s="504">
        <v>12000</v>
      </c>
      <c r="H76" s="608"/>
      <c r="I76" s="154"/>
    </row>
    <row r="77" spans="1:9" ht="48.75" customHeight="1" x14ac:dyDescent="0.35">
      <c r="A77" s="414"/>
      <c r="B77" s="414"/>
      <c r="C77" s="452" t="s">
        <v>786</v>
      </c>
      <c r="D77" s="418"/>
      <c r="E77" s="441"/>
      <c r="F77" s="418"/>
      <c r="G77" s="515">
        <v>5000</v>
      </c>
      <c r="H77" s="608"/>
      <c r="I77" s="154"/>
    </row>
    <row r="78" spans="1:9" ht="23.25" x14ac:dyDescent="0.35">
      <c r="A78" s="414"/>
      <c r="B78" s="453"/>
      <c r="C78" s="729" t="s">
        <v>787</v>
      </c>
      <c r="D78" s="729"/>
      <c r="E78" s="729"/>
      <c r="F78" s="729"/>
      <c r="G78" s="730"/>
      <c r="H78" s="608"/>
      <c r="I78" s="154"/>
    </row>
    <row r="79" spans="1:9" ht="60.75" customHeight="1" x14ac:dyDescent="0.35">
      <c r="A79" s="431"/>
      <c r="B79" s="414">
        <v>61606</v>
      </c>
      <c r="C79" s="433" t="s">
        <v>788</v>
      </c>
      <c r="D79" s="418"/>
      <c r="E79" s="441"/>
      <c r="F79" s="418"/>
      <c r="G79" s="504">
        <v>16000</v>
      </c>
      <c r="H79" s="607" t="s">
        <v>931</v>
      </c>
      <c r="I79" s="528" t="s">
        <v>932</v>
      </c>
    </row>
    <row r="80" spans="1:9" ht="40.5" customHeight="1" x14ac:dyDescent="0.35">
      <c r="A80" s="431"/>
      <c r="B80" s="414"/>
      <c r="C80" s="433" t="s">
        <v>789</v>
      </c>
      <c r="D80" s="418"/>
      <c r="E80" s="441"/>
      <c r="F80" s="418"/>
      <c r="G80" s="515">
        <v>12500</v>
      </c>
      <c r="H80" s="608"/>
      <c r="I80" s="154"/>
    </row>
    <row r="81" spans="1:10" ht="51.75" customHeight="1" x14ac:dyDescent="0.35">
      <c r="A81" s="414"/>
      <c r="B81" s="414">
        <v>61606</v>
      </c>
      <c r="C81" s="454" t="s">
        <v>790</v>
      </c>
      <c r="D81" s="418"/>
      <c r="E81" s="441"/>
      <c r="F81" s="418"/>
      <c r="G81" s="504">
        <v>14000</v>
      </c>
      <c r="H81" s="608"/>
      <c r="I81" s="154"/>
    </row>
    <row r="82" spans="1:10" ht="51.75" customHeight="1" x14ac:dyDescent="0.35">
      <c r="A82" s="414"/>
      <c r="B82" s="414"/>
      <c r="C82" s="537" t="s">
        <v>876</v>
      </c>
      <c r="D82" s="418">
        <v>5370</v>
      </c>
      <c r="E82" s="441"/>
      <c r="F82" s="418"/>
      <c r="G82" s="504"/>
      <c r="H82" s="604" t="s">
        <v>877</v>
      </c>
      <c r="I82" s="530" t="s">
        <v>878</v>
      </c>
    </row>
    <row r="83" spans="1:10" ht="51.75" customHeight="1" x14ac:dyDescent="0.35">
      <c r="A83" s="414"/>
      <c r="B83" s="414"/>
      <c r="C83" s="536" t="s">
        <v>881</v>
      </c>
      <c r="D83" s="418">
        <v>4000</v>
      </c>
      <c r="E83" s="441"/>
      <c r="F83" s="418"/>
      <c r="G83" s="504"/>
      <c r="H83" s="604" t="s">
        <v>882</v>
      </c>
      <c r="I83" s="528" t="s">
        <v>883</v>
      </c>
    </row>
    <row r="84" spans="1:10" ht="51.75" customHeight="1" x14ac:dyDescent="0.35">
      <c r="A84" s="584"/>
      <c r="B84" s="584"/>
      <c r="C84" s="585" t="s">
        <v>927</v>
      </c>
      <c r="D84" s="586">
        <v>12750</v>
      </c>
      <c r="E84" s="587"/>
      <c r="F84" s="586"/>
      <c r="G84" s="588"/>
      <c r="H84" s="589" t="s">
        <v>928</v>
      </c>
      <c r="I84" s="590" t="s">
        <v>929</v>
      </c>
      <c r="J84" s="591" t="s">
        <v>930</v>
      </c>
    </row>
    <row r="85" spans="1:10" ht="23.25" x14ac:dyDescent="0.35">
      <c r="A85" s="414"/>
      <c r="B85" s="414"/>
      <c r="C85" s="729" t="s">
        <v>791</v>
      </c>
      <c r="D85" s="729"/>
      <c r="E85" s="729"/>
      <c r="F85" s="729"/>
      <c r="G85" s="730"/>
      <c r="H85" s="608"/>
      <c r="I85" s="154"/>
    </row>
    <row r="86" spans="1:10" ht="30" customHeight="1" x14ac:dyDescent="0.35">
      <c r="A86" s="414"/>
      <c r="B86" s="417">
        <v>61608</v>
      </c>
      <c r="C86" s="417" t="s">
        <v>792</v>
      </c>
      <c r="D86" s="455"/>
      <c r="E86" s="455"/>
      <c r="F86" s="455"/>
      <c r="G86" s="518">
        <v>10000</v>
      </c>
      <c r="H86" s="608"/>
      <c r="I86" s="154"/>
    </row>
    <row r="87" spans="1:10" ht="23.25" x14ac:dyDescent="0.35">
      <c r="A87" s="414"/>
      <c r="B87" s="453"/>
      <c r="C87" s="729" t="s">
        <v>793</v>
      </c>
      <c r="D87" s="729"/>
      <c r="E87" s="729"/>
      <c r="F87" s="729"/>
      <c r="G87" s="730"/>
      <c r="H87" s="608"/>
      <c r="I87" s="154"/>
    </row>
    <row r="88" spans="1:10" ht="55.5" customHeight="1" x14ac:dyDescent="0.35">
      <c r="A88" s="414"/>
      <c r="B88" s="431">
        <v>61699</v>
      </c>
      <c r="C88" s="434" t="s">
        <v>794</v>
      </c>
      <c r="D88" s="435"/>
      <c r="E88" s="456"/>
      <c r="F88" s="445"/>
      <c r="G88" s="512">
        <v>34000</v>
      </c>
      <c r="H88" s="604" t="s">
        <v>925</v>
      </c>
      <c r="I88" s="528" t="s">
        <v>926</v>
      </c>
    </row>
    <row r="89" spans="1:10" ht="51.75" customHeight="1" x14ac:dyDescent="0.35">
      <c r="A89" s="414"/>
      <c r="B89" s="414">
        <v>61699</v>
      </c>
      <c r="C89" s="432" t="s">
        <v>860</v>
      </c>
      <c r="D89" s="445"/>
      <c r="E89" s="441"/>
      <c r="F89" s="445"/>
      <c r="G89" s="512">
        <v>21000</v>
      </c>
      <c r="H89" s="604" t="s">
        <v>861</v>
      </c>
      <c r="I89" s="531" t="s">
        <v>862</v>
      </c>
    </row>
    <row r="90" spans="1:10" ht="66" customHeight="1" x14ac:dyDescent="0.35">
      <c r="A90" s="414"/>
      <c r="B90" s="414">
        <v>61699</v>
      </c>
      <c r="C90" s="432" t="s">
        <v>795</v>
      </c>
      <c r="D90" s="445"/>
      <c r="E90" s="441"/>
      <c r="F90" s="445"/>
      <c r="G90" s="512">
        <v>7500</v>
      </c>
      <c r="H90" s="604" t="s">
        <v>869</v>
      </c>
      <c r="I90" s="533" t="s">
        <v>870</v>
      </c>
    </row>
    <row r="91" spans="1:10" ht="43.5" customHeight="1" x14ac:dyDescent="0.35">
      <c r="A91" s="414"/>
      <c r="B91" s="414">
        <v>61699</v>
      </c>
      <c r="C91" s="432" t="s">
        <v>796</v>
      </c>
      <c r="D91" s="445"/>
      <c r="E91" s="441"/>
      <c r="F91" s="445"/>
      <c r="G91" s="512">
        <v>35000</v>
      </c>
      <c r="H91" s="608"/>
      <c r="I91" s="154"/>
    </row>
    <row r="92" spans="1:10" ht="48" customHeight="1" x14ac:dyDescent="0.35">
      <c r="A92" s="414"/>
      <c r="B92" s="414">
        <v>61699</v>
      </c>
      <c r="C92" s="432" t="s">
        <v>797</v>
      </c>
      <c r="D92" s="445"/>
      <c r="E92" s="441"/>
      <c r="F92" s="445"/>
      <c r="G92" s="512">
        <v>13000</v>
      </c>
      <c r="H92" s="608"/>
      <c r="I92" s="154"/>
    </row>
    <row r="93" spans="1:10" ht="90.75" customHeight="1" x14ac:dyDescent="0.35">
      <c r="A93" s="414"/>
      <c r="B93" s="414">
        <v>61699</v>
      </c>
      <c r="C93" s="432" t="s">
        <v>798</v>
      </c>
      <c r="D93" s="445"/>
      <c r="E93" s="441"/>
      <c r="F93" s="444"/>
      <c r="G93" s="512">
        <v>29000</v>
      </c>
      <c r="H93" s="604" t="s">
        <v>863</v>
      </c>
      <c r="I93" s="530" t="s">
        <v>864</v>
      </c>
      <c r="J93" t="s">
        <v>985</v>
      </c>
    </row>
    <row r="94" spans="1:10" ht="49.5" customHeight="1" x14ac:dyDescent="0.35">
      <c r="A94" s="414"/>
      <c r="B94" s="414"/>
      <c r="C94" s="432" t="s">
        <v>799</v>
      </c>
      <c r="D94" s="445"/>
      <c r="E94" s="441"/>
      <c r="F94" s="444"/>
      <c r="G94" s="519">
        <v>200000</v>
      </c>
      <c r="H94" s="608"/>
      <c r="I94" s="154"/>
    </row>
    <row r="95" spans="1:10" ht="79.5" customHeight="1" x14ac:dyDescent="0.35">
      <c r="A95" s="414"/>
      <c r="B95" s="414">
        <v>61699</v>
      </c>
      <c r="C95" s="457" t="s">
        <v>800</v>
      </c>
      <c r="D95" s="445"/>
      <c r="E95" s="441"/>
      <c r="F95" s="444"/>
      <c r="G95" s="512">
        <v>13000</v>
      </c>
      <c r="H95" s="604" t="s">
        <v>865</v>
      </c>
      <c r="I95" s="528" t="s">
        <v>866</v>
      </c>
    </row>
    <row r="96" spans="1:10" ht="56.25" customHeight="1" x14ac:dyDescent="0.35">
      <c r="A96" s="414"/>
      <c r="B96" s="414">
        <v>61699</v>
      </c>
      <c r="C96" s="432" t="s">
        <v>801</v>
      </c>
      <c r="D96" s="445"/>
      <c r="E96" s="441"/>
      <c r="F96" s="445"/>
      <c r="G96" s="512">
        <v>3000</v>
      </c>
      <c r="H96" s="608"/>
      <c r="I96" s="154"/>
    </row>
    <row r="97" spans="1:12" ht="48.75" customHeight="1" x14ac:dyDescent="0.35">
      <c r="A97" s="414"/>
      <c r="B97" s="414">
        <v>61699</v>
      </c>
      <c r="C97" s="458" t="s">
        <v>802</v>
      </c>
      <c r="D97" s="445"/>
      <c r="E97" s="441"/>
      <c r="F97" s="445"/>
      <c r="G97" s="512">
        <v>7000</v>
      </c>
      <c r="H97" s="608"/>
      <c r="I97" s="154"/>
    </row>
    <row r="98" spans="1:12" ht="23.25" x14ac:dyDescent="0.35">
      <c r="A98" s="414"/>
      <c r="B98" s="459"/>
      <c r="C98" s="729" t="s">
        <v>803</v>
      </c>
      <c r="D98" s="729"/>
      <c r="E98" s="729"/>
      <c r="F98" s="729"/>
      <c r="G98" s="730"/>
      <c r="H98" s="608"/>
      <c r="I98" s="154"/>
    </row>
    <row r="99" spans="1:12" ht="45.75" customHeight="1" x14ac:dyDescent="0.35">
      <c r="A99" s="431"/>
      <c r="B99" s="414">
        <v>61201</v>
      </c>
      <c r="C99" s="432" t="s">
        <v>804</v>
      </c>
      <c r="D99" s="418"/>
      <c r="E99" s="441"/>
      <c r="F99" s="447"/>
      <c r="G99" s="520">
        <v>6500</v>
      </c>
      <c r="H99" s="608"/>
      <c r="I99" s="154"/>
    </row>
    <row r="100" spans="1:12" ht="23.25" x14ac:dyDescent="0.35">
      <c r="A100" s="414"/>
      <c r="C100" s="729" t="s">
        <v>805</v>
      </c>
      <c r="D100" s="729"/>
      <c r="E100" s="729"/>
      <c r="F100" s="729"/>
      <c r="G100" s="730"/>
      <c r="H100" s="608"/>
      <c r="I100" s="154"/>
    </row>
    <row r="101" spans="1:12" ht="66.75" customHeight="1" x14ac:dyDescent="0.35">
      <c r="B101" s="414">
        <v>71308</v>
      </c>
      <c r="C101" s="432" t="s">
        <v>806</v>
      </c>
      <c r="D101" s="418"/>
      <c r="E101" s="441"/>
      <c r="F101" s="418"/>
      <c r="G101" s="504">
        <v>150000</v>
      </c>
      <c r="H101" s="608"/>
      <c r="I101" s="154"/>
    </row>
    <row r="102" spans="1:12" ht="44.25" customHeight="1" x14ac:dyDescent="0.35">
      <c r="A102" s="414"/>
      <c r="B102" s="414">
        <v>55308</v>
      </c>
      <c r="C102" s="433" t="s">
        <v>807</v>
      </c>
      <c r="D102" s="418"/>
      <c r="E102" s="441"/>
      <c r="F102" s="447"/>
      <c r="G102" s="516">
        <v>2500</v>
      </c>
      <c r="H102" s="608"/>
      <c r="I102" s="154"/>
    </row>
    <row r="103" spans="1:12" ht="58.5" customHeight="1" x14ac:dyDescent="0.35">
      <c r="A103" s="414"/>
      <c r="B103" s="414"/>
      <c r="C103" s="538" t="s">
        <v>909</v>
      </c>
      <c r="D103" s="418"/>
      <c r="E103" s="441"/>
      <c r="F103" s="447"/>
      <c r="G103" s="516">
        <v>6450.83</v>
      </c>
      <c r="H103" s="604" t="s">
        <v>855</v>
      </c>
      <c r="I103" s="475" t="s">
        <v>857</v>
      </c>
    </row>
    <row r="104" spans="1:12" ht="23.25" x14ac:dyDescent="0.35">
      <c r="A104" s="414"/>
      <c r="G104" s="506">
        <f>SUM(G14:G102)</f>
        <v>1145087.7</v>
      </c>
      <c r="H104" s="609">
        <v>1145087.7</v>
      </c>
      <c r="I104" s="526">
        <f>+G104-H104</f>
        <v>0</v>
      </c>
    </row>
    <row r="105" spans="1:12" ht="23.25" x14ac:dyDescent="0.35">
      <c r="A105" s="414"/>
      <c r="G105" s="506"/>
      <c r="H105" s="609"/>
      <c r="I105" s="526"/>
    </row>
    <row r="106" spans="1:12" ht="23.25" x14ac:dyDescent="0.35">
      <c r="A106" s="414"/>
      <c r="B106" s="453"/>
      <c r="C106" s="460" t="s">
        <v>808</v>
      </c>
      <c r="D106" s="461"/>
      <c r="E106" s="462"/>
      <c r="F106" s="463"/>
      <c r="G106" s="521"/>
      <c r="H106" s="608"/>
      <c r="I106" s="154"/>
    </row>
    <row r="107" spans="1:12" ht="23.25" x14ac:dyDescent="0.35">
      <c r="A107" s="555"/>
      <c r="B107" s="556"/>
      <c r="C107" s="557"/>
      <c r="D107" s="558"/>
      <c r="E107" s="559"/>
      <c r="F107" s="560"/>
      <c r="G107" s="559"/>
      <c r="H107" s="557"/>
      <c r="I107" s="561"/>
    </row>
    <row r="108" spans="1:12" ht="28.5" x14ac:dyDescent="0.45">
      <c r="A108" s="727" t="s">
        <v>809</v>
      </c>
      <c r="B108" s="728"/>
      <c r="C108" s="728"/>
      <c r="D108" s="728"/>
      <c r="E108" s="728"/>
      <c r="F108" s="728"/>
      <c r="G108" s="728"/>
      <c r="H108" s="610"/>
      <c r="I108" s="595"/>
      <c r="J108" s="595"/>
      <c r="K108" s="595"/>
      <c r="L108" s="595"/>
    </row>
    <row r="109" spans="1:12" ht="69.75" x14ac:dyDescent="0.35">
      <c r="A109" s="428" t="s">
        <v>754</v>
      </c>
      <c r="B109" s="414"/>
      <c r="C109" s="501" t="s">
        <v>744</v>
      </c>
      <c r="D109" s="418"/>
      <c r="E109" s="430"/>
      <c r="F109" s="418"/>
      <c r="G109" s="548" t="s">
        <v>755</v>
      </c>
      <c r="H109" s="460"/>
      <c r="I109" s="549"/>
      <c r="J109" s="154"/>
      <c r="K109" s="154"/>
      <c r="L109" s="4"/>
    </row>
    <row r="110" spans="1:12" ht="23.25" x14ac:dyDescent="0.35">
      <c r="A110" s="431"/>
      <c r="B110" s="431">
        <v>61601</v>
      </c>
      <c r="C110" s="597" t="s">
        <v>947</v>
      </c>
      <c r="D110" s="437"/>
      <c r="E110" s="431"/>
      <c r="F110" s="437"/>
      <c r="G110" s="437">
        <v>78000</v>
      </c>
      <c r="H110" s="460"/>
      <c r="I110" s="549"/>
      <c r="J110" s="154"/>
      <c r="K110" s="154"/>
      <c r="L110" s="4"/>
    </row>
    <row r="111" spans="1:12" ht="69.75" x14ac:dyDescent="0.35">
      <c r="A111" s="431"/>
      <c r="B111" s="431">
        <v>61601</v>
      </c>
      <c r="C111" s="464" t="s">
        <v>810</v>
      </c>
      <c r="D111" s="418"/>
      <c r="E111" s="414"/>
      <c r="F111" s="418"/>
      <c r="G111" s="509">
        <v>5000</v>
      </c>
      <c r="H111" s="460"/>
      <c r="I111" s="549"/>
      <c r="J111" s="154"/>
      <c r="K111" s="154"/>
      <c r="L111" s="4"/>
    </row>
    <row r="112" spans="1:12" ht="69.75" x14ac:dyDescent="0.35">
      <c r="A112" s="431"/>
      <c r="B112" s="431">
        <v>61601</v>
      </c>
      <c r="C112" s="433" t="s">
        <v>941</v>
      </c>
      <c r="D112" s="418"/>
      <c r="E112" s="414"/>
      <c r="F112" s="418"/>
      <c r="G112" s="523">
        <v>5000</v>
      </c>
      <c r="H112" s="460"/>
      <c r="I112" s="549"/>
      <c r="J112" s="154"/>
      <c r="K112" s="154"/>
      <c r="L112" s="4"/>
    </row>
    <row r="113" spans="1:12" ht="90" customHeight="1" x14ac:dyDescent="0.35">
      <c r="A113" s="431"/>
      <c r="B113" s="431">
        <v>61601</v>
      </c>
      <c r="C113" s="433" t="s">
        <v>910</v>
      </c>
      <c r="D113" s="418"/>
      <c r="E113" s="414"/>
      <c r="F113" s="418"/>
      <c r="G113" s="523">
        <v>7000</v>
      </c>
      <c r="H113" s="460"/>
      <c r="I113" s="549"/>
      <c r="J113" s="154"/>
      <c r="K113" s="154"/>
      <c r="L113" s="552" t="s">
        <v>911</v>
      </c>
    </row>
    <row r="114" spans="1:12" ht="23.25" x14ac:dyDescent="0.35">
      <c r="A114" s="467"/>
      <c r="B114" s="467">
        <v>61601</v>
      </c>
      <c r="C114" s="553" t="s">
        <v>811</v>
      </c>
      <c r="D114" s="554"/>
      <c r="E114" s="469"/>
      <c r="F114" s="468"/>
      <c r="G114" s="524">
        <v>50000</v>
      </c>
      <c r="H114" s="460"/>
      <c r="I114" s="549"/>
      <c r="J114" s="154"/>
      <c r="K114" s="154"/>
      <c r="L114" s="4"/>
    </row>
    <row r="115" spans="1:12" ht="139.5" x14ac:dyDescent="0.35">
      <c r="A115" s="431"/>
      <c r="B115" s="431">
        <v>61601</v>
      </c>
      <c r="C115" s="464" t="s">
        <v>812</v>
      </c>
      <c r="D115" s="423"/>
      <c r="E115" s="441"/>
      <c r="F115" s="418"/>
      <c r="G115" s="523">
        <v>2000</v>
      </c>
      <c r="H115" s="455" t="s">
        <v>979</v>
      </c>
      <c r="I115" s="549"/>
      <c r="J115" s="154"/>
      <c r="K115" s="154"/>
      <c r="L115" s="4"/>
    </row>
    <row r="116" spans="1:12" ht="23.25" x14ac:dyDescent="0.35">
      <c r="A116" s="431"/>
      <c r="B116" s="431">
        <v>61601</v>
      </c>
      <c r="C116" s="466" t="s">
        <v>912</v>
      </c>
      <c r="D116" s="418"/>
      <c r="E116" s="441"/>
      <c r="F116" s="418"/>
      <c r="G116" s="523">
        <v>6000</v>
      </c>
      <c r="H116" s="460"/>
      <c r="I116" s="549"/>
      <c r="J116" s="154"/>
      <c r="K116" s="154"/>
      <c r="L116" s="4"/>
    </row>
    <row r="117" spans="1:12" ht="46.5" x14ac:dyDescent="0.35">
      <c r="A117" s="431"/>
      <c r="B117" s="431">
        <v>61601</v>
      </c>
      <c r="C117" s="465" t="s">
        <v>913</v>
      </c>
      <c r="D117" s="437"/>
      <c r="E117" s="456"/>
      <c r="F117" s="437"/>
      <c r="G117" s="508">
        <v>3000</v>
      </c>
      <c r="H117" s="460"/>
      <c r="I117" s="549"/>
      <c r="J117" s="154"/>
      <c r="K117" s="154"/>
      <c r="L117" s="4"/>
    </row>
    <row r="118" spans="1:12" ht="93" x14ac:dyDescent="0.35">
      <c r="A118" s="431"/>
      <c r="B118" s="431">
        <v>61601</v>
      </c>
      <c r="C118" s="464" t="s">
        <v>813</v>
      </c>
      <c r="D118" s="418"/>
      <c r="E118" s="441"/>
      <c r="F118" s="418"/>
      <c r="G118" s="523">
        <v>2000</v>
      </c>
      <c r="H118" s="460"/>
      <c r="I118" s="549"/>
      <c r="J118" s="154"/>
      <c r="K118" s="154"/>
      <c r="L118" s="4"/>
    </row>
    <row r="119" spans="1:12" ht="63" customHeight="1" x14ac:dyDescent="0.35">
      <c r="A119" s="431"/>
      <c r="B119" s="431">
        <v>61601</v>
      </c>
      <c r="C119" s="465" t="s">
        <v>982</v>
      </c>
      <c r="D119" s="437"/>
      <c r="E119" s="456"/>
      <c r="F119" s="437"/>
      <c r="G119" s="508">
        <v>4000</v>
      </c>
      <c r="H119" s="460" t="s">
        <v>980</v>
      </c>
      <c r="I119" s="549"/>
      <c r="J119" s="530" t="s">
        <v>981</v>
      </c>
      <c r="K119" s="154"/>
      <c r="L119" s="4"/>
    </row>
    <row r="120" spans="1:12" ht="84" x14ac:dyDescent="0.35">
      <c r="A120" s="431"/>
      <c r="B120" s="431">
        <v>61601</v>
      </c>
      <c r="C120" s="464" t="s">
        <v>814</v>
      </c>
      <c r="D120" s="418"/>
      <c r="E120" s="441"/>
      <c r="F120" s="418"/>
      <c r="G120" s="523">
        <v>2000</v>
      </c>
      <c r="H120" s="460" t="s">
        <v>871</v>
      </c>
      <c r="I120" s="550" t="s">
        <v>917</v>
      </c>
      <c r="J120" s="565">
        <v>42747</v>
      </c>
      <c r="K120" s="154"/>
      <c r="L120" s="4"/>
    </row>
    <row r="121" spans="1:12" ht="69.75" x14ac:dyDescent="0.35">
      <c r="A121" s="431"/>
      <c r="B121" s="431">
        <v>61601</v>
      </c>
      <c r="C121" s="464" t="s">
        <v>914</v>
      </c>
      <c r="D121" s="418"/>
      <c r="E121" s="441"/>
      <c r="F121" s="418"/>
      <c r="G121" s="504">
        <v>5000</v>
      </c>
      <c r="H121" s="460"/>
      <c r="I121" s="549"/>
      <c r="J121" s="154"/>
      <c r="K121" s="154"/>
      <c r="L121" s="4"/>
    </row>
    <row r="122" spans="1:12" ht="46.5" x14ac:dyDescent="0.35">
      <c r="A122" s="439"/>
      <c r="B122" s="431">
        <v>61601</v>
      </c>
      <c r="C122" s="417" t="s">
        <v>815</v>
      </c>
      <c r="D122" s="418"/>
      <c r="E122" s="441"/>
      <c r="F122" s="418"/>
      <c r="G122" s="523">
        <v>6000</v>
      </c>
      <c r="H122" s="460"/>
      <c r="I122" s="549"/>
      <c r="J122" s="154"/>
      <c r="K122" s="154"/>
      <c r="L122" s="4"/>
    </row>
    <row r="123" spans="1:12" ht="23.25" x14ac:dyDescent="0.35">
      <c r="A123" s="440"/>
      <c r="B123" s="414"/>
      <c r="C123" s="729" t="s">
        <v>766</v>
      </c>
      <c r="D123" s="729"/>
      <c r="E123" s="729"/>
      <c r="F123" s="729"/>
      <c r="G123" s="730"/>
      <c r="H123" s="460"/>
      <c r="I123" s="549"/>
      <c r="J123" s="154"/>
      <c r="K123" s="154"/>
      <c r="L123" s="4"/>
    </row>
    <row r="124" spans="1:12" ht="23.25" x14ac:dyDescent="0.35">
      <c r="A124" s="414"/>
      <c r="B124" s="414">
        <v>61604</v>
      </c>
      <c r="C124" s="433" t="s">
        <v>816</v>
      </c>
      <c r="D124" s="418"/>
      <c r="E124" s="441"/>
      <c r="F124" s="447"/>
      <c r="G124" s="525">
        <v>35000</v>
      </c>
      <c r="H124" s="460"/>
      <c r="I124" s="549"/>
      <c r="J124" s="154"/>
      <c r="K124" s="154"/>
      <c r="L124" s="4"/>
    </row>
    <row r="125" spans="1:12" ht="23.25" x14ac:dyDescent="0.35">
      <c r="A125" s="414"/>
      <c r="B125" s="453"/>
      <c r="C125" s="729" t="s">
        <v>787</v>
      </c>
      <c r="D125" s="729"/>
      <c r="E125" s="729"/>
      <c r="F125" s="729"/>
      <c r="G125" s="730"/>
      <c r="H125" s="460"/>
      <c r="I125" s="549"/>
      <c r="J125" s="154"/>
      <c r="K125" s="154"/>
      <c r="L125" s="4"/>
    </row>
    <row r="126" spans="1:12" ht="46.5" x14ac:dyDescent="0.35">
      <c r="A126" s="414"/>
      <c r="B126" s="414">
        <v>61606</v>
      </c>
      <c r="C126" s="454" t="s">
        <v>790</v>
      </c>
      <c r="D126" s="418"/>
      <c r="E126" s="441"/>
      <c r="F126" s="418"/>
      <c r="G126" s="504">
        <v>30000</v>
      </c>
      <c r="H126" s="460"/>
      <c r="I126" s="549"/>
      <c r="J126" s="154"/>
      <c r="K126" s="154"/>
      <c r="L126" s="4"/>
    </row>
    <row r="127" spans="1:12" ht="116.25" x14ac:dyDescent="0.35">
      <c r="A127" s="414"/>
      <c r="B127" s="414"/>
      <c r="C127" s="454" t="s">
        <v>942</v>
      </c>
      <c r="D127" s="418">
        <v>4250</v>
      </c>
      <c r="E127" s="441"/>
      <c r="F127" s="418"/>
      <c r="G127" s="504"/>
      <c r="H127" s="460"/>
      <c r="I127" s="549"/>
      <c r="J127" s="154"/>
      <c r="K127" s="154"/>
      <c r="L127" s="4"/>
    </row>
    <row r="128" spans="1:12" ht="93" x14ac:dyDescent="0.35">
      <c r="A128" s="414"/>
      <c r="B128" s="414">
        <v>61606</v>
      </c>
      <c r="C128" s="454" t="s">
        <v>943</v>
      </c>
      <c r="D128" s="418">
        <v>12750</v>
      </c>
      <c r="E128" s="441"/>
      <c r="F128" s="418"/>
      <c r="G128" s="504"/>
      <c r="H128" s="460"/>
      <c r="I128" s="549"/>
      <c r="J128" s="154"/>
      <c r="K128" s="154"/>
      <c r="L128" s="4"/>
    </row>
    <row r="129" spans="1:12" ht="93" x14ac:dyDescent="0.35">
      <c r="A129" s="414"/>
      <c r="B129" s="414">
        <v>6166</v>
      </c>
      <c r="C129" s="454" t="s">
        <v>944</v>
      </c>
      <c r="D129" s="418">
        <v>5370</v>
      </c>
      <c r="E129" s="441"/>
      <c r="F129" s="418"/>
      <c r="G129" s="504"/>
      <c r="H129" s="460"/>
      <c r="I129" s="549"/>
      <c r="J129" s="154"/>
      <c r="K129" s="154"/>
      <c r="L129" s="4"/>
    </row>
    <row r="130" spans="1:12" ht="93" x14ac:dyDescent="0.35">
      <c r="A130" s="414"/>
      <c r="B130" s="414"/>
      <c r="C130" s="454" t="s">
        <v>945</v>
      </c>
      <c r="D130" s="418">
        <v>4800</v>
      </c>
      <c r="E130" s="441"/>
      <c r="F130" s="418"/>
      <c r="G130" s="504"/>
      <c r="H130" s="460"/>
      <c r="I130" s="549"/>
      <c r="J130" s="154"/>
      <c r="K130" s="154"/>
      <c r="L130" s="4"/>
    </row>
    <row r="131" spans="1:12" ht="23.25" x14ac:dyDescent="0.35">
      <c r="A131" s="414"/>
      <c r="B131" s="414"/>
      <c r="C131" s="454" t="s">
        <v>946</v>
      </c>
      <c r="D131" s="418">
        <f>SUM(D127:D130)</f>
        <v>27170</v>
      </c>
      <c r="E131" s="441"/>
      <c r="F131" s="418"/>
      <c r="G131" s="504">
        <f>+G126-D131</f>
        <v>2830</v>
      </c>
      <c r="H131" s="460"/>
      <c r="I131" s="549"/>
      <c r="J131" s="154"/>
      <c r="K131" s="154"/>
      <c r="L131" s="4"/>
    </row>
    <row r="132" spans="1:12" ht="23.25" x14ac:dyDescent="0.35">
      <c r="A132" s="414"/>
      <c r="B132" s="414"/>
      <c r="C132" s="729" t="s">
        <v>791</v>
      </c>
      <c r="D132" s="729"/>
      <c r="E132" s="729"/>
      <c r="F132" s="729"/>
      <c r="G132" s="730"/>
      <c r="H132" s="460"/>
      <c r="I132" s="549"/>
      <c r="J132" s="154"/>
      <c r="K132" s="154"/>
      <c r="L132" s="4"/>
    </row>
    <row r="133" spans="1:12" ht="23.25" x14ac:dyDescent="0.35">
      <c r="A133" s="414"/>
      <c r="B133" s="417">
        <v>61608</v>
      </c>
      <c r="C133" s="417" t="s">
        <v>792</v>
      </c>
      <c r="D133" s="455"/>
      <c r="E133" s="455"/>
      <c r="F133" s="455"/>
      <c r="G133" s="518">
        <v>17000</v>
      </c>
      <c r="H133" s="460"/>
      <c r="I133" s="549"/>
      <c r="J133" s="154"/>
      <c r="K133" s="154"/>
      <c r="L133" s="4"/>
    </row>
    <row r="134" spans="1:12" ht="23.25" x14ac:dyDescent="0.35">
      <c r="A134" s="414"/>
      <c r="B134" s="453"/>
      <c r="C134" s="729" t="s">
        <v>793</v>
      </c>
      <c r="D134" s="729"/>
      <c r="E134" s="729"/>
      <c r="F134" s="729"/>
      <c r="G134" s="730"/>
      <c r="H134" s="460"/>
      <c r="I134" s="549"/>
      <c r="J134" s="154"/>
      <c r="K134" s="154"/>
      <c r="L134" s="4"/>
    </row>
    <row r="135" spans="1:12" ht="46.5" x14ac:dyDescent="0.35">
      <c r="A135" s="431"/>
      <c r="B135" s="431">
        <v>61699</v>
      </c>
      <c r="C135" s="442" t="s">
        <v>817</v>
      </c>
      <c r="D135" s="437"/>
      <c r="E135" s="456"/>
      <c r="F135" s="446"/>
      <c r="G135" s="508">
        <v>23000</v>
      </c>
      <c r="H135" s="460"/>
      <c r="I135" s="549"/>
      <c r="J135" s="154"/>
      <c r="K135" s="154"/>
      <c r="L135" s="4"/>
    </row>
    <row r="136" spans="1:12" ht="23.25" x14ac:dyDescent="0.35">
      <c r="A136" s="414"/>
      <c r="B136" s="459"/>
      <c r="C136" s="729" t="s">
        <v>803</v>
      </c>
      <c r="D136" s="729"/>
      <c r="E136" s="729"/>
      <c r="F136" s="729"/>
      <c r="G136" s="730"/>
      <c r="H136" s="549"/>
      <c r="I136" s="549"/>
      <c r="J136" s="154"/>
      <c r="K136" s="154"/>
      <c r="L136" s="4"/>
    </row>
    <row r="137" spans="1:12" ht="273" x14ac:dyDescent="0.35">
      <c r="A137" s="431"/>
      <c r="B137" s="414">
        <v>61201</v>
      </c>
      <c r="C137" s="433" t="s">
        <v>818</v>
      </c>
      <c r="D137" s="418"/>
      <c r="E137" s="441"/>
      <c r="F137" s="447"/>
      <c r="G137" s="520">
        <v>12000</v>
      </c>
      <c r="H137" s="551" t="s">
        <v>939</v>
      </c>
      <c r="I137" s="551" t="s">
        <v>915</v>
      </c>
      <c r="J137" s="154"/>
      <c r="K137" s="154"/>
      <c r="L137" s="4"/>
    </row>
    <row r="138" spans="1:12" ht="273" x14ac:dyDescent="0.35">
      <c r="A138" s="431"/>
      <c r="B138" s="414"/>
      <c r="C138" s="433"/>
      <c r="D138" s="418"/>
      <c r="E138" s="441"/>
      <c r="F138" s="447"/>
      <c r="G138" s="520"/>
      <c r="H138" s="551" t="s">
        <v>940</v>
      </c>
      <c r="I138" s="551" t="s">
        <v>916</v>
      </c>
      <c r="J138" s="154"/>
      <c r="K138" s="154"/>
      <c r="L138" s="4"/>
    </row>
    <row r="139" spans="1:12" ht="46.5" x14ac:dyDescent="0.35">
      <c r="A139" s="414"/>
      <c r="B139" s="414">
        <v>61201</v>
      </c>
      <c r="C139" s="433" t="s">
        <v>819</v>
      </c>
      <c r="D139" s="423"/>
      <c r="E139" s="418"/>
      <c r="F139" s="423"/>
      <c r="G139" s="504">
        <v>6000</v>
      </c>
      <c r="H139" s="549"/>
      <c r="I139" s="549"/>
      <c r="J139" s="154"/>
      <c r="K139" s="154"/>
      <c r="L139" s="4"/>
    </row>
    <row r="140" spans="1:12" ht="28.5" x14ac:dyDescent="0.45">
      <c r="A140" s="727" t="s">
        <v>949</v>
      </c>
      <c r="B140" s="728"/>
      <c r="C140" s="728"/>
      <c r="D140" s="728"/>
      <c r="E140" s="728"/>
      <c r="F140" s="728"/>
      <c r="G140" s="728"/>
      <c r="H140" s="549"/>
      <c r="I140" s="549"/>
      <c r="J140" s="154"/>
      <c r="K140" s="154"/>
      <c r="L140" s="4"/>
    </row>
    <row r="141" spans="1:12" ht="93" x14ac:dyDescent="0.35">
      <c r="A141" s="598"/>
      <c r="B141" s="598">
        <v>61601</v>
      </c>
      <c r="C141" s="599" t="s">
        <v>950</v>
      </c>
      <c r="D141" s="600"/>
      <c r="E141" s="601"/>
      <c r="F141" s="602">
        <v>48000</v>
      </c>
      <c r="G141" s="417" t="s">
        <v>970</v>
      </c>
      <c r="H141" s="605" t="s">
        <v>956</v>
      </c>
      <c r="I141" s="551" t="s">
        <v>957</v>
      </c>
      <c r="J141" s="606" t="s">
        <v>958</v>
      </c>
      <c r="K141" s="154"/>
      <c r="L141" s="4"/>
    </row>
    <row r="142" spans="1:12" ht="23.25" x14ac:dyDescent="0.35">
      <c r="A142" s="414" t="s">
        <v>948</v>
      </c>
      <c r="C142" s="729"/>
      <c r="D142" s="729"/>
      <c r="E142" s="729"/>
      <c r="F142" s="729"/>
      <c r="G142" s="730"/>
      <c r="H142" s="549"/>
      <c r="I142" s="549"/>
      <c r="J142" s="154"/>
      <c r="K142" s="154"/>
      <c r="L142" s="4"/>
    </row>
    <row r="143" spans="1:12" ht="91.5" customHeight="1" x14ac:dyDescent="0.35">
      <c r="A143" s="440"/>
      <c r="B143" s="547"/>
      <c r="C143" s="547"/>
      <c r="D143" s="547"/>
      <c r="E143" s="547"/>
      <c r="F143" s="547"/>
      <c r="G143" s="562"/>
      <c r="H143" s="563"/>
      <c r="I143" s="563"/>
      <c r="J143" s="547"/>
      <c r="K143" s="547"/>
      <c r="L143" s="488"/>
    </row>
    <row r="144" spans="1:12" ht="48" x14ac:dyDescent="0.3">
      <c r="A144" s="564"/>
      <c r="B144" s="544">
        <v>61603</v>
      </c>
      <c r="C144" s="541" t="s">
        <v>884</v>
      </c>
      <c r="D144" s="544"/>
      <c r="E144" s="544"/>
      <c r="F144" s="544"/>
      <c r="G144" s="546">
        <v>2000</v>
      </c>
      <c r="H144" s="542" t="s">
        <v>885</v>
      </c>
      <c r="I144" s="543" t="s">
        <v>886</v>
      </c>
      <c r="J144" s="540" t="s">
        <v>887</v>
      </c>
      <c r="K144" s="4"/>
      <c r="L144" s="4"/>
    </row>
    <row r="145" spans="2:12" ht="54.75" x14ac:dyDescent="0.3">
      <c r="B145" s="544">
        <v>61603</v>
      </c>
      <c r="C145" s="541" t="s">
        <v>888</v>
      </c>
      <c r="D145" s="544"/>
      <c r="E145" s="544"/>
      <c r="F145" s="544"/>
      <c r="G145" s="546">
        <v>3000</v>
      </c>
      <c r="H145" s="542" t="s">
        <v>889</v>
      </c>
      <c r="I145" s="543" t="s">
        <v>890</v>
      </c>
      <c r="J145" s="540" t="s">
        <v>891</v>
      </c>
      <c r="K145" s="4"/>
      <c r="L145" s="4"/>
    </row>
    <row r="146" spans="2:12" ht="61.5" customHeight="1" x14ac:dyDescent="0.3">
      <c r="B146" s="544">
        <v>61601</v>
      </c>
      <c r="C146" s="541" t="s">
        <v>892</v>
      </c>
      <c r="D146" s="544"/>
      <c r="E146" s="544"/>
      <c r="F146" s="544"/>
      <c r="G146" s="546">
        <v>6000</v>
      </c>
      <c r="H146" s="545" t="s">
        <v>893</v>
      </c>
      <c r="I146" s="543" t="s">
        <v>894</v>
      </c>
      <c r="J146" s="543" t="s">
        <v>895</v>
      </c>
      <c r="K146" s="4"/>
      <c r="L146" s="4"/>
    </row>
    <row r="147" spans="2:12" ht="72.75" x14ac:dyDescent="0.3">
      <c r="B147" s="544"/>
      <c r="C147" s="541" t="s">
        <v>896</v>
      </c>
      <c r="D147" s="544"/>
      <c r="E147" s="544"/>
      <c r="F147" s="544"/>
      <c r="G147" s="546">
        <v>4250</v>
      </c>
      <c r="H147" s="542" t="s">
        <v>897</v>
      </c>
      <c r="I147" s="543" t="s">
        <v>898</v>
      </c>
      <c r="J147" s="540" t="s">
        <v>899</v>
      </c>
      <c r="K147" s="4"/>
      <c r="L147" s="4"/>
    </row>
    <row r="148" spans="2:12" ht="59.25" customHeight="1" x14ac:dyDescent="0.3">
      <c r="B148" s="544"/>
      <c r="C148" s="541" t="s">
        <v>900</v>
      </c>
      <c r="D148" s="544"/>
      <c r="E148" s="544"/>
      <c r="F148" s="544"/>
      <c r="G148" s="546">
        <v>6000</v>
      </c>
      <c r="H148" s="542" t="s">
        <v>901</v>
      </c>
      <c r="I148" s="543" t="s">
        <v>902</v>
      </c>
      <c r="J148" s="539" t="s">
        <v>903</v>
      </c>
      <c r="K148" s="4"/>
      <c r="L148" s="4"/>
    </row>
    <row r="149" spans="2:12" ht="59.25" customHeight="1" x14ac:dyDescent="0.3">
      <c r="B149" s="544"/>
      <c r="C149" s="541" t="s">
        <v>904</v>
      </c>
      <c r="D149" s="544"/>
      <c r="E149" s="544"/>
      <c r="F149" s="544"/>
      <c r="G149" s="546">
        <v>250</v>
      </c>
      <c r="H149" s="542" t="s">
        <v>905</v>
      </c>
      <c r="I149" s="543" t="s">
        <v>906</v>
      </c>
      <c r="J149" s="539" t="s">
        <v>907</v>
      </c>
      <c r="K149" s="4"/>
      <c r="L149" s="4"/>
    </row>
    <row r="150" spans="2:12" ht="112.5" x14ac:dyDescent="0.3">
      <c r="B150" s="154"/>
      <c r="C150" s="612" t="s">
        <v>971</v>
      </c>
      <c r="D150" s="154"/>
      <c r="E150" s="154"/>
      <c r="F150" s="154"/>
      <c r="G150" s="151">
        <v>250</v>
      </c>
      <c r="H150" s="150" t="s">
        <v>972</v>
      </c>
      <c r="I150" s="613" t="s">
        <v>973</v>
      </c>
      <c r="J150" s="614" t="s">
        <v>974</v>
      </c>
    </row>
    <row r="151" spans="2:12" x14ac:dyDescent="0.25">
      <c r="B151" s="154"/>
      <c r="C151" s="154"/>
      <c r="D151" s="154"/>
      <c r="E151" s="154"/>
      <c r="F151" s="154"/>
      <c r="G151" s="154"/>
      <c r="H151" s="154"/>
      <c r="I151" s="154"/>
    </row>
    <row r="152" spans="2:12" x14ac:dyDescent="0.25">
      <c r="B152" s="154"/>
      <c r="C152" s="154"/>
      <c r="D152" s="154"/>
      <c r="E152" s="154"/>
      <c r="F152" s="154"/>
      <c r="G152" s="154"/>
      <c r="H152" s="154"/>
      <c r="I152" s="154"/>
    </row>
    <row r="153" spans="2:12" x14ac:dyDescent="0.25">
      <c r="B153" s="154"/>
      <c r="C153" s="154"/>
      <c r="D153" s="154"/>
      <c r="E153" s="154"/>
      <c r="F153" s="154"/>
      <c r="G153" s="154"/>
      <c r="H153" s="154"/>
      <c r="I153" s="154"/>
    </row>
    <row r="154" spans="2:12" x14ac:dyDescent="0.25">
      <c r="B154" s="154"/>
      <c r="C154" s="154"/>
      <c r="D154" s="154"/>
      <c r="E154" s="154"/>
      <c r="F154" s="154"/>
      <c r="G154" s="154"/>
      <c r="H154" s="154"/>
      <c r="I154" s="154"/>
    </row>
    <row r="155" spans="2:12" x14ac:dyDescent="0.25">
      <c r="B155" s="154"/>
      <c r="C155" s="154"/>
      <c r="D155" s="154"/>
      <c r="E155" s="154"/>
      <c r="F155" s="154"/>
      <c r="G155" s="154"/>
      <c r="H155" s="154"/>
      <c r="I155" s="154"/>
    </row>
    <row r="156" spans="2:12" x14ac:dyDescent="0.25">
      <c r="B156" s="154"/>
      <c r="C156" s="154"/>
      <c r="D156" s="154"/>
      <c r="E156" s="154"/>
      <c r="F156" s="154"/>
      <c r="G156" s="154"/>
      <c r="H156" s="154"/>
      <c r="I156" s="154"/>
    </row>
    <row r="157" spans="2:12" x14ac:dyDescent="0.25">
      <c r="B157" s="154"/>
      <c r="C157" s="154"/>
      <c r="D157" s="154"/>
      <c r="E157" s="154"/>
      <c r="F157" s="154"/>
      <c r="G157" s="154"/>
      <c r="H157" s="154"/>
      <c r="I157" s="154"/>
    </row>
    <row r="158" spans="2:12" x14ac:dyDescent="0.25">
      <c r="B158" s="154"/>
      <c r="C158" s="154"/>
      <c r="D158" s="154"/>
      <c r="E158" s="154"/>
      <c r="F158" s="154"/>
      <c r="G158" s="154"/>
      <c r="H158" s="154"/>
      <c r="I158" s="154"/>
    </row>
    <row r="159" spans="2:12" x14ac:dyDescent="0.25">
      <c r="B159" s="154"/>
      <c r="C159" s="154"/>
      <c r="D159" s="154"/>
      <c r="E159" s="154"/>
      <c r="F159" s="154"/>
      <c r="G159" s="154"/>
      <c r="H159" s="154"/>
      <c r="I159" s="154"/>
    </row>
    <row r="160" spans="2:12" x14ac:dyDescent="0.25">
      <c r="B160" s="154"/>
      <c r="C160" s="154"/>
      <c r="D160" s="154"/>
      <c r="E160" s="154"/>
      <c r="F160" s="154"/>
      <c r="G160" s="154"/>
      <c r="H160" s="154"/>
      <c r="I160" s="154"/>
    </row>
    <row r="161" spans="2:9" x14ac:dyDescent="0.25">
      <c r="B161" s="154"/>
      <c r="C161" s="154"/>
      <c r="D161" s="154"/>
      <c r="E161" s="154"/>
      <c r="F161" s="154"/>
      <c r="G161" s="154"/>
      <c r="H161" s="154"/>
      <c r="I161" s="154"/>
    </row>
    <row r="162" spans="2:9" x14ac:dyDescent="0.25">
      <c r="B162" s="154"/>
      <c r="C162" s="154"/>
      <c r="D162" s="154"/>
      <c r="E162" s="154"/>
      <c r="F162" s="154"/>
      <c r="G162" s="154"/>
      <c r="H162" s="154"/>
      <c r="I162" s="154"/>
    </row>
    <row r="163" spans="2:9" x14ac:dyDescent="0.25">
      <c r="B163" s="154"/>
      <c r="C163" s="154"/>
      <c r="D163" s="154"/>
      <c r="E163" s="154"/>
      <c r="F163" s="154"/>
      <c r="G163" s="154"/>
      <c r="H163" s="154"/>
      <c r="I163" s="154"/>
    </row>
    <row r="164" spans="2:9" x14ac:dyDescent="0.25">
      <c r="B164" s="154"/>
      <c r="C164" s="154"/>
      <c r="D164" s="154"/>
      <c r="E164" s="154"/>
      <c r="F164" s="154"/>
      <c r="G164" s="154"/>
      <c r="H164" s="154"/>
      <c r="I164" s="154"/>
    </row>
    <row r="165" spans="2:9" x14ac:dyDescent="0.25">
      <c r="B165" s="154"/>
      <c r="C165" s="154"/>
      <c r="D165" s="154"/>
      <c r="E165" s="154"/>
      <c r="F165" s="154"/>
      <c r="G165" s="154"/>
      <c r="H165" s="154"/>
      <c r="I165" s="154"/>
    </row>
    <row r="166" spans="2:9" x14ac:dyDescent="0.25">
      <c r="B166" s="154"/>
      <c r="C166" s="154"/>
      <c r="D166" s="154"/>
      <c r="E166" s="154"/>
      <c r="F166" s="154"/>
      <c r="G166" s="154"/>
      <c r="H166" s="154"/>
      <c r="I166" s="154"/>
    </row>
    <row r="167" spans="2:9" x14ac:dyDescent="0.25">
      <c r="B167" s="154"/>
      <c r="C167" s="154"/>
      <c r="D167" s="154"/>
      <c r="E167" s="154"/>
      <c r="F167" s="154"/>
      <c r="G167" s="154"/>
      <c r="H167" s="154"/>
      <c r="I167" s="154"/>
    </row>
    <row r="168" spans="2:9" x14ac:dyDescent="0.25">
      <c r="B168" s="154"/>
      <c r="C168" s="154"/>
      <c r="D168" s="154"/>
      <c r="E168" s="154"/>
      <c r="F168" s="154"/>
      <c r="G168" s="154"/>
      <c r="H168" s="154"/>
      <c r="I168" s="154"/>
    </row>
    <row r="169" spans="2:9" x14ac:dyDescent="0.25">
      <c r="B169" s="154"/>
      <c r="C169" s="154"/>
      <c r="D169" s="154"/>
      <c r="E169" s="154"/>
      <c r="F169" s="154"/>
      <c r="G169" s="154"/>
      <c r="H169" s="154"/>
      <c r="I169" s="154"/>
    </row>
    <row r="170" spans="2:9" x14ac:dyDescent="0.25">
      <c r="B170" s="154"/>
      <c r="C170" s="154"/>
      <c r="D170" s="154"/>
      <c r="E170" s="154"/>
      <c r="F170" s="154"/>
      <c r="G170" s="154"/>
      <c r="H170" s="154"/>
      <c r="I170" s="154"/>
    </row>
    <row r="171" spans="2:9" x14ac:dyDescent="0.25">
      <c r="B171" s="154"/>
      <c r="C171" s="154"/>
      <c r="D171" s="154"/>
      <c r="E171" s="154"/>
      <c r="F171" s="154"/>
      <c r="G171" s="154"/>
      <c r="H171" s="154"/>
      <c r="I171" s="154"/>
    </row>
    <row r="172" spans="2:9" x14ac:dyDescent="0.25">
      <c r="B172" s="154"/>
      <c r="C172" s="154"/>
      <c r="D172" s="154"/>
      <c r="E172" s="154"/>
      <c r="F172" s="154"/>
      <c r="G172" s="154"/>
      <c r="H172" s="154"/>
      <c r="I172" s="154"/>
    </row>
    <row r="173" spans="2:9" x14ac:dyDescent="0.25">
      <c r="B173" s="154"/>
      <c r="C173" s="154"/>
      <c r="D173" s="154"/>
      <c r="E173" s="154"/>
      <c r="F173" s="154"/>
      <c r="G173" s="154"/>
      <c r="H173" s="154"/>
      <c r="I173" s="154"/>
    </row>
    <row r="174" spans="2:9" x14ac:dyDescent="0.25">
      <c r="B174" s="154"/>
      <c r="C174" s="154"/>
      <c r="D174" s="154"/>
      <c r="E174" s="154"/>
      <c r="F174" s="154"/>
      <c r="G174" s="154"/>
      <c r="H174" s="154"/>
      <c r="I174" s="154"/>
    </row>
    <row r="175" spans="2:9" x14ac:dyDescent="0.25">
      <c r="B175" s="154"/>
      <c r="C175" s="154"/>
      <c r="D175" s="154"/>
      <c r="E175" s="154"/>
      <c r="F175" s="154"/>
      <c r="G175" s="154"/>
      <c r="H175" s="154"/>
      <c r="I175" s="154"/>
    </row>
    <row r="176" spans="2:9" x14ac:dyDescent="0.25">
      <c r="B176" s="154"/>
      <c r="C176" s="154"/>
      <c r="D176" s="154"/>
      <c r="E176" s="154"/>
      <c r="F176" s="154"/>
      <c r="G176" s="154"/>
      <c r="H176" s="154"/>
      <c r="I176" s="154"/>
    </row>
    <row r="177" spans="2:9" x14ac:dyDescent="0.25">
      <c r="B177" s="154"/>
      <c r="C177" s="154"/>
      <c r="D177" s="154"/>
      <c r="E177" s="154"/>
      <c r="F177" s="154"/>
      <c r="G177" s="154"/>
      <c r="H177" s="154"/>
      <c r="I177" s="154"/>
    </row>
  </sheetData>
  <mergeCells count="23">
    <mergeCell ref="C142:G142"/>
    <mergeCell ref="C123:G123"/>
    <mergeCell ref="C125:G125"/>
    <mergeCell ref="C132:G132"/>
    <mergeCell ref="C134:G134"/>
    <mergeCell ref="C136:G136"/>
    <mergeCell ref="A140:G140"/>
    <mergeCell ref="A108:G108"/>
    <mergeCell ref="B12:G12"/>
    <mergeCell ref="A1:G1"/>
    <mergeCell ref="B2:G2"/>
    <mergeCell ref="B3:G3"/>
    <mergeCell ref="B4:E4"/>
    <mergeCell ref="B11:G11"/>
    <mergeCell ref="E27:G27"/>
    <mergeCell ref="C87:G87"/>
    <mergeCell ref="C98:G98"/>
    <mergeCell ref="C100:G100"/>
    <mergeCell ref="C55:G55"/>
    <mergeCell ref="C60:G60"/>
    <mergeCell ref="C73:G73"/>
    <mergeCell ref="C78:G78"/>
    <mergeCell ref="C85:G85"/>
  </mergeCells>
  <pageMargins left="0.23622047244094491" right="0.23622047244094491" top="0.35433070866141736" bottom="0.35433070866141736" header="0.31496062992125984" footer="0.31496062992125984"/>
  <pageSetup scale="70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8" sqref="M38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workbookViewId="0">
      <selection activeCell="C10" sqref="C10"/>
    </sheetView>
  </sheetViews>
  <sheetFormatPr baseColWidth="10" defaultRowHeight="15" x14ac:dyDescent="0.25"/>
  <cols>
    <col min="1" max="1" width="25.7109375" customWidth="1"/>
    <col min="2" max="2" width="61.7109375" customWidth="1"/>
    <col min="3" max="3" width="41.85546875" customWidth="1"/>
    <col min="4" max="4" width="25.7109375" customWidth="1"/>
  </cols>
  <sheetData>
    <row r="2" spans="1:4" ht="33" x14ac:dyDescent="0.6">
      <c r="A2" s="625" t="s">
        <v>535</v>
      </c>
      <c r="B2" s="625"/>
      <c r="C2" s="625"/>
      <c r="D2" s="625"/>
    </row>
    <row r="3" spans="1:4" ht="33" x14ac:dyDescent="0.6">
      <c r="A3" s="625" t="s">
        <v>528</v>
      </c>
      <c r="B3" s="625"/>
      <c r="C3" s="625"/>
      <c r="D3" s="625"/>
    </row>
    <row r="4" spans="1:4" ht="33.75" thickBot="1" x14ac:dyDescent="0.65">
      <c r="A4" s="625" t="s">
        <v>388</v>
      </c>
      <c r="B4" s="625"/>
      <c r="C4" s="625"/>
      <c r="D4" s="625"/>
    </row>
    <row r="5" spans="1:4" ht="16.5" thickBot="1" x14ac:dyDescent="0.35">
      <c r="A5" s="217"/>
      <c r="B5" s="218"/>
      <c r="C5" s="218"/>
      <c r="D5" s="219"/>
    </row>
    <row r="6" spans="1:4" ht="25.5" thickBot="1" x14ac:dyDescent="0.55000000000000004">
      <c r="A6" s="220"/>
      <c r="B6" s="626" t="s">
        <v>529</v>
      </c>
      <c r="C6" s="626"/>
      <c r="D6" s="221"/>
    </row>
    <row r="7" spans="1:4" ht="24" x14ac:dyDescent="0.45">
      <c r="A7" s="220"/>
      <c r="B7" s="174"/>
      <c r="C7" s="174"/>
      <c r="D7" s="221"/>
    </row>
    <row r="8" spans="1:4" ht="24.75" x14ac:dyDescent="0.5">
      <c r="A8" s="220"/>
      <c r="B8" s="175" t="s">
        <v>530</v>
      </c>
      <c r="C8" s="176">
        <f>+'DETALLE CONSOLIDADO INGRESOS FF'!C55+'DETALLE CONSOLIDADO INGRESOS FF'!D55+'DETALLE CONSOLIDADO INGRESOS FF'!E55+'DETALLE CONSOLIDADO INGRESOS FF'!J55</f>
        <v>2310803.38</v>
      </c>
      <c r="D8" s="221"/>
    </row>
    <row r="9" spans="1:4" ht="24.75" x14ac:dyDescent="0.5">
      <c r="A9" s="220"/>
      <c r="B9" s="175"/>
      <c r="C9" s="176"/>
      <c r="D9" s="221"/>
    </row>
    <row r="10" spans="1:4" ht="24.75" x14ac:dyDescent="0.5">
      <c r="A10" s="220"/>
      <c r="B10" s="175" t="s">
        <v>531</v>
      </c>
      <c r="C10" s="176">
        <f>+'DETALLE CONSOLIDADO INGRESOS FF'!G55</f>
        <v>691093.16407890548</v>
      </c>
      <c r="D10" s="221"/>
    </row>
    <row r="11" spans="1:4" ht="24.75" thickBot="1" x14ac:dyDescent="0.5">
      <c r="A11" s="220"/>
      <c r="B11" s="177"/>
      <c r="C11" s="178"/>
      <c r="D11" s="221"/>
    </row>
    <row r="12" spans="1:4" ht="25.5" thickBot="1" x14ac:dyDescent="0.55000000000000004">
      <c r="A12" s="220"/>
      <c r="B12" s="179" t="s">
        <v>37</v>
      </c>
      <c r="C12" s="180">
        <f>SUM(C8:C10)</f>
        <v>3001896.5440789051</v>
      </c>
      <c r="D12" s="221"/>
    </row>
    <row r="13" spans="1:4" ht="24.75" x14ac:dyDescent="0.5">
      <c r="A13" s="220"/>
      <c r="B13" s="181"/>
      <c r="C13" s="182"/>
      <c r="D13" s="221"/>
    </row>
    <row r="14" spans="1:4" ht="24.75" thickBot="1" x14ac:dyDescent="0.5">
      <c r="A14" s="220"/>
      <c r="B14" s="222"/>
      <c r="C14" s="222"/>
      <c r="D14" s="221"/>
    </row>
    <row r="15" spans="1:4" ht="25.5" thickBot="1" x14ac:dyDescent="0.55000000000000004">
      <c r="A15" s="220"/>
      <c r="B15" s="626" t="s">
        <v>532</v>
      </c>
      <c r="C15" s="626"/>
      <c r="D15" s="221"/>
    </row>
    <row r="16" spans="1:4" ht="24" x14ac:dyDescent="0.45">
      <c r="A16" s="220"/>
      <c r="B16" s="174"/>
      <c r="C16" s="174"/>
      <c r="D16" s="221"/>
    </row>
    <row r="17" spans="1:4" ht="24.75" x14ac:dyDescent="0.5">
      <c r="A17" s="220"/>
      <c r="B17" s="175" t="s">
        <v>533</v>
      </c>
      <c r="C17" s="183">
        <v>2329210.04</v>
      </c>
      <c r="D17" s="221"/>
    </row>
    <row r="18" spans="1:4" ht="24.75" x14ac:dyDescent="0.5">
      <c r="A18" s="220"/>
      <c r="B18" s="175"/>
      <c r="C18" s="176"/>
      <c r="D18" s="221"/>
    </row>
    <row r="19" spans="1:4" ht="24.75" x14ac:dyDescent="0.5">
      <c r="A19" s="220"/>
      <c r="B19" s="175" t="s">
        <v>534</v>
      </c>
      <c r="C19" s="183">
        <v>630235.79</v>
      </c>
      <c r="D19" s="221"/>
    </row>
    <row r="20" spans="1:4" ht="24.75" thickBot="1" x14ac:dyDescent="0.5">
      <c r="A20" s="220"/>
      <c r="B20" s="184"/>
      <c r="C20" s="185"/>
      <c r="D20" s="221"/>
    </row>
    <row r="21" spans="1:4" ht="24.75" thickBot="1" x14ac:dyDescent="0.5">
      <c r="A21" s="220"/>
      <c r="B21" s="184"/>
      <c r="C21" s="185"/>
      <c r="D21" s="221"/>
    </row>
    <row r="22" spans="1:4" ht="25.5" thickBot="1" x14ac:dyDescent="0.55000000000000004">
      <c r="A22" s="220"/>
      <c r="B22" s="179" t="s">
        <v>37</v>
      </c>
      <c r="C22" s="180">
        <f>SUM(C17:C19)</f>
        <v>2959445.83</v>
      </c>
      <c r="D22" s="221"/>
    </row>
    <row r="23" spans="1:4" ht="21" thickBot="1" x14ac:dyDescent="0.35">
      <c r="A23" s="223"/>
      <c r="B23" s="225"/>
      <c r="C23" s="225"/>
      <c r="D23" s="224"/>
    </row>
  </sheetData>
  <mergeCells count="5">
    <mergeCell ref="A2:D2"/>
    <mergeCell ref="A3:D3"/>
    <mergeCell ref="A4:D4"/>
    <mergeCell ref="B6:C6"/>
    <mergeCell ref="B15:C15"/>
  </mergeCells>
  <pageMargins left="0.39370078740157483" right="0" top="0.74803149606299213" bottom="0.74803149606299213" header="0.31496062992125984" footer="0.31496062992125984"/>
  <pageSetup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0" workbookViewId="0">
      <selection activeCell="I18" sqref="I18"/>
    </sheetView>
  </sheetViews>
  <sheetFormatPr baseColWidth="10" defaultRowHeight="15" x14ac:dyDescent="0.25"/>
  <cols>
    <col min="2" max="2" width="51.140625" customWidth="1"/>
    <col min="3" max="3" width="28.42578125" customWidth="1"/>
    <col min="4" max="4" width="40.5703125" customWidth="1"/>
  </cols>
  <sheetData>
    <row r="1" spans="1:4" ht="29.25" x14ac:dyDescent="0.6">
      <c r="A1" s="633" t="s">
        <v>536</v>
      </c>
      <c r="B1" s="633"/>
      <c r="C1" s="633"/>
      <c r="D1" s="633"/>
    </row>
    <row r="2" spans="1:4" ht="29.25" x14ac:dyDescent="0.6">
      <c r="A2" s="633" t="s">
        <v>537</v>
      </c>
      <c r="B2" s="633"/>
      <c r="C2" s="633"/>
      <c r="D2" s="633"/>
    </row>
    <row r="3" spans="1:4" ht="30" thickBot="1" x14ac:dyDescent="0.65">
      <c r="A3" s="633" t="s">
        <v>554</v>
      </c>
      <c r="B3" s="633"/>
      <c r="C3" s="633"/>
      <c r="D3" s="633"/>
    </row>
    <row r="4" spans="1:4" ht="29.25" x14ac:dyDescent="0.6">
      <c r="A4" s="634" t="s">
        <v>539</v>
      </c>
      <c r="B4" s="634"/>
      <c r="C4" s="634"/>
      <c r="D4" s="634"/>
    </row>
    <row r="5" spans="1:4" ht="29.25" x14ac:dyDescent="0.6">
      <c r="A5" s="635" t="s">
        <v>540</v>
      </c>
      <c r="B5" s="635"/>
      <c r="C5" s="635"/>
      <c r="D5" s="635"/>
    </row>
    <row r="6" spans="1:4" ht="29.25" x14ac:dyDescent="0.6">
      <c r="A6" s="636" t="s">
        <v>541</v>
      </c>
      <c r="B6" s="636"/>
      <c r="C6" s="636"/>
      <c r="D6" s="636"/>
    </row>
    <row r="7" spans="1:4" ht="27.75" thickBot="1" x14ac:dyDescent="0.55000000000000004">
      <c r="A7" s="637" t="s">
        <v>542</v>
      </c>
      <c r="B7" s="637"/>
      <c r="C7" s="637"/>
      <c r="D7" s="637"/>
    </row>
    <row r="8" spans="1:4" ht="21" x14ac:dyDescent="0.4">
      <c r="A8" s="186"/>
      <c r="B8" s="638"/>
      <c r="C8" s="638"/>
      <c r="D8" s="186"/>
    </row>
    <row r="9" spans="1:4" ht="22.5" x14ac:dyDescent="0.45">
      <c r="A9" s="187" t="s">
        <v>543</v>
      </c>
      <c r="B9" s="627" t="s">
        <v>534</v>
      </c>
      <c r="C9" s="627"/>
      <c r="D9" s="188">
        <v>630235.76</v>
      </c>
    </row>
    <row r="10" spans="1:4" ht="22.5" x14ac:dyDescent="0.45">
      <c r="A10" s="187"/>
      <c r="B10" s="632"/>
      <c r="C10" s="632"/>
      <c r="D10" s="186"/>
    </row>
    <row r="11" spans="1:4" ht="22.5" x14ac:dyDescent="0.45">
      <c r="A11" s="187" t="s">
        <v>544</v>
      </c>
      <c r="B11" s="627" t="s">
        <v>533</v>
      </c>
      <c r="C11" s="627"/>
      <c r="D11" s="188">
        <f>+'RESUMEN GEBERAK'!C17</f>
        <v>2329210.04</v>
      </c>
    </row>
    <row r="12" spans="1:4" ht="22.5" x14ac:dyDescent="0.45">
      <c r="A12" s="187"/>
      <c r="B12" s="632"/>
      <c r="C12" s="632"/>
      <c r="D12" s="186"/>
    </row>
    <row r="13" spans="1:4" ht="22.5" x14ac:dyDescent="0.45">
      <c r="A13" s="187" t="s">
        <v>545</v>
      </c>
      <c r="B13" s="627" t="s">
        <v>546</v>
      </c>
      <c r="C13" s="627"/>
      <c r="D13" s="188">
        <v>0</v>
      </c>
    </row>
    <row r="14" spans="1:4" ht="21.75" thickBot="1" x14ac:dyDescent="0.45">
      <c r="A14" s="186"/>
      <c r="B14" s="628"/>
      <c r="C14" s="628"/>
      <c r="D14" s="186"/>
    </row>
    <row r="15" spans="1:4" ht="23.25" thickBot="1" x14ac:dyDescent="0.5">
      <c r="A15" s="211"/>
      <c r="B15" s="629" t="s">
        <v>37</v>
      </c>
      <c r="C15" s="629"/>
      <c r="D15" s="212">
        <f>SUM(D8:D14)</f>
        <v>2959445.8</v>
      </c>
    </row>
    <row r="16" spans="1:4" ht="23.25" thickBot="1" x14ac:dyDescent="0.5">
      <c r="A16" s="189"/>
      <c r="B16" s="190"/>
      <c r="C16" s="190"/>
      <c r="D16" s="191"/>
    </row>
    <row r="17" spans="1:4" ht="29.25" x14ac:dyDescent="0.6">
      <c r="A17" s="630" t="s">
        <v>547</v>
      </c>
      <c r="B17" s="630"/>
      <c r="C17" s="630"/>
      <c r="D17" s="630"/>
    </row>
    <row r="18" spans="1:4" ht="27.75" thickBot="1" x14ac:dyDescent="0.55000000000000004">
      <c r="A18" s="631" t="s">
        <v>542</v>
      </c>
      <c r="B18" s="631"/>
      <c r="C18" s="631"/>
      <c r="D18" s="631"/>
    </row>
    <row r="19" spans="1:4" ht="23.25" thickBot="1" x14ac:dyDescent="0.5">
      <c r="A19" s="213" t="s">
        <v>548</v>
      </c>
      <c r="B19" s="214" t="s">
        <v>549</v>
      </c>
      <c r="C19" s="209" t="s">
        <v>529</v>
      </c>
      <c r="D19" s="209" t="s">
        <v>532</v>
      </c>
    </row>
    <row r="20" spans="1:4" ht="21" x14ac:dyDescent="0.4">
      <c r="A20" s="192"/>
      <c r="B20" s="189"/>
      <c r="C20" s="193"/>
      <c r="D20" s="193"/>
    </row>
    <row r="21" spans="1:4" ht="22.5" x14ac:dyDescent="0.45">
      <c r="A21" s="194">
        <v>1</v>
      </c>
      <c r="B21" s="195" t="s">
        <v>550</v>
      </c>
      <c r="C21" s="188">
        <f>+'DETALLE CONSOLIDADO INGRESOS FF'!C55+'DETALLE CONSOLIDADO INGRESOS FF'!D55+'DETALLE CONSOLIDADO INGRESOS FF'!E55</f>
        <v>2300187.7999999998</v>
      </c>
      <c r="D21" s="188">
        <v>2318594.46</v>
      </c>
    </row>
    <row r="22" spans="1:4" ht="22.5" x14ac:dyDescent="0.45">
      <c r="A22" s="194"/>
      <c r="B22" s="195"/>
      <c r="C22" s="196"/>
      <c r="D22" s="193">
        <v>0</v>
      </c>
    </row>
    <row r="23" spans="1:4" ht="22.5" x14ac:dyDescent="0.45">
      <c r="A23" s="194">
        <v>2</v>
      </c>
      <c r="B23" s="195" t="s">
        <v>551</v>
      </c>
      <c r="C23" s="188">
        <f>+'DETALLE CONSOLIDADO INGRESOS FF'!G55</f>
        <v>691093.16407890548</v>
      </c>
      <c r="D23" s="188">
        <f>+'DETALLE CONSOLIDADO INGRESOS FF'!G55</f>
        <v>691093.16407890548</v>
      </c>
    </row>
    <row r="24" spans="1:4" ht="22.5" x14ac:dyDescent="0.45">
      <c r="A24" s="194"/>
      <c r="B24" s="195"/>
      <c r="C24" s="196"/>
      <c r="D24" s="193">
        <v>0</v>
      </c>
    </row>
    <row r="25" spans="1:4" ht="22.5" x14ac:dyDescent="0.45">
      <c r="A25" s="194">
        <v>3</v>
      </c>
      <c r="B25" s="195" t="s">
        <v>552</v>
      </c>
      <c r="C25" s="188">
        <f>+'DETALLE CONSOLIDADO INGRESOS FF'!J55</f>
        <v>10615.58</v>
      </c>
      <c r="D25" s="188">
        <f>+'DETALLE CONSOLIDADO INGRESOS FF'!J55</f>
        <v>10615.58</v>
      </c>
    </row>
    <row r="26" spans="1:4" ht="22.5" x14ac:dyDescent="0.45">
      <c r="A26" s="194"/>
      <c r="B26" s="195"/>
      <c r="C26" s="196"/>
      <c r="D26" s="193"/>
    </row>
    <row r="27" spans="1:4" ht="22.5" x14ac:dyDescent="0.45">
      <c r="A27" s="194">
        <v>4</v>
      </c>
      <c r="B27" s="195" t="s">
        <v>553</v>
      </c>
      <c r="C27" s="188">
        <v>0</v>
      </c>
      <c r="D27" s="188">
        <v>0</v>
      </c>
    </row>
    <row r="28" spans="1:4" ht="23.25" thickBot="1" x14ac:dyDescent="0.5">
      <c r="A28" s="197"/>
      <c r="B28" s="189"/>
      <c r="C28" s="196"/>
      <c r="D28" s="193"/>
    </row>
    <row r="29" spans="1:4" ht="23.25" thickBot="1" x14ac:dyDescent="0.5">
      <c r="A29" s="215"/>
      <c r="B29" s="214" t="s">
        <v>65</v>
      </c>
      <c r="C29" s="216">
        <f>SUM(C20:C28)</f>
        <v>3001896.5440789051</v>
      </c>
      <c r="D29" s="216">
        <f>SUM(D20:D28)</f>
        <v>3020303.2040789053</v>
      </c>
    </row>
  </sheetData>
  <mergeCells count="17">
    <mergeCell ref="B12:C12"/>
    <mergeCell ref="A1:D1"/>
    <mergeCell ref="A2:D2"/>
    <mergeCell ref="A3:D3"/>
    <mergeCell ref="A4:D4"/>
    <mergeCell ref="A5:D5"/>
    <mergeCell ref="A6:D6"/>
    <mergeCell ref="A7:D7"/>
    <mergeCell ref="B8:C8"/>
    <mergeCell ref="B9:C9"/>
    <mergeCell ref="B10:C10"/>
    <mergeCell ref="B11:C11"/>
    <mergeCell ref="B13:C13"/>
    <mergeCell ref="B14:C14"/>
    <mergeCell ref="B15:C15"/>
    <mergeCell ref="A17:D17"/>
    <mergeCell ref="A18:D1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3" workbookViewId="0">
      <selection activeCell="F19" sqref="F19"/>
    </sheetView>
  </sheetViews>
  <sheetFormatPr baseColWidth="10" defaultRowHeight="15" x14ac:dyDescent="0.25"/>
  <cols>
    <col min="1" max="1" width="18.5703125" customWidth="1"/>
    <col min="2" max="2" width="70.140625" customWidth="1"/>
    <col min="3" max="3" width="32.140625" customWidth="1"/>
    <col min="8" max="8" width="20.28515625" bestFit="1" customWidth="1"/>
    <col min="12" max="12" width="18.7109375" bestFit="1" customWidth="1"/>
  </cols>
  <sheetData>
    <row r="1" spans="1:12" ht="29.25" x14ac:dyDescent="0.6">
      <c r="A1" s="633" t="s">
        <v>536</v>
      </c>
      <c r="B1" s="633"/>
      <c r="C1" s="633"/>
    </row>
    <row r="2" spans="1:12" ht="29.25" x14ac:dyDescent="0.6">
      <c r="A2" s="633" t="s">
        <v>389</v>
      </c>
      <c r="B2" s="633"/>
      <c r="C2" s="633"/>
    </row>
    <row r="3" spans="1:12" ht="29.25" x14ac:dyDescent="0.6">
      <c r="A3" s="633" t="s">
        <v>388</v>
      </c>
      <c r="B3" s="633"/>
      <c r="C3" s="633"/>
    </row>
    <row r="4" spans="1:12" ht="30" thickBot="1" x14ac:dyDescent="0.65">
      <c r="A4" s="633" t="s">
        <v>538</v>
      </c>
      <c r="B4" s="633"/>
      <c r="C4" s="633"/>
    </row>
    <row r="5" spans="1:12" ht="24.75" x14ac:dyDescent="0.5">
      <c r="A5" s="640" t="s">
        <v>539</v>
      </c>
      <c r="B5" s="640"/>
      <c r="C5" s="640"/>
    </row>
    <row r="6" spans="1:12" ht="24.75" x14ac:dyDescent="0.5">
      <c r="A6" s="641" t="s">
        <v>555</v>
      </c>
      <c r="B6" s="641"/>
      <c r="C6" s="641"/>
    </row>
    <row r="7" spans="1:12" ht="24.75" x14ac:dyDescent="0.5">
      <c r="A7" s="642" t="s">
        <v>556</v>
      </c>
      <c r="B7" s="642"/>
      <c r="C7" s="642"/>
    </row>
    <row r="8" spans="1:12" ht="24.75" thickBot="1" x14ac:dyDescent="0.5">
      <c r="A8" s="639" t="s">
        <v>542</v>
      </c>
      <c r="B8" s="639"/>
      <c r="C8" s="639"/>
    </row>
    <row r="9" spans="1:12" ht="29.25" x14ac:dyDescent="0.6">
      <c r="A9" s="194">
        <v>11</v>
      </c>
      <c r="B9" s="198" t="s">
        <v>557</v>
      </c>
      <c r="C9" s="349">
        <v>152056.15</v>
      </c>
    </row>
    <row r="10" spans="1:12" ht="29.25" x14ac:dyDescent="0.6">
      <c r="A10" s="194">
        <v>12</v>
      </c>
      <c r="B10" s="199" t="s">
        <v>558</v>
      </c>
      <c r="C10" s="350">
        <v>387499.09</v>
      </c>
    </row>
    <row r="11" spans="1:12" ht="29.25" x14ac:dyDescent="0.6">
      <c r="A11" s="194">
        <v>14</v>
      </c>
      <c r="B11" s="199" t="s">
        <v>559</v>
      </c>
      <c r="C11" s="351">
        <v>4109.62</v>
      </c>
    </row>
    <row r="12" spans="1:12" ht="29.25" x14ac:dyDescent="0.6">
      <c r="A12" s="194">
        <v>15</v>
      </c>
      <c r="B12" s="199" t="s">
        <v>560</v>
      </c>
      <c r="C12" s="351">
        <v>19709.84</v>
      </c>
    </row>
    <row r="13" spans="1:12" ht="29.25" x14ac:dyDescent="0.6">
      <c r="A13" s="194">
        <v>16</v>
      </c>
      <c r="B13" s="199" t="s">
        <v>561</v>
      </c>
      <c r="C13" s="351">
        <v>418536.26</v>
      </c>
      <c r="L13" s="6"/>
    </row>
    <row r="14" spans="1:12" ht="29.25" x14ac:dyDescent="0.6">
      <c r="A14" s="194">
        <v>21</v>
      </c>
      <c r="B14" s="199" t="s">
        <v>562</v>
      </c>
      <c r="C14" s="351">
        <v>0</v>
      </c>
      <c r="L14" s="6"/>
    </row>
    <row r="15" spans="1:12" ht="29.25" x14ac:dyDescent="0.6">
      <c r="A15" s="194">
        <v>22</v>
      </c>
      <c r="B15" s="199" t="s">
        <v>563</v>
      </c>
      <c r="C15" s="351">
        <v>36394.129999999997</v>
      </c>
      <c r="H15" s="6"/>
      <c r="L15" s="346"/>
    </row>
    <row r="16" spans="1:12" ht="23.25" customHeight="1" x14ac:dyDescent="0.6">
      <c r="A16" s="194">
        <v>22</v>
      </c>
      <c r="B16" s="200" t="s">
        <v>564</v>
      </c>
      <c r="C16" s="351">
        <v>1513557.44</v>
      </c>
      <c r="H16" s="6"/>
    </row>
    <row r="17" spans="1:8" ht="29.25" x14ac:dyDescent="0.6">
      <c r="A17" s="194">
        <v>32</v>
      </c>
      <c r="B17" s="199" t="s">
        <v>565</v>
      </c>
      <c r="C17" s="351">
        <v>427583.27</v>
      </c>
      <c r="H17" s="346"/>
    </row>
    <row r="18" spans="1:8" ht="21.75" thickBot="1" x14ac:dyDescent="0.45">
      <c r="A18" s="201"/>
      <c r="B18" s="202"/>
      <c r="C18" s="202"/>
    </row>
    <row r="19" spans="1:8" ht="32.25" customHeight="1" thickBot="1" x14ac:dyDescent="0.65">
      <c r="A19" s="208"/>
      <c r="B19" s="209" t="s">
        <v>37</v>
      </c>
      <c r="C19" s="348">
        <f>SUM(C9:C18)</f>
        <v>2959445.8</v>
      </c>
      <c r="H19" s="171">
        <f>+'FODES 25%'!K13+'FONDO MUNICIPAL'!N10+'PUERTO SAN JUAN'!L8</f>
        <v>760961.94799999997</v>
      </c>
    </row>
    <row r="20" spans="1:8" ht="23.25" thickBot="1" x14ac:dyDescent="0.5">
      <c r="A20" s="189"/>
      <c r="B20" s="203"/>
      <c r="C20" s="204"/>
      <c r="H20" s="171">
        <f>+'FODES 25%'!K14+'FONDO MUNICIPAL'!N11+'PUERTO SAN JUAN'!L9</f>
        <v>327064.57999999996</v>
      </c>
    </row>
    <row r="21" spans="1:8" ht="24.75" x14ac:dyDescent="0.5">
      <c r="A21" s="640" t="s">
        <v>539</v>
      </c>
      <c r="B21" s="640"/>
      <c r="C21" s="640"/>
      <c r="H21" s="171">
        <f>+'FODES 25%'!K15+'FONDO MUNICIPAL'!N12</f>
        <v>18926.940000000002</v>
      </c>
    </row>
    <row r="22" spans="1:8" ht="24.75" x14ac:dyDescent="0.5">
      <c r="A22" s="641" t="s">
        <v>566</v>
      </c>
      <c r="B22" s="641"/>
      <c r="C22" s="641"/>
      <c r="H22" s="171">
        <f>+'FODES 25%'!K16+'FONDO MUNICIPAL'!N13</f>
        <v>9000</v>
      </c>
    </row>
    <row r="23" spans="1:8" ht="24.75" x14ac:dyDescent="0.5">
      <c r="A23" s="642" t="s">
        <v>567</v>
      </c>
      <c r="B23" s="642"/>
      <c r="C23" s="642"/>
    </row>
    <row r="24" spans="1:8" ht="24.75" thickBot="1" x14ac:dyDescent="0.5">
      <c r="A24" s="639" t="s">
        <v>542</v>
      </c>
      <c r="B24" s="639"/>
      <c r="C24" s="639"/>
    </row>
    <row r="25" spans="1:8" ht="24.75" x14ac:dyDescent="0.5">
      <c r="A25" s="205">
        <v>51</v>
      </c>
      <c r="B25" s="199" t="s">
        <v>568</v>
      </c>
      <c r="C25" s="183">
        <f>+H19</f>
        <v>760961.94799999997</v>
      </c>
    </row>
    <row r="26" spans="1:8" ht="24.75" x14ac:dyDescent="0.5">
      <c r="A26" s="205">
        <v>54</v>
      </c>
      <c r="B26" s="199" t="s">
        <v>569</v>
      </c>
      <c r="C26" s="183">
        <f>+H20</f>
        <v>327064.57999999996</v>
      </c>
    </row>
    <row r="27" spans="1:8" ht="24.75" x14ac:dyDescent="0.5">
      <c r="A27" s="205">
        <v>55</v>
      </c>
      <c r="B27" s="199" t="s">
        <v>570</v>
      </c>
      <c r="C27" s="183">
        <f>+H21</f>
        <v>18926.940000000002</v>
      </c>
      <c r="H27" s="384">
        <f>+C19-C33</f>
        <v>-100329.96800000034</v>
      </c>
    </row>
    <row r="28" spans="1:8" ht="24.75" x14ac:dyDescent="0.5">
      <c r="A28" s="205">
        <v>56</v>
      </c>
      <c r="B28" s="199" t="s">
        <v>152</v>
      </c>
      <c r="C28" s="183">
        <f>+H22</f>
        <v>9000</v>
      </c>
    </row>
    <row r="29" spans="1:8" ht="24.75" x14ac:dyDescent="0.5">
      <c r="A29" s="205">
        <v>72</v>
      </c>
      <c r="B29" s="199" t="s">
        <v>565</v>
      </c>
      <c r="C29" s="183">
        <v>0</v>
      </c>
    </row>
    <row r="30" spans="1:8" ht="24.75" x14ac:dyDescent="0.5">
      <c r="A30" s="205" t="s">
        <v>571</v>
      </c>
      <c r="B30" s="199" t="s">
        <v>572</v>
      </c>
      <c r="C30" s="183">
        <v>1943822.3</v>
      </c>
    </row>
    <row r="31" spans="1:8" ht="24.75" x14ac:dyDescent="0.5">
      <c r="A31" s="205">
        <v>99</v>
      </c>
      <c r="B31" s="199" t="s">
        <v>573</v>
      </c>
      <c r="C31" s="183">
        <v>0</v>
      </c>
    </row>
    <row r="32" spans="1:8" ht="23.25" thickBot="1" x14ac:dyDescent="0.5">
      <c r="A32" s="206"/>
      <c r="B32" s="207"/>
      <c r="C32" s="207"/>
    </row>
    <row r="33" spans="1:3" ht="34.5" customHeight="1" thickBot="1" x14ac:dyDescent="0.65">
      <c r="A33" s="208"/>
      <c r="B33" s="210" t="s">
        <v>37</v>
      </c>
      <c r="C33" s="352">
        <f>SUM(C25:C31)</f>
        <v>3059775.7680000002</v>
      </c>
    </row>
  </sheetData>
  <mergeCells count="12">
    <mergeCell ref="A24:C24"/>
    <mergeCell ref="A1:C1"/>
    <mergeCell ref="A2:C2"/>
    <mergeCell ref="A3:C3"/>
    <mergeCell ref="A4:C4"/>
    <mergeCell ref="A5:C5"/>
    <mergeCell ref="A6:C6"/>
    <mergeCell ref="A7:C7"/>
    <mergeCell ref="A8:C8"/>
    <mergeCell ref="A21:C21"/>
    <mergeCell ref="A22:C22"/>
    <mergeCell ref="A23:C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3" workbookViewId="0">
      <selection activeCell="L14" sqref="L14"/>
    </sheetView>
  </sheetViews>
  <sheetFormatPr baseColWidth="10" defaultRowHeight="15" x14ac:dyDescent="0.25"/>
  <cols>
    <col min="5" max="5" width="47.85546875" customWidth="1"/>
    <col min="6" max="6" width="27.7109375" customWidth="1"/>
    <col min="7" max="7" width="24.42578125" customWidth="1"/>
    <col min="8" max="8" width="28.42578125" customWidth="1"/>
  </cols>
  <sheetData>
    <row r="1" spans="1:8" ht="23.25" x14ac:dyDescent="0.35">
      <c r="A1" s="646" t="s">
        <v>536</v>
      </c>
      <c r="B1" s="646"/>
      <c r="C1" s="646"/>
      <c r="D1" s="646"/>
      <c r="E1" s="646"/>
      <c r="F1" s="646"/>
      <c r="G1" s="646"/>
      <c r="H1" s="646"/>
    </row>
    <row r="2" spans="1:8" ht="23.25" x14ac:dyDescent="0.35">
      <c r="A2" s="647" t="s">
        <v>574</v>
      </c>
      <c r="B2" s="647"/>
      <c r="C2" s="647"/>
      <c r="D2" s="647"/>
      <c r="E2" s="647"/>
      <c r="F2" s="647"/>
      <c r="G2" s="647"/>
      <c r="H2" s="647"/>
    </row>
    <row r="3" spans="1:8" ht="33.75" x14ac:dyDescent="0.5">
      <c r="A3" s="648" t="s">
        <v>554</v>
      </c>
      <c r="B3" s="648"/>
      <c r="C3" s="648"/>
      <c r="D3" s="648"/>
      <c r="E3" s="648"/>
      <c r="F3" s="648"/>
      <c r="G3" s="648"/>
      <c r="H3" s="648"/>
    </row>
    <row r="4" spans="1:8" ht="23.25" x14ac:dyDescent="0.35">
      <c r="A4" s="646" t="s">
        <v>539</v>
      </c>
      <c r="B4" s="646"/>
      <c r="C4" s="646"/>
      <c r="D4" s="646"/>
      <c r="E4" s="646"/>
      <c r="F4" s="646"/>
      <c r="G4" s="646"/>
      <c r="H4" s="646"/>
    </row>
    <row r="5" spans="1:8" ht="24" thickBot="1" x14ac:dyDescent="0.4">
      <c r="A5" s="649" t="s">
        <v>575</v>
      </c>
      <c r="B5" s="649"/>
      <c r="C5" s="649"/>
      <c r="D5" s="649"/>
      <c r="E5" s="649"/>
      <c r="F5" s="649"/>
      <c r="G5" s="649"/>
      <c r="H5" s="649"/>
    </row>
    <row r="6" spans="1:8" ht="21" thickBot="1" x14ac:dyDescent="0.35">
      <c r="A6" s="650" t="s">
        <v>576</v>
      </c>
      <c r="B6" s="650" t="s">
        <v>577</v>
      </c>
      <c r="C6" s="650" t="s">
        <v>578</v>
      </c>
      <c r="D6" s="300" t="s">
        <v>579</v>
      </c>
      <c r="E6" s="643" t="s">
        <v>62</v>
      </c>
      <c r="F6" s="643" t="s">
        <v>580</v>
      </c>
      <c r="G6" s="643" t="s">
        <v>580</v>
      </c>
      <c r="H6" s="643" t="s">
        <v>37</v>
      </c>
    </row>
    <row r="7" spans="1:8" ht="21" thickBot="1" x14ac:dyDescent="0.35">
      <c r="A7" s="651"/>
      <c r="B7" s="651"/>
      <c r="C7" s="651"/>
      <c r="D7" s="301" t="s">
        <v>581</v>
      </c>
      <c r="E7" s="643"/>
      <c r="F7" s="643"/>
      <c r="G7" s="643"/>
      <c r="H7" s="643"/>
    </row>
    <row r="8" spans="1:8" ht="23.25" x14ac:dyDescent="0.35">
      <c r="A8" s="246"/>
      <c r="B8" s="246"/>
      <c r="C8" s="246"/>
      <c r="D8" s="247"/>
      <c r="E8" s="248"/>
      <c r="F8" s="249"/>
      <c r="G8" s="250"/>
      <c r="H8" s="251">
        <f>+G9+G11+G14+G19+G21</f>
        <v>3049160.0079999999</v>
      </c>
    </row>
    <row r="9" spans="1:8" ht="39" customHeight="1" x14ac:dyDescent="0.35">
      <c r="A9" s="252" t="s">
        <v>404</v>
      </c>
      <c r="B9" s="154"/>
      <c r="C9" s="154"/>
      <c r="D9" s="253"/>
      <c r="E9" s="254" t="s">
        <v>582</v>
      </c>
      <c r="F9" s="255"/>
      <c r="G9" s="256">
        <f>+F10</f>
        <v>453195.30800000002</v>
      </c>
      <c r="H9" s="257"/>
    </row>
    <row r="10" spans="1:8" ht="48.75" customHeight="1" x14ac:dyDescent="0.35">
      <c r="A10" s="258"/>
      <c r="B10" s="259" t="s">
        <v>404</v>
      </c>
      <c r="C10" s="259" t="s">
        <v>404</v>
      </c>
      <c r="D10" s="260" t="s">
        <v>238</v>
      </c>
      <c r="E10" s="261" t="s">
        <v>583</v>
      </c>
      <c r="F10" s="262">
        <f>+'FODES 25%'!H38</f>
        <v>453195.30800000002</v>
      </c>
      <c r="G10" s="263"/>
      <c r="H10" s="257"/>
    </row>
    <row r="11" spans="1:8" ht="34.5" customHeight="1" x14ac:dyDescent="0.35">
      <c r="A11" s="252" t="s">
        <v>404</v>
      </c>
      <c r="B11" s="154"/>
      <c r="C11" s="154"/>
      <c r="D11" s="264"/>
      <c r="E11" s="265" t="s">
        <v>584</v>
      </c>
      <c r="F11" s="266"/>
      <c r="G11" s="256">
        <f>+F12+F13</f>
        <v>691093.16</v>
      </c>
      <c r="H11" s="266"/>
    </row>
    <row r="12" spans="1:8" ht="68.25" customHeight="1" x14ac:dyDescent="0.35">
      <c r="A12" s="267"/>
      <c r="B12" s="252" t="s">
        <v>418</v>
      </c>
      <c r="C12" s="268" t="s">
        <v>418</v>
      </c>
      <c r="D12" s="269" t="s">
        <v>585</v>
      </c>
      <c r="E12" s="270" t="s">
        <v>586</v>
      </c>
      <c r="F12" s="271">
        <f>+'FONDO MUNICIPAL'!H55</f>
        <v>586995.82000000007</v>
      </c>
      <c r="G12" s="256"/>
      <c r="H12" s="266"/>
    </row>
    <row r="13" spans="1:8" ht="55.5" customHeight="1" x14ac:dyDescent="0.35">
      <c r="A13" s="272"/>
      <c r="B13" s="252" t="s">
        <v>418</v>
      </c>
      <c r="C13" s="268" t="s">
        <v>418</v>
      </c>
      <c r="D13" s="269" t="s">
        <v>281</v>
      </c>
      <c r="E13" s="273" t="s">
        <v>587</v>
      </c>
      <c r="F13" s="274">
        <f>+'PUERTO SAN JUAN'!H37</f>
        <v>104097.34000000001</v>
      </c>
      <c r="G13" s="275"/>
      <c r="H13" s="275"/>
    </row>
    <row r="14" spans="1:8" ht="62.25" customHeight="1" x14ac:dyDescent="0.35">
      <c r="A14" s="267">
        <v>3</v>
      </c>
      <c r="B14" s="154"/>
      <c r="C14" s="154"/>
      <c r="D14" s="269"/>
      <c r="E14" s="254" t="s">
        <v>588</v>
      </c>
      <c r="F14" s="255"/>
      <c r="G14" s="256">
        <f>+F15+F16</f>
        <v>1465076.24</v>
      </c>
      <c r="H14" s="255"/>
    </row>
    <row r="15" spans="1:8" ht="28.5" customHeight="1" x14ac:dyDescent="0.35">
      <c r="A15" s="276"/>
      <c r="B15" s="276"/>
      <c r="C15" s="277" t="s">
        <v>404</v>
      </c>
      <c r="D15" s="269" t="s">
        <v>589</v>
      </c>
      <c r="E15" s="278" t="s">
        <v>590</v>
      </c>
      <c r="F15" s="279">
        <v>61188.07</v>
      </c>
      <c r="G15" s="255"/>
      <c r="H15" s="257"/>
    </row>
    <row r="16" spans="1:8" ht="30.75" customHeight="1" x14ac:dyDescent="0.35">
      <c r="A16" s="280"/>
      <c r="B16" s="280"/>
      <c r="C16" s="277" t="s">
        <v>404</v>
      </c>
      <c r="D16" s="269" t="s">
        <v>591</v>
      </c>
      <c r="E16" s="278" t="s">
        <v>592</v>
      </c>
      <c r="F16" s="281">
        <v>1403888.17</v>
      </c>
      <c r="G16" s="282"/>
      <c r="H16" s="257"/>
    </row>
    <row r="17" spans="1:8" ht="30" customHeight="1" x14ac:dyDescent="0.35">
      <c r="A17" s="280"/>
      <c r="B17" s="280"/>
      <c r="C17" s="269"/>
      <c r="D17" s="269"/>
      <c r="E17" s="283" t="s">
        <v>593</v>
      </c>
      <c r="F17" s="281"/>
      <c r="G17" s="256">
        <f>+F18</f>
        <v>10615.58</v>
      </c>
      <c r="H17" s="257"/>
    </row>
    <row r="18" spans="1:8" ht="31.5" customHeight="1" x14ac:dyDescent="0.35">
      <c r="A18" s="280"/>
      <c r="B18" s="252" t="s">
        <v>474</v>
      </c>
      <c r="C18" s="252" t="s">
        <v>594</v>
      </c>
      <c r="D18" s="269" t="s">
        <v>595</v>
      </c>
      <c r="E18" s="278" t="s">
        <v>593</v>
      </c>
      <c r="F18" s="281">
        <f>+'DETALLE CONSOLIDADO INGRESOS FF'!J55</f>
        <v>10615.58</v>
      </c>
      <c r="G18" s="282"/>
      <c r="H18" s="257"/>
    </row>
    <row r="19" spans="1:8" ht="30" customHeight="1" x14ac:dyDescent="0.35">
      <c r="A19" s="280"/>
      <c r="B19" s="280"/>
      <c r="C19" s="269"/>
      <c r="D19" s="269"/>
      <c r="E19" s="284" t="s">
        <v>596</v>
      </c>
      <c r="F19" s="285"/>
      <c r="G19" s="256">
        <f>+F20</f>
        <v>150000</v>
      </c>
      <c r="H19" s="286"/>
    </row>
    <row r="20" spans="1:8" ht="33.75" customHeight="1" x14ac:dyDescent="0.35">
      <c r="A20" s="287">
        <v>5</v>
      </c>
      <c r="B20" s="288" t="s">
        <v>597</v>
      </c>
      <c r="C20" s="289" t="s">
        <v>594</v>
      </c>
      <c r="D20" s="290" t="s">
        <v>598</v>
      </c>
      <c r="E20" s="291" t="s">
        <v>599</v>
      </c>
      <c r="F20" s="302">
        <f>+'SERVICIO DE LA DEUDA'!H16</f>
        <v>150000</v>
      </c>
      <c r="G20" s="292"/>
      <c r="H20" s="293"/>
    </row>
    <row r="21" spans="1:8" ht="54.75" customHeight="1" x14ac:dyDescent="0.35">
      <c r="A21" s="294">
        <v>3</v>
      </c>
      <c r="B21" s="267"/>
      <c r="C21" s="295"/>
      <c r="D21" s="269"/>
      <c r="E21" s="254" t="s">
        <v>600</v>
      </c>
      <c r="F21" s="255"/>
      <c r="G21" s="256">
        <f>+F22</f>
        <v>289795.3</v>
      </c>
      <c r="H21" s="296"/>
    </row>
    <row r="22" spans="1:8" ht="51.75" customHeight="1" thickBot="1" x14ac:dyDescent="0.4">
      <c r="A22" s="294"/>
      <c r="B22" s="252" t="s">
        <v>474</v>
      </c>
      <c r="C22" s="295"/>
      <c r="D22" s="269" t="s">
        <v>601</v>
      </c>
      <c r="E22" s="297" t="s">
        <v>600</v>
      </c>
      <c r="F22" s="279">
        <f>+'DETALLE CONSOLIDADO INGRESOS FF'!E55</f>
        <v>289795.3</v>
      </c>
      <c r="G22" s="255"/>
      <c r="H22" s="296"/>
    </row>
    <row r="23" spans="1:8" ht="24" thickBot="1" x14ac:dyDescent="0.4">
      <c r="A23" s="644"/>
      <c r="B23" s="645"/>
      <c r="C23" s="645"/>
      <c r="D23" s="645"/>
      <c r="E23" s="645"/>
      <c r="F23" s="298">
        <f>SUM(F9:F22)</f>
        <v>3059775.588</v>
      </c>
      <c r="G23" s="299">
        <f>+G21+G19+G14+G11+G9+G17</f>
        <v>3059775.5880000005</v>
      </c>
      <c r="H23" s="298"/>
    </row>
  </sheetData>
  <mergeCells count="13">
    <mergeCell ref="G6:G7"/>
    <mergeCell ref="H6:H7"/>
    <mergeCell ref="A23:E23"/>
    <mergeCell ref="A1:H1"/>
    <mergeCell ref="A2:H2"/>
    <mergeCell ref="A3:H3"/>
    <mergeCell ref="A4:H4"/>
    <mergeCell ref="A5:H5"/>
    <mergeCell ref="A6:A7"/>
    <mergeCell ref="B6:B7"/>
    <mergeCell ref="C6:C7"/>
    <mergeCell ref="E6:E7"/>
    <mergeCell ref="F6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zoomScale="130" zoomScaleNormal="130" workbookViewId="0">
      <pane xSplit="2" ySplit="10" topLeftCell="G50" activePane="bottomRight" state="frozen"/>
      <selection pane="topRight" activeCell="C1" sqref="C1"/>
      <selection pane="bottomLeft" activeCell="A11" sqref="A11"/>
      <selection pane="bottomRight" activeCell="O58" sqref="O58"/>
    </sheetView>
  </sheetViews>
  <sheetFormatPr baseColWidth="10" defaultRowHeight="15" x14ac:dyDescent="0.25"/>
  <cols>
    <col min="2" max="2" width="45.85546875" customWidth="1"/>
    <col min="3" max="3" width="17.7109375" customWidth="1"/>
    <col min="4" max="4" width="20" customWidth="1"/>
    <col min="5" max="5" width="18.85546875" customWidth="1"/>
    <col min="6" max="6" width="20.28515625" customWidth="1"/>
    <col min="7" max="7" width="18" customWidth="1"/>
    <col min="8" max="8" width="16" customWidth="1"/>
    <col min="9" max="9" width="14.5703125" customWidth="1"/>
    <col min="10" max="10" width="17.5703125" customWidth="1"/>
    <col min="11" max="11" width="23.140625" customWidth="1"/>
  </cols>
  <sheetData>
    <row r="1" spans="1:11" ht="18.75" x14ac:dyDescent="0.3">
      <c r="A1" s="675" t="s">
        <v>388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</row>
    <row r="2" spans="1:11" ht="18.75" x14ac:dyDescent="0.3">
      <c r="A2" s="675" t="s">
        <v>389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</row>
    <row r="3" spans="1:11" ht="18.75" x14ac:dyDescent="0.3">
      <c r="A3" s="675" t="s">
        <v>602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</row>
    <row r="4" spans="1:11" ht="18.75" x14ac:dyDescent="0.3">
      <c r="A4" s="675" t="s">
        <v>391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</row>
    <row r="5" spans="1:11" ht="18.75" x14ac:dyDescent="0.3">
      <c r="A5" s="675" t="s">
        <v>603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</row>
    <row r="6" spans="1:11" ht="18.75" x14ac:dyDescent="0.3">
      <c r="A6" s="675"/>
      <c r="B6" s="676"/>
      <c r="C6" s="676"/>
      <c r="D6" s="676"/>
      <c r="E6" s="676"/>
      <c r="F6" s="676"/>
      <c r="G6" s="676"/>
      <c r="H6" s="676"/>
      <c r="I6" s="676"/>
      <c r="J6" s="676"/>
      <c r="K6" s="676"/>
    </row>
    <row r="7" spans="1:11" ht="19.5" thickBot="1" x14ac:dyDescent="0.35">
      <c r="A7" s="657" t="s">
        <v>604</v>
      </c>
      <c r="B7" s="657"/>
      <c r="C7" s="657"/>
      <c r="D7" s="657"/>
      <c r="E7" s="657"/>
      <c r="F7" s="657"/>
      <c r="G7" s="657"/>
      <c r="H7" s="657"/>
      <c r="I7" s="657"/>
      <c r="J7" s="657"/>
      <c r="K7" s="657"/>
    </row>
    <row r="8" spans="1:11" ht="18.75" thickBot="1" x14ac:dyDescent="0.4">
      <c r="A8" s="658" t="s">
        <v>605</v>
      </c>
      <c r="B8" s="661" t="s">
        <v>606</v>
      </c>
      <c r="C8" s="664" t="s">
        <v>607</v>
      </c>
      <c r="D8" s="665"/>
      <c r="E8" s="665"/>
      <c r="F8" s="666"/>
      <c r="G8" s="667" t="s">
        <v>608</v>
      </c>
      <c r="H8" s="667" t="s">
        <v>609</v>
      </c>
      <c r="I8" s="667" t="s">
        <v>610</v>
      </c>
      <c r="J8" s="667" t="s">
        <v>611</v>
      </c>
      <c r="K8" s="670" t="s">
        <v>612</v>
      </c>
    </row>
    <row r="9" spans="1:11" ht="16.5" thickBot="1" x14ac:dyDescent="0.35">
      <c r="A9" s="659"/>
      <c r="B9" s="662"/>
      <c r="C9" s="673" t="s">
        <v>613</v>
      </c>
      <c r="D9" s="674"/>
      <c r="E9" s="326" t="s">
        <v>614</v>
      </c>
      <c r="F9" s="655" t="s">
        <v>615</v>
      </c>
      <c r="G9" s="668"/>
      <c r="H9" s="668"/>
      <c r="I9" s="668"/>
      <c r="J9" s="668"/>
      <c r="K9" s="671"/>
    </row>
    <row r="10" spans="1:11" ht="54" thickBot="1" x14ac:dyDescent="0.3">
      <c r="A10" s="660"/>
      <c r="B10" s="663"/>
      <c r="C10" s="327" t="s">
        <v>616</v>
      </c>
      <c r="D10" s="328" t="s">
        <v>617</v>
      </c>
      <c r="E10" s="329" t="s">
        <v>618</v>
      </c>
      <c r="F10" s="656"/>
      <c r="G10" s="669"/>
      <c r="H10" s="669"/>
      <c r="I10" s="669"/>
      <c r="J10" s="669"/>
      <c r="K10" s="672"/>
    </row>
    <row r="11" spans="1:11" ht="18.75" thickBot="1" x14ac:dyDescent="0.3">
      <c r="A11" s="303" t="s">
        <v>619</v>
      </c>
      <c r="B11" s="304" t="s">
        <v>620</v>
      </c>
      <c r="C11" s="330">
        <v>0</v>
      </c>
      <c r="D11" s="330">
        <v>0</v>
      </c>
      <c r="E11" s="331">
        <v>0</v>
      </c>
      <c r="F11" s="331">
        <f>+C11+D11+E11</f>
        <v>0</v>
      </c>
      <c r="G11" s="330">
        <v>22428.14</v>
      </c>
      <c r="H11" s="330">
        <v>0</v>
      </c>
      <c r="I11" s="330">
        <v>0</v>
      </c>
      <c r="J11" s="330">
        <v>0</v>
      </c>
      <c r="K11" s="330">
        <f>+F11+G11+H11+I11+J11</f>
        <v>22428.14</v>
      </c>
    </row>
    <row r="12" spans="1:11" ht="18.75" thickBot="1" x14ac:dyDescent="0.3">
      <c r="A12" s="305" t="s">
        <v>621</v>
      </c>
      <c r="B12" s="306" t="s">
        <v>622</v>
      </c>
      <c r="C12" s="330">
        <v>0</v>
      </c>
      <c r="D12" s="330">
        <v>0</v>
      </c>
      <c r="E12" s="330">
        <v>0</v>
      </c>
      <c r="F12" s="331">
        <f t="shared" ref="F12:F53" si="0">+C12+D12+E12</f>
        <v>0</v>
      </c>
      <c r="G12" s="330">
        <v>4912.4799999999996</v>
      </c>
      <c r="H12" s="330">
        <v>0</v>
      </c>
      <c r="I12" s="330">
        <v>0</v>
      </c>
      <c r="J12" s="330">
        <v>0</v>
      </c>
      <c r="K12" s="330">
        <f t="shared" ref="K12:K54" si="1">+F12+G12+H12+I12+J12</f>
        <v>4912.4799999999996</v>
      </c>
    </row>
    <row r="13" spans="1:11" ht="18.75" thickBot="1" x14ac:dyDescent="0.3">
      <c r="A13" s="305" t="s">
        <v>623</v>
      </c>
      <c r="B13" s="306" t="s">
        <v>624</v>
      </c>
      <c r="C13" s="330">
        <v>0</v>
      </c>
      <c r="D13" s="330">
        <v>0</v>
      </c>
      <c r="E13" s="330">
        <v>0</v>
      </c>
      <c r="F13" s="331">
        <f t="shared" si="0"/>
        <v>0</v>
      </c>
      <c r="G13" s="330">
        <v>16134.12</v>
      </c>
      <c r="H13" s="330">
        <v>0</v>
      </c>
      <c r="I13" s="330">
        <v>0</v>
      </c>
      <c r="J13" s="330">
        <v>0</v>
      </c>
      <c r="K13" s="330">
        <f t="shared" si="1"/>
        <v>16134.12</v>
      </c>
    </row>
    <row r="14" spans="1:11" ht="18.75" thickBot="1" x14ac:dyDescent="0.3">
      <c r="A14" s="305" t="s">
        <v>625</v>
      </c>
      <c r="B14" s="306" t="s">
        <v>626</v>
      </c>
      <c r="C14" s="330">
        <v>0</v>
      </c>
      <c r="D14" s="330">
        <v>0</v>
      </c>
      <c r="E14" s="330">
        <v>0</v>
      </c>
      <c r="F14" s="331">
        <f t="shared" si="0"/>
        <v>0</v>
      </c>
      <c r="G14" s="330">
        <v>76582.05</v>
      </c>
      <c r="H14" s="330">
        <v>0</v>
      </c>
      <c r="I14" s="330">
        <v>0</v>
      </c>
      <c r="J14" s="330">
        <v>0</v>
      </c>
      <c r="K14" s="330">
        <f t="shared" si="1"/>
        <v>76582.05</v>
      </c>
    </row>
    <row r="15" spans="1:11" ht="18.75" thickBot="1" x14ac:dyDescent="0.3">
      <c r="A15" s="307">
        <v>11806</v>
      </c>
      <c r="B15" s="308" t="s">
        <v>627</v>
      </c>
      <c r="C15" s="330">
        <v>0</v>
      </c>
      <c r="D15" s="330">
        <v>0</v>
      </c>
      <c r="E15" s="330">
        <v>0</v>
      </c>
      <c r="F15" s="331">
        <f t="shared" si="0"/>
        <v>0</v>
      </c>
      <c r="G15" s="330">
        <v>1645.9</v>
      </c>
      <c r="H15" s="330">
        <v>0</v>
      </c>
      <c r="I15" s="330">
        <v>0</v>
      </c>
      <c r="J15" s="330">
        <v>0</v>
      </c>
      <c r="K15" s="330">
        <f t="shared" si="1"/>
        <v>1645.9</v>
      </c>
    </row>
    <row r="16" spans="1:11" ht="18.75" thickBot="1" x14ac:dyDescent="0.3">
      <c r="A16" s="307">
        <v>11815</v>
      </c>
      <c r="B16" s="308" t="s">
        <v>628</v>
      </c>
      <c r="C16" s="330">
        <v>0</v>
      </c>
      <c r="D16" s="330">
        <v>0</v>
      </c>
      <c r="E16" s="330">
        <v>0</v>
      </c>
      <c r="F16" s="331">
        <f t="shared" si="0"/>
        <v>0</v>
      </c>
      <c r="G16" s="330">
        <v>24380.79</v>
      </c>
      <c r="H16" s="330">
        <v>0</v>
      </c>
      <c r="I16" s="330">
        <v>0</v>
      </c>
      <c r="J16" s="330">
        <v>0</v>
      </c>
      <c r="K16" s="330">
        <f t="shared" si="1"/>
        <v>24380.79</v>
      </c>
    </row>
    <row r="17" spans="1:11" ht="18.75" thickBot="1" x14ac:dyDescent="0.3">
      <c r="A17" s="307">
        <v>11816</v>
      </c>
      <c r="B17" s="308" t="s">
        <v>629</v>
      </c>
      <c r="C17" s="330">
        <v>0</v>
      </c>
      <c r="D17" s="330">
        <v>0</v>
      </c>
      <c r="E17" s="330">
        <v>0</v>
      </c>
      <c r="F17" s="331">
        <f t="shared" si="0"/>
        <v>0</v>
      </c>
      <c r="G17" s="330">
        <v>2992.22</v>
      </c>
      <c r="H17" s="330">
        <v>0</v>
      </c>
      <c r="I17" s="330">
        <v>0</v>
      </c>
      <c r="J17" s="330">
        <v>0</v>
      </c>
      <c r="K17" s="330">
        <f t="shared" si="1"/>
        <v>2992.22</v>
      </c>
    </row>
    <row r="18" spans="1:11" ht="18.75" thickBot="1" x14ac:dyDescent="0.3">
      <c r="A18" s="307">
        <v>11817</v>
      </c>
      <c r="B18" s="308" t="s">
        <v>630</v>
      </c>
      <c r="C18" s="330">
        <v>0</v>
      </c>
      <c r="D18" s="330">
        <v>0</v>
      </c>
      <c r="E18" s="330">
        <v>0</v>
      </c>
      <c r="F18" s="331">
        <f t="shared" si="0"/>
        <v>0</v>
      </c>
      <c r="G18" s="330">
        <v>123.38</v>
      </c>
      <c r="H18" s="330">
        <v>0</v>
      </c>
      <c r="I18" s="330">
        <v>0</v>
      </c>
      <c r="J18" s="330">
        <v>0</v>
      </c>
      <c r="K18" s="330">
        <f t="shared" si="1"/>
        <v>123.38</v>
      </c>
    </row>
    <row r="19" spans="1:11" ht="18.75" thickBot="1" x14ac:dyDescent="0.3">
      <c r="A19" s="307">
        <v>11818</v>
      </c>
      <c r="B19" s="308" t="s">
        <v>631</v>
      </c>
      <c r="C19" s="330">
        <v>0</v>
      </c>
      <c r="D19" s="330">
        <v>0</v>
      </c>
      <c r="E19" s="330">
        <v>0</v>
      </c>
      <c r="F19" s="331">
        <f t="shared" si="0"/>
        <v>0</v>
      </c>
      <c r="G19" s="330">
        <v>2474.4699999999998</v>
      </c>
      <c r="H19" s="330">
        <v>0</v>
      </c>
      <c r="I19" s="330">
        <v>0</v>
      </c>
      <c r="J19" s="330">
        <v>0</v>
      </c>
      <c r="K19" s="330">
        <f t="shared" si="1"/>
        <v>2474.4699999999998</v>
      </c>
    </row>
    <row r="20" spans="1:11" ht="18.75" thickBot="1" x14ac:dyDescent="0.3">
      <c r="A20" s="307">
        <v>11899</v>
      </c>
      <c r="B20" s="308" t="s">
        <v>632</v>
      </c>
      <c r="C20" s="330">
        <v>0</v>
      </c>
      <c r="D20" s="330">
        <v>0</v>
      </c>
      <c r="E20" s="330">
        <v>0</v>
      </c>
      <c r="F20" s="331">
        <f t="shared" si="0"/>
        <v>0</v>
      </c>
      <c r="G20" s="330">
        <v>382.6</v>
      </c>
      <c r="H20" s="330">
        <v>0</v>
      </c>
      <c r="I20" s="330">
        <v>0</v>
      </c>
      <c r="J20" s="330">
        <v>0</v>
      </c>
      <c r="K20" s="330">
        <f t="shared" si="1"/>
        <v>382.6</v>
      </c>
    </row>
    <row r="21" spans="1:11" ht="18.75" thickBot="1" x14ac:dyDescent="0.3">
      <c r="A21" s="307">
        <v>12105</v>
      </c>
      <c r="B21" s="308" t="s">
        <v>633</v>
      </c>
      <c r="C21" s="330">
        <v>0</v>
      </c>
      <c r="D21" s="330">
        <v>0</v>
      </c>
      <c r="E21" s="330">
        <v>0</v>
      </c>
      <c r="F21" s="331">
        <f t="shared" si="0"/>
        <v>0</v>
      </c>
      <c r="G21" s="330">
        <v>53658.37</v>
      </c>
      <c r="H21" s="330">
        <v>0</v>
      </c>
      <c r="I21" s="330">
        <v>0</v>
      </c>
      <c r="J21" s="330">
        <v>0</v>
      </c>
      <c r="K21" s="330">
        <f t="shared" si="1"/>
        <v>53658.37</v>
      </c>
    </row>
    <row r="22" spans="1:11" ht="18.75" thickBot="1" x14ac:dyDescent="0.3">
      <c r="A22" s="307">
        <v>12106</v>
      </c>
      <c r="B22" s="308" t="s">
        <v>634</v>
      </c>
      <c r="C22" s="330">
        <v>0</v>
      </c>
      <c r="D22" s="330">
        <v>0</v>
      </c>
      <c r="E22" s="330">
        <v>0</v>
      </c>
      <c r="F22" s="331">
        <f t="shared" si="0"/>
        <v>0</v>
      </c>
      <c r="G22" s="330">
        <v>468.07</v>
      </c>
      <c r="H22" s="330">
        <v>0</v>
      </c>
      <c r="I22" s="330">
        <v>0</v>
      </c>
      <c r="J22" s="330">
        <v>0</v>
      </c>
      <c r="K22" s="330">
        <f t="shared" si="1"/>
        <v>468.07</v>
      </c>
    </row>
    <row r="23" spans="1:11" ht="18.75" thickBot="1" x14ac:dyDescent="0.3">
      <c r="A23" s="307">
        <v>12107</v>
      </c>
      <c r="B23" s="308" t="s">
        <v>635</v>
      </c>
      <c r="C23" s="330">
        <v>0</v>
      </c>
      <c r="D23" s="330">
        <v>0</v>
      </c>
      <c r="E23" s="330">
        <v>0</v>
      </c>
      <c r="F23" s="331">
        <f t="shared" si="0"/>
        <v>0</v>
      </c>
      <c r="G23" s="330">
        <v>67595.399999999994</v>
      </c>
      <c r="H23" s="330">
        <v>0</v>
      </c>
      <c r="I23" s="330">
        <v>0</v>
      </c>
      <c r="J23" s="330">
        <v>0</v>
      </c>
      <c r="K23" s="330">
        <f t="shared" si="1"/>
        <v>67595.399999999994</v>
      </c>
    </row>
    <row r="24" spans="1:11" ht="18.75" thickBot="1" x14ac:dyDescent="0.3">
      <c r="A24" s="307">
        <v>12108</v>
      </c>
      <c r="B24" s="308" t="s">
        <v>636</v>
      </c>
      <c r="C24" s="330">
        <v>0</v>
      </c>
      <c r="D24" s="330">
        <v>0</v>
      </c>
      <c r="E24" s="330">
        <v>0</v>
      </c>
      <c r="F24" s="331">
        <f t="shared" si="0"/>
        <v>0</v>
      </c>
      <c r="G24" s="330">
        <v>21389.51</v>
      </c>
      <c r="H24" s="330">
        <v>0</v>
      </c>
      <c r="I24" s="330">
        <v>0</v>
      </c>
      <c r="J24" s="330">
        <v>0</v>
      </c>
      <c r="K24" s="330">
        <f t="shared" si="1"/>
        <v>21389.51</v>
      </c>
    </row>
    <row r="25" spans="1:11" ht="18.75" thickBot="1" x14ac:dyDescent="0.3">
      <c r="A25" s="309" t="s">
        <v>637</v>
      </c>
      <c r="B25" s="308" t="s">
        <v>638</v>
      </c>
      <c r="C25" s="330">
        <v>0</v>
      </c>
      <c r="D25" s="330">
        <v>0</v>
      </c>
      <c r="E25" s="330">
        <v>0</v>
      </c>
      <c r="F25" s="331">
        <f t="shared" si="0"/>
        <v>0</v>
      </c>
      <c r="G25" s="330">
        <v>20945.02</v>
      </c>
      <c r="H25" s="330">
        <v>0</v>
      </c>
      <c r="I25" s="330">
        <v>0</v>
      </c>
      <c r="J25" s="330">
        <v>0</v>
      </c>
      <c r="K25" s="330">
        <f t="shared" si="1"/>
        <v>20945.02</v>
      </c>
    </row>
    <row r="26" spans="1:11" ht="18.75" thickBot="1" x14ac:dyDescent="0.3">
      <c r="A26" s="309" t="s">
        <v>717</v>
      </c>
      <c r="B26" s="308" t="s">
        <v>718</v>
      </c>
      <c r="C26" s="330">
        <v>0</v>
      </c>
      <c r="D26" s="330">
        <v>0</v>
      </c>
      <c r="E26" s="330">
        <v>0</v>
      </c>
      <c r="F26" s="331">
        <f t="shared" si="0"/>
        <v>0</v>
      </c>
      <c r="G26" s="330">
        <v>309.87</v>
      </c>
      <c r="H26" s="330">
        <v>0</v>
      </c>
      <c r="I26" s="330">
        <v>0</v>
      </c>
      <c r="J26" s="330">
        <v>0</v>
      </c>
      <c r="K26" s="330">
        <f t="shared" si="1"/>
        <v>309.87</v>
      </c>
    </row>
    <row r="27" spans="1:11" ht="18.75" thickBot="1" x14ac:dyDescent="0.3">
      <c r="A27" s="309" t="s">
        <v>639</v>
      </c>
      <c r="B27" s="308" t="s">
        <v>640</v>
      </c>
      <c r="C27" s="330">
        <v>0</v>
      </c>
      <c r="D27" s="330">
        <v>0</v>
      </c>
      <c r="E27" s="330">
        <v>0</v>
      </c>
      <c r="F27" s="331">
        <f t="shared" si="0"/>
        <v>0</v>
      </c>
      <c r="G27" s="330">
        <v>8796.99</v>
      </c>
      <c r="H27" s="330">
        <v>0</v>
      </c>
      <c r="I27" s="330">
        <v>0</v>
      </c>
      <c r="J27" s="330">
        <v>0</v>
      </c>
      <c r="K27" s="330">
        <f t="shared" si="1"/>
        <v>8796.99</v>
      </c>
    </row>
    <row r="28" spans="1:11" ht="18.75" thickBot="1" x14ac:dyDescent="0.3">
      <c r="A28" s="309" t="s">
        <v>641</v>
      </c>
      <c r="B28" s="308" t="s">
        <v>642</v>
      </c>
      <c r="C28" s="330">
        <v>0</v>
      </c>
      <c r="D28" s="330">
        <v>0</v>
      </c>
      <c r="E28" s="330">
        <v>0</v>
      </c>
      <c r="F28" s="331">
        <f t="shared" si="0"/>
        <v>0</v>
      </c>
      <c r="G28" s="330">
        <v>3067.64</v>
      </c>
      <c r="H28" s="330">
        <v>0</v>
      </c>
      <c r="I28" s="330">
        <v>0</v>
      </c>
      <c r="J28" s="330">
        <v>0</v>
      </c>
      <c r="K28" s="330">
        <f t="shared" si="1"/>
        <v>3067.64</v>
      </c>
    </row>
    <row r="29" spans="1:11" ht="18.75" thickBot="1" x14ac:dyDescent="0.3">
      <c r="A29" s="309" t="s">
        <v>643</v>
      </c>
      <c r="B29" s="308" t="s">
        <v>644</v>
      </c>
      <c r="C29" s="330">
        <v>0</v>
      </c>
      <c r="D29" s="330">
        <v>0</v>
      </c>
      <c r="E29" s="330">
        <v>0</v>
      </c>
      <c r="F29" s="331">
        <f t="shared" si="0"/>
        <v>0</v>
      </c>
      <c r="G29" s="330">
        <v>21566.68</v>
      </c>
      <c r="H29" s="330">
        <v>0</v>
      </c>
      <c r="I29" s="330">
        <v>0</v>
      </c>
      <c r="J29" s="330">
        <v>0</v>
      </c>
      <c r="K29" s="330">
        <f t="shared" si="1"/>
        <v>21566.68</v>
      </c>
    </row>
    <row r="30" spans="1:11" ht="18.75" thickBot="1" x14ac:dyDescent="0.3">
      <c r="A30" s="309" t="s">
        <v>645</v>
      </c>
      <c r="B30" s="308" t="s">
        <v>646</v>
      </c>
      <c r="C30" s="330">
        <v>0</v>
      </c>
      <c r="D30" s="330">
        <v>0</v>
      </c>
      <c r="E30" s="330">
        <v>0</v>
      </c>
      <c r="F30" s="331">
        <f t="shared" si="0"/>
        <v>0</v>
      </c>
      <c r="G30" s="330">
        <v>17928.240000000002</v>
      </c>
      <c r="H30" s="330">
        <v>0</v>
      </c>
      <c r="I30" s="330">
        <v>0</v>
      </c>
      <c r="J30" s="330">
        <v>0</v>
      </c>
      <c r="K30" s="330">
        <f t="shared" si="1"/>
        <v>17928.240000000002</v>
      </c>
    </row>
    <row r="31" spans="1:11" ht="18.75" thickBot="1" x14ac:dyDescent="0.3">
      <c r="A31" s="309" t="s">
        <v>647</v>
      </c>
      <c r="B31" s="308" t="s">
        <v>648</v>
      </c>
      <c r="C31" s="330">
        <v>0</v>
      </c>
      <c r="D31" s="330">
        <v>0</v>
      </c>
      <c r="E31" s="330">
        <v>0</v>
      </c>
      <c r="F31" s="331">
        <f t="shared" si="0"/>
        <v>0</v>
      </c>
      <c r="G31" s="330">
        <v>73301.55</v>
      </c>
      <c r="H31" s="330">
        <v>0</v>
      </c>
      <c r="I31" s="330">
        <v>0</v>
      </c>
      <c r="J31" s="330">
        <v>0</v>
      </c>
      <c r="K31" s="330">
        <f t="shared" si="1"/>
        <v>73301.55</v>
      </c>
    </row>
    <row r="32" spans="1:11" ht="18.75" thickBot="1" x14ac:dyDescent="0.3">
      <c r="A32" s="309" t="s">
        <v>649</v>
      </c>
      <c r="B32" s="308" t="s">
        <v>650</v>
      </c>
      <c r="C32" s="330">
        <v>0</v>
      </c>
      <c r="D32" s="330">
        <v>0</v>
      </c>
      <c r="E32" s="330">
        <v>0</v>
      </c>
      <c r="F32" s="331">
        <f t="shared" si="0"/>
        <v>0</v>
      </c>
      <c r="G32" s="330">
        <v>7415.87</v>
      </c>
      <c r="H32" s="330">
        <v>0</v>
      </c>
      <c r="I32" s="330">
        <v>0</v>
      </c>
      <c r="J32" s="330">
        <v>0</v>
      </c>
      <c r="K32" s="330">
        <f t="shared" si="1"/>
        <v>7415.87</v>
      </c>
    </row>
    <row r="33" spans="1:11" ht="18.75" thickBot="1" x14ac:dyDescent="0.3">
      <c r="A33" s="309" t="s">
        <v>651</v>
      </c>
      <c r="B33" s="308" t="s">
        <v>652</v>
      </c>
      <c r="C33" s="330">
        <v>0</v>
      </c>
      <c r="D33" s="330">
        <v>0</v>
      </c>
      <c r="E33" s="330">
        <v>0</v>
      </c>
      <c r="F33" s="331">
        <f t="shared" si="0"/>
        <v>0</v>
      </c>
      <c r="G33" s="330">
        <v>45680.31</v>
      </c>
      <c r="H33" s="330">
        <v>0</v>
      </c>
      <c r="I33" s="330">
        <v>0</v>
      </c>
      <c r="J33" s="330">
        <v>0</v>
      </c>
      <c r="K33" s="330">
        <f t="shared" si="1"/>
        <v>45680.31</v>
      </c>
    </row>
    <row r="34" spans="1:11" ht="18.75" thickBot="1" x14ac:dyDescent="0.3">
      <c r="A34" s="309" t="s">
        <v>653</v>
      </c>
      <c r="B34" s="308" t="s">
        <v>654</v>
      </c>
      <c r="C34" s="330">
        <v>0</v>
      </c>
      <c r="D34" s="330">
        <v>0</v>
      </c>
      <c r="E34" s="330">
        <v>0</v>
      </c>
      <c r="F34" s="331">
        <f t="shared" si="0"/>
        <v>0</v>
      </c>
      <c r="G34" s="330">
        <v>5584.42</v>
      </c>
      <c r="H34" s="330">
        <v>0</v>
      </c>
      <c r="I34" s="330">
        <v>0</v>
      </c>
      <c r="J34" s="330">
        <v>0</v>
      </c>
      <c r="K34" s="330">
        <f t="shared" si="1"/>
        <v>5584.42</v>
      </c>
    </row>
    <row r="35" spans="1:11" ht="18.75" thickBot="1" x14ac:dyDescent="0.3">
      <c r="A35" s="309" t="s">
        <v>655</v>
      </c>
      <c r="B35" s="308" t="s">
        <v>656</v>
      </c>
      <c r="C35" s="330">
        <v>0</v>
      </c>
      <c r="D35" s="330">
        <v>0</v>
      </c>
      <c r="E35" s="330">
        <v>0</v>
      </c>
      <c r="F35" s="331">
        <f t="shared" si="0"/>
        <v>0</v>
      </c>
      <c r="G35" s="330">
        <v>28659.33</v>
      </c>
      <c r="H35" s="330">
        <v>0</v>
      </c>
      <c r="I35" s="330">
        <v>0</v>
      </c>
      <c r="J35" s="330">
        <v>0</v>
      </c>
      <c r="K35" s="330">
        <f t="shared" si="1"/>
        <v>28659.33</v>
      </c>
    </row>
    <row r="36" spans="1:11" ht="18.75" thickBot="1" x14ac:dyDescent="0.3">
      <c r="A36" s="309" t="s">
        <v>657</v>
      </c>
      <c r="B36" s="308" t="s">
        <v>658</v>
      </c>
      <c r="C36" s="330">
        <v>0</v>
      </c>
      <c r="D36" s="330">
        <v>0</v>
      </c>
      <c r="E36" s="330">
        <v>0</v>
      </c>
      <c r="F36" s="331">
        <f t="shared" si="0"/>
        <v>0</v>
      </c>
      <c r="G36" s="330">
        <v>10206.92</v>
      </c>
      <c r="H36" s="330">
        <v>0</v>
      </c>
      <c r="I36" s="330">
        <v>0</v>
      </c>
      <c r="J36" s="330">
        <v>0</v>
      </c>
      <c r="K36" s="330">
        <f t="shared" si="1"/>
        <v>10206.92</v>
      </c>
    </row>
    <row r="37" spans="1:11" ht="18.75" thickBot="1" x14ac:dyDescent="0.3">
      <c r="A37" s="309" t="s">
        <v>659</v>
      </c>
      <c r="B37" s="308" t="s">
        <v>660</v>
      </c>
      <c r="C37" s="330">
        <v>0</v>
      </c>
      <c r="D37" s="330">
        <v>0</v>
      </c>
      <c r="E37" s="330">
        <v>0</v>
      </c>
      <c r="F37" s="331">
        <f t="shared" si="0"/>
        <v>0</v>
      </c>
      <c r="G37" s="330">
        <v>924.9</v>
      </c>
      <c r="H37" s="330">
        <v>0</v>
      </c>
      <c r="I37" s="330">
        <v>0</v>
      </c>
      <c r="J37" s="330">
        <v>0</v>
      </c>
      <c r="K37" s="330">
        <f t="shared" si="1"/>
        <v>924.9</v>
      </c>
    </row>
    <row r="38" spans="1:11" ht="18.75" thickBot="1" x14ac:dyDescent="0.3">
      <c r="A38" s="309" t="s">
        <v>661</v>
      </c>
      <c r="B38" s="308" t="s">
        <v>662</v>
      </c>
      <c r="C38" s="330">
        <v>0</v>
      </c>
      <c r="D38" s="330">
        <v>0</v>
      </c>
      <c r="E38" s="330">
        <v>0</v>
      </c>
      <c r="F38" s="331">
        <f t="shared" si="0"/>
        <v>0</v>
      </c>
      <c r="G38" s="330">
        <v>3609.07</v>
      </c>
      <c r="H38" s="330">
        <v>0</v>
      </c>
      <c r="I38" s="330">
        <v>0</v>
      </c>
      <c r="J38" s="330">
        <v>0</v>
      </c>
      <c r="K38" s="330">
        <f t="shared" si="1"/>
        <v>3609.07</v>
      </c>
    </row>
    <row r="39" spans="1:11" ht="18.75" thickBot="1" x14ac:dyDescent="0.3">
      <c r="A39" s="309" t="s">
        <v>663</v>
      </c>
      <c r="B39" s="308" t="s">
        <v>664</v>
      </c>
      <c r="C39" s="330">
        <v>0</v>
      </c>
      <c r="D39" s="330">
        <v>0</v>
      </c>
      <c r="E39" s="330">
        <v>0</v>
      </c>
      <c r="F39" s="331">
        <f t="shared" si="0"/>
        <v>0</v>
      </c>
      <c r="G39" s="330">
        <v>500.55</v>
      </c>
      <c r="H39" s="330">
        <v>0</v>
      </c>
      <c r="I39" s="330">
        <v>0</v>
      </c>
      <c r="J39" s="330">
        <v>0</v>
      </c>
      <c r="K39" s="330">
        <f t="shared" si="1"/>
        <v>500.55</v>
      </c>
    </row>
    <row r="40" spans="1:11" ht="18.75" thickBot="1" x14ac:dyDescent="0.3">
      <c r="A40" s="309" t="s">
        <v>665</v>
      </c>
      <c r="B40" s="308" t="s">
        <v>666</v>
      </c>
      <c r="C40" s="330">
        <v>0</v>
      </c>
      <c r="D40" s="330">
        <v>0</v>
      </c>
      <c r="E40" s="330">
        <v>0</v>
      </c>
      <c r="F40" s="331">
        <f t="shared" si="0"/>
        <v>0</v>
      </c>
      <c r="G40" s="330">
        <v>2772.07</v>
      </c>
      <c r="H40" s="330">
        <v>0</v>
      </c>
      <c r="I40" s="330">
        <v>0</v>
      </c>
      <c r="J40" s="330">
        <v>0</v>
      </c>
      <c r="K40" s="330">
        <f t="shared" si="1"/>
        <v>2772.07</v>
      </c>
    </row>
    <row r="41" spans="1:11" ht="18.75" thickBot="1" x14ac:dyDescent="0.3">
      <c r="A41" s="309" t="s">
        <v>667</v>
      </c>
      <c r="B41" s="308" t="s">
        <v>668</v>
      </c>
      <c r="C41" s="330">
        <v>0</v>
      </c>
      <c r="D41" s="330">
        <v>0</v>
      </c>
      <c r="E41" s="330">
        <v>0</v>
      </c>
      <c r="F41" s="331">
        <f t="shared" si="0"/>
        <v>0</v>
      </c>
      <c r="G41" s="330">
        <v>727.7</v>
      </c>
      <c r="H41" s="330">
        <v>0</v>
      </c>
      <c r="I41" s="330">
        <v>0</v>
      </c>
      <c r="J41" s="330">
        <v>0</v>
      </c>
      <c r="K41" s="330">
        <f t="shared" si="1"/>
        <v>727.7</v>
      </c>
    </row>
    <row r="42" spans="1:11" ht="18.75" thickBot="1" x14ac:dyDescent="0.3">
      <c r="A42" s="310" t="s">
        <v>719</v>
      </c>
      <c r="B42" s="311" t="s">
        <v>720</v>
      </c>
      <c r="C42" s="330">
        <v>0</v>
      </c>
      <c r="D42" s="330">
        <v>0</v>
      </c>
      <c r="E42" s="330">
        <v>0</v>
      </c>
      <c r="F42" s="331">
        <f t="shared" si="0"/>
        <v>0</v>
      </c>
      <c r="G42" s="330">
        <v>0.33</v>
      </c>
      <c r="H42" s="330">
        <v>0</v>
      </c>
      <c r="I42" s="330">
        <v>0</v>
      </c>
      <c r="J42" s="330">
        <v>0</v>
      </c>
      <c r="K42" s="330">
        <f t="shared" si="1"/>
        <v>0.33</v>
      </c>
    </row>
    <row r="43" spans="1:11" ht="18.75" thickBot="1" x14ac:dyDescent="0.3">
      <c r="A43" s="310" t="s">
        <v>669</v>
      </c>
      <c r="B43" s="311" t="s">
        <v>670</v>
      </c>
      <c r="C43" s="330">
        <v>0</v>
      </c>
      <c r="D43" s="330">
        <v>0</v>
      </c>
      <c r="E43" s="330">
        <v>0</v>
      </c>
      <c r="F43" s="331">
        <f t="shared" si="0"/>
        <v>0</v>
      </c>
      <c r="G43" s="330">
        <v>1020.22</v>
      </c>
      <c r="H43" s="330">
        <v>0</v>
      </c>
      <c r="I43" s="330">
        <v>0</v>
      </c>
      <c r="J43" s="330">
        <v>0</v>
      </c>
      <c r="K43" s="330">
        <f t="shared" si="1"/>
        <v>1020.22</v>
      </c>
    </row>
    <row r="44" spans="1:11" ht="18.75" thickBot="1" x14ac:dyDescent="0.3">
      <c r="A44" s="310" t="s">
        <v>671</v>
      </c>
      <c r="B44" s="311" t="s">
        <v>672</v>
      </c>
      <c r="C44" s="330">
        <v>0</v>
      </c>
      <c r="D44" s="330">
        <v>0</v>
      </c>
      <c r="E44" s="330">
        <v>0</v>
      </c>
      <c r="F44" s="331">
        <f t="shared" si="0"/>
        <v>0</v>
      </c>
      <c r="G44" s="330">
        <v>90.93</v>
      </c>
      <c r="H44" s="330">
        <v>0</v>
      </c>
      <c r="I44" s="330">
        <v>0</v>
      </c>
      <c r="J44" s="330">
        <v>0</v>
      </c>
      <c r="K44" s="330">
        <f t="shared" si="1"/>
        <v>90.93</v>
      </c>
    </row>
    <row r="45" spans="1:11" ht="18.75" thickBot="1" x14ac:dyDescent="0.3">
      <c r="A45" s="310" t="s">
        <v>673</v>
      </c>
      <c r="B45" s="311" t="s">
        <v>674</v>
      </c>
      <c r="C45" s="330">
        <v>0</v>
      </c>
      <c r="D45" s="330">
        <v>0</v>
      </c>
      <c r="E45" s="330">
        <v>0</v>
      </c>
      <c r="F45" s="331">
        <f t="shared" si="0"/>
        <v>0</v>
      </c>
      <c r="G45" s="330">
        <v>12928.2</v>
      </c>
      <c r="H45" s="330">
        <v>0</v>
      </c>
      <c r="I45" s="330">
        <v>0</v>
      </c>
      <c r="J45" s="330">
        <v>0</v>
      </c>
      <c r="K45" s="330">
        <f t="shared" si="1"/>
        <v>12928.2</v>
      </c>
    </row>
    <row r="46" spans="1:11" ht="18.75" thickBot="1" x14ac:dyDescent="0.3">
      <c r="A46" s="310" t="s">
        <v>675</v>
      </c>
      <c r="B46" s="311" t="s">
        <v>676</v>
      </c>
      <c r="C46" s="330">
        <v>0</v>
      </c>
      <c r="D46" s="330">
        <v>0</v>
      </c>
      <c r="E46" s="330">
        <v>0</v>
      </c>
      <c r="F46" s="331">
        <f t="shared" si="0"/>
        <v>0</v>
      </c>
      <c r="G46" s="330">
        <v>63027.79</v>
      </c>
      <c r="H46" s="330">
        <v>0</v>
      </c>
      <c r="I46" s="330">
        <v>0</v>
      </c>
      <c r="J46" s="330">
        <v>0</v>
      </c>
      <c r="K46" s="330">
        <f t="shared" si="1"/>
        <v>63027.79</v>
      </c>
    </row>
    <row r="47" spans="1:11" ht="18.75" thickBot="1" x14ac:dyDescent="0.3">
      <c r="A47" s="310" t="s">
        <v>677</v>
      </c>
      <c r="B47" s="311" t="s">
        <v>678</v>
      </c>
      <c r="C47" s="330">
        <v>407920.68</v>
      </c>
      <c r="D47" s="330">
        <v>0</v>
      </c>
      <c r="E47" s="330">
        <v>0</v>
      </c>
      <c r="F47" s="331">
        <f>+C47+D47+E47</f>
        <v>407920.68</v>
      </c>
      <c r="G47" s="330">
        <v>0</v>
      </c>
      <c r="H47" s="330">
        <v>0</v>
      </c>
      <c r="I47" s="330">
        <v>0</v>
      </c>
      <c r="J47" s="330">
        <v>0</v>
      </c>
      <c r="K47" s="330">
        <f t="shared" si="1"/>
        <v>407920.68</v>
      </c>
    </row>
    <row r="48" spans="1:11" ht="18.75" thickBot="1" x14ac:dyDescent="0.3">
      <c r="A48" s="310" t="s">
        <v>679</v>
      </c>
      <c r="B48" s="311" t="s">
        <v>680</v>
      </c>
      <c r="C48" s="330">
        <v>0</v>
      </c>
      <c r="D48" s="330">
        <v>0</v>
      </c>
      <c r="E48" s="330">
        <v>0</v>
      </c>
      <c r="F48" s="331">
        <f t="shared" si="0"/>
        <v>0</v>
      </c>
      <c r="G48" s="330">
        <v>0</v>
      </c>
      <c r="H48" s="330">
        <v>0</v>
      </c>
      <c r="I48" s="330">
        <v>0</v>
      </c>
      <c r="J48" s="330">
        <v>0</v>
      </c>
      <c r="K48" s="330">
        <f t="shared" si="1"/>
        <v>0</v>
      </c>
    </row>
    <row r="49" spans="1:11" ht="18.75" thickBot="1" x14ac:dyDescent="0.3">
      <c r="A49" s="310" t="s">
        <v>681</v>
      </c>
      <c r="B49" s="311" t="s">
        <v>682</v>
      </c>
      <c r="C49" s="330">
        <v>0</v>
      </c>
      <c r="D49" s="330">
        <v>0</v>
      </c>
      <c r="E49" s="330">
        <v>0</v>
      </c>
      <c r="F49" s="331">
        <f t="shared" si="0"/>
        <v>0</v>
      </c>
      <c r="G49" s="330">
        <v>36394.129999999997</v>
      </c>
      <c r="H49" s="330">
        <v>0</v>
      </c>
      <c r="I49" s="330">
        <v>0</v>
      </c>
      <c r="J49" s="330">
        <v>0</v>
      </c>
      <c r="K49" s="330">
        <f t="shared" si="1"/>
        <v>36394.129999999997</v>
      </c>
    </row>
    <row r="50" spans="1:11" ht="18.75" thickBot="1" x14ac:dyDescent="0.3">
      <c r="A50" s="310" t="s">
        <v>683</v>
      </c>
      <c r="B50" s="311" t="s">
        <v>684</v>
      </c>
      <c r="C50" s="330">
        <v>0</v>
      </c>
      <c r="D50" s="330">
        <v>1205355.48</v>
      </c>
      <c r="E50" s="330">
        <f>+'[1]SALDOS DE CUENTAS'!$F$13+'[1]SALDOS DE CUENTAS'!$F$14+'[1]SALDOS DE CUENTAS'!$F$26+'[1]SALDOS DE CUENTAS'!$F$32</f>
        <v>289795.3</v>
      </c>
      <c r="F50" s="331">
        <f>+C50+D50+E50</f>
        <v>1495150.78</v>
      </c>
      <c r="G50" s="330">
        <v>0</v>
      </c>
      <c r="H50" s="330">
        <v>0</v>
      </c>
      <c r="I50" s="330">
        <v>0</v>
      </c>
      <c r="J50" s="330">
        <v>0</v>
      </c>
      <c r="K50" s="330">
        <f t="shared" si="1"/>
        <v>1495150.78</v>
      </c>
    </row>
    <row r="51" spans="1:11" ht="18.75" thickBot="1" x14ac:dyDescent="0.3">
      <c r="A51" s="310" t="s">
        <v>685</v>
      </c>
      <c r="B51" s="311" t="s">
        <v>686</v>
      </c>
      <c r="C51" s="330">
        <v>0</v>
      </c>
      <c r="D51" s="330">
        <v>0</v>
      </c>
      <c r="E51" s="330">
        <v>0</v>
      </c>
      <c r="F51" s="331">
        <f t="shared" si="0"/>
        <v>0</v>
      </c>
      <c r="G51" s="330">
        <v>0</v>
      </c>
      <c r="H51" s="330">
        <v>0</v>
      </c>
      <c r="I51" s="330">
        <v>0</v>
      </c>
      <c r="J51" s="330">
        <v>0</v>
      </c>
      <c r="K51" s="330">
        <f t="shared" si="1"/>
        <v>0</v>
      </c>
    </row>
    <row r="52" spans="1:11" ht="18.75" thickBot="1" x14ac:dyDescent="0.3">
      <c r="A52" s="310" t="s">
        <v>687</v>
      </c>
      <c r="B52" s="311" t="s">
        <v>688</v>
      </c>
      <c r="C52" s="330">
        <v>0</v>
      </c>
      <c r="D52" s="330">
        <v>0</v>
      </c>
      <c r="E52" s="330">
        <v>0</v>
      </c>
      <c r="F52" s="331">
        <f t="shared" si="0"/>
        <v>0</v>
      </c>
      <c r="G52" s="330">
        <v>0</v>
      </c>
      <c r="H52" s="330">
        <v>0</v>
      </c>
      <c r="I52" s="330">
        <v>0</v>
      </c>
      <c r="J52" s="330">
        <f>+'[1]SALDOS DE CUENTAS'!$F$16+'[1]SALDOS DE CUENTAS'!$F$30+'[1]SALDOS DE CUENTAS'!$F$31+'[1]SALDOS DE CUENTAS'!$F$78</f>
        <v>10615.58</v>
      </c>
      <c r="K52" s="330">
        <f t="shared" si="1"/>
        <v>10615.58</v>
      </c>
    </row>
    <row r="53" spans="1:11" ht="18.75" thickBot="1" x14ac:dyDescent="0.3">
      <c r="A53" s="343" t="s">
        <v>689</v>
      </c>
      <c r="B53" s="344" t="s">
        <v>682</v>
      </c>
      <c r="C53" s="339">
        <v>0</v>
      </c>
      <c r="D53" s="332">
        <v>0</v>
      </c>
      <c r="E53" s="332">
        <v>0</v>
      </c>
      <c r="F53" s="331">
        <f t="shared" si="0"/>
        <v>0</v>
      </c>
      <c r="G53" s="332">
        <v>0</v>
      </c>
      <c r="H53" s="332">
        <v>0</v>
      </c>
      <c r="I53" s="332">
        <v>0</v>
      </c>
      <c r="J53" s="333">
        <v>0</v>
      </c>
      <c r="K53" s="330">
        <f t="shared" si="1"/>
        <v>0</v>
      </c>
    </row>
    <row r="54" spans="1:11" ht="18.75" thickBot="1" x14ac:dyDescent="0.3">
      <c r="A54" s="343" t="s">
        <v>690</v>
      </c>
      <c r="B54" s="344" t="s">
        <v>691</v>
      </c>
      <c r="C54" s="340">
        <f>+'[1]SALDOS DE CUENTAS'!$F$8</f>
        <v>5802.24</v>
      </c>
      <c r="D54" s="334">
        <v>391314.1</v>
      </c>
      <c r="E54" s="334">
        <v>0</v>
      </c>
      <c r="F54" s="331">
        <f>+C54+D54+E54</f>
        <v>397116.33999999997</v>
      </c>
      <c r="G54" s="334">
        <f>+'[1]FONDO MUN. HSBC'!$H$88+'[1]HSBC PUERTO S J'!$H$41+[1]COMPOSTAJE!$H$10+'[1]FIESTAS PATRONALES '!$H$16</f>
        <v>30466.934078905568</v>
      </c>
      <c r="H54" s="334">
        <v>0</v>
      </c>
      <c r="I54" s="334">
        <v>0</v>
      </c>
      <c r="J54" s="335">
        <v>0</v>
      </c>
      <c r="K54" s="330">
        <f t="shared" si="1"/>
        <v>427583.27407890552</v>
      </c>
    </row>
    <row r="55" spans="1:11" ht="18.75" thickBot="1" x14ac:dyDescent="0.3">
      <c r="A55" s="341"/>
      <c r="B55" s="342" t="s">
        <v>692</v>
      </c>
      <c r="C55" s="336">
        <f t="shared" ref="C55:J55" si="2">SUM(C11:C54)</f>
        <v>413722.92</v>
      </c>
      <c r="D55" s="337">
        <f>SUM(D11:D54)</f>
        <v>1596669.58</v>
      </c>
      <c r="E55" s="337">
        <f t="shared" si="2"/>
        <v>289795.3</v>
      </c>
      <c r="F55" s="337">
        <f t="shared" si="2"/>
        <v>2300187.7999999998</v>
      </c>
      <c r="G55" s="337">
        <f t="shared" si="2"/>
        <v>691093.16407890548</v>
      </c>
      <c r="H55" s="336">
        <f t="shared" si="2"/>
        <v>0</v>
      </c>
      <c r="I55" s="336">
        <f t="shared" si="2"/>
        <v>0</v>
      </c>
      <c r="J55" s="336">
        <f t="shared" si="2"/>
        <v>10615.58</v>
      </c>
      <c r="K55" s="338">
        <f>+SUM(K11:K54)</f>
        <v>3001896.5440789051</v>
      </c>
    </row>
    <row r="56" spans="1:11" ht="18" x14ac:dyDescent="0.3">
      <c r="A56" s="312"/>
      <c r="B56" s="313"/>
      <c r="C56" s="156"/>
      <c r="D56" s="156"/>
      <c r="E56" s="156"/>
      <c r="F56" s="314"/>
      <c r="G56" s="156"/>
      <c r="H56" s="156"/>
      <c r="I56" s="156"/>
      <c r="J56" s="156"/>
      <c r="K56" s="315">
        <f>+F55+G55+H55+I55+J55</f>
        <v>3001896.5440789051</v>
      </c>
    </row>
    <row r="57" spans="1:11" ht="18" x14ac:dyDescent="0.3">
      <c r="A57" s="316"/>
      <c r="B57" s="313"/>
      <c r="C57" s="156"/>
      <c r="D57" s="156"/>
      <c r="E57" s="156"/>
      <c r="F57" s="156">
        <v>1205355.48</v>
      </c>
      <c r="G57" s="156"/>
      <c r="H57" s="156"/>
      <c r="I57" s="156"/>
      <c r="J57" s="156"/>
      <c r="K57" s="317"/>
    </row>
    <row r="58" spans="1:11" ht="18" x14ac:dyDescent="0.35">
      <c r="A58" s="318" t="s">
        <v>693</v>
      </c>
      <c r="B58" s="156"/>
      <c r="C58" s="156"/>
      <c r="D58" s="156"/>
      <c r="E58" s="156"/>
      <c r="F58" s="156"/>
      <c r="G58" s="156"/>
      <c r="H58" s="156"/>
      <c r="I58" s="156"/>
      <c r="J58" s="156"/>
      <c r="K58" s="317"/>
    </row>
    <row r="59" spans="1:11" ht="15.75" x14ac:dyDescent="0.3">
      <c r="A59" s="652" t="s">
        <v>694</v>
      </c>
      <c r="B59" s="652"/>
      <c r="C59" s="652"/>
      <c r="D59" s="652"/>
      <c r="E59" s="652"/>
      <c r="F59" s="652"/>
      <c r="G59" s="652"/>
      <c r="H59" s="156"/>
      <c r="I59" s="156"/>
      <c r="J59" s="156"/>
      <c r="K59" s="317"/>
    </row>
    <row r="60" spans="1:11" ht="15.75" x14ac:dyDescent="0.3">
      <c r="A60" s="652" t="s">
        <v>695</v>
      </c>
      <c r="B60" s="652"/>
      <c r="C60" s="652"/>
      <c r="D60" s="652"/>
      <c r="E60" s="652"/>
      <c r="F60" s="652"/>
      <c r="G60" s="652"/>
      <c r="H60" s="156"/>
      <c r="I60" s="156"/>
      <c r="J60" s="156"/>
      <c r="K60" s="317"/>
    </row>
    <row r="61" spans="1:11" ht="15.75" x14ac:dyDescent="0.3">
      <c r="A61" s="652" t="s">
        <v>696</v>
      </c>
      <c r="B61" s="652"/>
      <c r="C61" s="652"/>
      <c r="D61" s="652"/>
      <c r="E61" s="652"/>
      <c r="F61" s="652"/>
      <c r="G61" s="652"/>
      <c r="H61" s="156"/>
      <c r="I61" s="156"/>
      <c r="J61" s="156"/>
      <c r="K61" s="317"/>
    </row>
    <row r="62" spans="1:11" ht="15.75" x14ac:dyDescent="0.3">
      <c r="A62" s="652" t="s">
        <v>697</v>
      </c>
      <c r="B62" s="652"/>
      <c r="C62" s="652"/>
      <c r="D62" s="652"/>
      <c r="E62" s="652"/>
      <c r="F62" s="652"/>
      <c r="G62" s="652"/>
      <c r="H62" s="156"/>
      <c r="I62" s="156"/>
      <c r="J62" s="156"/>
      <c r="K62" s="317"/>
    </row>
    <row r="63" spans="1:11" ht="15.75" x14ac:dyDescent="0.3">
      <c r="A63" s="652" t="s">
        <v>698</v>
      </c>
      <c r="B63" s="652"/>
      <c r="C63" s="652"/>
      <c r="D63" s="652"/>
      <c r="E63" s="652"/>
      <c r="F63" s="652"/>
      <c r="G63" s="652"/>
      <c r="H63" s="156"/>
      <c r="I63" s="156"/>
      <c r="J63" s="156"/>
      <c r="K63" s="317"/>
    </row>
    <row r="64" spans="1:11" ht="15.75" x14ac:dyDescent="0.3">
      <c r="A64" s="652" t="s">
        <v>699</v>
      </c>
      <c r="B64" s="652"/>
      <c r="C64" s="652"/>
      <c r="D64" s="652"/>
      <c r="E64" s="652"/>
      <c r="F64" s="652"/>
      <c r="G64" s="652"/>
      <c r="H64" s="156"/>
      <c r="I64" s="156"/>
      <c r="J64" s="156"/>
      <c r="K64" s="317"/>
    </row>
    <row r="65" spans="1:11" ht="15.75" x14ac:dyDescent="0.3">
      <c r="A65" s="312"/>
      <c r="B65" s="156"/>
      <c r="C65" s="156"/>
      <c r="D65" s="156"/>
      <c r="E65" s="156"/>
      <c r="F65" s="156"/>
      <c r="G65" s="156"/>
      <c r="H65" s="156"/>
      <c r="I65" s="156"/>
      <c r="J65" s="156"/>
      <c r="K65" s="317"/>
    </row>
    <row r="66" spans="1:11" ht="15.75" x14ac:dyDescent="0.3">
      <c r="A66" s="312"/>
      <c r="B66" s="156"/>
      <c r="C66" s="156"/>
      <c r="D66" s="156"/>
      <c r="E66" s="156"/>
      <c r="F66" s="156"/>
      <c r="G66" s="156"/>
      <c r="H66" s="156"/>
      <c r="I66" s="156"/>
      <c r="J66" s="156"/>
      <c r="K66" s="317"/>
    </row>
    <row r="67" spans="1:11" ht="18" x14ac:dyDescent="0.35">
      <c r="A67" s="653" t="s">
        <v>700</v>
      </c>
      <c r="B67" s="654"/>
      <c r="C67" s="654"/>
      <c r="D67" s="654"/>
      <c r="E67" s="654"/>
      <c r="F67" s="654"/>
      <c r="G67" s="654"/>
      <c r="H67" s="654"/>
      <c r="I67" s="654"/>
      <c r="J67" s="654"/>
      <c r="K67" s="654"/>
    </row>
    <row r="68" spans="1:11" ht="18" x14ac:dyDescent="0.35">
      <c r="A68" s="319"/>
      <c r="B68" s="320"/>
      <c r="C68" s="320"/>
      <c r="D68" s="320"/>
      <c r="E68" s="320"/>
      <c r="F68" s="320"/>
      <c r="G68" s="320"/>
      <c r="H68" s="320"/>
      <c r="I68" s="320"/>
      <c r="J68" s="320"/>
      <c r="K68" s="320"/>
    </row>
    <row r="69" spans="1:11" ht="15.75" x14ac:dyDescent="0.3">
      <c r="A69" s="321" t="s">
        <v>701</v>
      </c>
      <c r="B69" s="322"/>
      <c r="C69" s="322"/>
      <c r="D69" s="322"/>
      <c r="E69" s="322"/>
      <c r="F69" s="321" t="s">
        <v>702</v>
      </c>
      <c r="G69" s="322"/>
      <c r="H69" s="322"/>
      <c r="I69" s="322"/>
      <c r="J69" s="322"/>
      <c r="K69" s="317"/>
    </row>
    <row r="70" spans="1:11" ht="15.75" x14ac:dyDescent="0.3">
      <c r="A70" s="321" t="s">
        <v>703</v>
      </c>
      <c r="B70" s="322"/>
      <c r="C70" s="322"/>
      <c r="D70" s="322"/>
      <c r="E70" s="322"/>
      <c r="F70" s="321" t="s">
        <v>704</v>
      </c>
      <c r="G70" s="322"/>
      <c r="H70" s="322"/>
      <c r="I70" s="322"/>
      <c r="J70" s="322"/>
      <c r="K70" s="317"/>
    </row>
    <row r="71" spans="1:11" ht="15.75" x14ac:dyDescent="0.3">
      <c r="A71" s="321" t="s">
        <v>705</v>
      </c>
      <c r="B71" s="322"/>
      <c r="C71" s="322"/>
      <c r="D71" s="322"/>
      <c r="E71" s="322"/>
      <c r="F71" s="323" t="s">
        <v>706</v>
      </c>
      <c r="G71" s="322"/>
      <c r="H71" s="322"/>
      <c r="I71" s="322"/>
      <c r="J71" s="322"/>
      <c r="K71" s="317"/>
    </row>
    <row r="72" spans="1:11" ht="15.75" x14ac:dyDescent="0.3">
      <c r="A72" s="324" t="s">
        <v>707</v>
      </c>
      <c r="B72" s="322"/>
      <c r="C72" s="322"/>
      <c r="D72" s="322"/>
      <c r="E72" s="322"/>
      <c r="F72" s="323" t="s">
        <v>708</v>
      </c>
      <c r="G72" s="322"/>
      <c r="H72" s="322"/>
      <c r="I72" s="322"/>
      <c r="J72" s="322"/>
      <c r="K72" s="317"/>
    </row>
    <row r="73" spans="1:11" ht="15.75" x14ac:dyDescent="0.3">
      <c r="A73" s="321" t="s">
        <v>709</v>
      </c>
      <c r="B73" s="322"/>
      <c r="C73" s="322"/>
      <c r="D73" s="322"/>
      <c r="E73" s="322"/>
      <c r="F73" s="323" t="s">
        <v>710</v>
      </c>
      <c r="G73" s="322"/>
      <c r="H73" s="322"/>
      <c r="I73" s="322"/>
      <c r="J73" s="322"/>
      <c r="K73" s="317"/>
    </row>
    <row r="74" spans="1:11" ht="15.75" x14ac:dyDescent="0.3">
      <c r="A74" s="321" t="s">
        <v>711</v>
      </c>
      <c r="B74" s="322"/>
      <c r="C74" s="322"/>
      <c r="D74" s="322"/>
      <c r="E74" s="322"/>
      <c r="F74" s="323" t="s">
        <v>712</v>
      </c>
      <c r="G74" s="322"/>
      <c r="H74" s="322"/>
      <c r="I74" s="322"/>
      <c r="J74" s="322"/>
      <c r="K74" s="317"/>
    </row>
    <row r="75" spans="1:11" ht="15.75" x14ac:dyDescent="0.3">
      <c r="A75" s="321" t="s">
        <v>713</v>
      </c>
      <c r="B75" s="322"/>
      <c r="C75" s="322"/>
      <c r="D75" s="322"/>
      <c r="E75" s="322"/>
      <c r="F75" s="322" t="s">
        <v>714</v>
      </c>
      <c r="G75" s="322"/>
      <c r="H75" s="322"/>
      <c r="I75" s="322"/>
      <c r="J75" s="322"/>
      <c r="K75" s="317"/>
    </row>
    <row r="76" spans="1:11" ht="15.75" x14ac:dyDescent="0.3">
      <c r="A76" s="321" t="s">
        <v>715</v>
      </c>
      <c r="B76" s="322"/>
      <c r="C76" s="322"/>
      <c r="D76" s="322"/>
      <c r="E76" s="322"/>
      <c r="F76" s="323" t="s">
        <v>716</v>
      </c>
      <c r="G76" s="322"/>
      <c r="H76" s="322"/>
      <c r="I76" s="322"/>
      <c r="J76" s="322"/>
      <c r="K76" s="317"/>
    </row>
    <row r="77" spans="1:11" ht="15.75" x14ac:dyDescent="0.3">
      <c r="A77" s="325"/>
      <c r="B77" s="156"/>
      <c r="C77" s="156"/>
      <c r="D77" s="156"/>
      <c r="E77" s="156"/>
      <c r="F77" s="156"/>
      <c r="G77" s="156"/>
      <c r="H77" s="156"/>
      <c r="I77" s="156"/>
      <c r="J77" s="156"/>
      <c r="K77" s="317"/>
    </row>
    <row r="78" spans="1:11" ht="15.75" x14ac:dyDescent="0.3">
      <c r="A78" s="325"/>
      <c r="B78" s="156"/>
      <c r="C78" s="156"/>
      <c r="D78" s="156"/>
      <c r="E78" s="156"/>
      <c r="F78" s="156"/>
      <c r="G78" s="156"/>
      <c r="H78" s="156"/>
      <c r="I78" s="156"/>
      <c r="J78" s="156"/>
      <c r="K78" s="317"/>
    </row>
    <row r="85" spans="8:8" x14ac:dyDescent="0.25">
      <c r="H85" s="27">
        <f>SUM(G11:G20)</f>
        <v>152056.15000000002</v>
      </c>
    </row>
    <row r="86" spans="8:8" x14ac:dyDescent="0.25">
      <c r="H86" s="27">
        <f>SUM(G21:G37)</f>
        <v>387499.08999999997</v>
      </c>
    </row>
    <row r="87" spans="8:8" x14ac:dyDescent="0.25">
      <c r="H87" s="27">
        <f>SUM(G38:G39)</f>
        <v>4109.62</v>
      </c>
    </row>
    <row r="88" spans="8:8" x14ac:dyDescent="0.25">
      <c r="H88" s="27">
        <f>SUM(G40:G46)</f>
        <v>80567.240000000005</v>
      </c>
    </row>
  </sheetData>
  <mergeCells count="24">
    <mergeCell ref="A6:K6"/>
    <mergeCell ref="A1:K1"/>
    <mergeCell ref="A2:K2"/>
    <mergeCell ref="A3:K3"/>
    <mergeCell ref="A4:K4"/>
    <mergeCell ref="A5:K5"/>
    <mergeCell ref="A7:K7"/>
    <mergeCell ref="A8:A10"/>
    <mergeCell ref="B8:B10"/>
    <mergeCell ref="C8:F8"/>
    <mergeCell ref="G8:G10"/>
    <mergeCell ref="H8:H10"/>
    <mergeCell ref="I8:I10"/>
    <mergeCell ref="J8:J10"/>
    <mergeCell ref="K8:K10"/>
    <mergeCell ref="C9:D9"/>
    <mergeCell ref="A64:G64"/>
    <mergeCell ref="A67:K67"/>
    <mergeCell ref="F9:F10"/>
    <mergeCell ref="A59:G59"/>
    <mergeCell ref="A60:G60"/>
    <mergeCell ref="A61:G61"/>
    <mergeCell ref="A62:G62"/>
    <mergeCell ref="A63:G63"/>
  </mergeCells>
  <pageMargins left="0.70866141732283472" right="0.51181102362204722" top="0.55118110236220474" bottom="0.35433070866141736" header="0.31496062992125984" footer="0.31496062992125984"/>
  <pageSetup scale="55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8"/>
  <sheetViews>
    <sheetView workbookViewId="0">
      <pane xSplit="2" ySplit="1" topLeftCell="L94" activePane="bottomRight" state="frozen"/>
      <selection pane="topRight" activeCell="C1" sqref="C1"/>
      <selection pane="bottomLeft" activeCell="A2" sqref="A2"/>
      <selection pane="bottomRight" activeCell="M102" sqref="M102"/>
    </sheetView>
  </sheetViews>
  <sheetFormatPr baseColWidth="10" defaultRowHeight="15" x14ac:dyDescent="0.25"/>
  <cols>
    <col min="2" max="2" width="64.85546875" customWidth="1"/>
    <col min="3" max="3" width="17.5703125" customWidth="1"/>
    <col min="4" max="4" width="15.85546875" customWidth="1"/>
    <col min="5" max="6" width="15" customWidth="1"/>
    <col min="7" max="7" width="16.42578125" customWidth="1"/>
    <col min="8" max="8" width="16.140625" customWidth="1"/>
    <col min="9" max="9" width="16.28515625" customWidth="1"/>
    <col min="10" max="10" width="16.42578125" customWidth="1"/>
    <col min="11" max="11" width="14.140625" customWidth="1"/>
    <col min="12" max="12" width="16.140625" customWidth="1"/>
    <col min="13" max="13" width="14.7109375" customWidth="1"/>
    <col min="14" max="14" width="12.28515625" bestFit="1" customWidth="1"/>
    <col min="15" max="15" width="18.7109375" customWidth="1"/>
    <col min="16" max="16" width="15" customWidth="1"/>
    <col min="17" max="17" width="15.5703125" customWidth="1"/>
    <col min="18" max="18" width="15.7109375" customWidth="1"/>
    <col min="19" max="19" width="18" customWidth="1"/>
    <col min="20" max="21" width="14.7109375" customWidth="1"/>
    <col min="22" max="23" width="14.5703125" customWidth="1"/>
    <col min="24" max="24" width="20.42578125" customWidth="1"/>
    <col min="25" max="25" width="17.7109375" customWidth="1"/>
  </cols>
  <sheetData>
    <row r="1" spans="1:25" ht="75" x14ac:dyDescent="0.3">
      <c r="A1" s="677" t="s">
        <v>73</v>
      </c>
      <c r="B1" s="677"/>
      <c r="C1" s="94" t="s">
        <v>200</v>
      </c>
      <c r="D1" s="95" t="s">
        <v>201</v>
      </c>
      <c r="E1" s="95" t="s">
        <v>202</v>
      </c>
      <c r="F1" s="94" t="s">
        <v>203</v>
      </c>
      <c r="G1" s="94" t="s">
        <v>204</v>
      </c>
      <c r="H1" s="94" t="s">
        <v>205</v>
      </c>
      <c r="I1" s="94" t="s">
        <v>206</v>
      </c>
      <c r="J1" s="94" t="s">
        <v>207</v>
      </c>
      <c r="K1" s="94" t="s">
        <v>208</v>
      </c>
      <c r="L1" s="94" t="s">
        <v>209</v>
      </c>
      <c r="M1" s="94" t="s">
        <v>210</v>
      </c>
      <c r="N1" s="94" t="s">
        <v>211</v>
      </c>
      <c r="O1" s="94" t="s">
        <v>212</v>
      </c>
      <c r="P1" s="94" t="s">
        <v>213</v>
      </c>
      <c r="Q1" s="94" t="s">
        <v>214</v>
      </c>
      <c r="R1" s="94" t="s">
        <v>215</v>
      </c>
      <c r="S1" s="94" t="s">
        <v>515</v>
      </c>
      <c r="T1" s="94" t="s">
        <v>516</v>
      </c>
      <c r="U1" s="94" t="s">
        <v>517</v>
      </c>
      <c r="V1" s="94" t="s">
        <v>518</v>
      </c>
      <c r="W1" s="94" t="s">
        <v>519</v>
      </c>
      <c r="X1" s="94" t="s">
        <v>520</v>
      </c>
      <c r="Y1" s="4" t="s">
        <v>65</v>
      </c>
    </row>
    <row r="2" spans="1:25" ht="18.75" x14ac:dyDescent="0.3">
      <c r="A2" s="34" t="s">
        <v>61</v>
      </c>
      <c r="B2" s="34" t="s">
        <v>74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>
        <f t="shared" ref="Y2:Y33" si="0">SUM(C2:X2)</f>
        <v>0</v>
      </c>
    </row>
    <row r="3" spans="1:25" ht="18.75" x14ac:dyDescent="0.3">
      <c r="A3" s="36" t="s">
        <v>75</v>
      </c>
      <c r="B3" s="37" t="s">
        <v>76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>
        <f t="shared" si="0"/>
        <v>0</v>
      </c>
    </row>
    <row r="4" spans="1:25" ht="18.75" x14ac:dyDescent="0.3">
      <c r="A4" s="36" t="s">
        <v>77</v>
      </c>
      <c r="B4" s="37" t="s">
        <v>78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>
        <f t="shared" si="0"/>
        <v>0</v>
      </c>
    </row>
    <row r="5" spans="1:25" ht="18.75" x14ac:dyDescent="0.3">
      <c r="A5" s="36" t="s">
        <v>79</v>
      </c>
      <c r="B5" s="37" t="s">
        <v>80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>
        <f t="shared" si="0"/>
        <v>0</v>
      </c>
    </row>
    <row r="6" spans="1:25" ht="18.75" x14ac:dyDescent="0.3">
      <c r="A6" s="36" t="s">
        <v>81</v>
      </c>
      <c r="B6" s="37" t="s">
        <v>82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>
        <f t="shared" si="0"/>
        <v>0</v>
      </c>
    </row>
    <row r="7" spans="1:25" ht="18.75" x14ac:dyDescent="0.3">
      <c r="A7" s="36" t="s">
        <v>83</v>
      </c>
      <c r="B7" s="37" t="s">
        <v>76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>
        <f t="shared" si="0"/>
        <v>0</v>
      </c>
    </row>
    <row r="8" spans="1:25" ht="18.75" x14ac:dyDescent="0.3">
      <c r="A8" s="38">
        <v>51202</v>
      </c>
      <c r="B8" s="39" t="s">
        <v>84</v>
      </c>
      <c r="C8" s="3"/>
      <c r="D8" s="3"/>
      <c r="E8" s="3"/>
      <c r="F8" s="3"/>
      <c r="G8" s="3"/>
      <c r="H8" s="3"/>
      <c r="I8" s="3"/>
      <c r="J8" s="3"/>
      <c r="K8" s="3">
        <v>1209</v>
      </c>
      <c r="L8" s="3"/>
      <c r="M8" s="3"/>
      <c r="N8" s="3"/>
      <c r="O8" s="3"/>
      <c r="P8" s="3"/>
      <c r="Q8" s="3"/>
      <c r="R8" s="3"/>
      <c r="S8" s="3">
        <v>0</v>
      </c>
      <c r="T8" s="3"/>
      <c r="U8" s="3"/>
      <c r="V8" s="3"/>
      <c r="W8" s="3"/>
      <c r="X8" s="3"/>
      <c r="Y8" s="3">
        <f t="shared" si="0"/>
        <v>1209</v>
      </c>
    </row>
    <row r="9" spans="1:25" ht="18.75" x14ac:dyDescent="0.3">
      <c r="A9" s="36" t="s">
        <v>85</v>
      </c>
      <c r="B9" s="37" t="s">
        <v>78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>
        <f t="shared" si="0"/>
        <v>0</v>
      </c>
    </row>
    <row r="10" spans="1:25" ht="18.75" x14ac:dyDescent="0.3">
      <c r="A10" s="38">
        <v>51301</v>
      </c>
      <c r="B10" s="39" t="s">
        <v>86</v>
      </c>
      <c r="C10" s="3"/>
      <c r="D10" s="3"/>
      <c r="E10" s="3">
        <v>800</v>
      </c>
      <c r="F10" s="3"/>
      <c r="G10" s="3"/>
      <c r="H10" s="3"/>
      <c r="I10" s="3"/>
      <c r="J10" s="3"/>
      <c r="K10" s="3">
        <v>300</v>
      </c>
      <c r="L10" s="3"/>
      <c r="M10" s="3"/>
      <c r="N10" s="3"/>
      <c r="O10" s="3"/>
      <c r="P10" s="3"/>
      <c r="Q10" s="3">
        <v>600</v>
      </c>
      <c r="R10" s="3"/>
      <c r="S10" s="3"/>
      <c r="T10" s="3"/>
      <c r="U10" s="3"/>
      <c r="V10" s="3"/>
      <c r="W10" s="3">
        <v>800</v>
      </c>
      <c r="X10" s="3"/>
      <c r="Y10" s="3">
        <f t="shared" si="0"/>
        <v>2500</v>
      </c>
    </row>
    <row r="11" spans="1:25" ht="18.75" x14ac:dyDescent="0.3">
      <c r="A11" s="38">
        <v>51302</v>
      </c>
      <c r="B11" s="39" t="s">
        <v>87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>
        <f t="shared" si="0"/>
        <v>0</v>
      </c>
    </row>
    <row r="12" spans="1:25" ht="18.75" x14ac:dyDescent="0.3">
      <c r="A12" s="36" t="s">
        <v>88</v>
      </c>
      <c r="B12" s="37" t="s">
        <v>89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>
        <f t="shared" si="0"/>
        <v>0</v>
      </c>
    </row>
    <row r="13" spans="1:25" ht="18.75" x14ac:dyDescent="0.3">
      <c r="A13" s="36" t="s">
        <v>90</v>
      </c>
      <c r="B13" s="37" t="s">
        <v>91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f t="shared" si="0"/>
        <v>0</v>
      </c>
    </row>
    <row r="14" spans="1:25" ht="18.75" x14ac:dyDescent="0.3">
      <c r="A14" s="38">
        <v>51601</v>
      </c>
      <c r="B14" s="39" t="s">
        <v>92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f t="shared" si="0"/>
        <v>0</v>
      </c>
    </row>
    <row r="15" spans="1:25" ht="18.75" x14ac:dyDescent="0.3">
      <c r="A15" s="38">
        <v>51602</v>
      </c>
      <c r="B15" s="39" t="s">
        <v>93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f t="shared" si="0"/>
        <v>0</v>
      </c>
    </row>
    <row r="16" spans="1:25" ht="18.75" x14ac:dyDescent="0.3">
      <c r="A16" s="38">
        <v>51701</v>
      </c>
      <c r="B16" s="39" t="s">
        <v>94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>
        <f t="shared" si="0"/>
        <v>0</v>
      </c>
    </row>
    <row r="17" spans="1:25" ht="18.75" x14ac:dyDescent="0.3">
      <c r="A17" s="38">
        <v>51702</v>
      </c>
      <c r="B17" s="39" t="s">
        <v>95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>
        <f t="shared" si="0"/>
        <v>0</v>
      </c>
    </row>
    <row r="18" spans="1:25" ht="18.75" x14ac:dyDescent="0.3">
      <c r="A18" s="38">
        <v>51901</v>
      </c>
      <c r="B18" s="39" t="s">
        <v>97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>
        <f t="shared" si="0"/>
        <v>0</v>
      </c>
    </row>
    <row r="19" spans="1:25" ht="18.75" x14ac:dyDescent="0.3">
      <c r="A19" s="38">
        <v>51999</v>
      </c>
      <c r="B19" s="39" t="s">
        <v>96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>
        <f t="shared" si="0"/>
        <v>0</v>
      </c>
    </row>
    <row r="20" spans="1:25" ht="18.75" x14ac:dyDescent="0.3">
      <c r="A20" s="38">
        <v>54101</v>
      </c>
      <c r="B20" s="39" t="s">
        <v>98</v>
      </c>
      <c r="C20" s="3"/>
      <c r="D20" s="3"/>
      <c r="E20" s="3"/>
      <c r="F20" s="3"/>
      <c r="G20" s="3"/>
      <c r="H20" s="3">
        <v>1771.2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>
        <f t="shared" si="0"/>
        <v>1771.2</v>
      </c>
    </row>
    <row r="21" spans="1:25" ht="18.75" x14ac:dyDescent="0.3">
      <c r="A21" s="38">
        <v>54103</v>
      </c>
      <c r="B21" s="39" t="s">
        <v>99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>
        <f t="shared" si="0"/>
        <v>0</v>
      </c>
    </row>
    <row r="22" spans="1:25" ht="18.75" x14ac:dyDescent="0.3">
      <c r="A22" s="38">
        <v>54104</v>
      </c>
      <c r="B22" s="39" t="s">
        <v>100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>
        <v>0</v>
      </c>
      <c r="T22" s="3"/>
      <c r="U22" s="3"/>
      <c r="V22" s="3"/>
      <c r="W22" s="3"/>
      <c r="X22" s="3"/>
      <c r="Y22" s="3">
        <f t="shared" si="0"/>
        <v>0</v>
      </c>
    </row>
    <row r="23" spans="1:25" ht="18.75" x14ac:dyDescent="0.3">
      <c r="A23" s="38">
        <v>54105</v>
      </c>
      <c r="B23" s="39" t="s">
        <v>101</v>
      </c>
      <c r="C23" s="3">
        <v>175.6</v>
      </c>
      <c r="D23" s="3">
        <v>100</v>
      </c>
      <c r="E23" s="3">
        <v>280.5</v>
      </c>
      <c r="F23" s="3">
        <v>61</v>
      </c>
      <c r="G23" s="3">
        <v>24</v>
      </c>
      <c r="H23" s="3">
        <v>80.400000000000006</v>
      </c>
      <c r="I23" s="3">
        <v>12.9</v>
      </c>
      <c r="J23" s="3">
        <v>121.1</v>
      </c>
      <c r="K23" s="3">
        <v>81.25</v>
      </c>
      <c r="L23" s="3">
        <v>1284.2</v>
      </c>
      <c r="M23" s="3">
        <v>3150</v>
      </c>
      <c r="N23" s="3">
        <v>72</v>
      </c>
      <c r="O23" s="3">
        <v>256</v>
      </c>
      <c r="P23" s="3">
        <v>118.25</v>
      </c>
      <c r="Q23" s="3">
        <v>486.5</v>
      </c>
      <c r="R23" s="3">
        <v>158.19999999999999</v>
      </c>
      <c r="S23" s="3">
        <v>0</v>
      </c>
      <c r="T23" s="3">
        <v>29.5</v>
      </c>
      <c r="U23" s="3">
        <v>50.3</v>
      </c>
      <c r="V23" s="3">
        <v>10</v>
      </c>
      <c r="W23" s="3">
        <v>527.9</v>
      </c>
      <c r="X23" s="3">
        <v>119.4</v>
      </c>
      <c r="Y23" s="3">
        <f t="shared" si="0"/>
        <v>7198.9999999999991</v>
      </c>
    </row>
    <row r="24" spans="1:25" ht="18.75" x14ac:dyDescent="0.3">
      <c r="A24" s="38">
        <v>54106</v>
      </c>
      <c r="B24" s="39" t="s">
        <v>102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>
        <v>210</v>
      </c>
      <c r="Q24" s="3"/>
      <c r="R24" s="3"/>
      <c r="S24" s="3">
        <v>0</v>
      </c>
      <c r="T24" s="3"/>
      <c r="U24" s="3"/>
      <c r="V24" s="3"/>
      <c r="W24" s="3"/>
      <c r="X24" s="3">
        <v>1882</v>
      </c>
      <c r="Y24" s="3">
        <f t="shared" si="0"/>
        <v>2092</v>
      </c>
    </row>
    <row r="25" spans="1:25" ht="18.75" x14ac:dyDescent="0.3">
      <c r="A25" s="38">
        <v>54107</v>
      </c>
      <c r="B25" s="39" t="s">
        <v>103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>
        <v>84</v>
      </c>
      <c r="P25" s="3">
        <v>447.5</v>
      </c>
      <c r="Q25" s="3"/>
      <c r="R25" s="3">
        <v>36</v>
      </c>
      <c r="S25" s="3">
        <v>0</v>
      </c>
      <c r="T25" s="3"/>
      <c r="U25" s="3">
        <v>114</v>
      </c>
      <c r="V25" s="3"/>
      <c r="W25" s="3"/>
      <c r="X25" s="3">
        <v>8398.14</v>
      </c>
      <c r="Y25" s="3">
        <f t="shared" si="0"/>
        <v>9079.64</v>
      </c>
    </row>
    <row r="26" spans="1:25" ht="18.75" x14ac:dyDescent="0.3">
      <c r="A26" s="38">
        <v>54108</v>
      </c>
      <c r="B26" s="39" t="s">
        <v>104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>
        <v>0</v>
      </c>
      <c r="T26" s="3"/>
      <c r="U26" s="3"/>
      <c r="V26" s="3"/>
      <c r="W26" s="3"/>
      <c r="X26" s="3"/>
      <c r="Y26" s="3">
        <f t="shared" si="0"/>
        <v>0</v>
      </c>
    </row>
    <row r="27" spans="1:25" ht="18.75" x14ac:dyDescent="0.3">
      <c r="A27" s="38">
        <v>54109</v>
      </c>
      <c r="B27" s="39" t="s">
        <v>105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>
        <v>0</v>
      </c>
      <c r="T27" s="3"/>
      <c r="U27" s="3"/>
      <c r="V27" s="3"/>
      <c r="W27" s="3"/>
      <c r="X27" s="3"/>
      <c r="Y27" s="3">
        <f t="shared" si="0"/>
        <v>0</v>
      </c>
    </row>
    <row r="28" spans="1:25" ht="18.75" x14ac:dyDescent="0.3">
      <c r="A28" s="38">
        <v>54110</v>
      </c>
      <c r="B28" s="39" t="s">
        <v>106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>
        <v>0</v>
      </c>
      <c r="T28" s="3"/>
      <c r="U28" s="3"/>
      <c r="V28" s="3"/>
      <c r="W28" s="3"/>
      <c r="X28" s="3">
        <v>180.8</v>
      </c>
      <c r="Y28" s="3">
        <f t="shared" si="0"/>
        <v>180.8</v>
      </c>
    </row>
    <row r="29" spans="1:25" ht="40.5" customHeight="1" x14ac:dyDescent="0.3">
      <c r="A29" s="38">
        <v>54111</v>
      </c>
      <c r="B29" s="40" t="s">
        <v>107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>
        <v>0</v>
      </c>
      <c r="T29" s="3"/>
      <c r="U29" s="3"/>
      <c r="V29" s="3"/>
      <c r="W29" s="3"/>
      <c r="X29" s="3"/>
      <c r="Y29" s="3">
        <f t="shared" si="0"/>
        <v>0</v>
      </c>
    </row>
    <row r="30" spans="1:25" ht="30" customHeight="1" x14ac:dyDescent="0.3">
      <c r="A30" s="38">
        <v>54112</v>
      </c>
      <c r="B30" s="40" t="s">
        <v>108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>
        <v>0</v>
      </c>
      <c r="T30" s="3"/>
      <c r="U30" s="3"/>
      <c r="V30" s="3"/>
      <c r="W30" s="3"/>
      <c r="X30" s="3"/>
      <c r="Y30" s="3">
        <f t="shared" si="0"/>
        <v>0</v>
      </c>
    </row>
    <row r="31" spans="1:25" ht="18.75" x14ac:dyDescent="0.3">
      <c r="A31" s="38">
        <v>54114</v>
      </c>
      <c r="B31" s="39" t="s">
        <v>109</v>
      </c>
      <c r="C31" s="3">
        <v>67.599999999999994</v>
      </c>
      <c r="D31" s="3">
        <v>15</v>
      </c>
      <c r="E31" s="3">
        <v>434.8</v>
      </c>
      <c r="F31" s="3">
        <v>30</v>
      </c>
      <c r="G31" s="3">
        <v>10</v>
      </c>
      <c r="H31" s="3">
        <v>57.97</v>
      </c>
      <c r="I31" s="3">
        <v>66.95</v>
      </c>
      <c r="J31" s="3">
        <v>45.25</v>
      </c>
      <c r="K31" s="3">
        <v>106.3</v>
      </c>
      <c r="L31" s="3">
        <v>57.4</v>
      </c>
      <c r="M31" s="3">
        <v>156.69999999999999</v>
      </c>
      <c r="N31" s="3">
        <v>207</v>
      </c>
      <c r="O31" s="3">
        <v>309</v>
      </c>
      <c r="P31" s="3">
        <v>272.37</v>
      </c>
      <c r="Q31" s="3">
        <v>360.54</v>
      </c>
      <c r="R31" s="3">
        <v>134.5</v>
      </c>
      <c r="S31" s="3">
        <v>0</v>
      </c>
      <c r="T31" s="3">
        <v>452.98</v>
      </c>
      <c r="U31" s="3">
        <v>242.85</v>
      </c>
      <c r="V31" s="3">
        <v>18.600000000000001</v>
      </c>
      <c r="W31" s="3">
        <v>583.28</v>
      </c>
      <c r="X31" s="3">
        <v>145.4</v>
      </c>
      <c r="Y31" s="3">
        <f t="shared" si="0"/>
        <v>3774.4900000000002</v>
      </c>
    </row>
    <row r="32" spans="1:25" ht="18.75" x14ac:dyDescent="0.3">
      <c r="A32" s="38">
        <v>54115</v>
      </c>
      <c r="B32" s="39" t="s">
        <v>110</v>
      </c>
      <c r="C32" s="3">
        <v>172</v>
      </c>
      <c r="D32" s="3"/>
      <c r="E32" s="3">
        <v>1147.5</v>
      </c>
      <c r="F32" s="3"/>
      <c r="G32" s="3">
        <v>153</v>
      </c>
      <c r="H32" s="3"/>
      <c r="I32" s="3">
        <v>44</v>
      </c>
      <c r="J32" s="3">
        <v>1905.48</v>
      </c>
      <c r="K32" s="3">
        <v>276</v>
      </c>
      <c r="L32" s="3"/>
      <c r="M32" s="3">
        <v>389</v>
      </c>
      <c r="N32" s="3">
        <v>129</v>
      </c>
      <c r="O32" s="3">
        <v>570</v>
      </c>
      <c r="P32" s="3">
        <v>1680</v>
      </c>
      <c r="Q32" s="3">
        <v>2340</v>
      </c>
      <c r="R32" s="3">
        <v>555</v>
      </c>
      <c r="S32" s="3">
        <v>0</v>
      </c>
      <c r="T32" s="3">
        <v>3085</v>
      </c>
      <c r="U32" s="3">
        <v>442.5</v>
      </c>
      <c r="V32" s="3"/>
      <c r="W32" s="3">
        <v>710</v>
      </c>
      <c r="X32" s="3">
        <v>75</v>
      </c>
      <c r="Y32" s="3">
        <f t="shared" si="0"/>
        <v>13673.48</v>
      </c>
    </row>
    <row r="33" spans="1:25" ht="30.75" customHeight="1" x14ac:dyDescent="0.3">
      <c r="A33" s="38">
        <v>54116</v>
      </c>
      <c r="B33" s="40" t="s">
        <v>111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>
        <v>0</v>
      </c>
      <c r="T33" s="3"/>
      <c r="U33" s="3"/>
      <c r="V33" s="3"/>
      <c r="W33" s="3"/>
      <c r="X33" s="3"/>
      <c r="Y33" s="3">
        <f t="shared" si="0"/>
        <v>0</v>
      </c>
    </row>
    <row r="34" spans="1:25" ht="29.25" customHeight="1" x14ac:dyDescent="0.3">
      <c r="A34" s="38">
        <v>54117</v>
      </c>
      <c r="B34" s="40" t="s">
        <v>112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>
        <v>0</v>
      </c>
      <c r="T34" s="3"/>
      <c r="U34" s="3"/>
      <c r="V34" s="3"/>
      <c r="W34" s="3"/>
      <c r="X34" s="3"/>
      <c r="Y34" s="3">
        <f t="shared" ref="Y34:Y65" si="1">SUM(C34:X34)</f>
        <v>0</v>
      </c>
    </row>
    <row r="35" spans="1:25" ht="18.75" x14ac:dyDescent="0.3">
      <c r="A35" s="38">
        <v>54118</v>
      </c>
      <c r="B35" s="39" t="s">
        <v>113</v>
      </c>
      <c r="C35" s="3"/>
      <c r="D35" s="3"/>
      <c r="E35" s="3"/>
      <c r="F35" s="3"/>
      <c r="G35" s="3"/>
      <c r="H35" s="3">
        <v>500</v>
      </c>
      <c r="I35" s="3"/>
      <c r="J35" s="3"/>
      <c r="K35" s="3"/>
      <c r="L35" s="3"/>
      <c r="M35" s="3"/>
      <c r="N35" s="3"/>
      <c r="O35" s="3"/>
      <c r="P35" s="3">
        <v>70</v>
      </c>
      <c r="Q35" s="3"/>
      <c r="R35" s="3">
        <v>150</v>
      </c>
      <c r="S35" s="3">
        <v>0</v>
      </c>
      <c r="T35" s="3">
        <v>100</v>
      </c>
      <c r="U35" s="3"/>
      <c r="V35" s="3"/>
      <c r="W35" s="3"/>
      <c r="X35" s="3">
        <v>7349.65</v>
      </c>
      <c r="Y35" s="3">
        <f t="shared" si="1"/>
        <v>8169.65</v>
      </c>
    </row>
    <row r="36" spans="1:25" ht="18.75" x14ac:dyDescent="0.3">
      <c r="A36" s="38">
        <v>54119</v>
      </c>
      <c r="B36" s="39" t="s">
        <v>114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>
        <v>0</v>
      </c>
      <c r="T36" s="3"/>
      <c r="U36" s="3"/>
      <c r="V36" s="3"/>
      <c r="W36" s="3"/>
      <c r="X36" s="3">
        <v>43.2</v>
      </c>
      <c r="Y36" s="3">
        <f t="shared" si="1"/>
        <v>43.2</v>
      </c>
    </row>
    <row r="37" spans="1:25" ht="18.75" x14ac:dyDescent="0.3">
      <c r="A37" s="38">
        <v>54121</v>
      </c>
      <c r="B37" s="39" t="s">
        <v>115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>
        <v>0</v>
      </c>
      <c r="T37" s="3"/>
      <c r="U37" s="3"/>
      <c r="V37" s="3"/>
      <c r="W37" s="3"/>
      <c r="X37" s="3"/>
      <c r="Y37" s="3">
        <f t="shared" si="1"/>
        <v>0</v>
      </c>
    </row>
    <row r="38" spans="1:25" ht="18.75" x14ac:dyDescent="0.3">
      <c r="A38" s="38">
        <v>54199</v>
      </c>
      <c r="B38" s="39" t="s">
        <v>116</v>
      </c>
      <c r="C38" s="3"/>
      <c r="D38" s="3">
        <v>35</v>
      </c>
      <c r="E38" s="3"/>
      <c r="F38" s="3"/>
      <c r="G38" s="3"/>
      <c r="H38" s="3">
        <v>568.6</v>
      </c>
      <c r="I38" s="3"/>
      <c r="J38" s="3">
        <v>12</v>
      </c>
      <c r="K38" s="3"/>
      <c r="L38" s="3">
        <v>3</v>
      </c>
      <c r="M38" s="3"/>
      <c r="N38" s="3"/>
      <c r="O38" s="3">
        <v>50</v>
      </c>
      <c r="P38" s="3"/>
      <c r="Q38" s="3"/>
      <c r="R38" s="3"/>
      <c r="S38" s="3">
        <v>0</v>
      </c>
      <c r="T38" s="3">
        <v>15</v>
      </c>
      <c r="U38" s="3">
        <v>2.99</v>
      </c>
      <c r="V38" s="3"/>
      <c r="W38" s="3"/>
      <c r="X38" s="3">
        <v>5992.45</v>
      </c>
      <c r="Y38" s="3">
        <f t="shared" si="1"/>
        <v>6679.04</v>
      </c>
    </row>
    <row r="39" spans="1:25" ht="18.75" x14ac:dyDescent="0.3">
      <c r="A39" s="38">
        <v>54205</v>
      </c>
      <c r="B39" s="39" t="s">
        <v>13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>
        <v>0</v>
      </c>
      <c r="T39" s="3"/>
      <c r="U39" s="3"/>
      <c r="V39" s="3"/>
      <c r="W39" s="3"/>
      <c r="X39" s="3"/>
      <c r="Y39" s="3">
        <f t="shared" si="1"/>
        <v>0</v>
      </c>
    </row>
    <row r="40" spans="1:25" ht="18.75" x14ac:dyDescent="0.3">
      <c r="A40" s="38">
        <v>54201</v>
      </c>
      <c r="B40" s="39" t="s">
        <v>117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>
        <v>0</v>
      </c>
      <c r="T40" s="3"/>
      <c r="U40" s="3"/>
      <c r="V40" s="3"/>
      <c r="W40" s="3"/>
      <c r="X40" s="3"/>
      <c r="Y40" s="3">
        <f t="shared" si="1"/>
        <v>0</v>
      </c>
    </row>
    <row r="41" spans="1:25" ht="18.75" x14ac:dyDescent="0.3">
      <c r="A41" s="38">
        <v>54202</v>
      </c>
      <c r="B41" s="39" t="s">
        <v>118</v>
      </c>
      <c r="C41" s="3"/>
      <c r="D41" s="3"/>
      <c r="E41" s="3"/>
      <c r="F41" s="3"/>
      <c r="G41" s="3"/>
      <c r="H41" s="3">
        <v>821.25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>
        <v>0</v>
      </c>
      <c r="T41" s="3"/>
      <c r="U41" s="3"/>
      <c r="V41" s="3"/>
      <c r="W41" s="3"/>
      <c r="X41" s="3"/>
      <c r="Y41" s="3">
        <f t="shared" si="1"/>
        <v>821.25</v>
      </c>
    </row>
    <row r="42" spans="1:25" ht="18.75" x14ac:dyDescent="0.3">
      <c r="A42" s="38">
        <v>54203</v>
      </c>
      <c r="B42" s="39" t="s">
        <v>119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v>0</v>
      </c>
      <c r="T42" s="3"/>
      <c r="U42" s="3"/>
      <c r="V42" s="3"/>
      <c r="W42" s="3"/>
      <c r="X42" s="3"/>
      <c r="Y42" s="3">
        <f t="shared" si="1"/>
        <v>0</v>
      </c>
    </row>
    <row r="43" spans="1:25" ht="18.75" x14ac:dyDescent="0.3">
      <c r="A43" s="38">
        <v>54204</v>
      </c>
      <c r="B43" s="39" t="s">
        <v>120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>
        <v>0</v>
      </c>
      <c r="T43" s="3"/>
      <c r="U43" s="3"/>
      <c r="V43" s="3"/>
      <c r="W43" s="3"/>
      <c r="X43" s="3"/>
      <c r="Y43" s="3">
        <f t="shared" si="1"/>
        <v>0</v>
      </c>
    </row>
    <row r="44" spans="1:25" ht="18.75" x14ac:dyDescent="0.3">
      <c r="A44" s="38">
        <v>54301</v>
      </c>
      <c r="B44" s="39" t="s">
        <v>121</v>
      </c>
      <c r="C44" s="3"/>
      <c r="D44" s="3"/>
      <c r="E44" s="3">
        <v>400</v>
      </c>
      <c r="F44" s="3"/>
      <c r="G44" s="3">
        <v>100</v>
      </c>
      <c r="H44" s="3">
        <v>180</v>
      </c>
      <c r="I44" s="3"/>
      <c r="J44" s="3"/>
      <c r="K44" s="3"/>
      <c r="L44" s="3"/>
      <c r="M44" s="3"/>
      <c r="N44" s="3"/>
      <c r="O44" s="3"/>
      <c r="P44" s="3"/>
      <c r="Q44" s="3">
        <v>1550</v>
      </c>
      <c r="R44" s="3"/>
      <c r="S44" s="3">
        <v>0</v>
      </c>
      <c r="T44" s="3"/>
      <c r="U44" s="3"/>
      <c r="V44" s="3"/>
      <c r="W44" s="3">
        <v>400</v>
      </c>
      <c r="X44" s="3">
        <v>4250</v>
      </c>
      <c r="Y44" s="3">
        <f t="shared" si="1"/>
        <v>6880</v>
      </c>
    </row>
    <row r="45" spans="1:25" ht="18.75" x14ac:dyDescent="0.3">
      <c r="A45" s="38">
        <v>54302</v>
      </c>
      <c r="B45" s="39" t="s">
        <v>122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>
        <v>0</v>
      </c>
      <c r="T45" s="3"/>
      <c r="U45" s="3"/>
      <c r="V45" s="3"/>
      <c r="W45" s="3"/>
      <c r="X45" s="3"/>
      <c r="Y45" s="3">
        <f t="shared" si="1"/>
        <v>0</v>
      </c>
    </row>
    <row r="46" spans="1:25" ht="18.75" x14ac:dyDescent="0.3">
      <c r="A46" s="38">
        <v>54303</v>
      </c>
      <c r="B46" s="39" t="s">
        <v>123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>
        <v>0</v>
      </c>
      <c r="T46" s="3"/>
      <c r="U46" s="3"/>
      <c r="V46" s="3"/>
      <c r="W46" s="3"/>
      <c r="X46" s="3">
        <v>4200</v>
      </c>
      <c r="Y46" s="3">
        <f t="shared" si="1"/>
        <v>4200</v>
      </c>
    </row>
    <row r="47" spans="1:25" ht="18.75" x14ac:dyDescent="0.3">
      <c r="A47" s="38">
        <v>54304</v>
      </c>
      <c r="B47" s="39" t="s">
        <v>124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>
        <v>0</v>
      </c>
      <c r="T47" s="3"/>
      <c r="U47" s="3"/>
      <c r="V47" s="3"/>
      <c r="W47" s="3"/>
      <c r="X47" s="3"/>
      <c r="Y47" s="3">
        <f t="shared" si="1"/>
        <v>0</v>
      </c>
    </row>
    <row r="48" spans="1:25" ht="18.75" x14ac:dyDescent="0.3">
      <c r="A48" s="38">
        <v>54305</v>
      </c>
      <c r="B48" s="39" t="s">
        <v>125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v>0</v>
      </c>
      <c r="T48" s="3"/>
      <c r="U48" s="3"/>
      <c r="V48" s="3"/>
      <c r="W48" s="3"/>
      <c r="X48" s="3"/>
      <c r="Y48" s="3">
        <f t="shared" si="1"/>
        <v>0</v>
      </c>
    </row>
    <row r="49" spans="1:25" ht="18.75" x14ac:dyDescent="0.3">
      <c r="A49" s="38">
        <v>54306</v>
      </c>
      <c r="B49" s="39" t="s">
        <v>126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>
        <v>0</v>
      </c>
      <c r="T49" s="3"/>
      <c r="U49" s="3"/>
      <c r="V49" s="3"/>
      <c r="W49" s="3"/>
      <c r="X49" s="3"/>
      <c r="Y49" s="3">
        <f t="shared" si="1"/>
        <v>0</v>
      </c>
    </row>
    <row r="50" spans="1:25" ht="18.75" x14ac:dyDescent="0.3">
      <c r="A50" s="38">
        <v>54307</v>
      </c>
      <c r="B50" s="39" t="s">
        <v>127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>
        <v>0</v>
      </c>
      <c r="T50" s="3"/>
      <c r="U50" s="3"/>
      <c r="V50" s="3"/>
      <c r="W50" s="3"/>
      <c r="X50" s="3"/>
      <c r="Y50" s="3">
        <f t="shared" si="1"/>
        <v>0</v>
      </c>
    </row>
    <row r="51" spans="1:25" ht="18.75" x14ac:dyDescent="0.3">
      <c r="A51" s="38">
        <v>54309</v>
      </c>
      <c r="B51" s="39" t="s">
        <v>128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>
        <v>0</v>
      </c>
      <c r="T51" s="3"/>
      <c r="U51" s="3"/>
      <c r="V51" s="3"/>
      <c r="W51" s="3"/>
      <c r="X51" s="3"/>
      <c r="Y51" s="3">
        <f t="shared" si="1"/>
        <v>0</v>
      </c>
    </row>
    <row r="52" spans="1:25" ht="18.75" x14ac:dyDescent="0.3">
      <c r="A52" s="38">
        <v>54310</v>
      </c>
      <c r="B52" s="39" t="s">
        <v>129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>
        <v>0</v>
      </c>
      <c r="T52" s="3"/>
      <c r="U52" s="3"/>
      <c r="V52" s="3"/>
      <c r="W52" s="3"/>
      <c r="X52" s="3"/>
      <c r="Y52" s="3">
        <f t="shared" si="1"/>
        <v>0</v>
      </c>
    </row>
    <row r="53" spans="1:25" ht="18.75" x14ac:dyDescent="0.3">
      <c r="A53" s="38">
        <v>54311</v>
      </c>
      <c r="B53" s="39" t="s">
        <v>130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>
        <v>0</v>
      </c>
      <c r="T53" s="3"/>
      <c r="U53" s="3"/>
      <c r="V53" s="3"/>
      <c r="W53" s="3"/>
      <c r="X53" s="3"/>
      <c r="Y53" s="3">
        <f t="shared" si="1"/>
        <v>0</v>
      </c>
    </row>
    <row r="54" spans="1:25" ht="18.75" x14ac:dyDescent="0.3">
      <c r="A54" s="8">
        <v>54313</v>
      </c>
      <c r="B54" s="39" t="s">
        <v>131</v>
      </c>
      <c r="C54" s="3"/>
      <c r="D54" s="3"/>
      <c r="E54" s="3">
        <v>419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>
        <v>888</v>
      </c>
      <c r="R54" s="3"/>
      <c r="S54" s="3">
        <v>0</v>
      </c>
      <c r="T54" s="3"/>
      <c r="U54" s="3"/>
      <c r="V54" s="3"/>
      <c r="W54" s="3"/>
      <c r="X54" s="3"/>
      <c r="Y54" s="3">
        <f t="shared" si="1"/>
        <v>1307</v>
      </c>
    </row>
    <row r="55" spans="1:25" ht="18.75" x14ac:dyDescent="0.3">
      <c r="A55" s="8">
        <v>54316</v>
      </c>
      <c r="B55" s="39" t="s">
        <v>132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>
        <v>0</v>
      </c>
      <c r="T55" s="3"/>
      <c r="U55" s="3"/>
      <c r="V55" s="3"/>
      <c r="W55" s="3"/>
      <c r="X55" s="3"/>
      <c r="Y55" s="3">
        <f t="shared" si="1"/>
        <v>0</v>
      </c>
    </row>
    <row r="56" spans="1:25" ht="18.75" x14ac:dyDescent="0.3">
      <c r="A56" s="38">
        <v>54317</v>
      </c>
      <c r="B56" s="39" t="s">
        <v>133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>
        <v>0</v>
      </c>
      <c r="T56" s="3"/>
      <c r="U56" s="3"/>
      <c r="V56" s="3"/>
      <c r="W56" s="3"/>
      <c r="X56" s="3"/>
      <c r="Y56" s="3">
        <f t="shared" si="1"/>
        <v>0</v>
      </c>
    </row>
    <row r="57" spans="1:25" ht="18.75" x14ac:dyDescent="0.3">
      <c r="A57" s="38">
        <v>54314</v>
      </c>
      <c r="B57" s="39" t="s">
        <v>134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>
        <v>0</v>
      </c>
      <c r="T57" s="3"/>
      <c r="U57" s="3">
        <v>796.75</v>
      </c>
      <c r="V57" s="3"/>
      <c r="W57" s="3"/>
      <c r="X57" s="3"/>
      <c r="Y57" s="3">
        <f t="shared" si="1"/>
        <v>796.75</v>
      </c>
    </row>
    <row r="58" spans="1:25" ht="18.75" x14ac:dyDescent="0.3">
      <c r="A58" s="38">
        <v>54318</v>
      </c>
      <c r="B58" s="39" t="s">
        <v>135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>
        <v>0</v>
      </c>
      <c r="T58" s="3"/>
      <c r="U58" s="3"/>
      <c r="V58" s="3"/>
      <c r="W58" s="3"/>
      <c r="X58" s="3"/>
      <c r="Y58" s="3">
        <f t="shared" si="1"/>
        <v>0</v>
      </c>
    </row>
    <row r="59" spans="1:25" ht="18.75" x14ac:dyDescent="0.3">
      <c r="A59" s="38">
        <v>54399</v>
      </c>
      <c r="B59" s="39" t="s">
        <v>136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>
        <v>0</v>
      </c>
      <c r="T59" s="3"/>
      <c r="U59" s="3"/>
      <c r="V59" s="3"/>
      <c r="W59" s="3"/>
      <c r="X59" s="3"/>
      <c r="Y59" s="3">
        <f t="shared" si="1"/>
        <v>0</v>
      </c>
    </row>
    <row r="60" spans="1:25" ht="18.75" x14ac:dyDescent="0.3">
      <c r="A60" s="38">
        <v>54401</v>
      </c>
      <c r="B60" s="39" t="s">
        <v>137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>
        <v>0</v>
      </c>
      <c r="T60" s="3"/>
      <c r="U60" s="3"/>
      <c r="V60" s="3"/>
      <c r="W60" s="3"/>
      <c r="X60" s="3"/>
      <c r="Y60" s="3">
        <f t="shared" si="1"/>
        <v>0</v>
      </c>
    </row>
    <row r="61" spans="1:25" ht="18.75" x14ac:dyDescent="0.3">
      <c r="A61" s="38">
        <v>54404</v>
      </c>
      <c r="B61" s="39" t="s">
        <v>138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v>0</v>
      </c>
      <c r="T61" s="3"/>
      <c r="U61" s="3"/>
      <c r="V61" s="3"/>
      <c r="W61" s="3"/>
      <c r="X61" s="3"/>
      <c r="Y61" s="3">
        <f t="shared" si="1"/>
        <v>0</v>
      </c>
    </row>
    <row r="62" spans="1:25" ht="18.75" x14ac:dyDescent="0.3">
      <c r="A62" s="38">
        <v>54403</v>
      </c>
      <c r="B62" s="39" t="s">
        <v>139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>
        <v>0</v>
      </c>
      <c r="T62" s="3"/>
      <c r="U62" s="3"/>
      <c r="V62" s="3"/>
      <c r="W62" s="3"/>
      <c r="X62" s="3"/>
      <c r="Y62" s="3">
        <f t="shared" si="1"/>
        <v>0</v>
      </c>
    </row>
    <row r="63" spans="1:25" ht="18.75" x14ac:dyDescent="0.3">
      <c r="A63" s="38">
        <v>54501</v>
      </c>
      <c r="B63" s="39" t="s">
        <v>140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>
        <v>0</v>
      </c>
      <c r="T63" s="3"/>
      <c r="U63" s="3"/>
      <c r="V63" s="3"/>
      <c r="W63" s="3"/>
      <c r="X63" s="3"/>
      <c r="Y63" s="3">
        <f t="shared" si="1"/>
        <v>0</v>
      </c>
    </row>
    <row r="64" spans="1:25" ht="18.75" x14ac:dyDescent="0.3">
      <c r="A64" s="38">
        <v>54503</v>
      </c>
      <c r="B64" s="39" t="s">
        <v>141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>
        <v>0</v>
      </c>
      <c r="T64" s="3"/>
      <c r="U64" s="3"/>
      <c r="V64" s="3"/>
      <c r="W64" s="3"/>
      <c r="X64" s="3"/>
      <c r="Y64" s="3">
        <f t="shared" si="1"/>
        <v>0</v>
      </c>
    </row>
    <row r="65" spans="1:25" ht="18.75" x14ac:dyDescent="0.3">
      <c r="A65" s="38">
        <v>54505</v>
      </c>
      <c r="B65" s="39" t="s">
        <v>142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>
        <v>0</v>
      </c>
      <c r="T65" s="3"/>
      <c r="U65" s="3"/>
      <c r="V65" s="3"/>
      <c r="W65" s="3"/>
      <c r="X65" s="3"/>
      <c r="Y65" s="3">
        <f t="shared" si="1"/>
        <v>0</v>
      </c>
    </row>
    <row r="66" spans="1:25" ht="18.75" x14ac:dyDescent="0.3">
      <c r="A66" s="38">
        <v>54507</v>
      </c>
      <c r="B66" s="39" t="s">
        <v>143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>
        <v>0</v>
      </c>
      <c r="T66" s="3"/>
      <c r="U66" s="3"/>
      <c r="V66" s="3"/>
      <c r="W66" s="3"/>
      <c r="X66" s="3"/>
      <c r="Y66" s="3">
        <f t="shared" ref="Y66:Y97" si="2">SUM(C66:X66)</f>
        <v>0</v>
      </c>
    </row>
    <row r="67" spans="1:25" ht="18.75" x14ac:dyDescent="0.3">
      <c r="A67" s="38">
        <v>54599</v>
      </c>
      <c r="B67" s="39" t="s">
        <v>144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>
        <v>0</v>
      </c>
      <c r="T67" s="3"/>
      <c r="U67" s="3"/>
      <c r="V67" s="3"/>
      <c r="W67" s="3"/>
      <c r="X67" s="3"/>
      <c r="Y67" s="3">
        <f t="shared" si="2"/>
        <v>0</v>
      </c>
    </row>
    <row r="68" spans="1:25" ht="18.75" x14ac:dyDescent="0.3">
      <c r="A68" s="38">
        <v>54508</v>
      </c>
      <c r="B68" s="39" t="s">
        <v>145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>
        <v>0</v>
      </c>
      <c r="T68" s="3"/>
      <c r="U68" s="3"/>
      <c r="V68" s="3"/>
      <c r="W68" s="3"/>
      <c r="X68" s="3"/>
      <c r="Y68" s="3">
        <f t="shared" si="2"/>
        <v>0</v>
      </c>
    </row>
    <row r="69" spans="1:25" ht="18.75" x14ac:dyDescent="0.3">
      <c r="A69" s="38">
        <v>54699</v>
      </c>
      <c r="B69" s="39" t="s">
        <v>25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>
        <v>0</v>
      </c>
      <c r="T69" s="3"/>
      <c r="U69" s="3"/>
      <c r="V69" s="3"/>
      <c r="W69" s="3"/>
      <c r="X69" s="3"/>
      <c r="Y69" s="3">
        <f t="shared" si="2"/>
        <v>0</v>
      </c>
    </row>
    <row r="70" spans="1:25" ht="18.75" x14ac:dyDescent="0.3">
      <c r="A70" s="38">
        <v>55308</v>
      </c>
      <c r="B70" s="39" t="s">
        <v>146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>
        <v>0</v>
      </c>
      <c r="T70" s="3"/>
      <c r="U70" s="3"/>
      <c r="V70" s="3"/>
      <c r="W70" s="3"/>
      <c r="X70" s="3"/>
      <c r="Y70" s="3">
        <f t="shared" si="2"/>
        <v>0</v>
      </c>
    </row>
    <row r="71" spans="1:25" ht="18.75" x14ac:dyDescent="0.3">
      <c r="A71" s="38">
        <v>55599</v>
      </c>
      <c r="B71" s="39" t="s">
        <v>147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>
        <v>0</v>
      </c>
      <c r="T71" s="3"/>
      <c r="U71" s="3"/>
      <c r="V71" s="3"/>
      <c r="W71" s="3"/>
      <c r="X71" s="3"/>
      <c r="Y71" s="3">
        <f t="shared" si="2"/>
        <v>0</v>
      </c>
    </row>
    <row r="72" spans="1:25" ht="18.75" x14ac:dyDescent="0.3">
      <c r="A72" s="38">
        <v>55601</v>
      </c>
      <c r="B72" s="39" t="s">
        <v>148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>
        <v>0</v>
      </c>
      <c r="T72" s="3"/>
      <c r="U72" s="3"/>
      <c r="V72" s="3"/>
      <c r="W72" s="3"/>
      <c r="X72" s="3"/>
      <c r="Y72" s="3">
        <f t="shared" si="2"/>
        <v>0</v>
      </c>
    </row>
    <row r="73" spans="1:25" ht="18.75" x14ac:dyDescent="0.3">
      <c r="A73" s="38">
        <v>55602</v>
      </c>
      <c r="B73" s="39" t="s">
        <v>149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>
        <v>0</v>
      </c>
      <c r="T73" s="3"/>
      <c r="U73" s="3"/>
      <c r="V73" s="3"/>
      <c r="W73" s="3"/>
      <c r="X73" s="3"/>
      <c r="Y73" s="3">
        <f t="shared" si="2"/>
        <v>0</v>
      </c>
    </row>
    <row r="74" spans="1:25" ht="18.75" x14ac:dyDescent="0.3">
      <c r="A74" s="38">
        <v>55603</v>
      </c>
      <c r="B74" s="39" t="s">
        <v>150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>
        <v>0</v>
      </c>
      <c r="T74" s="3"/>
      <c r="U74" s="3"/>
      <c r="V74" s="3"/>
      <c r="W74" s="3"/>
      <c r="X74" s="3"/>
      <c r="Y74" s="3">
        <f t="shared" si="2"/>
        <v>0</v>
      </c>
    </row>
    <row r="75" spans="1:25" ht="18.75" x14ac:dyDescent="0.3">
      <c r="A75" s="38">
        <v>55799</v>
      </c>
      <c r="B75" s="39" t="s">
        <v>151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>
        <v>0</v>
      </c>
      <c r="T75" s="3"/>
      <c r="U75" s="3"/>
      <c r="V75" s="3"/>
      <c r="W75" s="3"/>
      <c r="X75" s="3"/>
      <c r="Y75" s="3">
        <f t="shared" si="2"/>
        <v>0</v>
      </c>
    </row>
    <row r="76" spans="1:25" ht="18.75" x14ac:dyDescent="0.3">
      <c r="A76" s="38">
        <v>56201</v>
      </c>
      <c r="B76" s="39" t="s">
        <v>152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>
        <v>0</v>
      </c>
      <c r="T76" s="3"/>
      <c r="U76" s="3"/>
      <c r="V76" s="3"/>
      <c r="W76" s="3"/>
      <c r="X76" s="3"/>
      <c r="Y76" s="3">
        <f t="shared" si="2"/>
        <v>0</v>
      </c>
    </row>
    <row r="77" spans="1:25" ht="18.75" x14ac:dyDescent="0.3">
      <c r="A77" s="38">
        <v>56303</v>
      </c>
      <c r="B77" s="39" t="s">
        <v>153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>
        <v>0</v>
      </c>
      <c r="T77" s="3"/>
      <c r="U77" s="3"/>
      <c r="V77" s="3"/>
      <c r="W77" s="3"/>
      <c r="X77" s="3"/>
      <c r="Y77" s="3">
        <f t="shared" si="2"/>
        <v>0</v>
      </c>
    </row>
    <row r="78" spans="1:25" ht="18.75" x14ac:dyDescent="0.3">
      <c r="A78" s="38">
        <v>56304</v>
      </c>
      <c r="B78" s="39" t="s">
        <v>154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>
        <v>0</v>
      </c>
      <c r="T78" s="3"/>
      <c r="U78" s="3"/>
      <c r="V78" s="3"/>
      <c r="W78" s="3"/>
      <c r="X78" s="3"/>
      <c r="Y78" s="3">
        <f t="shared" si="2"/>
        <v>0</v>
      </c>
    </row>
    <row r="79" spans="1:25" ht="18.75" x14ac:dyDescent="0.3">
      <c r="A79" s="38">
        <v>56305</v>
      </c>
      <c r="B79" s="39" t="s">
        <v>155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>
        <v>0</v>
      </c>
      <c r="T79" s="3"/>
      <c r="U79" s="3"/>
      <c r="V79" s="3"/>
      <c r="W79" s="3"/>
      <c r="X79" s="3"/>
      <c r="Y79" s="3">
        <f t="shared" si="2"/>
        <v>0</v>
      </c>
    </row>
    <row r="80" spans="1:25" ht="18.75" x14ac:dyDescent="0.3">
      <c r="A80" s="38">
        <v>61101</v>
      </c>
      <c r="B80" s="39" t="s">
        <v>156</v>
      </c>
      <c r="C80" s="3"/>
      <c r="D80" s="3"/>
      <c r="E80" s="3">
        <v>465</v>
      </c>
      <c r="F80" s="3">
        <v>350</v>
      </c>
      <c r="G80" s="3"/>
      <c r="H80" s="3"/>
      <c r="I80" s="3">
        <v>690</v>
      </c>
      <c r="J80" s="3">
        <v>400</v>
      </c>
      <c r="K80" s="3"/>
      <c r="L80" s="3">
        <v>1890</v>
      </c>
      <c r="M80" s="3">
        <v>920</v>
      </c>
      <c r="N80" s="3">
        <v>200</v>
      </c>
      <c r="O80" s="3">
        <v>180</v>
      </c>
      <c r="P80" s="3">
        <v>230</v>
      </c>
      <c r="Q80" s="3">
        <v>1310</v>
      </c>
      <c r="R80" s="3">
        <v>300</v>
      </c>
      <c r="S80" s="3"/>
      <c r="T80" s="3">
        <v>1910</v>
      </c>
      <c r="U80" s="3">
        <v>445</v>
      </c>
      <c r="V80" s="3">
        <v>250</v>
      </c>
      <c r="W80" s="3"/>
      <c r="X80" s="3">
        <v>1830</v>
      </c>
      <c r="Y80" s="3">
        <f t="shared" si="2"/>
        <v>11370</v>
      </c>
    </row>
    <row r="81" spans="1:25" ht="18.75" x14ac:dyDescent="0.3">
      <c r="A81" s="38">
        <v>61102</v>
      </c>
      <c r="B81" s="39" t="s">
        <v>157</v>
      </c>
      <c r="C81" s="3"/>
      <c r="D81" s="3">
        <v>200</v>
      </c>
      <c r="E81" s="3">
        <v>600</v>
      </c>
      <c r="F81" s="3"/>
      <c r="G81" s="3"/>
      <c r="H81" s="3"/>
      <c r="I81" s="3"/>
      <c r="J81" s="3">
        <v>115</v>
      </c>
      <c r="K81" s="3"/>
      <c r="L81" s="3"/>
      <c r="M81" s="3"/>
      <c r="N81" s="3"/>
      <c r="O81" s="3">
        <v>400</v>
      </c>
      <c r="P81" s="3"/>
      <c r="Q81" s="3"/>
      <c r="R81" s="3">
        <v>850</v>
      </c>
      <c r="S81" s="3"/>
      <c r="T81" s="3"/>
      <c r="U81" s="3">
        <v>300</v>
      </c>
      <c r="V81" s="3"/>
      <c r="W81" s="3"/>
      <c r="X81" s="3"/>
      <c r="Y81" s="3">
        <f t="shared" si="2"/>
        <v>2465</v>
      </c>
    </row>
    <row r="82" spans="1:25" ht="18.75" x14ac:dyDescent="0.3">
      <c r="A82" s="38">
        <v>61105</v>
      </c>
      <c r="B82" s="39" t="s">
        <v>158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>
        <f t="shared" si="2"/>
        <v>0</v>
      </c>
    </row>
    <row r="83" spans="1:25" ht="18.75" x14ac:dyDescent="0.3">
      <c r="A83" s="38">
        <v>61104</v>
      </c>
      <c r="B83" s="39" t="s">
        <v>159</v>
      </c>
      <c r="C83" s="3"/>
      <c r="D83" s="3"/>
      <c r="E83" s="3">
        <v>900</v>
      </c>
      <c r="F83" s="3">
        <v>1200</v>
      </c>
      <c r="G83" s="3">
        <v>1000</v>
      </c>
      <c r="H83" s="3">
        <v>750</v>
      </c>
      <c r="I83" s="3">
        <v>1000</v>
      </c>
      <c r="J83" s="3"/>
      <c r="K83" s="3">
        <v>1500</v>
      </c>
      <c r="L83" s="3">
        <v>1150</v>
      </c>
      <c r="M83" s="3">
        <v>100</v>
      </c>
      <c r="N83" s="3"/>
      <c r="O83" s="3">
        <v>300</v>
      </c>
      <c r="P83" s="3">
        <v>1150</v>
      </c>
      <c r="Q83" s="3"/>
      <c r="R83" s="3"/>
      <c r="S83" s="3"/>
      <c r="T83" s="3">
        <v>2150</v>
      </c>
      <c r="U83" s="3">
        <v>250</v>
      </c>
      <c r="V83" s="3"/>
      <c r="W83" s="3">
        <v>250</v>
      </c>
      <c r="X83" s="3">
        <v>800</v>
      </c>
      <c r="Y83" s="3">
        <f t="shared" si="2"/>
        <v>12500</v>
      </c>
    </row>
    <row r="84" spans="1:25" ht="18.75" x14ac:dyDescent="0.3">
      <c r="A84" s="38">
        <v>61199</v>
      </c>
      <c r="B84" s="39" t="s">
        <v>160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>
        <f t="shared" si="2"/>
        <v>0</v>
      </c>
    </row>
    <row r="85" spans="1:25" ht="18.75" x14ac:dyDescent="0.3">
      <c r="A85" s="38">
        <v>61201</v>
      </c>
      <c r="B85" s="39" t="s">
        <v>161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>
        <f t="shared" si="2"/>
        <v>0</v>
      </c>
    </row>
    <row r="86" spans="1:25" ht="18.75" x14ac:dyDescent="0.3">
      <c r="A86" s="38">
        <v>61501</v>
      </c>
      <c r="B86" s="39" t="s">
        <v>162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>
        <f t="shared" si="2"/>
        <v>0</v>
      </c>
    </row>
    <row r="87" spans="1:25" ht="18.75" x14ac:dyDescent="0.3">
      <c r="A87" s="38">
        <v>61502</v>
      </c>
      <c r="B87" s="39" t="s">
        <v>163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>
        <f t="shared" si="2"/>
        <v>0</v>
      </c>
    </row>
    <row r="88" spans="1:25" ht="18.75" x14ac:dyDescent="0.3">
      <c r="A88" s="38">
        <v>61503</v>
      </c>
      <c r="B88" s="39" t="s">
        <v>164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>
        <f t="shared" si="2"/>
        <v>0</v>
      </c>
    </row>
    <row r="89" spans="1:25" ht="45.75" customHeight="1" x14ac:dyDescent="0.3">
      <c r="A89" s="38">
        <v>61599</v>
      </c>
      <c r="B89" s="40" t="s">
        <v>165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>
        <f t="shared" si="2"/>
        <v>0</v>
      </c>
    </row>
    <row r="90" spans="1:25" ht="18.75" x14ac:dyDescent="0.3">
      <c r="A90" s="38">
        <v>61601</v>
      </c>
      <c r="B90" s="39" t="s">
        <v>166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>
        <f t="shared" si="2"/>
        <v>0</v>
      </c>
    </row>
    <row r="91" spans="1:25" ht="18.75" x14ac:dyDescent="0.3">
      <c r="A91" s="38">
        <v>61602</v>
      </c>
      <c r="B91" s="39" t="s">
        <v>167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>
        <f t="shared" si="2"/>
        <v>0</v>
      </c>
    </row>
    <row r="92" spans="1:25" ht="18.75" x14ac:dyDescent="0.3">
      <c r="A92" s="38">
        <v>61603</v>
      </c>
      <c r="B92" s="39" t="s">
        <v>168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>
        <f t="shared" si="2"/>
        <v>0</v>
      </c>
    </row>
    <row r="93" spans="1:25" ht="18.75" x14ac:dyDescent="0.3">
      <c r="A93" s="38">
        <v>61604</v>
      </c>
      <c r="B93" s="39" t="s">
        <v>169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>
        <f t="shared" si="2"/>
        <v>0</v>
      </c>
    </row>
    <row r="94" spans="1:25" ht="18.75" x14ac:dyDescent="0.3">
      <c r="A94" s="38">
        <v>61606</v>
      </c>
      <c r="B94" s="39" t="s">
        <v>170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>
        <f t="shared" si="2"/>
        <v>0</v>
      </c>
    </row>
    <row r="95" spans="1:25" ht="18.75" x14ac:dyDescent="0.3">
      <c r="A95" s="38">
        <v>61607</v>
      </c>
      <c r="B95" s="39" t="s">
        <v>171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>
        <f t="shared" si="2"/>
        <v>0</v>
      </c>
    </row>
    <row r="96" spans="1:25" ht="18.75" x14ac:dyDescent="0.3">
      <c r="A96" s="38">
        <v>61608</v>
      </c>
      <c r="B96" s="39" t="s">
        <v>172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>
        <f t="shared" si="2"/>
        <v>0</v>
      </c>
    </row>
    <row r="97" spans="1:25" ht="18.75" x14ac:dyDescent="0.3">
      <c r="A97" s="38">
        <v>61699</v>
      </c>
      <c r="B97" s="39" t="s">
        <v>173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>
        <f t="shared" si="2"/>
        <v>0</v>
      </c>
    </row>
    <row r="98" spans="1:25" ht="45" customHeight="1" x14ac:dyDescent="0.3">
      <c r="A98" s="38">
        <v>62201</v>
      </c>
      <c r="B98" s="40" t="s">
        <v>174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>
        <f t="shared" ref="Y98:Y101" si="3">SUM(C98:X98)</f>
        <v>0</v>
      </c>
    </row>
    <row r="99" spans="1:25" ht="18.75" x14ac:dyDescent="0.3">
      <c r="A99" s="38">
        <v>62303</v>
      </c>
      <c r="B99" s="39" t="s">
        <v>153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>
        <f t="shared" si="3"/>
        <v>0</v>
      </c>
    </row>
    <row r="100" spans="1:25" ht="50.25" customHeight="1" x14ac:dyDescent="0.3">
      <c r="A100" s="38">
        <v>71308</v>
      </c>
      <c r="B100" s="40" t="s">
        <v>175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>
        <f t="shared" si="3"/>
        <v>0</v>
      </c>
    </row>
    <row r="101" spans="1:25" ht="18.75" x14ac:dyDescent="0.3">
      <c r="A101" s="38">
        <v>72101</v>
      </c>
      <c r="B101" s="39" t="s">
        <v>176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>
        <f t="shared" si="3"/>
        <v>0</v>
      </c>
    </row>
    <row r="102" spans="1:25" ht="18.75" x14ac:dyDescent="0.3">
      <c r="A102" s="39"/>
      <c r="B102" s="35" t="s">
        <v>37</v>
      </c>
      <c r="C102" s="5">
        <f>SUM(C3:C101)</f>
        <v>415.2</v>
      </c>
      <c r="D102" s="5">
        <f t="shared" ref="D102:Y102" si="4">SUM(D3:D101)</f>
        <v>350</v>
      </c>
      <c r="E102" s="5">
        <f t="shared" si="4"/>
        <v>5446.8</v>
      </c>
      <c r="F102" s="5">
        <f>SUM(F3:F101)</f>
        <v>1641</v>
      </c>
      <c r="G102" s="5">
        <f t="shared" si="4"/>
        <v>1287</v>
      </c>
      <c r="H102" s="5">
        <f t="shared" si="4"/>
        <v>4729.42</v>
      </c>
      <c r="I102" s="5">
        <f t="shared" si="4"/>
        <v>1813.85</v>
      </c>
      <c r="J102" s="5">
        <f t="shared" si="4"/>
        <v>2598.83</v>
      </c>
      <c r="K102" s="5">
        <f t="shared" si="4"/>
        <v>3472.55</v>
      </c>
      <c r="L102" s="5">
        <f t="shared" si="4"/>
        <v>4384.6000000000004</v>
      </c>
      <c r="M102" s="5">
        <f t="shared" si="4"/>
        <v>4715.7</v>
      </c>
      <c r="N102" s="5">
        <f t="shared" si="4"/>
        <v>608</v>
      </c>
      <c r="O102" s="5">
        <f t="shared" si="4"/>
        <v>2149</v>
      </c>
      <c r="P102" s="5">
        <f t="shared" si="4"/>
        <v>4178.12</v>
      </c>
      <c r="Q102" s="5">
        <f t="shared" si="4"/>
        <v>7535.04</v>
      </c>
      <c r="R102" s="5">
        <f t="shared" si="4"/>
        <v>2183.6999999999998</v>
      </c>
      <c r="S102" s="5">
        <f t="shared" si="4"/>
        <v>0</v>
      </c>
      <c r="T102" s="5">
        <f t="shared" si="4"/>
        <v>7742.48</v>
      </c>
      <c r="U102" s="5">
        <f t="shared" si="4"/>
        <v>2644.39</v>
      </c>
      <c r="V102" s="5">
        <f t="shared" si="4"/>
        <v>278.60000000000002</v>
      </c>
      <c r="W102" s="5">
        <f t="shared" si="4"/>
        <v>3271.1800000000003</v>
      </c>
      <c r="X102" s="5">
        <f t="shared" si="4"/>
        <v>35266.04</v>
      </c>
      <c r="Y102" s="5">
        <f t="shared" si="4"/>
        <v>96711.5</v>
      </c>
    </row>
    <row r="107" spans="1:25" ht="37.5" x14ac:dyDescent="0.3">
      <c r="O107" s="677" t="s">
        <v>73</v>
      </c>
      <c r="P107" s="677"/>
      <c r="S107" s="94" t="s">
        <v>515</v>
      </c>
    </row>
    <row r="108" spans="1:25" ht="18.75" x14ac:dyDescent="0.3">
      <c r="O108" s="34" t="s">
        <v>61</v>
      </c>
      <c r="P108" s="34" t="s">
        <v>74</v>
      </c>
      <c r="S108" s="3"/>
    </row>
    <row r="109" spans="1:25" ht="18.75" x14ac:dyDescent="0.3">
      <c r="O109" s="36" t="s">
        <v>75</v>
      </c>
      <c r="P109" s="37" t="s">
        <v>76</v>
      </c>
      <c r="S109" s="3"/>
    </row>
    <row r="110" spans="1:25" ht="18.75" x14ac:dyDescent="0.3"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6" t="s">
        <v>77</v>
      </c>
      <c r="P110" s="37" t="s">
        <v>78</v>
      </c>
      <c r="Q110" s="32"/>
      <c r="R110" s="32"/>
      <c r="S110" s="3"/>
      <c r="T110" s="32"/>
      <c r="U110" s="32"/>
      <c r="V110" s="32"/>
      <c r="W110" s="32"/>
      <c r="X110" s="32"/>
    </row>
    <row r="111" spans="1:25" ht="18.75" x14ac:dyDescent="0.3"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36" t="s">
        <v>79</v>
      </c>
      <c r="P111" s="37" t="s">
        <v>80</v>
      </c>
      <c r="Q111" s="7"/>
      <c r="R111" s="7"/>
      <c r="S111" s="3"/>
      <c r="T111" s="7"/>
      <c r="U111" s="7"/>
      <c r="V111" s="7"/>
      <c r="W111" s="7"/>
      <c r="X111" s="7"/>
    </row>
    <row r="112" spans="1:25" ht="18.75" x14ac:dyDescent="0.3"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36" t="s">
        <v>81</v>
      </c>
      <c r="P112" s="37" t="s">
        <v>82</v>
      </c>
      <c r="Q112" s="7"/>
      <c r="R112" s="7"/>
      <c r="S112" s="3"/>
      <c r="T112" s="7"/>
      <c r="U112" s="7"/>
      <c r="V112" s="7"/>
      <c r="W112" s="7"/>
      <c r="X112" s="7"/>
    </row>
    <row r="113" spans="3:24" ht="18.75" x14ac:dyDescent="0.3"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36" t="s">
        <v>83</v>
      </c>
      <c r="P113" s="37" t="s">
        <v>76</v>
      </c>
      <c r="Q113" s="7"/>
      <c r="R113" s="7"/>
      <c r="S113" s="3"/>
      <c r="T113" s="7"/>
      <c r="U113" s="7"/>
      <c r="V113" s="7"/>
      <c r="W113" s="7"/>
      <c r="X113" s="7"/>
    </row>
    <row r="114" spans="3:24" ht="18.75" x14ac:dyDescent="0.3"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38">
        <v>51202</v>
      </c>
      <c r="P114" s="39" t="s">
        <v>84</v>
      </c>
      <c r="Q114" s="7"/>
      <c r="R114" s="7"/>
      <c r="S114" s="3">
        <v>0</v>
      </c>
      <c r="T114" s="7"/>
      <c r="U114" s="7"/>
      <c r="V114" s="7"/>
      <c r="W114" s="7"/>
      <c r="X114" s="7"/>
    </row>
    <row r="115" spans="3:24" ht="18.75" x14ac:dyDescent="0.3"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36" t="s">
        <v>85</v>
      </c>
      <c r="P115" s="37" t="s">
        <v>78</v>
      </c>
      <c r="Q115" s="7"/>
      <c r="R115" s="7"/>
      <c r="S115" s="3"/>
      <c r="T115" s="7"/>
      <c r="U115" s="7"/>
      <c r="V115" s="7"/>
      <c r="W115" s="7"/>
      <c r="X115" s="7"/>
    </row>
    <row r="116" spans="3:24" ht="18.75" x14ac:dyDescent="0.3"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38">
        <v>51301</v>
      </c>
      <c r="P116" s="39" t="s">
        <v>86</v>
      </c>
      <c r="Q116" s="7"/>
      <c r="R116" s="7"/>
      <c r="S116" s="3"/>
      <c r="T116" s="7"/>
      <c r="U116" s="7"/>
      <c r="V116" s="7"/>
      <c r="W116" s="7"/>
      <c r="X116" s="7"/>
    </row>
    <row r="117" spans="3:24" ht="18.75" x14ac:dyDescent="0.3"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38">
        <v>51302</v>
      </c>
      <c r="P117" s="39" t="s">
        <v>87</v>
      </c>
      <c r="Q117" s="7"/>
      <c r="R117" s="7"/>
      <c r="S117" s="3"/>
      <c r="T117" s="7"/>
      <c r="U117" s="7"/>
      <c r="V117" s="7"/>
      <c r="W117" s="7"/>
      <c r="X117" s="7"/>
    </row>
    <row r="118" spans="3:24" ht="18.75" x14ac:dyDescent="0.3"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36" t="s">
        <v>88</v>
      </c>
      <c r="P118" s="37" t="s">
        <v>89</v>
      </c>
      <c r="Q118" s="7"/>
      <c r="R118" s="7"/>
      <c r="S118" s="3"/>
      <c r="T118" s="7"/>
      <c r="U118" s="7"/>
      <c r="V118" s="7"/>
      <c r="W118" s="7"/>
      <c r="X118" s="7"/>
    </row>
    <row r="119" spans="3:24" ht="18.75" x14ac:dyDescent="0.3"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36" t="s">
        <v>90</v>
      </c>
      <c r="P119" s="37" t="s">
        <v>91</v>
      </c>
      <c r="Q119" s="7"/>
      <c r="R119" s="7"/>
      <c r="S119" s="3"/>
      <c r="T119" s="7"/>
      <c r="U119" s="7"/>
      <c r="V119" s="7"/>
      <c r="W119" s="7"/>
      <c r="X119" s="7"/>
    </row>
    <row r="120" spans="3:24" ht="18.75" x14ac:dyDescent="0.3"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38">
        <v>51601</v>
      </c>
      <c r="P120" s="39" t="s">
        <v>92</v>
      </c>
      <c r="Q120" s="7"/>
      <c r="R120" s="7"/>
      <c r="S120" s="3"/>
      <c r="T120" s="7"/>
      <c r="U120" s="7"/>
      <c r="V120" s="7"/>
      <c r="W120" s="7"/>
      <c r="X120" s="7"/>
    </row>
    <row r="121" spans="3:24" ht="18.75" x14ac:dyDescent="0.3"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38">
        <v>51602</v>
      </c>
      <c r="P121" s="39" t="s">
        <v>93</v>
      </c>
      <c r="Q121" s="7"/>
      <c r="R121" s="7"/>
      <c r="S121" s="3"/>
      <c r="T121" s="7"/>
      <c r="U121" s="7"/>
      <c r="V121" s="7"/>
      <c r="W121" s="7"/>
      <c r="X121" s="7"/>
    </row>
    <row r="122" spans="3:24" ht="18.75" x14ac:dyDescent="0.3"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38">
        <v>51701</v>
      </c>
      <c r="P122" s="39" t="s">
        <v>94</v>
      </c>
      <c r="Q122" s="7"/>
      <c r="R122" s="7"/>
      <c r="S122" s="3"/>
      <c r="T122" s="7"/>
      <c r="U122" s="7"/>
      <c r="V122" s="7"/>
      <c r="W122" s="7"/>
      <c r="X122" s="7"/>
    </row>
    <row r="123" spans="3:24" ht="18.75" x14ac:dyDescent="0.3"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38">
        <v>51702</v>
      </c>
      <c r="P123" s="39" t="s">
        <v>95</v>
      </c>
      <c r="Q123" s="7"/>
      <c r="R123" s="7"/>
      <c r="S123" s="3"/>
      <c r="T123" s="7"/>
      <c r="U123" s="7"/>
      <c r="V123" s="7"/>
      <c r="W123" s="7"/>
      <c r="X123" s="7"/>
    </row>
    <row r="124" spans="3:24" ht="18.75" x14ac:dyDescent="0.3"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38">
        <v>51901</v>
      </c>
      <c r="P124" s="39" t="s">
        <v>97</v>
      </c>
      <c r="Q124" s="7"/>
      <c r="R124" s="7"/>
      <c r="S124" s="3"/>
      <c r="T124" s="7"/>
      <c r="U124" s="7"/>
      <c r="V124" s="7"/>
      <c r="W124" s="7"/>
      <c r="X124" s="7"/>
    </row>
    <row r="125" spans="3:24" ht="18.75" x14ac:dyDescent="0.3"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38">
        <v>51999</v>
      </c>
      <c r="P125" s="39" t="s">
        <v>96</v>
      </c>
      <c r="Q125" s="7"/>
      <c r="R125" s="7"/>
      <c r="S125" s="3"/>
      <c r="T125" s="7"/>
      <c r="U125" s="7"/>
      <c r="V125" s="7"/>
      <c r="W125" s="7"/>
      <c r="X125" s="7"/>
    </row>
    <row r="126" spans="3:24" ht="18.75" x14ac:dyDescent="0.3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38">
        <v>54101</v>
      </c>
      <c r="P126" s="39" t="s">
        <v>98</v>
      </c>
      <c r="Q126" s="7"/>
      <c r="R126" s="7"/>
      <c r="S126" s="3"/>
      <c r="T126" s="7"/>
      <c r="U126" s="7"/>
      <c r="V126" s="7"/>
      <c r="W126" s="7"/>
      <c r="X126" s="7"/>
    </row>
    <row r="127" spans="3:24" ht="18.75" x14ac:dyDescent="0.3"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38">
        <v>54103</v>
      </c>
      <c r="P127" s="39" t="s">
        <v>99</v>
      </c>
      <c r="Q127" s="7"/>
      <c r="R127" s="7"/>
      <c r="S127" s="3"/>
      <c r="T127" s="7"/>
      <c r="U127" s="7"/>
      <c r="V127" s="7"/>
      <c r="W127" s="7"/>
      <c r="X127" s="7"/>
    </row>
    <row r="128" spans="3:24" ht="18.75" x14ac:dyDescent="0.3"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38">
        <v>54104</v>
      </c>
      <c r="P128" s="39" t="s">
        <v>100</v>
      </c>
      <c r="Q128" s="7"/>
      <c r="R128" s="7"/>
      <c r="S128" s="3">
        <v>352</v>
      </c>
      <c r="T128" s="7"/>
      <c r="U128" s="7"/>
      <c r="V128" s="7"/>
      <c r="W128" s="7"/>
      <c r="X128" s="7"/>
    </row>
    <row r="129" spans="3:24" ht="18.75" x14ac:dyDescent="0.3"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38">
        <v>54105</v>
      </c>
      <c r="P129" s="39" t="s">
        <v>101</v>
      </c>
      <c r="Q129" s="7"/>
      <c r="R129" s="7"/>
      <c r="S129" s="3"/>
      <c r="T129" s="7"/>
      <c r="U129" s="7"/>
      <c r="V129" s="7"/>
      <c r="W129" s="7"/>
      <c r="X129" s="7"/>
    </row>
    <row r="130" spans="3:24" ht="18.75" x14ac:dyDescent="0.3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38">
        <v>54106</v>
      </c>
      <c r="P130" s="39" t="s">
        <v>102</v>
      </c>
      <c r="Q130" s="7"/>
      <c r="R130" s="7"/>
      <c r="S130" s="3"/>
      <c r="T130" s="7"/>
      <c r="U130" s="7"/>
      <c r="V130" s="7"/>
      <c r="W130" s="7"/>
      <c r="X130" s="7"/>
    </row>
    <row r="131" spans="3:24" ht="18.75" x14ac:dyDescent="0.3"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38">
        <v>54107</v>
      </c>
      <c r="P131" s="39" t="s">
        <v>103</v>
      </c>
      <c r="Q131" s="7"/>
      <c r="R131" s="7"/>
      <c r="S131" s="3">
        <v>9272</v>
      </c>
      <c r="T131" s="7"/>
      <c r="U131" s="7"/>
      <c r="V131" s="7"/>
      <c r="W131" s="7"/>
      <c r="X131" s="7"/>
    </row>
    <row r="132" spans="3:24" ht="18.75" x14ac:dyDescent="0.3"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38">
        <v>54108</v>
      </c>
      <c r="P132" s="39" t="s">
        <v>104</v>
      </c>
      <c r="Q132" s="7"/>
      <c r="R132" s="7"/>
      <c r="S132" s="3"/>
      <c r="T132" s="7"/>
      <c r="U132" s="7"/>
      <c r="V132" s="7"/>
      <c r="W132" s="7"/>
      <c r="X132" s="7"/>
    </row>
    <row r="133" spans="3:24" ht="18.75" x14ac:dyDescent="0.3"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38">
        <v>54109</v>
      </c>
      <c r="P133" s="39" t="s">
        <v>105</v>
      </c>
      <c r="Q133" s="7"/>
      <c r="R133" s="7"/>
      <c r="S133" s="3"/>
      <c r="T133" s="7"/>
      <c r="U133" s="7"/>
      <c r="V133" s="7"/>
      <c r="W133" s="7"/>
      <c r="X133" s="7"/>
    </row>
    <row r="134" spans="3:24" ht="18.75" x14ac:dyDescent="0.3"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38">
        <v>54110</v>
      </c>
      <c r="P134" s="39" t="s">
        <v>106</v>
      </c>
      <c r="Q134" s="7"/>
      <c r="R134" s="7"/>
      <c r="S134" s="3">
        <v>80</v>
      </c>
      <c r="T134" s="7"/>
      <c r="U134" s="7"/>
      <c r="V134" s="7"/>
      <c r="W134" s="7"/>
      <c r="X134" s="7"/>
    </row>
    <row r="135" spans="3:24" ht="108.75" x14ac:dyDescent="0.3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38">
        <v>54111</v>
      </c>
      <c r="P135" s="40" t="s">
        <v>107</v>
      </c>
      <c r="Q135" s="7"/>
      <c r="R135" s="7"/>
      <c r="S135" s="3"/>
      <c r="T135" s="7"/>
      <c r="U135" s="7"/>
      <c r="V135" s="7"/>
      <c r="W135" s="7"/>
      <c r="X135" s="7"/>
    </row>
    <row r="136" spans="3:24" ht="108.75" x14ac:dyDescent="0.3"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38">
        <v>54112</v>
      </c>
      <c r="P136" s="40" t="s">
        <v>108</v>
      </c>
      <c r="Q136" s="7"/>
      <c r="R136" s="7"/>
      <c r="S136" s="3"/>
      <c r="T136" s="7"/>
      <c r="U136" s="7"/>
      <c r="V136" s="7"/>
      <c r="W136" s="7"/>
      <c r="X136" s="7"/>
    </row>
    <row r="137" spans="3:24" ht="18.75" x14ac:dyDescent="0.3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38">
        <v>54114</v>
      </c>
      <c r="P137" s="39" t="s">
        <v>109</v>
      </c>
      <c r="Q137" s="7"/>
      <c r="R137" s="7"/>
      <c r="S137" s="3">
        <v>49</v>
      </c>
      <c r="T137" s="7"/>
      <c r="U137" s="7"/>
      <c r="V137" s="7"/>
      <c r="W137" s="7"/>
      <c r="X137" s="7"/>
    </row>
    <row r="138" spans="3:24" ht="18.75" x14ac:dyDescent="0.3"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38">
        <v>54115</v>
      </c>
      <c r="P138" s="39" t="s">
        <v>110</v>
      </c>
      <c r="Q138" s="7"/>
      <c r="R138" s="7"/>
      <c r="S138" s="3"/>
      <c r="T138" s="7"/>
      <c r="U138" s="7"/>
      <c r="V138" s="7"/>
      <c r="W138" s="7"/>
      <c r="X138" s="7"/>
    </row>
    <row r="139" spans="3:24" ht="90.75" x14ac:dyDescent="0.3"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38">
        <v>54116</v>
      </c>
      <c r="P139" s="40" t="s">
        <v>111</v>
      </c>
      <c r="Q139" s="7"/>
      <c r="R139" s="7"/>
      <c r="S139" s="3"/>
      <c r="T139" s="7"/>
      <c r="U139" s="7"/>
      <c r="V139" s="7"/>
      <c r="W139" s="7"/>
      <c r="X139" s="7"/>
    </row>
    <row r="140" spans="3:24" ht="108.75" x14ac:dyDescent="0.3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38">
        <v>54117</v>
      </c>
      <c r="P140" s="40" t="s">
        <v>112</v>
      </c>
      <c r="Q140" s="7"/>
      <c r="R140" s="7"/>
      <c r="S140" s="3"/>
      <c r="T140" s="7"/>
      <c r="U140" s="7"/>
      <c r="V140" s="7"/>
      <c r="W140" s="7"/>
      <c r="X140" s="7"/>
    </row>
    <row r="141" spans="3:24" ht="18.75" x14ac:dyDescent="0.3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38">
        <v>54118</v>
      </c>
      <c r="P141" s="39" t="s">
        <v>113</v>
      </c>
      <c r="Q141" s="7"/>
      <c r="R141" s="7"/>
      <c r="S141" s="3">
        <v>828</v>
      </c>
      <c r="T141" s="7"/>
      <c r="U141" s="7"/>
      <c r="V141" s="7"/>
      <c r="W141" s="7"/>
      <c r="X141" s="7"/>
    </row>
    <row r="142" spans="3:24" ht="18.75" x14ac:dyDescent="0.3"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38">
        <v>54119</v>
      </c>
      <c r="P142" s="39" t="s">
        <v>114</v>
      </c>
      <c r="Q142" s="7"/>
      <c r="R142" s="7"/>
      <c r="S142" s="3"/>
      <c r="T142" s="7"/>
      <c r="U142" s="7"/>
      <c r="V142" s="7"/>
      <c r="W142" s="7"/>
      <c r="X142" s="7"/>
    </row>
    <row r="143" spans="3:24" ht="18.75" x14ac:dyDescent="0.3"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38">
        <v>54121</v>
      </c>
      <c r="P143" s="39" t="s">
        <v>115</v>
      </c>
      <c r="Q143" s="7"/>
      <c r="R143" s="7"/>
      <c r="S143" s="3"/>
      <c r="T143" s="7"/>
      <c r="U143" s="7"/>
      <c r="V143" s="7"/>
      <c r="W143" s="7"/>
      <c r="X143" s="7"/>
    </row>
    <row r="144" spans="3:24" ht="18.75" x14ac:dyDescent="0.3"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8">
        <v>54199</v>
      </c>
      <c r="P144" s="39" t="s">
        <v>116</v>
      </c>
      <c r="Q144" s="32"/>
      <c r="R144" s="32"/>
      <c r="S144" s="3"/>
      <c r="T144" s="32"/>
      <c r="U144" s="32"/>
      <c r="V144" s="32"/>
      <c r="W144" s="32"/>
      <c r="X144" s="32"/>
    </row>
    <row r="145" spans="3:24" ht="18.75" x14ac:dyDescent="0.3"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8">
        <v>54205</v>
      </c>
      <c r="P145" s="39" t="s">
        <v>13</v>
      </c>
      <c r="Q145" s="32"/>
      <c r="R145" s="32"/>
      <c r="S145" s="3"/>
      <c r="T145" s="32"/>
      <c r="U145" s="32"/>
      <c r="V145" s="32"/>
      <c r="W145" s="32"/>
      <c r="X145" s="32"/>
    </row>
    <row r="146" spans="3:24" ht="18.75" x14ac:dyDescent="0.3"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8">
        <v>54201</v>
      </c>
      <c r="P146" s="39" t="s">
        <v>117</v>
      </c>
      <c r="Q146" s="32"/>
      <c r="R146" s="32"/>
      <c r="S146" s="3">
        <v>1080</v>
      </c>
      <c r="T146" s="32"/>
      <c r="U146" s="32"/>
      <c r="V146" s="32"/>
      <c r="W146" s="32"/>
      <c r="X146" s="32"/>
    </row>
    <row r="147" spans="3:24" ht="18.75" x14ac:dyDescent="0.3"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8">
        <v>54202</v>
      </c>
      <c r="P147" s="39" t="s">
        <v>118</v>
      </c>
      <c r="Q147" s="32"/>
      <c r="R147" s="32"/>
      <c r="S147" s="3">
        <v>6000</v>
      </c>
      <c r="T147" s="32"/>
      <c r="U147" s="32"/>
      <c r="V147" s="32"/>
      <c r="W147" s="32"/>
      <c r="X147" s="32"/>
    </row>
    <row r="148" spans="3:24" ht="18.75" x14ac:dyDescent="0.3"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8">
        <v>54203</v>
      </c>
      <c r="P148" s="39" t="s">
        <v>119</v>
      </c>
      <c r="Q148" s="32"/>
      <c r="R148" s="32"/>
      <c r="S148" s="3"/>
      <c r="T148" s="32"/>
      <c r="U148" s="32"/>
      <c r="V148" s="32"/>
      <c r="W148" s="32"/>
      <c r="X148" s="32"/>
    </row>
    <row r="149" spans="3:24" ht="18.75" x14ac:dyDescent="0.3"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8">
        <v>54204</v>
      </c>
      <c r="P149" s="39" t="s">
        <v>120</v>
      </c>
      <c r="Q149" s="32"/>
      <c r="R149" s="32"/>
      <c r="S149" s="3"/>
      <c r="T149" s="32"/>
      <c r="U149" s="32"/>
      <c r="V149" s="32"/>
      <c r="W149" s="32"/>
      <c r="X149" s="32"/>
    </row>
    <row r="150" spans="3:24" ht="18.75" x14ac:dyDescent="0.3"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8">
        <v>54301</v>
      </c>
      <c r="P150" s="39" t="s">
        <v>121</v>
      </c>
      <c r="Q150" s="32"/>
      <c r="R150" s="32"/>
      <c r="S150" s="3"/>
      <c r="T150" s="32"/>
      <c r="U150" s="32"/>
      <c r="V150" s="32"/>
      <c r="W150" s="32"/>
      <c r="X150" s="32"/>
    </row>
    <row r="151" spans="3:24" ht="18.75" x14ac:dyDescent="0.3"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8">
        <v>54302</v>
      </c>
      <c r="P151" s="39" t="s">
        <v>122</v>
      </c>
      <c r="Q151" s="32"/>
      <c r="R151" s="32"/>
      <c r="S151" s="3"/>
      <c r="T151" s="32"/>
      <c r="U151" s="32"/>
      <c r="V151" s="32"/>
      <c r="W151" s="32"/>
      <c r="X151" s="32"/>
    </row>
    <row r="152" spans="3:24" ht="18.75" x14ac:dyDescent="0.3"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8">
        <v>54303</v>
      </c>
      <c r="P152" s="39" t="s">
        <v>123</v>
      </c>
      <c r="Q152" s="32"/>
      <c r="R152" s="32"/>
      <c r="S152" s="3">
        <v>500</v>
      </c>
      <c r="T152" s="32"/>
      <c r="U152" s="32"/>
      <c r="V152" s="32"/>
      <c r="W152" s="32"/>
      <c r="X152" s="32"/>
    </row>
    <row r="153" spans="3:24" ht="18.75" x14ac:dyDescent="0.3"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8">
        <v>54304</v>
      </c>
      <c r="P153" s="39" t="s">
        <v>124</v>
      </c>
      <c r="Q153" s="32"/>
      <c r="R153" s="32"/>
      <c r="S153" s="3"/>
      <c r="T153" s="32"/>
      <c r="U153" s="32"/>
      <c r="V153" s="32"/>
      <c r="W153" s="32"/>
      <c r="X153" s="32"/>
    </row>
    <row r="154" spans="3:24" ht="18.75" x14ac:dyDescent="0.3"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8">
        <v>54305</v>
      </c>
      <c r="P154" s="39" t="s">
        <v>125</v>
      </c>
      <c r="Q154" s="32"/>
      <c r="R154" s="32"/>
      <c r="S154" s="3"/>
      <c r="T154" s="32"/>
      <c r="U154" s="32"/>
      <c r="V154" s="32"/>
      <c r="W154" s="32"/>
      <c r="X154" s="32"/>
    </row>
    <row r="155" spans="3:24" ht="18.75" x14ac:dyDescent="0.3">
      <c r="O155" s="38">
        <v>54306</v>
      </c>
      <c r="P155" s="39" t="s">
        <v>126</v>
      </c>
      <c r="S155" s="3"/>
    </row>
    <row r="156" spans="3:24" ht="18.75" x14ac:dyDescent="0.3">
      <c r="O156" s="38">
        <v>54307</v>
      </c>
      <c r="P156" s="39" t="s">
        <v>127</v>
      </c>
      <c r="S156" s="3"/>
    </row>
    <row r="157" spans="3:24" ht="18.75" x14ac:dyDescent="0.3">
      <c r="O157" s="38">
        <v>54309</v>
      </c>
      <c r="P157" s="39" t="s">
        <v>128</v>
      </c>
      <c r="S157" s="3"/>
    </row>
    <row r="158" spans="3:24" ht="18.75" x14ac:dyDescent="0.3">
      <c r="O158" s="38">
        <v>54310</v>
      </c>
      <c r="P158" s="39" t="s">
        <v>129</v>
      </c>
      <c r="S158" s="3"/>
    </row>
    <row r="159" spans="3:24" ht="18.75" x14ac:dyDescent="0.3">
      <c r="O159" s="38">
        <v>54311</v>
      </c>
      <c r="P159" s="39" t="s">
        <v>130</v>
      </c>
      <c r="S159" s="3"/>
    </row>
    <row r="160" spans="3:24" ht="18.75" x14ac:dyDescent="0.3">
      <c r="O160" s="8">
        <v>54313</v>
      </c>
      <c r="P160" s="39" t="s">
        <v>131</v>
      </c>
      <c r="S160" s="3"/>
    </row>
    <row r="161" spans="15:19" ht="18.75" x14ac:dyDescent="0.3">
      <c r="O161" s="8">
        <v>54316</v>
      </c>
      <c r="P161" s="39" t="s">
        <v>132</v>
      </c>
      <c r="S161" s="3"/>
    </row>
    <row r="162" spans="15:19" ht="18.75" x14ac:dyDescent="0.3">
      <c r="O162" s="38">
        <v>54317</v>
      </c>
      <c r="P162" s="39" t="s">
        <v>133</v>
      </c>
      <c r="S162" s="3">
        <v>600</v>
      </c>
    </row>
    <row r="163" spans="15:19" ht="18.75" x14ac:dyDescent="0.3">
      <c r="O163" s="38">
        <v>54314</v>
      </c>
      <c r="P163" s="39" t="s">
        <v>134</v>
      </c>
      <c r="S163" s="3">
        <v>4400</v>
      </c>
    </row>
    <row r="164" spans="15:19" ht="18.75" x14ac:dyDescent="0.3">
      <c r="O164" s="38">
        <v>54318</v>
      </c>
      <c r="P164" s="39" t="s">
        <v>135</v>
      </c>
      <c r="S164" s="3"/>
    </row>
    <row r="165" spans="15:19" ht="18.75" x14ac:dyDescent="0.3">
      <c r="O165" s="38">
        <v>54399</v>
      </c>
      <c r="P165" s="39" t="s">
        <v>136</v>
      </c>
      <c r="S165" s="3"/>
    </row>
    <row r="166" spans="15:19" ht="18.75" x14ac:dyDescent="0.3">
      <c r="O166" s="38">
        <v>54401</v>
      </c>
      <c r="P166" s="39" t="s">
        <v>137</v>
      </c>
      <c r="S166" s="3"/>
    </row>
    <row r="167" spans="15:19" ht="18.75" x14ac:dyDescent="0.3">
      <c r="O167" s="38">
        <v>54404</v>
      </c>
      <c r="P167" s="39" t="s">
        <v>138</v>
      </c>
      <c r="S167" s="3"/>
    </row>
    <row r="168" spans="15:19" ht="18.75" x14ac:dyDescent="0.3">
      <c r="O168" s="38">
        <v>54403</v>
      </c>
      <c r="P168" s="39" t="s">
        <v>139</v>
      </c>
      <c r="S168" s="3"/>
    </row>
    <row r="169" spans="15:19" ht="18.75" x14ac:dyDescent="0.3">
      <c r="O169" s="38">
        <v>54501</v>
      </c>
      <c r="P169" s="39" t="s">
        <v>140</v>
      </c>
      <c r="S169" s="3"/>
    </row>
    <row r="170" spans="15:19" ht="18.75" x14ac:dyDescent="0.3">
      <c r="O170" s="38">
        <v>54503</v>
      </c>
      <c r="P170" s="39" t="s">
        <v>141</v>
      </c>
      <c r="S170" s="3"/>
    </row>
    <row r="171" spans="15:19" ht="18.75" x14ac:dyDescent="0.3">
      <c r="O171" s="38">
        <v>54505</v>
      </c>
      <c r="P171" s="39" t="s">
        <v>142</v>
      </c>
      <c r="S171" s="3"/>
    </row>
    <row r="172" spans="15:19" ht="18.75" x14ac:dyDescent="0.3">
      <c r="O172" s="38">
        <v>54507</v>
      </c>
      <c r="P172" s="39" t="s">
        <v>143</v>
      </c>
      <c r="S172" s="3"/>
    </row>
    <row r="173" spans="15:19" ht="18.75" x14ac:dyDescent="0.3">
      <c r="O173" s="38">
        <v>54599</v>
      </c>
      <c r="P173" s="39" t="s">
        <v>144</v>
      </c>
      <c r="S173" s="3"/>
    </row>
    <row r="174" spans="15:19" ht="18.75" x14ac:dyDescent="0.3">
      <c r="O174" s="38">
        <v>54508</v>
      </c>
      <c r="P174" s="39" t="s">
        <v>145</v>
      </c>
      <c r="S174" s="3"/>
    </row>
    <row r="175" spans="15:19" ht="18.75" x14ac:dyDescent="0.3">
      <c r="O175" s="38">
        <v>54699</v>
      </c>
      <c r="P175" s="39" t="s">
        <v>25</v>
      </c>
      <c r="S175" s="3"/>
    </row>
    <row r="176" spans="15:19" ht="18.75" x14ac:dyDescent="0.3">
      <c r="O176" s="38">
        <v>55308</v>
      </c>
      <c r="P176" s="39" t="s">
        <v>146</v>
      </c>
      <c r="S176" s="3"/>
    </row>
    <row r="177" spans="15:19" ht="18.75" x14ac:dyDescent="0.3">
      <c r="O177" s="38">
        <v>55599</v>
      </c>
      <c r="P177" s="39" t="s">
        <v>147</v>
      </c>
      <c r="S177" s="3"/>
    </row>
    <row r="178" spans="15:19" ht="18.75" x14ac:dyDescent="0.3">
      <c r="O178" s="38">
        <v>55601</v>
      </c>
      <c r="P178" s="39" t="s">
        <v>148</v>
      </c>
      <c r="S178" s="3"/>
    </row>
    <row r="179" spans="15:19" ht="18.75" x14ac:dyDescent="0.3">
      <c r="O179" s="38">
        <v>55602</v>
      </c>
      <c r="P179" s="39" t="s">
        <v>149</v>
      </c>
      <c r="S179" s="3"/>
    </row>
    <row r="180" spans="15:19" ht="18.75" x14ac:dyDescent="0.3">
      <c r="O180" s="38">
        <v>55603</v>
      </c>
      <c r="P180" s="39" t="s">
        <v>150</v>
      </c>
      <c r="S180" s="3"/>
    </row>
    <row r="181" spans="15:19" ht="18.75" x14ac:dyDescent="0.3">
      <c r="O181" s="38">
        <v>55799</v>
      </c>
      <c r="P181" s="39" t="s">
        <v>151</v>
      </c>
      <c r="S181" s="3"/>
    </row>
    <row r="182" spans="15:19" ht="18.75" x14ac:dyDescent="0.3">
      <c r="O182" s="38">
        <v>56201</v>
      </c>
      <c r="P182" s="39" t="s">
        <v>152</v>
      </c>
      <c r="S182" s="3"/>
    </row>
    <row r="183" spans="15:19" ht="18.75" x14ac:dyDescent="0.3">
      <c r="O183" s="38">
        <v>56303</v>
      </c>
      <c r="P183" s="39" t="s">
        <v>153</v>
      </c>
      <c r="S183" s="3"/>
    </row>
    <row r="184" spans="15:19" ht="18.75" x14ac:dyDescent="0.3">
      <c r="O184" s="38">
        <v>56304</v>
      </c>
      <c r="P184" s="39" t="s">
        <v>154</v>
      </c>
      <c r="S184" s="3"/>
    </row>
    <row r="185" spans="15:19" ht="18.75" x14ac:dyDescent="0.3">
      <c r="O185" s="38">
        <v>56305</v>
      </c>
      <c r="P185" s="39" t="s">
        <v>155</v>
      </c>
      <c r="S185" s="3"/>
    </row>
    <row r="186" spans="15:19" ht="18.75" x14ac:dyDescent="0.3">
      <c r="O186" s="38">
        <v>61101</v>
      </c>
      <c r="P186" s="39" t="s">
        <v>156</v>
      </c>
      <c r="S186" s="3"/>
    </row>
    <row r="187" spans="15:19" ht="18.75" x14ac:dyDescent="0.3">
      <c r="O187" s="38">
        <v>61102</v>
      </c>
      <c r="P187" s="39" t="s">
        <v>157</v>
      </c>
      <c r="S187" s="3"/>
    </row>
    <row r="188" spans="15:19" ht="18.75" x14ac:dyDescent="0.3">
      <c r="O188" s="38">
        <v>61105</v>
      </c>
      <c r="P188" s="39" t="s">
        <v>158</v>
      </c>
      <c r="S188" s="3"/>
    </row>
    <row r="189" spans="15:19" ht="18.75" x14ac:dyDescent="0.3">
      <c r="O189" s="38">
        <v>61104</v>
      </c>
      <c r="P189" s="39" t="s">
        <v>159</v>
      </c>
      <c r="S189" s="3"/>
    </row>
    <row r="190" spans="15:19" ht="18.75" x14ac:dyDescent="0.3">
      <c r="O190" s="38">
        <v>61199</v>
      </c>
      <c r="P190" s="39" t="s">
        <v>160</v>
      </c>
      <c r="S190" s="3"/>
    </row>
    <row r="191" spans="15:19" ht="18.75" x14ac:dyDescent="0.3">
      <c r="O191" s="38">
        <v>61201</v>
      </c>
      <c r="P191" s="39" t="s">
        <v>161</v>
      </c>
      <c r="S191" s="3"/>
    </row>
    <row r="192" spans="15:19" ht="18.75" x14ac:dyDescent="0.3">
      <c r="O192" s="38">
        <v>61501</v>
      </c>
      <c r="P192" s="39" t="s">
        <v>162</v>
      </c>
      <c r="S192" s="3"/>
    </row>
    <row r="193" spans="15:19" ht="18.75" x14ac:dyDescent="0.3">
      <c r="O193" s="38">
        <v>61502</v>
      </c>
      <c r="P193" s="39" t="s">
        <v>163</v>
      </c>
      <c r="S193" s="3"/>
    </row>
    <row r="194" spans="15:19" ht="18.75" x14ac:dyDescent="0.3">
      <c r="O194" s="38">
        <v>61503</v>
      </c>
      <c r="P194" s="39" t="s">
        <v>164</v>
      </c>
      <c r="S194" s="3"/>
    </row>
    <row r="195" spans="15:19" ht="126.75" x14ac:dyDescent="0.3">
      <c r="O195" s="38">
        <v>61599</v>
      </c>
      <c r="P195" s="40" t="s">
        <v>165</v>
      </c>
      <c r="S195" s="3"/>
    </row>
    <row r="196" spans="15:19" ht="18.75" x14ac:dyDescent="0.3">
      <c r="O196" s="38">
        <v>61601</v>
      </c>
      <c r="P196" s="39" t="s">
        <v>166</v>
      </c>
      <c r="S196" s="3"/>
    </row>
    <row r="197" spans="15:19" ht="18.75" x14ac:dyDescent="0.3">
      <c r="O197" s="38">
        <v>61602</v>
      </c>
      <c r="P197" s="39" t="s">
        <v>167</v>
      </c>
      <c r="S197" s="3"/>
    </row>
    <row r="198" spans="15:19" ht="18.75" x14ac:dyDescent="0.3">
      <c r="O198" s="38">
        <v>61603</v>
      </c>
      <c r="P198" s="39" t="s">
        <v>168</v>
      </c>
      <c r="S198" s="3"/>
    </row>
    <row r="199" spans="15:19" ht="18.75" x14ac:dyDescent="0.3">
      <c r="O199" s="38">
        <v>61604</v>
      </c>
      <c r="P199" s="39" t="s">
        <v>169</v>
      </c>
      <c r="S199" s="3"/>
    </row>
    <row r="200" spans="15:19" ht="18.75" x14ac:dyDescent="0.3">
      <c r="O200" s="38">
        <v>61606</v>
      </c>
      <c r="P200" s="39" t="s">
        <v>170</v>
      </c>
      <c r="S200" s="3"/>
    </row>
    <row r="201" spans="15:19" ht="18.75" x14ac:dyDescent="0.3">
      <c r="O201" s="38">
        <v>61607</v>
      </c>
      <c r="P201" s="39" t="s">
        <v>171</v>
      </c>
      <c r="S201" s="3"/>
    </row>
    <row r="202" spans="15:19" ht="18.75" x14ac:dyDescent="0.3">
      <c r="O202" s="38">
        <v>61608</v>
      </c>
      <c r="P202" s="39" t="s">
        <v>172</v>
      </c>
      <c r="S202" s="3"/>
    </row>
    <row r="203" spans="15:19" ht="18.75" x14ac:dyDescent="0.3">
      <c r="O203" s="38">
        <v>61699</v>
      </c>
      <c r="P203" s="39" t="s">
        <v>173</v>
      </c>
      <c r="S203" s="3"/>
    </row>
    <row r="204" spans="15:19" ht="126.75" x14ac:dyDescent="0.3">
      <c r="O204" s="38">
        <v>62201</v>
      </c>
      <c r="P204" s="40" t="s">
        <v>174</v>
      </c>
      <c r="S204" s="3"/>
    </row>
    <row r="205" spans="15:19" ht="18.75" x14ac:dyDescent="0.3">
      <c r="O205" s="38">
        <v>62303</v>
      </c>
      <c r="P205" s="39" t="s">
        <v>153</v>
      </c>
      <c r="S205" s="3"/>
    </row>
    <row r="206" spans="15:19" ht="144.75" x14ac:dyDescent="0.3">
      <c r="O206" s="38">
        <v>71308</v>
      </c>
      <c r="P206" s="40" t="s">
        <v>175</v>
      </c>
      <c r="S206" s="3"/>
    </row>
    <row r="207" spans="15:19" ht="18.75" x14ac:dyDescent="0.3">
      <c r="O207" s="38">
        <v>72101</v>
      </c>
      <c r="P207" s="39" t="s">
        <v>176</v>
      </c>
      <c r="S207" s="3"/>
    </row>
    <row r="208" spans="15:19" ht="18.75" x14ac:dyDescent="0.3">
      <c r="O208" s="39"/>
      <c r="P208" s="35" t="s">
        <v>37</v>
      </c>
      <c r="S208" s="5">
        <f t="shared" ref="S208" si="5">SUM(S109:S207)</f>
        <v>23161</v>
      </c>
    </row>
  </sheetData>
  <mergeCells count="2">
    <mergeCell ref="A1:B1"/>
    <mergeCell ref="O107:P107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C46" sqref="C46"/>
    </sheetView>
  </sheetViews>
  <sheetFormatPr baseColWidth="10" defaultRowHeight="15" x14ac:dyDescent="0.25"/>
  <cols>
    <col min="2" max="2" width="53.42578125" customWidth="1"/>
    <col min="3" max="3" width="18.5703125" customWidth="1"/>
    <col min="4" max="6" width="19.42578125" customWidth="1"/>
    <col min="7" max="7" width="19.7109375" customWidth="1"/>
    <col min="8" max="8" width="18.28515625" customWidth="1"/>
    <col min="9" max="9" width="22" customWidth="1"/>
    <col min="13" max="13" width="22.5703125" customWidth="1"/>
    <col min="14" max="14" width="20.28515625" customWidth="1"/>
    <col min="17" max="17" width="12.5703125" bestFit="1" customWidth="1"/>
    <col min="21" max="21" width="18.7109375" bestFit="1" customWidth="1"/>
  </cols>
  <sheetData>
    <row r="1" spans="1:21" ht="23.25" x14ac:dyDescent="0.35">
      <c r="A1" s="646" t="s">
        <v>177</v>
      </c>
      <c r="B1" s="646"/>
      <c r="C1" s="646"/>
      <c r="D1" s="646"/>
      <c r="E1" s="646"/>
      <c r="F1" s="646"/>
      <c r="G1" s="646"/>
      <c r="H1" s="646"/>
      <c r="I1" s="646"/>
    </row>
    <row r="2" spans="1:21" ht="23.25" x14ac:dyDescent="0.35">
      <c r="A2" s="646" t="s">
        <v>198</v>
      </c>
      <c r="B2" s="646"/>
      <c r="C2" s="646"/>
      <c r="D2" s="646"/>
      <c r="E2" s="646"/>
      <c r="F2" s="646"/>
      <c r="G2" s="646"/>
      <c r="H2" s="646"/>
      <c r="I2" s="646"/>
    </row>
    <row r="3" spans="1:21" ht="23.25" x14ac:dyDescent="0.35">
      <c r="A3" s="646" t="s">
        <v>197</v>
      </c>
      <c r="B3" s="646"/>
      <c r="C3" s="646"/>
      <c r="D3" s="646"/>
      <c r="E3" s="646"/>
      <c r="F3" s="646"/>
      <c r="G3" s="646"/>
      <c r="H3" s="646"/>
      <c r="I3" s="646"/>
    </row>
    <row r="4" spans="1:21" ht="18.75" x14ac:dyDescent="0.3">
      <c r="A4" s="48" t="s">
        <v>178</v>
      </c>
      <c r="B4" s="49" t="s">
        <v>179</v>
      </c>
      <c r="C4" s="50">
        <v>2012</v>
      </c>
      <c r="D4" s="51">
        <v>2013</v>
      </c>
      <c r="E4" s="50">
        <v>2014</v>
      </c>
      <c r="F4" s="50">
        <v>2015</v>
      </c>
      <c r="G4" s="50">
        <v>2016</v>
      </c>
      <c r="H4" s="92">
        <v>0.17499999999999999</v>
      </c>
      <c r="I4" s="50">
        <v>2017</v>
      </c>
      <c r="K4" s="678" t="s">
        <v>180</v>
      </c>
      <c r="L4" s="678"/>
      <c r="M4" s="678"/>
      <c r="N4" s="678"/>
    </row>
    <row r="5" spans="1:21" ht="18.75" thickBot="1" x14ac:dyDescent="0.3">
      <c r="A5" s="52">
        <v>11801</v>
      </c>
      <c r="B5" s="53" t="s">
        <v>0</v>
      </c>
      <c r="C5" s="54">
        <v>15823.67</v>
      </c>
      <c r="D5" s="54">
        <v>16054.35</v>
      </c>
      <c r="E5" s="54">
        <v>12999.6</v>
      </c>
      <c r="F5" s="54">
        <v>14936.3</v>
      </c>
      <c r="G5" s="54">
        <v>19087.78</v>
      </c>
      <c r="H5" s="55">
        <f>ROUND((G5*17.5%),2)</f>
        <v>3340.36</v>
      </c>
      <c r="I5" s="93">
        <f>+G5+H5</f>
        <v>22428.14</v>
      </c>
      <c r="K5" s="679" t="s">
        <v>181</v>
      </c>
      <c r="L5" s="679"/>
      <c r="M5" s="679"/>
      <c r="N5" s="679"/>
    </row>
    <row r="6" spans="1:21" ht="18.75" thickBot="1" x14ac:dyDescent="0.3">
      <c r="A6" s="52">
        <v>11802</v>
      </c>
      <c r="B6" s="53" t="s">
        <v>1</v>
      </c>
      <c r="C6" s="54">
        <v>12777.43</v>
      </c>
      <c r="D6" s="54">
        <v>5987.56</v>
      </c>
      <c r="E6" s="54">
        <v>4016.49</v>
      </c>
      <c r="F6" s="54">
        <v>12497.28</v>
      </c>
      <c r="G6" s="54">
        <v>4180.83</v>
      </c>
      <c r="H6" s="55">
        <f t="shared" ref="H6:H41" si="0">ROUND((G6*17.5%),2)</f>
        <v>731.65</v>
      </c>
      <c r="I6" s="56">
        <f t="shared" ref="I6:I41" si="1">+G6+H6</f>
        <v>4912.4799999999996</v>
      </c>
      <c r="K6" s="66" t="s">
        <v>182</v>
      </c>
      <c r="L6" s="67" t="s">
        <v>183</v>
      </c>
      <c r="M6" s="67" t="s">
        <v>184</v>
      </c>
      <c r="N6" s="68" t="s">
        <v>185</v>
      </c>
    </row>
    <row r="7" spans="1:21" ht="18" x14ac:dyDescent="0.25">
      <c r="A7" s="52">
        <v>11803</v>
      </c>
      <c r="B7" s="53" t="s">
        <v>2</v>
      </c>
      <c r="C7" s="54">
        <v>8857.67</v>
      </c>
      <c r="D7" s="54">
        <v>12452.27</v>
      </c>
      <c r="E7" s="54">
        <v>11569.27</v>
      </c>
      <c r="F7" s="54">
        <v>9875.2199999999993</v>
      </c>
      <c r="G7" s="54">
        <v>13731.17</v>
      </c>
      <c r="H7" s="55">
        <f t="shared" si="0"/>
        <v>2402.9499999999998</v>
      </c>
      <c r="I7" s="56">
        <f t="shared" si="1"/>
        <v>16134.119999999999</v>
      </c>
      <c r="K7" s="73">
        <v>-2</v>
      </c>
      <c r="L7" s="74">
        <v>2012</v>
      </c>
      <c r="M7" s="75">
        <f>+C42</f>
        <v>457476.54999999993</v>
      </c>
      <c r="N7" s="76">
        <f>+M7*K7</f>
        <v>-914953.09999999986</v>
      </c>
    </row>
    <row r="8" spans="1:21" ht="18" x14ac:dyDescent="0.25">
      <c r="A8" s="52">
        <v>11804</v>
      </c>
      <c r="B8" s="53" t="s">
        <v>3</v>
      </c>
      <c r="C8" s="54">
        <v>26347.919999999998</v>
      </c>
      <c r="D8" s="54">
        <v>44592.27</v>
      </c>
      <c r="E8" s="54">
        <v>78745.740000000005</v>
      </c>
      <c r="F8" s="54">
        <v>68433.23</v>
      </c>
      <c r="G8" s="54">
        <v>65176.21</v>
      </c>
      <c r="H8" s="55">
        <f t="shared" si="0"/>
        <v>11405.84</v>
      </c>
      <c r="I8" s="56">
        <f t="shared" si="1"/>
        <v>76582.05</v>
      </c>
      <c r="K8" s="77">
        <v>-1</v>
      </c>
      <c r="L8" s="74">
        <v>2013</v>
      </c>
      <c r="M8" s="75">
        <f>+D42</f>
        <v>389988.56999999989</v>
      </c>
      <c r="N8" s="76">
        <f>+M8*K8</f>
        <v>-389988.56999999989</v>
      </c>
    </row>
    <row r="9" spans="1:21" ht="18" x14ac:dyDescent="0.25">
      <c r="A9" s="52">
        <v>11806</v>
      </c>
      <c r="B9" s="53" t="s">
        <v>4</v>
      </c>
      <c r="C9" s="54">
        <v>763.11</v>
      </c>
      <c r="D9" s="54">
        <v>921.14</v>
      </c>
      <c r="E9" s="54">
        <v>692.2</v>
      </c>
      <c r="F9" s="54">
        <v>887.73</v>
      </c>
      <c r="G9" s="54">
        <v>1400.77</v>
      </c>
      <c r="H9" s="55">
        <f t="shared" si="0"/>
        <v>245.13</v>
      </c>
      <c r="I9" s="56">
        <f t="shared" si="1"/>
        <v>1645.9</v>
      </c>
      <c r="K9" s="77">
        <v>0</v>
      </c>
      <c r="L9" s="74">
        <v>2014</v>
      </c>
      <c r="M9" s="78">
        <f>+E42</f>
        <v>390645.61</v>
      </c>
      <c r="N9" s="75">
        <f>+M9*K9</f>
        <v>0</v>
      </c>
    </row>
    <row r="10" spans="1:21" ht="18.75" thickBot="1" x14ac:dyDescent="0.3">
      <c r="A10" s="52">
        <v>11815</v>
      </c>
      <c r="B10" s="53" t="s">
        <v>5</v>
      </c>
      <c r="C10" s="54">
        <v>0</v>
      </c>
      <c r="D10" s="54">
        <v>0</v>
      </c>
      <c r="E10" s="54">
        <v>0</v>
      </c>
      <c r="F10" s="54">
        <v>13776.5</v>
      </c>
      <c r="G10" s="54">
        <v>20749.61</v>
      </c>
      <c r="H10" s="55">
        <f t="shared" si="0"/>
        <v>3631.18</v>
      </c>
      <c r="I10" s="56">
        <f t="shared" si="1"/>
        <v>24380.79</v>
      </c>
      <c r="K10" s="79">
        <v>1</v>
      </c>
      <c r="L10" s="74">
        <v>2015</v>
      </c>
      <c r="M10" s="78">
        <f>+F42</f>
        <v>486356.57000000007</v>
      </c>
      <c r="N10" s="75">
        <f>+M10*K10</f>
        <v>486356.57000000007</v>
      </c>
    </row>
    <row r="11" spans="1:21" ht="21.75" thickBot="1" x14ac:dyDescent="0.4">
      <c r="A11" s="52">
        <v>11816</v>
      </c>
      <c r="B11" s="53" t="s">
        <v>6</v>
      </c>
      <c r="C11" s="54">
        <v>638.52</v>
      </c>
      <c r="D11" s="54">
        <v>576.71</v>
      </c>
      <c r="E11" s="54">
        <v>2815.48</v>
      </c>
      <c r="F11" s="54">
        <v>2236.25</v>
      </c>
      <c r="G11" s="54">
        <v>2546.5700000000002</v>
      </c>
      <c r="H11" s="55">
        <f t="shared" si="0"/>
        <v>445.65</v>
      </c>
      <c r="I11" s="56">
        <f t="shared" si="1"/>
        <v>2992.2200000000003</v>
      </c>
      <c r="K11" s="80">
        <v>2</v>
      </c>
      <c r="L11" s="74">
        <v>2016</v>
      </c>
      <c r="M11" s="78">
        <f>+G42</f>
        <v>510441.58</v>
      </c>
      <c r="N11" s="75">
        <f>+M11*K11</f>
        <v>1020883.16</v>
      </c>
      <c r="U11" s="171">
        <f>SUM(I5:I14)</f>
        <v>152056.15000000002</v>
      </c>
    </row>
    <row r="12" spans="1:21" ht="21.75" thickBot="1" x14ac:dyDescent="0.4">
      <c r="A12" s="52">
        <v>11817</v>
      </c>
      <c r="B12" s="53" t="s">
        <v>7</v>
      </c>
      <c r="C12" s="54">
        <v>45.6</v>
      </c>
      <c r="D12" s="54">
        <v>0</v>
      </c>
      <c r="E12" s="54">
        <v>102.96</v>
      </c>
      <c r="F12" s="54">
        <v>67.38</v>
      </c>
      <c r="G12" s="54">
        <v>105</v>
      </c>
      <c r="H12" s="55">
        <f t="shared" si="0"/>
        <v>18.38</v>
      </c>
      <c r="I12" s="56">
        <f t="shared" si="1"/>
        <v>123.38</v>
      </c>
      <c r="K12" s="80"/>
      <c r="L12" s="74"/>
      <c r="M12" s="78"/>
      <c r="N12" s="75"/>
      <c r="U12" s="171">
        <f>SUM(I15:I31)</f>
        <v>387499.08999999997</v>
      </c>
    </row>
    <row r="13" spans="1:21" ht="21.75" thickBot="1" x14ac:dyDescent="0.4">
      <c r="A13" s="52">
        <v>11818</v>
      </c>
      <c r="B13" s="53" t="s">
        <v>8</v>
      </c>
      <c r="C13" s="54">
        <v>1859</v>
      </c>
      <c r="D13" s="54">
        <v>1979.11</v>
      </c>
      <c r="E13" s="54">
        <v>2067.15</v>
      </c>
      <c r="F13" s="54">
        <v>1543.5</v>
      </c>
      <c r="G13" s="54">
        <v>2105.9299999999998</v>
      </c>
      <c r="H13" s="55">
        <f t="shared" si="0"/>
        <v>368.54</v>
      </c>
      <c r="I13" s="56">
        <f t="shared" si="1"/>
        <v>2474.4699999999998</v>
      </c>
      <c r="K13" s="80"/>
      <c r="L13" s="81"/>
      <c r="M13" s="82"/>
      <c r="N13" s="83"/>
      <c r="U13" s="345"/>
    </row>
    <row r="14" spans="1:21" ht="21.75" thickBot="1" x14ac:dyDescent="0.4">
      <c r="A14" s="52">
        <v>11899</v>
      </c>
      <c r="B14" s="53" t="s">
        <v>9</v>
      </c>
      <c r="C14" s="54">
        <v>812.61</v>
      </c>
      <c r="D14" s="54">
        <v>488.71</v>
      </c>
      <c r="E14" s="54">
        <v>336.8</v>
      </c>
      <c r="F14" s="54">
        <v>331.19</v>
      </c>
      <c r="G14" s="54">
        <v>325.62</v>
      </c>
      <c r="H14" s="55">
        <f t="shared" si="0"/>
        <v>56.98</v>
      </c>
      <c r="I14" s="56">
        <f t="shared" si="1"/>
        <v>382.6</v>
      </c>
      <c r="J14" s="27"/>
      <c r="K14" s="80"/>
      <c r="L14" s="84"/>
      <c r="M14" s="85"/>
      <c r="N14" s="86"/>
      <c r="U14" s="345"/>
    </row>
    <row r="15" spans="1:21" ht="39.75" customHeight="1" thickBot="1" x14ac:dyDescent="0.4">
      <c r="A15" s="52">
        <v>12105</v>
      </c>
      <c r="B15" s="57" t="s">
        <v>10</v>
      </c>
      <c r="C15" s="54">
        <v>29338.68</v>
      </c>
      <c r="D15" s="54">
        <v>35565.629999999997</v>
      </c>
      <c r="E15" s="54">
        <v>39182.129999999997</v>
      </c>
      <c r="F15" s="54">
        <v>39568.69</v>
      </c>
      <c r="G15" s="54">
        <v>45666.7</v>
      </c>
      <c r="H15" s="55">
        <f t="shared" si="0"/>
        <v>7991.67</v>
      </c>
      <c r="I15" s="56">
        <f t="shared" si="1"/>
        <v>53658.369999999995</v>
      </c>
      <c r="K15" s="80"/>
      <c r="L15" s="84"/>
      <c r="M15" s="87"/>
      <c r="N15" s="88"/>
      <c r="U15" s="345"/>
    </row>
    <row r="16" spans="1:21" ht="21.75" thickBot="1" x14ac:dyDescent="0.4">
      <c r="A16" s="52">
        <v>12106</v>
      </c>
      <c r="B16" s="53" t="s">
        <v>11</v>
      </c>
      <c r="C16" s="54">
        <v>94.07</v>
      </c>
      <c r="D16" s="54">
        <v>153.33000000000001</v>
      </c>
      <c r="E16" s="54">
        <v>433.45</v>
      </c>
      <c r="F16" s="54">
        <v>494.1</v>
      </c>
      <c r="G16" s="54">
        <v>398.36</v>
      </c>
      <c r="H16" s="55">
        <f t="shared" si="0"/>
        <v>69.709999999999994</v>
      </c>
      <c r="I16" s="56">
        <f t="shared" si="1"/>
        <v>468.07</v>
      </c>
      <c r="K16" s="80"/>
      <c r="L16" s="84"/>
      <c r="M16" s="87"/>
      <c r="N16" s="88"/>
      <c r="U16" s="345"/>
    </row>
    <row r="17" spans="1:21" ht="21.75" thickBot="1" x14ac:dyDescent="0.4">
      <c r="A17" s="52">
        <v>12107</v>
      </c>
      <c r="B17" s="53" t="s">
        <v>12</v>
      </c>
      <c r="C17" s="54">
        <v>35835.25</v>
      </c>
      <c r="D17" s="54">
        <v>36283.01</v>
      </c>
      <c r="E17" s="54">
        <v>29434</v>
      </c>
      <c r="F17" s="54">
        <v>48317.4</v>
      </c>
      <c r="G17" s="54">
        <v>57528</v>
      </c>
      <c r="H17" s="55">
        <f t="shared" si="0"/>
        <v>10067.4</v>
      </c>
      <c r="I17" s="56">
        <f t="shared" si="1"/>
        <v>67595.399999999994</v>
      </c>
      <c r="K17" s="69"/>
      <c r="L17" s="70"/>
      <c r="M17" s="71">
        <f>SUM(M7:M11)</f>
        <v>2234908.88</v>
      </c>
      <c r="N17" s="72">
        <f>SUM(N7:N11)</f>
        <v>202298.06000000041</v>
      </c>
      <c r="Q17" s="90" t="e">
        <f>+(Q16-Q1)/Q1</f>
        <v>#DIV/0!</v>
      </c>
      <c r="U17" s="345"/>
    </row>
    <row r="18" spans="1:21" ht="18" x14ac:dyDescent="0.25">
      <c r="A18" s="52">
        <v>12108</v>
      </c>
      <c r="B18" s="53" t="s">
        <v>13</v>
      </c>
      <c r="C18" s="54">
        <v>16655.54</v>
      </c>
      <c r="D18" s="54">
        <v>17765.18</v>
      </c>
      <c r="E18" s="54">
        <v>19772.66</v>
      </c>
      <c r="F18" s="54">
        <v>18944.13</v>
      </c>
      <c r="G18" s="54">
        <v>18203.84</v>
      </c>
      <c r="H18" s="55">
        <f t="shared" si="0"/>
        <v>3185.67</v>
      </c>
      <c r="I18" s="56">
        <f t="shared" si="1"/>
        <v>21389.510000000002</v>
      </c>
      <c r="K18" s="41"/>
      <c r="L18" s="41"/>
      <c r="M18" s="42"/>
      <c r="N18" s="42"/>
    </row>
    <row r="19" spans="1:21" ht="18" x14ac:dyDescent="0.25">
      <c r="A19" s="52">
        <v>12109</v>
      </c>
      <c r="B19" s="53" t="s">
        <v>14</v>
      </c>
      <c r="C19" s="54">
        <v>12468.55</v>
      </c>
      <c r="D19" s="54">
        <v>13692.73</v>
      </c>
      <c r="E19" s="54">
        <v>18665.07</v>
      </c>
      <c r="F19" s="54">
        <v>18697.240000000002</v>
      </c>
      <c r="G19" s="54">
        <v>17825.55</v>
      </c>
      <c r="H19" s="55">
        <f t="shared" si="0"/>
        <v>3119.47</v>
      </c>
      <c r="I19" s="56">
        <f t="shared" si="1"/>
        <v>20945.02</v>
      </c>
      <c r="K19" s="41"/>
      <c r="L19" s="41"/>
      <c r="M19" s="42"/>
      <c r="N19" s="42"/>
    </row>
    <row r="20" spans="1:21" ht="18.75" x14ac:dyDescent="0.3">
      <c r="A20" s="52">
        <v>12110</v>
      </c>
      <c r="B20" s="53" t="s">
        <v>15</v>
      </c>
      <c r="C20" s="54">
        <v>0</v>
      </c>
      <c r="D20" s="54">
        <v>0</v>
      </c>
      <c r="E20" s="54">
        <v>0</v>
      </c>
      <c r="F20" s="54">
        <v>0</v>
      </c>
      <c r="G20" s="54">
        <v>263.72000000000003</v>
      </c>
      <c r="H20" s="55">
        <f t="shared" si="0"/>
        <v>46.15</v>
      </c>
      <c r="I20" s="56">
        <f t="shared" si="1"/>
        <v>309.87</v>
      </c>
      <c r="K20" s="32"/>
      <c r="L20" s="41"/>
      <c r="M20" s="42"/>
      <c r="N20" s="42"/>
    </row>
    <row r="21" spans="1:21" ht="18.75" x14ac:dyDescent="0.3">
      <c r="A21" s="52">
        <v>12111</v>
      </c>
      <c r="B21" s="53" t="s">
        <v>16</v>
      </c>
      <c r="C21" s="54">
        <v>5370.22</v>
      </c>
      <c r="D21" s="54">
        <v>7355.27</v>
      </c>
      <c r="E21" s="54">
        <v>8536.73</v>
      </c>
      <c r="F21" s="54">
        <v>11134.7</v>
      </c>
      <c r="G21" s="54">
        <v>7486.8</v>
      </c>
      <c r="H21" s="55">
        <f t="shared" si="0"/>
        <v>1310.19</v>
      </c>
      <c r="I21" s="56">
        <f t="shared" si="1"/>
        <v>8796.99</v>
      </c>
      <c r="K21" s="32"/>
      <c r="L21" s="32"/>
      <c r="M21" s="32"/>
      <c r="N21" s="32"/>
    </row>
    <row r="22" spans="1:21" ht="18.75" x14ac:dyDescent="0.3">
      <c r="A22" s="52">
        <v>12112</v>
      </c>
      <c r="B22" s="53" t="s">
        <v>17</v>
      </c>
      <c r="C22" s="54">
        <v>0</v>
      </c>
      <c r="D22" s="54">
        <v>1996.6</v>
      </c>
      <c r="E22" s="54">
        <v>1993.05</v>
      </c>
      <c r="F22" s="54">
        <v>1689.51</v>
      </c>
      <c r="G22" s="54">
        <v>2610.7600000000002</v>
      </c>
      <c r="H22" s="55">
        <f t="shared" si="0"/>
        <v>456.88</v>
      </c>
      <c r="I22" s="56">
        <f t="shared" si="1"/>
        <v>3067.6400000000003</v>
      </c>
      <c r="K22" s="32"/>
      <c r="L22" s="32"/>
      <c r="M22" s="32"/>
      <c r="N22" s="32"/>
    </row>
    <row r="23" spans="1:21" ht="18.75" x14ac:dyDescent="0.3">
      <c r="A23" s="52">
        <v>12113</v>
      </c>
      <c r="B23" s="53" t="s">
        <v>18</v>
      </c>
      <c r="C23" s="54">
        <v>16901.5</v>
      </c>
      <c r="D23" s="54">
        <v>18146.5</v>
      </c>
      <c r="E23" s="54">
        <v>15902</v>
      </c>
      <c r="F23" s="54">
        <v>17231.64</v>
      </c>
      <c r="G23" s="54">
        <v>18354.62</v>
      </c>
      <c r="H23" s="55">
        <f t="shared" si="0"/>
        <v>3212.06</v>
      </c>
      <c r="I23" s="56">
        <f t="shared" si="1"/>
        <v>21566.68</v>
      </c>
      <c r="K23" s="32"/>
      <c r="L23" s="32"/>
      <c r="M23" s="32"/>
      <c r="N23" s="32"/>
    </row>
    <row r="24" spans="1:21" ht="18.75" x14ac:dyDescent="0.3">
      <c r="A24" s="52">
        <v>12114</v>
      </c>
      <c r="B24" s="53" t="s">
        <v>19</v>
      </c>
      <c r="C24" s="54">
        <v>11392.76</v>
      </c>
      <c r="D24" s="54">
        <v>12297.04</v>
      </c>
      <c r="E24" s="54">
        <v>15242.84</v>
      </c>
      <c r="F24" s="54">
        <v>15511.05</v>
      </c>
      <c r="G24" s="54">
        <v>15258.08</v>
      </c>
      <c r="H24" s="55">
        <f t="shared" si="0"/>
        <v>2670.16</v>
      </c>
      <c r="I24" s="56">
        <f t="shared" si="1"/>
        <v>17928.239999999998</v>
      </c>
      <c r="K24" s="32"/>
      <c r="L24" s="43" t="s">
        <v>186</v>
      </c>
      <c r="M24" s="44">
        <f>+M17/5</f>
        <v>446981.77599999995</v>
      </c>
      <c r="N24" s="32"/>
    </row>
    <row r="25" spans="1:21" ht="18.75" x14ac:dyDescent="0.3">
      <c r="A25" s="52">
        <v>12115</v>
      </c>
      <c r="B25" s="53" t="s">
        <v>187</v>
      </c>
      <c r="C25" s="54">
        <v>19701.71</v>
      </c>
      <c r="D25" s="54">
        <v>37031.56</v>
      </c>
      <c r="E25" s="54">
        <v>46835.6</v>
      </c>
      <c r="F25" s="54">
        <v>39111.39</v>
      </c>
      <c r="G25" s="54">
        <v>62384.3</v>
      </c>
      <c r="H25" s="55">
        <f t="shared" si="0"/>
        <v>10917.25</v>
      </c>
      <c r="I25" s="56">
        <f t="shared" si="1"/>
        <v>73301.55</v>
      </c>
      <c r="K25" s="32"/>
      <c r="L25" s="43"/>
      <c r="M25" s="44"/>
      <c r="N25" s="32"/>
    </row>
    <row r="26" spans="1:21" ht="18.75" x14ac:dyDescent="0.3">
      <c r="A26" s="52">
        <v>12117</v>
      </c>
      <c r="B26" s="53" t="s">
        <v>20</v>
      </c>
      <c r="C26" s="54">
        <v>6408.75</v>
      </c>
      <c r="D26" s="54">
        <v>6458.47</v>
      </c>
      <c r="E26" s="54">
        <v>6593.56</v>
      </c>
      <c r="F26" s="54">
        <v>6528.31</v>
      </c>
      <c r="G26" s="54">
        <v>6311.38</v>
      </c>
      <c r="H26" s="55">
        <f t="shared" si="0"/>
        <v>1104.49</v>
      </c>
      <c r="I26" s="56">
        <f t="shared" si="1"/>
        <v>7415.87</v>
      </c>
      <c r="K26" s="32"/>
      <c r="L26" s="43" t="s">
        <v>188</v>
      </c>
      <c r="M26" s="44">
        <f>+N17/10</f>
        <v>20229.806000000041</v>
      </c>
      <c r="N26" s="32"/>
    </row>
    <row r="27" spans="1:21" ht="18.75" x14ac:dyDescent="0.3">
      <c r="A27" s="52">
        <v>12118</v>
      </c>
      <c r="B27" s="53" t="s">
        <v>21</v>
      </c>
      <c r="C27" s="54">
        <v>73857.070000000007</v>
      </c>
      <c r="D27" s="54">
        <v>49021.05</v>
      </c>
      <c r="E27" s="54">
        <v>50826.02</v>
      </c>
      <c r="F27" s="54">
        <v>49410.58</v>
      </c>
      <c r="G27" s="54">
        <v>38876.86</v>
      </c>
      <c r="H27" s="55">
        <f t="shared" si="0"/>
        <v>6803.45</v>
      </c>
      <c r="I27" s="56">
        <f t="shared" si="1"/>
        <v>45680.31</v>
      </c>
      <c r="K27" s="32"/>
      <c r="L27" s="43" t="s">
        <v>189</v>
      </c>
      <c r="M27" s="32"/>
      <c r="N27" s="32"/>
    </row>
    <row r="28" spans="1:21" ht="18.75" x14ac:dyDescent="0.3">
      <c r="A28" s="52">
        <v>12119</v>
      </c>
      <c r="B28" s="53" t="s">
        <v>190</v>
      </c>
      <c r="C28" s="54">
        <v>2084.36</v>
      </c>
      <c r="D28" s="54">
        <v>5751.98</v>
      </c>
      <c r="E28" s="54">
        <v>5594.12</v>
      </c>
      <c r="F28" s="54">
        <v>4811.1899999999996</v>
      </c>
      <c r="G28" s="54">
        <v>4752.7</v>
      </c>
      <c r="H28" s="55">
        <f t="shared" si="0"/>
        <v>831.72</v>
      </c>
      <c r="I28" s="56">
        <f t="shared" si="1"/>
        <v>5584.42</v>
      </c>
      <c r="K28" s="32"/>
      <c r="L28" s="43" t="s">
        <v>199</v>
      </c>
      <c r="M28" s="45">
        <f>+(M24+M26)*3</f>
        <v>1401634.746</v>
      </c>
      <c r="N28" s="32"/>
      <c r="R28" s="90"/>
    </row>
    <row r="29" spans="1:21" ht="18.75" x14ac:dyDescent="0.3">
      <c r="A29" s="52">
        <v>12123</v>
      </c>
      <c r="B29" s="53" t="s">
        <v>22</v>
      </c>
      <c r="C29" s="54">
        <v>15085.04</v>
      </c>
      <c r="D29" s="54">
        <v>19195.63</v>
      </c>
      <c r="E29" s="54">
        <v>20524.2</v>
      </c>
      <c r="F29" s="54">
        <v>22059.68</v>
      </c>
      <c r="G29" s="54">
        <v>24390.92</v>
      </c>
      <c r="H29" s="55">
        <f t="shared" si="0"/>
        <v>4268.41</v>
      </c>
      <c r="I29" s="56">
        <f t="shared" si="1"/>
        <v>28659.329999999998</v>
      </c>
      <c r="J29" s="27"/>
      <c r="K29" s="32"/>
      <c r="L29" s="43" t="s">
        <v>191</v>
      </c>
      <c r="M29" s="91">
        <v>0.17499999999999999</v>
      </c>
      <c r="N29" s="32" t="s">
        <v>192</v>
      </c>
      <c r="Q29" s="27">
        <f>+M28-M11</f>
        <v>891193.16599999997</v>
      </c>
    </row>
    <row r="30" spans="1:21" ht="18.75" x14ac:dyDescent="0.3">
      <c r="A30" s="52">
        <v>12210</v>
      </c>
      <c r="B30" s="53" t="s">
        <v>23</v>
      </c>
      <c r="C30" s="54">
        <v>7759.55</v>
      </c>
      <c r="D30" s="54">
        <v>6567.91</v>
      </c>
      <c r="E30" s="54">
        <v>5711.27</v>
      </c>
      <c r="F30" s="54">
        <v>8043.79</v>
      </c>
      <c r="G30" s="54">
        <v>8686.74</v>
      </c>
      <c r="H30" s="55">
        <f t="shared" si="0"/>
        <v>1520.18</v>
      </c>
      <c r="I30" s="56">
        <f t="shared" si="1"/>
        <v>10206.92</v>
      </c>
      <c r="K30" s="32"/>
      <c r="L30" s="32"/>
      <c r="M30" s="32"/>
      <c r="N30" s="32" t="s">
        <v>193</v>
      </c>
      <c r="Q30" s="27">
        <f>+Q29/M11</f>
        <v>1.7459258824486827</v>
      </c>
    </row>
    <row r="31" spans="1:21" ht="18.75" x14ac:dyDescent="0.3">
      <c r="A31" s="52">
        <v>12211</v>
      </c>
      <c r="B31" s="53" t="s">
        <v>24</v>
      </c>
      <c r="C31" s="54">
        <v>1210.8</v>
      </c>
      <c r="D31" s="54">
        <v>1235.28</v>
      </c>
      <c r="E31" s="54">
        <v>2080.5100000000002</v>
      </c>
      <c r="F31" s="54">
        <v>955.06</v>
      </c>
      <c r="G31" s="54">
        <v>787.15</v>
      </c>
      <c r="H31" s="55">
        <f t="shared" si="0"/>
        <v>137.75</v>
      </c>
      <c r="I31" s="56">
        <f t="shared" si="1"/>
        <v>924.9</v>
      </c>
      <c r="J31" s="27"/>
      <c r="K31" s="32"/>
      <c r="L31" s="32"/>
      <c r="M31" s="32"/>
      <c r="N31" s="32" t="s">
        <v>194</v>
      </c>
    </row>
    <row r="32" spans="1:21" ht="18.75" x14ac:dyDescent="0.3">
      <c r="A32" s="52">
        <v>14299</v>
      </c>
      <c r="B32" s="58" t="s">
        <v>25</v>
      </c>
      <c r="C32" s="54">
        <v>2006.01</v>
      </c>
      <c r="D32" s="54">
        <v>2855.85</v>
      </c>
      <c r="E32" s="54">
        <v>2825.53</v>
      </c>
      <c r="F32" s="54">
        <v>3403.65</v>
      </c>
      <c r="G32" s="54">
        <v>3071.55</v>
      </c>
      <c r="H32" s="55">
        <f t="shared" si="0"/>
        <v>537.52</v>
      </c>
      <c r="I32" s="56">
        <f t="shared" si="1"/>
        <v>3609.07</v>
      </c>
      <c r="K32" s="32"/>
      <c r="L32" s="32"/>
      <c r="M32" s="32"/>
      <c r="N32" s="32"/>
    </row>
    <row r="33" spans="1:14" ht="18" x14ac:dyDescent="0.25">
      <c r="A33" s="52">
        <v>14399</v>
      </c>
      <c r="B33" s="53" t="s">
        <v>195</v>
      </c>
      <c r="C33" s="54">
        <v>2705.62</v>
      </c>
      <c r="D33" s="54">
        <v>1397.5</v>
      </c>
      <c r="E33" s="54">
        <v>366.75</v>
      </c>
      <c r="F33" s="54">
        <v>237.54</v>
      </c>
      <c r="G33" s="54">
        <v>426</v>
      </c>
      <c r="H33" s="55">
        <f t="shared" si="0"/>
        <v>74.55</v>
      </c>
      <c r="I33" s="56">
        <f t="shared" si="1"/>
        <v>500.55</v>
      </c>
      <c r="J33" s="27"/>
    </row>
    <row r="34" spans="1:14" ht="18" x14ac:dyDescent="0.25">
      <c r="A34" s="52">
        <v>15402</v>
      </c>
      <c r="B34" s="53" t="s">
        <v>26</v>
      </c>
      <c r="C34" s="54">
        <v>12462.85</v>
      </c>
      <c r="D34" s="54">
        <v>9945.06</v>
      </c>
      <c r="E34" s="54">
        <v>8724.17</v>
      </c>
      <c r="F34" s="54">
        <v>9367.85</v>
      </c>
      <c r="G34" s="54">
        <v>11002.72</v>
      </c>
      <c r="H34" s="55">
        <f t="shared" si="0"/>
        <v>1925.48</v>
      </c>
      <c r="I34" s="56">
        <f t="shared" si="1"/>
        <v>12928.199999999999</v>
      </c>
    </row>
    <row r="35" spans="1:14" ht="18" x14ac:dyDescent="0.25">
      <c r="A35" s="52">
        <v>15301</v>
      </c>
      <c r="B35" s="53" t="s">
        <v>28</v>
      </c>
      <c r="C35" s="54">
        <v>1334.93</v>
      </c>
      <c r="D35" s="54">
        <v>1863.87</v>
      </c>
      <c r="E35" s="54">
        <v>1342.74</v>
      </c>
      <c r="F35" s="54">
        <v>3430.78</v>
      </c>
      <c r="G35" s="54">
        <v>2359.21</v>
      </c>
      <c r="H35" s="55">
        <f t="shared" si="0"/>
        <v>412.86</v>
      </c>
      <c r="I35" s="56">
        <f t="shared" si="1"/>
        <v>2772.07</v>
      </c>
    </row>
    <row r="36" spans="1:14" ht="18" x14ac:dyDescent="0.25">
      <c r="A36" s="52">
        <v>15302</v>
      </c>
      <c r="B36" s="53" t="s">
        <v>29</v>
      </c>
      <c r="C36" s="54">
        <v>331.11</v>
      </c>
      <c r="D36" s="54">
        <v>667.31</v>
      </c>
      <c r="E36" s="54">
        <v>305.42</v>
      </c>
      <c r="F36" s="54">
        <v>1016.27</v>
      </c>
      <c r="G36" s="54">
        <v>619.32000000000005</v>
      </c>
      <c r="H36" s="55">
        <f t="shared" si="0"/>
        <v>108.38</v>
      </c>
      <c r="I36" s="56">
        <f t="shared" si="1"/>
        <v>727.7</v>
      </c>
    </row>
    <row r="37" spans="1:14" ht="18" x14ac:dyDescent="0.25">
      <c r="A37" s="52">
        <v>15310</v>
      </c>
      <c r="B37" s="53" t="s">
        <v>30</v>
      </c>
      <c r="C37" s="54">
        <v>1.37</v>
      </c>
      <c r="D37" s="54">
        <v>0</v>
      </c>
      <c r="E37" s="54">
        <v>0</v>
      </c>
      <c r="F37" s="54">
        <v>0</v>
      </c>
      <c r="G37" s="54">
        <v>0.28000000000000003</v>
      </c>
      <c r="H37" s="55">
        <f t="shared" si="0"/>
        <v>0.05</v>
      </c>
      <c r="I37" s="56">
        <f t="shared" si="1"/>
        <v>0.33</v>
      </c>
      <c r="N37" s="46"/>
    </row>
    <row r="38" spans="1:14" ht="18" x14ac:dyDescent="0.25">
      <c r="A38" s="52">
        <v>15312</v>
      </c>
      <c r="B38" s="53" t="s">
        <v>31</v>
      </c>
      <c r="C38" s="54">
        <v>843.63</v>
      </c>
      <c r="D38" s="54">
        <v>988.29</v>
      </c>
      <c r="E38" s="54">
        <v>830.7</v>
      </c>
      <c r="F38" s="54">
        <v>839.81</v>
      </c>
      <c r="G38" s="54">
        <v>868.27</v>
      </c>
      <c r="H38" s="55">
        <f t="shared" si="0"/>
        <v>151.94999999999999</v>
      </c>
      <c r="I38" s="56">
        <f t="shared" si="1"/>
        <v>1020.22</v>
      </c>
    </row>
    <row r="39" spans="1:14" ht="18" x14ac:dyDescent="0.25">
      <c r="A39" s="59">
        <v>15314</v>
      </c>
      <c r="B39" s="60" t="s">
        <v>32</v>
      </c>
      <c r="C39" s="54">
        <v>8234.6</v>
      </c>
      <c r="D39" s="54">
        <v>501.82</v>
      </c>
      <c r="E39" s="54">
        <v>1869.39</v>
      </c>
      <c r="F39" s="54">
        <v>11.42</v>
      </c>
      <c r="G39" s="54">
        <v>77.39</v>
      </c>
      <c r="H39" s="55">
        <f t="shared" si="0"/>
        <v>13.54</v>
      </c>
      <c r="I39" s="56">
        <f t="shared" si="1"/>
        <v>90.93</v>
      </c>
      <c r="J39" s="27"/>
    </row>
    <row r="40" spans="1:14" ht="18" x14ac:dyDescent="0.25">
      <c r="A40" s="59">
        <v>15799</v>
      </c>
      <c r="B40" s="60" t="s">
        <v>33</v>
      </c>
      <c r="C40" s="54">
        <v>10528.53</v>
      </c>
      <c r="D40" s="54">
        <v>6851.56</v>
      </c>
      <c r="E40" s="54">
        <v>8484.2800000000007</v>
      </c>
      <c r="F40" s="54">
        <v>9498.3799999999992</v>
      </c>
      <c r="G40" s="54">
        <v>1847.14</v>
      </c>
      <c r="H40" s="55">
        <f t="shared" si="0"/>
        <v>323.25</v>
      </c>
      <c r="I40" s="56">
        <f t="shared" si="1"/>
        <v>2170.3900000000003</v>
      </c>
      <c r="M40" s="47"/>
    </row>
    <row r="41" spans="1:14" ht="18" x14ac:dyDescent="0.25">
      <c r="A41" s="59">
        <v>22551</v>
      </c>
      <c r="B41" s="60" t="s">
        <v>196</v>
      </c>
      <c r="C41" s="54">
        <v>96938.52</v>
      </c>
      <c r="D41" s="54">
        <v>13348.02</v>
      </c>
      <c r="E41" s="54">
        <f>3924.22+26295.47</f>
        <v>30219.690000000002</v>
      </c>
      <c r="F41" s="54">
        <v>31457.83</v>
      </c>
      <c r="G41" s="54">
        <v>30973.73</v>
      </c>
      <c r="H41" s="55">
        <f t="shared" si="0"/>
        <v>5420.4</v>
      </c>
      <c r="I41" s="56">
        <f t="shared" si="1"/>
        <v>36394.129999999997</v>
      </c>
      <c r="M41" s="46"/>
    </row>
    <row r="42" spans="1:14" ht="18" x14ac:dyDescent="0.25">
      <c r="A42" s="61"/>
      <c r="B42" s="62" t="s">
        <v>34</v>
      </c>
      <c r="C42" s="63">
        <f>SUM(C5:C41)</f>
        <v>457476.54999999993</v>
      </c>
      <c r="D42" s="64">
        <f>SUM(D5:D41)</f>
        <v>389988.56999999989</v>
      </c>
      <c r="E42" s="64">
        <v>390645.61</v>
      </c>
      <c r="F42" s="64">
        <f>SUM(F5:F41)</f>
        <v>486356.57000000007</v>
      </c>
      <c r="G42" s="64">
        <f>SUM(G5:G41)</f>
        <v>510441.58</v>
      </c>
      <c r="H42" s="65">
        <f>SUM(H5:H41)</f>
        <v>89327.25</v>
      </c>
      <c r="I42" s="65">
        <f>SUM(I5:I41)</f>
        <v>599768.82999999984</v>
      </c>
    </row>
    <row r="44" spans="1:14" ht="15.75" x14ac:dyDescent="0.25">
      <c r="A44" s="473" t="s">
        <v>831</v>
      </c>
      <c r="B44" s="473"/>
      <c r="C44" s="474">
        <f>+I42</f>
        <v>599768.82999999984</v>
      </c>
    </row>
    <row r="45" spans="1:14" ht="50.25" customHeight="1" x14ac:dyDescent="0.25">
      <c r="A45" s="680" t="s">
        <v>833</v>
      </c>
      <c r="B45" s="680"/>
      <c r="C45" s="474">
        <v>7116.48</v>
      </c>
    </row>
    <row r="46" spans="1:14" ht="29.25" customHeight="1" x14ac:dyDescent="0.25">
      <c r="A46" s="680" t="s">
        <v>832</v>
      </c>
      <c r="B46" s="680"/>
      <c r="C46" s="474">
        <v>53740.92</v>
      </c>
      <c r="I46" s="46"/>
    </row>
    <row r="47" spans="1:14" ht="33" customHeight="1" x14ac:dyDescent="0.25">
      <c r="A47" s="680" t="s">
        <v>834</v>
      </c>
      <c r="B47" s="680"/>
      <c r="C47" s="476">
        <f>SUM(C44:C46)</f>
        <v>660626.22999999986</v>
      </c>
    </row>
  </sheetData>
  <mergeCells count="8">
    <mergeCell ref="A45:B45"/>
    <mergeCell ref="A46:B46"/>
    <mergeCell ref="A47:B47"/>
    <mergeCell ref="A1:I1"/>
    <mergeCell ref="A2:I2"/>
    <mergeCell ref="A3:I3"/>
    <mergeCell ref="K4:N4"/>
    <mergeCell ref="K5:N5"/>
  </mergeCells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topLeftCell="A40" workbookViewId="0">
      <selection sqref="A1:N1"/>
    </sheetView>
  </sheetViews>
  <sheetFormatPr baseColWidth="10" defaultRowHeight="15" x14ac:dyDescent="0.25"/>
  <cols>
    <col min="1" max="1" width="7.5703125" customWidth="1"/>
    <col min="2" max="2" width="44.5703125" customWidth="1"/>
    <col min="3" max="3" width="25.140625" customWidth="1"/>
    <col min="4" max="4" width="20.140625" customWidth="1"/>
    <col min="6" max="6" width="18" customWidth="1"/>
    <col min="7" max="7" width="16.7109375" customWidth="1"/>
    <col min="8" max="8" width="15.7109375" customWidth="1"/>
    <col min="9" max="9" width="17.85546875" customWidth="1"/>
    <col min="10" max="10" width="16.28515625" customWidth="1"/>
    <col min="11" max="11" width="18.85546875" customWidth="1"/>
    <col min="12" max="12" width="15.28515625" customWidth="1"/>
    <col min="13" max="13" width="16" customWidth="1"/>
    <col min="14" max="14" width="17.42578125" customWidth="1"/>
    <col min="15" max="15" width="17.140625" customWidth="1"/>
    <col min="17" max="17" width="13.85546875" customWidth="1"/>
    <col min="18" max="18" width="14.7109375" customWidth="1"/>
    <col min="19" max="19" width="14.28515625" customWidth="1"/>
  </cols>
  <sheetData>
    <row r="1" spans="1:19" ht="29.25" customHeight="1" x14ac:dyDescent="0.25">
      <c r="A1" s="684" t="s">
        <v>216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96"/>
    </row>
    <row r="2" spans="1:19" ht="33" customHeight="1" x14ac:dyDescent="0.25">
      <c r="A2" s="685" t="s">
        <v>386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97"/>
    </row>
    <row r="3" spans="1:19" ht="24.75" x14ac:dyDescent="0.25">
      <c r="A3" s="686"/>
      <c r="B3" s="686"/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686"/>
      <c r="O3" s="97"/>
    </row>
    <row r="4" spans="1:19" ht="15.75" x14ac:dyDescent="0.25">
      <c r="A4" s="682" t="s">
        <v>217</v>
      </c>
      <c r="B4" s="682" t="s">
        <v>218</v>
      </c>
      <c r="C4" s="687" t="s">
        <v>219</v>
      </c>
      <c r="D4" s="682" t="s">
        <v>220</v>
      </c>
      <c r="E4" s="687" t="s">
        <v>221</v>
      </c>
      <c r="F4" s="687" t="s">
        <v>222</v>
      </c>
      <c r="G4" s="687"/>
      <c r="H4" s="687"/>
      <c r="I4" s="687"/>
      <c r="J4" s="687" t="s">
        <v>223</v>
      </c>
      <c r="K4" s="681" t="s">
        <v>224</v>
      </c>
      <c r="L4" s="681"/>
      <c r="M4" s="681"/>
      <c r="N4" s="681"/>
      <c r="O4" s="682" t="s">
        <v>37</v>
      </c>
    </row>
    <row r="5" spans="1:19" ht="15.75" x14ac:dyDescent="0.25">
      <c r="A5" s="682"/>
      <c r="B5" s="682"/>
      <c r="C5" s="687"/>
      <c r="D5" s="682"/>
      <c r="E5" s="687"/>
      <c r="F5" s="687"/>
      <c r="G5" s="687"/>
      <c r="H5" s="687"/>
      <c r="I5" s="687"/>
      <c r="J5" s="687"/>
      <c r="K5" s="98" t="s">
        <v>225</v>
      </c>
      <c r="L5" s="683" t="s">
        <v>226</v>
      </c>
      <c r="M5" s="683"/>
      <c r="N5" s="683"/>
      <c r="O5" s="682"/>
    </row>
    <row r="6" spans="1:19" ht="31.5" x14ac:dyDescent="0.25">
      <c r="A6" s="682"/>
      <c r="B6" s="682"/>
      <c r="C6" s="687"/>
      <c r="D6" s="682"/>
      <c r="E6" s="687"/>
      <c r="F6" s="99" t="s">
        <v>227</v>
      </c>
      <c r="G6" s="99" t="s">
        <v>228</v>
      </c>
      <c r="H6" s="99" t="s">
        <v>227</v>
      </c>
      <c r="I6" s="99" t="s">
        <v>229</v>
      </c>
      <c r="J6" s="99" t="s">
        <v>230</v>
      </c>
      <c r="K6" s="99" t="s">
        <v>231</v>
      </c>
      <c r="L6" s="100" t="s">
        <v>232</v>
      </c>
      <c r="M6" s="100" t="s">
        <v>233</v>
      </c>
      <c r="N6" s="99" t="s">
        <v>234</v>
      </c>
      <c r="O6" s="682"/>
    </row>
    <row r="7" spans="1:19" ht="15.75" x14ac:dyDescent="0.25">
      <c r="A7" s="101">
        <v>1</v>
      </c>
      <c r="B7" s="102" t="s">
        <v>235</v>
      </c>
      <c r="C7" s="101" t="s">
        <v>236</v>
      </c>
      <c r="D7" s="101" t="s">
        <v>237</v>
      </c>
      <c r="E7" s="103" t="s">
        <v>238</v>
      </c>
      <c r="F7" s="104">
        <v>1400</v>
      </c>
      <c r="G7" s="104">
        <v>0</v>
      </c>
      <c r="H7" s="105">
        <f t="shared" ref="H7:H25" si="0">+F7+G7</f>
        <v>1400</v>
      </c>
      <c r="I7" s="105">
        <f>+H7*12</f>
        <v>16800</v>
      </c>
      <c r="J7" s="104">
        <f t="shared" ref="J7:J25" si="1">+H7</f>
        <v>1400</v>
      </c>
      <c r="K7" s="104">
        <f t="shared" ref="K7:K25" si="2">+J7*6.75%*12</f>
        <v>1134</v>
      </c>
      <c r="L7" s="104">
        <v>0</v>
      </c>
      <c r="M7" s="104">
        <f>685.71*7.5%*12</f>
        <v>617.13900000000001</v>
      </c>
      <c r="N7" s="104">
        <f>+K7+M7</f>
        <v>1751.1390000000001</v>
      </c>
      <c r="O7" s="106">
        <f t="shared" ref="O7:O12" si="3">ROUND((+I7+J7+N7),2)</f>
        <v>19951.14</v>
      </c>
    </row>
    <row r="8" spans="1:19" ht="15.75" x14ac:dyDescent="0.25">
      <c r="A8" s="101">
        <v>2</v>
      </c>
      <c r="B8" s="102" t="s">
        <v>239</v>
      </c>
      <c r="C8" s="101" t="s">
        <v>240</v>
      </c>
      <c r="D8" s="101" t="s">
        <v>237</v>
      </c>
      <c r="E8" s="103" t="s">
        <v>238</v>
      </c>
      <c r="F8" s="104">
        <v>670</v>
      </c>
      <c r="G8" s="104">
        <v>0</v>
      </c>
      <c r="H8" s="105">
        <f t="shared" si="0"/>
        <v>670</v>
      </c>
      <c r="I8" s="105">
        <f t="shared" ref="I8:I71" si="4">+H8*12</f>
        <v>8040</v>
      </c>
      <c r="J8" s="104">
        <f t="shared" si="1"/>
        <v>670</v>
      </c>
      <c r="K8" s="104">
        <f t="shared" si="2"/>
        <v>542.70000000000005</v>
      </c>
      <c r="L8" s="104">
        <v>0</v>
      </c>
      <c r="M8" s="104">
        <f>+J8*7.5%*12</f>
        <v>603</v>
      </c>
      <c r="N8" s="104">
        <f>+K8+M8</f>
        <v>1145.7</v>
      </c>
      <c r="O8" s="106">
        <f t="shared" si="3"/>
        <v>9855.7000000000007</v>
      </c>
    </row>
    <row r="9" spans="1:19" ht="15.75" x14ac:dyDescent="0.25">
      <c r="A9" s="101">
        <v>3</v>
      </c>
      <c r="B9" s="107" t="s">
        <v>385</v>
      </c>
      <c r="C9" s="108" t="s">
        <v>241</v>
      </c>
      <c r="D9" s="108" t="s">
        <v>242</v>
      </c>
      <c r="E9" s="103" t="s">
        <v>238</v>
      </c>
      <c r="F9" s="105">
        <v>880</v>
      </c>
      <c r="G9" s="105">
        <v>0</v>
      </c>
      <c r="H9" s="105">
        <f t="shared" si="0"/>
        <v>880</v>
      </c>
      <c r="I9" s="105">
        <f t="shared" si="4"/>
        <v>10560</v>
      </c>
      <c r="J9" s="104">
        <f t="shared" si="1"/>
        <v>880</v>
      </c>
      <c r="K9" s="104">
        <f t="shared" si="2"/>
        <v>712.80000000000007</v>
      </c>
      <c r="L9" s="105">
        <v>0</v>
      </c>
      <c r="M9" s="104">
        <f>685.71*7.5%*12</f>
        <v>617.13900000000001</v>
      </c>
      <c r="N9" s="104">
        <f t="shared" ref="N9:N25" si="5">SUM(K9:M9)</f>
        <v>1329.9390000000001</v>
      </c>
      <c r="O9" s="106">
        <f t="shared" si="3"/>
        <v>12769.94</v>
      </c>
    </row>
    <row r="10" spans="1:19" ht="15.75" x14ac:dyDescent="0.25">
      <c r="A10" s="101">
        <v>4</v>
      </c>
      <c r="B10" s="107" t="s">
        <v>243</v>
      </c>
      <c r="C10" s="108" t="s">
        <v>244</v>
      </c>
      <c r="D10" s="108" t="s">
        <v>245</v>
      </c>
      <c r="E10" s="109" t="s">
        <v>238</v>
      </c>
      <c r="F10" s="105">
        <v>416</v>
      </c>
      <c r="G10" s="105">
        <v>0</v>
      </c>
      <c r="H10" s="105">
        <f t="shared" si="0"/>
        <v>416</v>
      </c>
      <c r="I10" s="105">
        <f t="shared" si="4"/>
        <v>4992</v>
      </c>
      <c r="J10" s="104">
        <f t="shared" si="1"/>
        <v>416</v>
      </c>
      <c r="K10" s="104">
        <f t="shared" si="2"/>
        <v>336.96000000000004</v>
      </c>
      <c r="L10" s="105">
        <v>0</v>
      </c>
      <c r="M10" s="104">
        <f t="shared" ref="M10:M25" si="6">+J10*7.5%*12</f>
        <v>374.4</v>
      </c>
      <c r="N10" s="104">
        <f t="shared" si="5"/>
        <v>711.36</v>
      </c>
      <c r="O10" s="106">
        <f t="shared" si="3"/>
        <v>6119.36</v>
      </c>
    </row>
    <row r="11" spans="1:19" ht="15.75" x14ac:dyDescent="0.25">
      <c r="A11" s="101">
        <v>5</v>
      </c>
      <c r="B11" s="107" t="s">
        <v>246</v>
      </c>
      <c r="C11" s="108" t="s">
        <v>247</v>
      </c>
      <c r="D11" s="110"/>
      <c r="E11" s="109" t="s">
        <v>238</v>
      </c>
      <c r="F11" s="105">
        <v>1030</v>
      </c>
      <c r="G11" s="105">
        <v>0</v>
      </c>
      <c r="H11" s="105">
        <f t="shared" si="0"/>
        <v>1030</v>
      </c>
      <c r="I11" s="105">
        <f t="shared" si="4"/>
        <v>12360</v>
      </c>
      <c r="J11" s="104">
        <f t="shared" si="1"/>
        <v>1030</v>
      </c>
      <c r="K11" s="104">
        <f t="shared" si="2"/>
        <v>834.30000000000007</v>
      </c>
      <c r="L11" s="105">
        <v>0</v>
      </c>
      <c r="M11" s="104">
        <f t="shared" si="6"/>
        <v>927</v>
      </c>
      <c r="N11" s="104">
        <f t="shared" si="5"/>
        <v>1761.3000000000002</v>
      </c>
      <c r="O11" s="106">
        <f t="shared" si="3"/>
        <v>15151.3</v>
      </c>
    </row>
    <row r="12" spans="1:19" ht="15.75" x14ac:dyDescent="0.25">
      <c r="A12" s="101">
        <v>6</v>
      </c>
      <c r="B12" s="102" t="s">
        <v>384</v>
      </c>
      <c r="C12" s="101" t="s">
        <v>248</v>
      </c>
      <c r="D12" s="101" t="s">
        <v>237</v>
      </c>
      <c r="E12" s="103" t="s">
        <v>238</v>
      </c>
      <c r="F12" s="111">
        <v>950</v>
      </c>
      <c r="G12" s="105">
        <v>0</v>
      </c>
      <c r="H12" s="105">
        <f t="shared" si="0"/>
        <v>950</v>
      </c>
      <c r="I12" s="105">
        <f>+H12*12</f>
        <v>11400</v>
      </c>
      <c r="J12" s="105">
        <f t="shared" si="1"/>
        <v>950</v>
      </c>
      <c r="K12" s="104">
        <f t="shared" si="2"/>
        <v>769.5</v>
      </c>
      <c r="L12" s="105">
        <v>0</v>
      </c>
      <c r="M12" s="104">
        <f t="shared" si="6"/>
        <v>855</v>
      </c>
      <c r="N12" s="104">
        <f t="shared" si="5"/>
        <v>1624.5</v>
      </c>
      <c r="O12" s="106">
        <f t="shared" si="3"/>
        <v>13974.5</v>
      </c>
    </row>
    <row r="13" spans="1:19" ht="15.75" x14ac:dyDescent="0.25">
      <c r="A13" s="101"/>
      <c r="B13" s="112" t="s">
        <v>249</v>
      </c>
      <c r="C13" s="101"/>
      <c r="D13" s="101"/>
      <c r="E13" s="103"/>
      <c r="F13" s="113">
        <f>SUM(F7:F12)</f>
        <v>5346</v>
      </c>
      <c r="G13" s="113">
        <f t="shared" ref="G13:O13" si="7">SUM(G7:G12)</f>
        <v>0</v>
      </c>
      <c r="H13" s="113">
        <f t="shared" si="7"/>
        <v>5346</v>
      </c>
      <c r="I13" s="113">
        <f t="shared" si="7"/>
        <v>64152</v>
      </c>
      <c r="J13" s="113">
        <f t="shared" si="7"/>
        <v>5346</v>
      </c>
      <c r="K13" s="113">
        <f t="shared" si="7"/>
        <v>4330.26</v>
      </c>
      <c r="L13" s="113">
        <f t="shared" si="7"/>
        <v>0</v>
      </c>
      <c r="M13" s="113">
        <f t="shared" si="7"/>
        <v>3993.6780000000003</v>
      </c>
      <c r="N13" s="113">
        <f t="shared" si="7"/>
        <v>8323.9380000000001</v>
      </c>
      <c r="O13" s="113">
        <f t="shared" si="7"/>
        <v>77821.94</v>
      </c>
      <c r="Q13" s="168">
        <v>0.25</v>
      </c>
      <c r="R13" t="s">
        <v>513</v>
      </c>
      <c r="S13" t="s">
        <v>514</v>
      </c>
    </row>
    <row r="14" spans="1:19" ht="15.75" x14ac:dyDescent="0.25">
      <c r="A14" s="101">
        <v>7</v>
      </c>
      <c r="B14" s="102" t="s">
        <v>250</v>
      </c>
      <c r="C14" s="101" t="s">
        <v>251</v>
      </c>
      <c r="D14" s="101" t="s">
        <v>242</v>
      </c>
      <c r="E14" s="103" t="s">
        <v>252</v>
      </c>
      <c r="F14" s="104">
        <v>320</v>
      </c>
      <c r="G14" s="105">
        <v>0</v>
      </c>
      <c r="H14" s="105">
        <f>+F14+G14</f>
        <v>320</v>
      </c>
      <c r="I14" s="105">
        <f t="shared" si="4"/>
        <v>3840</v>
      </c>
      <c r="J14" s="105">
        <f>+H14</f>
        <v>320</v>
      </c>
      <c r="K14" s="104">
        <f>+J14*6.75%*12</f>
        <v>259.20000000000005</v>
      </c>
      <c r="L14" s="105">
        <v>0</v>
      </c>
      <c r="M14" s="104">
        <f>+J14*7.5%*12</f>
        <v>288</v>
      </c>
      <c r="N14" s="104">
        <f>SUM(K14:M14)</f>
        <v>547.20000000000005</v>
      </c>
      <c r="O14" s="106">
        <f>ROUND((+I14+J14+N14),2)</f>
        <v>4707.2</v>
      </c>
      <c r="Q14" s="169">
        <f>+I13+I26+I118</f>
        <v>163536</v>
      </c>
      <c r="R14" s="6">
        <f>+I17+I19+I30+I32+I36+I39+I41+I43+I45+I47+I50+I55+I59+I65+I67+I85+I87+I116</f>
        <v>321780</v>
      </c>
      <c r="S14" s="6">
        <f>+O82</f>
        <v>68548.599999999991</v>
      </c>
    </row>
    <row r="15" spans="1:19" ht="15.75" x14ac:dyDescent="0.25">
      <c r="A15" s="101">
        <v>8</v>
      </c>
      <c r="B15" s="102" t="s">
        <v>253</v>
      </c>
      <c r="C15" s="101" t="s">
        <v>251</v>
      </c>
      <c r="D15" s="101" t="s">
        <v>242</v>
      </c>
      <c r="E15" s="103" t="s">
        <v>252</v>
      </c>
      <c r="F15" s="104">
        <v>320</v>
      </c>
      <c r="G15" s="105">
        <v>0</v>
      </c>
      <c r="H15" s="105">
        <f>+F15+G15</f>
        <v>320</v>
      </c>
      <c r="I15" s="105">
        <f t="shared" si="4"/>
        <v>3840</v>
      </c>
      <c r="J15" s="105">
        <f>+H15</f>
        <v>320</v>
      </c>
      <c r="K15" s="104">
        <v>0</v>
      </c>
      <c r="L15" s="105">
        <f>+H15*6.5%*12</f>
        <v>249.60000000000002</v>
      </c>
      <c r="M15" s="104">
        <f>+J15*7.5%*12</f>
        <v>288</v>
      </c>
      <c r="N15" s="104">
        <f>SUM(K15:M15)</f>
        <v>537.6</v>
      </c>
      <c r="O15" s="106">
        <f>ROUND((+I15+J15+N15),2)</f>
        <v>4697.6000000000004</v>
      </c>
      <c r="Q15" s="6"/>
      <c r="R15" s="6"/>
      <c r="S15" s="6"/>
    </row>
    <row r="16" spans="1:19" ht="15.75" x14ac:dyDescent="0.25">
      <c r="A16" s="101">
        <v>9</v>
      </c>
      <c r="B16" s="102" t="s">
        <v>254</v>
      </c>
      <c r="C16" s="101" t="s">
        <v>255</v>
      </c>
      <c r="D16" s="101" t="s">
        <v>242</v>
      </c>
      <c r="E16" s="103" t="s">
        <v>252</v>
      </c>
      <c r="F16" s="104">
        <v>320</v>
      </c>
      <c r="G16" s="105">
        <v>0</v>
      </c>
      <c r="H16" s="105">
        <f>+F16+G16</f>
        <v>320</v>
      </c>
      <c r="I16" s="105">
        <f t="shared" si="4"/>
        <v>3840</v>
      </c>
      <c r="J16" s="105">
        <f>+H16</f>
        <v>320</v>
      </c>
      <c r="K16" s="104">
        <f>+J16*6.75%*12</f>
        <v>259.20000000000005</v>
      </c>
      <c r="L16" s="105">
        <v>0</v>
      </c>
      <c r="M16" s="104">
        <f>+J16*7.5%*12</f>
        <v>288</v>
      </c>
      <c r="N16" s="104">
        <f>SUM(K16:M16)</f>
        <v>547.20000000000005</v>
      </c>
      <c r="O16" s="106">
        <f>ROUND((+I16+J16+N16),2)</f>
        <v>4707.2</v>
      </c>
      <c r="Q16" s="6">
        <f>+J13+J26</f>
        <v>7388</v>
      </c>
      <c r="R16" s="6">
        <f>+J17+J19+J30+J32+J36+J39+J41+J43+J45+J47+J50+J55+J59++J65+J67+J85+J87+J116</f>
        <v>26415</v>
      </c>
      <c r="S16" s="6">
        <f>+J82</f>
        <v>4660</v>
      </c>
    </row>
    <row r="17" spans="1:19" ht="15.75" x14ac:dyDescent="0.25">
      <c r="A17" s="101"/>
      <c r="B17" s="114" t="s">
        <v>249</v>
      </c>
      <c r="C17" s="101"/>
      <c r="D17" s="101"/>
      <c r="E17" s="103"/>
      <c r="F17" s="115">
        <f>SUM(F14:F16)</f>
        <v>960</v>
      </c>
      <c r="G17" s="115">
        <f t="shared" ref="G17:O17" si="8">SUM(G14:G16)</f>
        <v>0</v>
      </c>
      <c r="H17" s="115">
        <f t="shared" si="8"/>
        <v>960</v>
      </c>
      <c r="I17" s="115">
        <f t="shared" si="8"/>
        <v>11520</v>
      </c>
      <c r="J17" s="115">
        <f t="shared" si="8"/>
        <v>960</v>
      </c>
      <c r="K17" s="115">
        <f t="shared" si="8"/>
        <v>518.40000000000009</v>
      </c>
      <c r="L17" s="115">
        <f t="shared" si="8"/>
        <v>249.60000000000002</v>
      </c>
      <c r="M17" s="115">
        <f t="shared" si="8"/>
        <v>864</v>
      </c>
      <c r="N17" s="115">
        <f t="shared" si="8"/>
        <v>1632.0000000000002</v>
      </c>
      <c r="O17" s="115">
        <f t="shared" si="8"/>
        <v>14112</v>
      </c>
      <c r="Q17" s="6"/>
      <c r="R17" s="6"/>
      <c r="S17" s="6"/>
    </row>
    <row r="18" spans="1:19" ht="15.75" x14ac:dyDescent="0.25">
      <c r="A18" s="101">
        <v>10</v>
      </c>
      <c r="B18" s="116" t="s">
        <v>509</v>
      </c>
      <c r="C18" s="108" t="s">
        <v>256</v>
      </c>
      <c r="D18" s="108"/>
      <c r="E18" s="103" t="s">
        <v>252</v>
      </c>
      <c r="F18" s="105">
        <v>1000</v>
      </c>
      <c r="G18" s="105">
        <v>0</v>
      </c>
      <c r="H18" s="105">
        <f>+F18+G18</f>
        <v>1000</v>
      </c>
      <c r="I18" s="105">
        <f t="shared" si="4"/>
        <v>12000</v>
      </c>
      <c r="J18" s="105">
        <v>600</v>
      </c>
      <c r="K18" s="104">
        <f>+J18*6.75%*10</f>
        <v>405</v>
      </c>
      <c r="L18" s="105">
        <v>0</v>
      </c>
      <c r="M18" s="104">
        <f>+J18*7.5%*10</f>
        <v>450</v>
      </c>
      <c r="N18" s="104">
        <f>SUM(K18:M18)</f>
        <v>855</v>
      </c>
      <c r="O18" s="106">
        <f>ROUND((+I18+J18+N18),2)</f>
        <v>13455</v>
      </c>
      <c r="Q18" s="6"/>
      <c r="R18" s="6"/>
      <c r="S18" s="6"/>
    </row>
    <row r="19" spans="1:19" ht="15.75" x14ac:dyDescent="0.25">
      <c r="A19" s="101"/>
      <c r="B19" s="112" t="s">
        <v>249</v>
      </c>
      <c r="C19" s="108"/>
      <c r="D19" s="108"/>
      <c r="E19" s="109"/>
      <c r="F19" s="117">
        <f>SUM(F18)</f>
        <v>1000</v>
      </c>
      <c r="G19" s="117">
        <f t="shared" ref="G19:O19" si="9">SUM(G18)</f>
        <v>0</v>
      </c>
      <c r="H19" s="117">
        <f t="shared" si="9"/>
        <v>1000</v>
      </c>
      <c r="I19" s="117">
        <f t="shared" si="9"/>
        <v>12000</v>
      </c>
      <c r="J19" s="117">
        <f t="shared" si="9"/>
        <v>600</v>
      </c>
      <c r="K19" s="117">
        <f t="shared" si="9"/>
        <v>405</v>
      </c>
      <c r="L19" s="117">
        <f t="shared" si="9"/>
        <v>0</v>
      </c>
      <c r="M19" s="117">
        <f t="shared" si="9"/>
        <v>450</v>
      </c>
      <c r="N19" s="117">
        <f t="shared" si="9"/>
        <v>855</v>
      </c>
      <c r="O19" s="117">
        <f t="shared" si="9"/>
        <v>13455</v>
      </c>
      <c r="Q19" s="6">
        <f>+K13+K26</f>
        <v>5984.2800000000007</v>
      </c>
      <c r="R19" s="6">
        <f>+K17+K19+K26+K30+K32+K36+K39+K41+K43+K45+K47+K50+K55+K59+K65+K67+K85+K87+L116</f>
        <v>15056.61</v>
      </c>
      <c r="S19" s="6">
        <f>+K82</f>
        <v>3774.5999999999995</v>
      </c>
    </row>
    <row r="20" spans="1:19" ht="15.75" x14ac:dyDescent="0.25">
      <c r="A20" s="101">
        <v>11</v>
      </c>
      <c r="B20" s="102" t="s">
        <v>257</v>
      </c>
      <c r="C20" s="101" t="s">
        <v>258</v>
      </c>
      <c r="D20" s="101" t="s">
        <v>237</v>
      </c>
      <c r="E20" s="103" t="s">
        <v>238</v>
      </c>
      <c r="F20" s="104">
        <v>392</v>
      </c>
      <c r="G20" s="105">
        <v>0</v>
      </c>
      <c r="H20" s="105">
        <f t="shared" si="0"/>
        <v>392</v>
      </c>
      <c r="I20" s="105">
        <f t="shared" si="4"/>
        <v>4704</v>
      </c>
      <c r="J20" s="105">
        <f>+H20</f>
        <v>392</v>
      </c>
      <c r="K20" s="104">
        <f t="shared" si="2"/>
        <v>317.52</v>
      </c>
      <c r="L20" s="105">
        <v>0</v>
      </c>
      <c r="M20" s="104">
        <f t="shared" si="6"/>
        <v>352.79999999999995</v>
      </c>
      <c r="N20" s="104">
        <f>SUM(K20:M20)</f>
        <v>670.31999999999994</v>
      </c>
      <c r="O20" s="106">
        <f>ROUND((+I20+J20+N20),2)</f>
        <v>5766.32</v>
      </c>
      <c r="Q20" s="6"/>
      <c r="R20" s="6"/>
      <c r="S20" s="6"/>
    </row>
    <row r="21" spans="1:19" ht="15.75" x14ac:dyDescent="0.25">
      <c r="A21" s="101">
        <v>12</v>
      </c>
      <c r="B21" s="107" t="s">
        <v>259</v>
      </c>
      <c r="C21" s="108" t="s">
        <v>260</v>
      </c>
      <c r="D21" s="101" t="s">
        <v>237</v>
      </c>
      <c r="E21" s="103" t="s">
        <v>238</v>
      </c>
      <c r="F21" s="105">
        <v>342</v>
      </c>
      <c r="G21" s="105">
        <v>0</v>
      </c>
      <c r="H21" s="105">
        <f t="shared" si="0"/>
        <v>342</v>
      </c>
      <c r="I21" s="105">
        <f t="shared" si="4"/>
        <v>4104</v>
      </c>
      <c r="J21" s="104">
        <f t="shared" si="1"/>
        <v>342</v>
      </c>
      <c r="K21" s="104">
        <f t="shared" si="2"/>
        <v>277.02</v>
      </c>
      <c r="L21" s="105">
        <v>0</v>
      </c>
      <c r="M21" s="104">
        <f t="shared" si="6"/>
        <v>307.79999999999995</v>
      </c>
      <c r="N21" s="104">
        <f t="shared" si="5"/>
        <v>584.81999999999994</v>
      </c>
      <c r="O21" s="106">
        <f t="shared" ref="O21:O25" si="10">ROUND((+I21+J21+N21),2)</f>
        <v>5030.82</v>
      </c>
      <c r="Q21" s="6">
        <f>+M26+M13</f>
        <v>5831.4780000000001</v>
      </c>
      <c r="R21" s="6">
        <f>+L17+M17+M19+M30+M32+M36+M39+M41+M43+M45+M47+M50+M55+M59+M65+M67+M85+M87+M116</f>
        <v>24538.656000000003</v>
      </c>
      <c r="S21" s="6">
        <f>+M82</f>
        <v>4194</v>
      </c>
    </row>
    <row r="22" spans="1:19" ht="15.75" x14ac:dyDescent="0.25">
      <c r="A22" s="101">
        <v>13</v>
      </c>
      <c r="B22" s="107" t="s">
        <v>263</v>
      </c>
      <c r="C22" s="108" t="s">
        <v>260</v>
      </c>
      <c r="D22" s="101" t="s">
        <v>237</v>
      </c>
      <c r="E22" s="103" t="s">
        <v>238</v>
      </c>
      <c r="F22" s="105">
        <v>342</v>
      </c>
      <c r="G22" s="105">
        <v>0</v>
      </c>
      <c r="H22" s="105">
        <f t="shared" si="0"/>
        <v>342</v>
      </c>
      <c r="I22" s="105">
        <f t="shared" si="4"/>
        <v>4104</v>
      </c>
      <c r="J22" s="104">
        <f t="shared" si="1"/>
        <v>342</v>
      </c>
      <c r="K22" s="104">
        <f t="shared" si="2"/>
        <v>277.02</v>
      </c>
      <c r="L22" s="105">
        <v>0</v>
      </c>
      <c r="M22" s="104">
        <f t="shared" si="6"/>
        <v>307.79999999999995</v>
      </c>
      <c r="N22" s="104">
        <f t="shared" si="5"/>
        <v>584.81999999999994</v>
      </c>
      <c r="O22" s="106">
        <f t="shared" si="10"/>
        <v>5030.82</v>
      </c>
      <c r="Q22" s="6"/>
      <c r="R22" s="6"/>
      <c r="S22" s="6"/>
    </row>
    <row r="23" spans="1:19" ht="15.75" x14ac:dyDescent="0.25">
      <c r="A23" s="101">
        <v>14</v>
      </c>
      <c r="B23" s="107" t="s">
        <v>261</v>
      </c>
      <c r="C23" s="108" t="s">
        <v>260</v>
      </c>
      <c r="D23" s="101" t="s">
        <v>237</v>
      </c>
      <c r="E23" s="103" t="s">
        <v>238</v>
      </c>
      <c r="F23" s="105">
        <v>322</v>
      </c>
      <c r="G23" s="105">
        <v>0</v>
      </c>
      <c r="H23" s="105">
        <f t="shared" si="0"/>
        <v>322</v>
      </c>
      <c r="I23" s="105">
        <f t="shared" si="4"/>
        <v>3864</v>
      </c>
      <c r="J23" s="104">
        <f t="shared" si="1"/>
        <v>322</v>
      </c>
      <c r="K23" s="104">
        <f t="shared" si="2"/>
        <v>260.82000000000005</v>
      </c>
      <c r="L23" s="105">
        <v>0</v>
      </c>
      <c r="M23" s="104">
        <f t="shared" si="6"/>
        <v>289.79999999999995</v>
      </c>
      <c r="N23" s="104">
        <f t="shared" si="5"/>
        <v>550.62</v>
      </c>
      <c r="O23" s="106">
        <f t="shared" si="10"/>
        <v>4736.62</v>
      </c>
      <c r="Q23" s="6"/>
      <c r="R23" s="6"/>
      <c r="S23" s="6"/>
    </row>
    <row r="24" spans="1:19" ht="15.75" x14ac:dyDescent="0.25">
      <c r="A24" s="101">
        <v>15</v>
      </c>
      <c r="B24" s="107" t="s">
        <v>262</v>
      </c>
      <c r="C24" s="108" t="s">
        <v>260</v>
      </c>
      <c r="D24" s="101" t="s">
        <v>237</v>
      </c>
      <c r="E24" s="103" t="s">
        <v>238</v>
      </c>
      <c r="F24" s="105">
        <v>322</v>
      </c>
      <c r="G24" s="105">
        <v>0</v>
      </c>
      <c r="H24" s="105">
        <f t="shared" si="0"/>
        <v>322</v>
      </c>
      <c r="I24" s="105">
        <f t="shared" si="4"/>
        <v>3864</v>
      </c>
      <c r="J24" s="104">
        <f t="shared" si="1"/>
        <v>322</v>
      </c>
      <c r="K24" s="104">
        <f t="shared" si="2"/>
        <v>260.82000000000005</v>
      </c>
      <c r="L24" s="105">
        <v>0</v>
      </c>
      <c r="M24" s="104">
        <f t="shared" si="6"/>
        <v>289.79999999999995</v>
      </c>
      <c r="N24" s="104">
        <f t="shared" si="5"/>
        <v>550.62</v>
      </c>
      <c r="O24" s="106">
        <f t="shared" si="10"/>
        <v>4736.62</v>
      </c>
      <c r="Q24" s="6"/>
      <c r="R24" s="6"/>
      <c r="S24" s="6"/>
    </row>
    <row r="25" spans="1:19" ht="15.75" x14ac:dyDescent="0.25">
      <c r="A25" s="101">
        <v>16</v>
      </c>
      <c r="B25" s="107" t="s">
        <v>493</v>
      </c>
      <c r="C25" s="108" t="s">
        <v>260</v>
      </c>
      <c r="D25" s="101" t="s">
        <v>237</v>
      </c>
      <c r="E25" s="103" t="s">
        <v>238</v>
      </c>
      <c r="F25" s="105">
        <v>322</v>
      </c>
      <c r="G25" s="105">
        <v>0</v>
      </c>
      <c r="H25" s="105">
        <f t="shared" si="0"/>
        <v>322</v>
      </c>
      <c r="I25" s="105">
        <f t="shared" si="4"/>
        <v>3864</v>
      </c>
      <c r="J25" s="104">
        <f t="shared" si="1"/>
        <v>322</v>
      </c>
      <c r="K25" s="104">
        <f t="shared" si="2"/>
        <v>260.82000000000005</v>
      </c>
      <c r="L25" s="105">
        <v>0</v>
      </c>
      <c r="M25" s="104">
        <f t="shared" si="6"/>
        <v>289.79999999999995</v>
      </c>
      <c r="N25" s="104">
        <f t="shared" si="5"/>
        <v>550.62</v>
      </c>
      <c r="O25" s="106">
        <f t="shared" si="10"/>
        <v>4736.62</v>
      </c>
      <c r="Q25" s="6"/>
      <c r="R25" s="6"/>
      <c r="S25" s="6"/>
    </row>
    <row r="26" spans="1:19" ht="15.75" x14ac:dyDescent="0.25">
      <c r="A26" s="101"/>
      <c r="B26" s="112" t="s">
        <v>249</v>
      </c>
      <c r="C26" s="108"/>
      <c r="D26" s="101"/>
      <c r="E26" s="109"/>
      <c r="F26" s="117">
        <f>SUM(F20:F25)</f>
        <v>2042</v>
      </c>
      <c r="G26" s="117">
        <f t="shared" ref="G26:O26" si="11">SUM(G20:G25)</f>
        <v>0</v>
      </c>
      <c r="H26" s="117">
        <f t="shared" si="11"/>
        <v>2042</v>
      </c>
      <c r="I26" s="117">
        <f t="shared" si="11"/>
        <v>24504</v>
      </c>
      <c r="J26" s="117">
        <f t="shared" si="11"/>
        <v>2042</v>
      </c>
      <c r="K26" s="117">
        <f t="shared" si="11"/>
        <v>1654.0200000000004</v>
      </c>
      <c r="L26" s="117">
        <f t="shared" si="11"/>
        <v>0</v>
      </c>
      <c r="M26" s="117">
        <f t="shared" si="11"/>
        <v>1837.7999999999997</v>
      </c>
      <c r="N26" s="117">
        <f t="shared" si="11"/>
        <v>3491.8199999999997</v>
      </c>
      <c r="O26" s="117">
        <f t="shared" si="11"/>
        <v>30037.819999999996</v>
      </c>
      <c r="Q26" s="6">
        <f>+O13+O26</f>
        <v>107859.76</v>
      </c>
      <c r="R26" s="6"/>
      <c r="S26" s="6"/>
    </row>
    <row r="27" spans="1:19" ht="15.75" x14ac:dyDescent="0.25">
      <c r="A27" s="101">
        <v>17</v>
      </c>
      <c r="B27" s="102" t="s">
        <v>264</v>
      </c>
      <c r="C27" s="101" t="s">
        <v>265</v>
      </c>
      <c r="D27" s="116"/>
      <c r="E27" s="103" t="s">
        <v>252</v>
      </c>
      <c r="F27" s="104">
        <v>520</v>
      </c>
      <c r="G27" s="105">
        <v>0</v>
      </c>
      <c r="H27" s="105">
        <f>+F27+G27</f>
        <v>520</v>
      </c>
      <c r="I27" s="105">
        <f t="shared" si="4"/>
        <v>6240</v>
      </c>
      <c r="J27" s="105">
        <f>+H27</f>
        <v>520</v>
      </c>
      <c r="K27" s="104">
        <f>+J27*6.75%*12</f>
        <v>421.20000000000005</v>
      </c>
      <c r="L27" s="105">
        <v>0</v>
      </c>
      <c r="M27" s="104">
        <f>+J27*7.5%*12</f>
        <v>468</v>
      </c>
      <c r="N27" s="104">
        <f>SUM(K27:M27)</f>
        <v>889.2</v>
      </c>
      <c r="O27" s="106">
        <f>ROUND((+I27+J27+N27),2)</f>
        <v>7649.2</v>
      </c>
      <c r="Q27" s="6"/>
      <c r="R27" s="6"/>
      <c r="S27" s="6"/>
    </row>
    <row r="28" spans="1:19" ht="15.75" x14ac:dyDescent="0.25">
      <c r="A28" s="101">
        <v>18</v>
      </c>
      <c r="B28" s="102"/>
      <c r="C28" s="101" t="s">
        <v>266</v>
      </c>
      <c r="D28" s="116"/>
      <c r="E28" s="103" t="s">
        <v>252</v>
      </c>
      <c r="F28" s="104">
        <v>300</v>
      </c>
      <c r="G28" s="105">
        <v>0</v>
      </c>
      <c r="H28" s="105">
        <f>+F28+G28</f>
        <v>300</v>
      </c>
      <c r="I28" s="105">
        <f t="shared" si="4"/>
        <v>3600</v>
      </c>
      <c r="J28" s="105">
        <f>+H28</f>
        <v>300</v>
      </c>
      <c r="K28" s="104">
        <f>+J28*6.75%*12</f>
        <v>243</v>
      </c>
      <c r="L28" s="105">
        <v>0</v>
      </c>
      <c r="M28" s="104">
        <f>+J28*7.5%*12</f>
        <v>270</v>
      </c>
      <c r="N28" s="104">
        <f>SUM(K28:M28)</f>
        <v>513</v>
      </c>
      <c r="O28" s="106">
        <f>ROUND((+I28+J28+N28),2)</f>
        <v>4413</v>
      </c>
      <c r="Q28" s="6"/>
      <c r="R28" s="6"/>
      <c r="S28" s="6"/>
    </row>
    <row r="29" spans="1:19" ht="15.75" x14ac:dyDescent="0.25">
      <c r="A29" s="101">
        <v>19</v>
      </c>
      <c r="B29" s="107" t="s">
        <v>267</v>
      </c>
      <c r="C29" s="108" t="s">
        <v>255</v>
      </c>
      <c r="D29" s="110"/>
      <c r="E29" s="103" t="s">
        <v>252</v>
      </c>
      <c r="F29" s="105">
        <v>320</v>
      </c>
      <c r="G29" s="105">
        <v>0</v>
      </c>
      <c r="H29" s="105">
        <f>+F29+G29</f>
        <v>320</v>
      </c>
      <c r="I29" s="105">
        <f t="shared" si="4"/>
        <v>3840</v>
      </c>
      <c r="J29" s="105">
        <f>+H29</f>
        <v>320</v>
      </c>
      <c r="K29" s="104">
        <f>+J29*6.75%*12</f>
        <v>259.20000000000005</v>
      </c>
      <c r="L29" s="105">
        <v>0</v>
      </c>
      <c r="M29" s="104">
        <f>685.71*7.5%*12</f>
        <v>617.13900000000001</v>
      </c>
      <c r="N29" s="104">
        <f>SUM(K29:M29)</f>
        <v>876.33900000000006</v>
      </c>
      <c r="O29" s="106">
        <f>ROUND((+I29+J29+N29),2)</f>
        <v>5036.34</v>
      </c>
    </row>
    <row r="30" spans="1:19" ht="15.75" x14ac:dyDescent="0.25">
      <c r="A30" s="101"/>
      <c r="B30" s="114" t="s">
        <v>249</v>
      </c>
      <c r="C30" s="101"/>
      <c r="D30" s="116"/>
      <c r="E30" s="103"/>
      <c r="F30" s="115">
        <f>SUM(F27:F29)</f>
        <v>1140</v>
      </c>
      <c r="G30" s="115">
        <f t="shared" ref="G30:O30" si="12">SUM(G27:G29)</f>
        <v>0</v>
      </c>
      <c r="H30" s="115">
        <f t="shared" si="12"/>
        <v>1140</v>
      </c>
      <c r="I30" s="115">
        <f t="shared" si="12"/>
        <v>13680</v>
      </c>
      <c r="J30" s="115">
        <f t="shared" si="12"/>
        <v>1140</v>
      </c>
      <c r="K30" s="115">
        <f t="shared" si="12"/>
        <v>923.40000000000009</v>
      </c>
      <c r="L30" s="115">
        <f t="shared" si="12"/>
        <v>0</v>
      </c>
      <c r="M30" s="115">
        <f t="shared" si="12"/>
        <v>1355.1390000000001</v>
      </c>
      <c r="N30" s="115">
        <f t="shared" si="12"/>
        <v>2278.5390000000002</v>
      </c>
      <c r="O30" s="115">
        <f t="shared" si="12"/>
        <v>17098.54</v>
      </c>
    </row>
    <row r="31" spans="1:19" ht="15.75" x14ac:dyDescent="0.25">
      <c r="A31" s="101">
        <v>20</v>
      </c>
      <c r="B31" s="102" t="s">
        <v>268</v>
      </c>
      <c r="C31" s="101" t="s">
        <v>269</v>
      </c>
      <c r="D31" s="116"/>
      <c r="E31" s="103" t="s">
        <v>252</v>
      </c>
      <c r="F31" s="105">
        <v>350</v>
      </c>
      <c r="G31" s="105">
        <v>0</v>
      </c>
      <c r="H31" s="105">
        <f>+F31+G31</f>
        <v>350</v>
      </c>
      <c r="I31" s="105">
        <f t="shared" si="4"/>
        <v>4200</v>
      </c>
      <c r="J31" s="105">
        <f>+H31</f>
        <v>350</v>
      </c>
      <c r="K31" s="104">
        <f>+J31*6.75%*12</f>
        <v>283.5</v>
      </c>
      <c r="L31" s="105">
        <v>0</v>
      </c>
      <c r="M31" s="104">
        <f>685.71*7.5%*12</f>
        <v>617.13900000000001</v>
      </c>
      <c r="N31" s="104">
        <f>SUM(K31:M31)</f>
        <v>900.63900000000001</v>
      </c>
      <c r="O31" s="106">
        <f>ROUND((+I31+J31+N31),2)</f>
        <v>5450.64</v>
      </c>
    </row>
    <row r="32" spans="1:19" ht="15.75" x14ac:dyDescent="0.25">
      <c r="A32" s="101"/>
      <c r="B32" s="114" t="s">
        <v>249</v>
      </c>
      <c r="C32" s="101"/>
      <c r="D32" s="116"/>
      <c r="E32" s="103"/>
      <c r="F32" s="115">
        <f>+F31</f>
        <v>350</v>
      </c>
      <c r="G32" s="115">
        <f t="shared" ref="G32:O32" si="13">+G31</f>
        <v>0</v>
      </c>
      <c r="H32" s="115">
        <f t="shared" si="13"/>
        <v>350</v>
      </c>
      <c r="I32" s="115">
        <f t="shared" si="13"/>
        <v>4200</v>
      </c>
      <c r="J32" s="115">
        <f t="shared" si="13"/>
        <v>350</v>
      </c>
      <c r="K32" s="115">
        <f t="shared" si="13"/>
        <v>283.5</v>
      </c>
      <c r="L32" s="115">
        <f t="shared" si="13"/>
        <v>0</v>
      </c>
      <c r="M32" s="115">
        <f t="shared" si="13"/>
        <v>617.13900000000001</v>
      </c>
      <c r="N32" s="115">
        <f t="shared" si="13"/>
        <v>900.63900000000001</v>
      </c>
      <c r="O32" s="115">
        <f t="shared" si="13"/>
        <v>5450.64</v>
      </c>
    </row>
    <row r="33" spans="1:15" ht="15.75" x14ac:dyDescent="0.25">
      <c r="A33" s="101">
        <v>21</v>
      </c>
      <c r="B33" s="102" t="s">
        <v>270</v>
      </c>
      <c r="C33" s="101" t="s">
        <v>271</v>
      </c>
      <c r="D33" s="101" t="s">
        <v>272</v>
      </c>
      <c r="E33" s="103" t="s">
        <v>252</v>
      </c>
      <c r="F33" s="104">
        <v>770</v>
      </c>
      <c r="G33" s="105">
        <v>0</v>
      </c>
      <c r="H33" s="105">
        <f>+F33+G33</f>
        <v>770</v>
      </c>
      <c r="I33" s="105">
        <f t="shared" si="4"/>
        <v>9240</v>
      </c>
      <c r="J33" s="105">
        <f>+H33</f>
        <v>770</v>
      </c>
      <c r="K33" s="104">
        <f>+J33*6.75%*12</f>
        <v>623.70000000000005</v>
      </c>
      <c r="L33" s="105">
        <v>0</v>
      </c>
      <c r="M33" s="104">
        <f>+J33*7.5%*12</f>
        <v>693</v>
      </c>
      <c r="N33" s="104">
        <f>SUM(K33:M33)</f>
        <v>1316.7</v>
      </c>
      <c r="O33" s="106">
        <f>ROUND((+I33+J33+N33),2)</f>
        <v>11326.7</v>
      </c>
    </row>
    <row r="34" spans="1:15" ht="15.75" x14ac:dyDescent="0.25">
      <c r="A34" s="101">
        <v>22</v>
      </c>
      <c r="B34" s="102" t="s">
        <v>273</v>
      </c>
      <c r="C34" s="101" t="s">
        <v>274</v>
      </c>
      <c r="D34" s="101" t="s">
        <v>275</v>
      </c>
      <c r="E34" s="103" t="s">
        <v>252</v>
      </c>
      <c r="F34" s="104">
        <v>416</v>
      </c>
      <c r="G34" s="105">
        <v>0</v>
      </c>
      <c r="H34" s="105">
        <f>+F34+G34</f>
        <v>416</v>
      </c>
      <c r="I34" s="105">
        <f t="shared" si="4"/>
        <v>4992</v>
      </c>
      <c r="J34" s="105">
        <f>+H34</f>
        <v>416</v>
      </c>
      <c r="K34" s="104">
        <f>+J34*6.75%*12</f>
        <v>336.96000000000004</v>
      </c>
      <c r="L34" s="105">
        <v>0</v>
      </c>
      <c r="M34" s="104">
        <f>+J34*7.5%*12</f>
        <v>374.4</v>
      </c>
      <c r="N34" s="104">
        <f>SUM(K34:M34)</f>
        <v>711.36</v>
      </c>
      <c r="O34" s="106">
        <f>ROUND((+I34+J34+N34),2)</f>
        <v>6119.36</v>
      </c>
    </row>
    <row r="35" spans="1:15" ht="15.75" x14ac:dyDescent="0.25">
      <c r="A35" s="101">
        <v>23</v>
      </c>
      <c r="B35" s="102" t="s">
        <v>276</v>
      </c>
      <c r="C35" s="101" t="s">
        <v>277</v>
      </c>
      <c r="D35" s="101" t="s">
        <v>275</v>
      </c>
      <c r="E35" s="103" t="s">
        <v>252</v>
      </c>
      <c r="F35" s="104">
        <v>416</v>
      </c>
      <c r="G35" s="105">
        <v>0</v>
      </c>
      <c r="H35" s="105">
        <f>+F35+G35</f>
        <v>416</v>
      </c>
      <c r="I35" s="105">
        <f t="shared" si="4"/>
        <v>4992</v>
      </c>
      <c r="J35" s="105">
        <f>+H35</f>
        <v>416</v>
      </c>
      <c r="K35" s="104">
        <f>+J35*6.75%*12</f>
        <v>336.96000000000004</v>
      </c>
      <c r="L35" s="105">
        <v>0</v>
      </c>
      <c r="M35" s="104">
        <f>+J35*7.5%*12</f>
        <v>374.4</v>
      </c>
      <c r="N35" s="104">
        <f>SUM(K35:M35)</f>
        <v>711.36</v>
      </c>
      <c r="O35" s="106">
        <f>ROUND((+I35+J35+N35),2)</f>
        <v>6119.36</v>
      </c>
    </row>
    <row r="36" spans="1:15" ht="15.75" x14ac:dyDescent="0.25">
      <c r="A36" s="101"/>
      <c r="B36" s="114" t="s">
        <v>249</v>
      </c>
      <c r="C36" s="101"/>
      <c r="D36" s="116"/>
      <c r="E36" s="103"/>
      <c r="F36" s="115">
        <f>SUM(F33:F35)</f>
        <v>1602</v>
      </c>
      <c r="G36" s="115">
        <f t="shared" ref="G36:O36" si="14">SUM(G33:G35)</f>
        <v>0</v>
      </c>
      <c r="H36" s="115">
        <f t="shared" si="14"/>
        <v>1602</v>
      </c>
      <c r="I36" s="115">
        <f t="shared" si="14"/>
        <v>19224</v>
      </c>
      <c r="J36" s="115">
        <f t="shared" si="14"/>
        <v>1602</v>
      </c>
      <c r="K36" s="115">
        <f t="shared" si="14"/>
        <v>1297.6200000000001</v>
      </c>
      <c r="L36" s="115">
        <f t="shared" si="14"/>
        <v>0</v>
      </c>
      <c r="M36" s="115">
        <f t="shared" si="14"/>
        <v>1441.8000000000002</v>
      </c>
      <c r="N36" s="115">
        <f t="shared" si="14"/>
        <v>2739.42</v>
      </c>
      <c r="O36" s="115">
        <f t="shared" si="14"/>
        <v>23565.420000000002</v>
      </c>
    </row>
    <row r="37" spans="1:15" ht="42.75" customHeight="1" x14ac:dyDescent="0.25">
      <c r="A37" s="101">
        <v>24</v>
      </c>
      <c r="B37" s="102" t="s">
        <v>278</v>
      </c>
      <c r="C37" s="137" t="s">
        <v>279</v>
      </c>
      <c r="D37" s="101" t="s">
        <v>280</v>
      </c>
      <c r="E37" s="103" t="s">
        <v>252</v>
      </c>
      <c r="F37" s="104">
        <v>600</v>
      </c>
      <c r="G37" s="105">
        <v>0</v>
      </c>
      <c r="H37" s="105">
        <v>600</v>
      </c>
      <c r="I37" s="105">
        <f t="shared" si="4"/>
        <v>7200</v>
      </c>
      <c r="J37" s="105">
        <f>+H37</f>
        <v>600</v>
      </c>
      <c r="K37" s="104">
        <f>+J37*6.75%*12</f>
        <v>486</v>
      </c>
      <c r="L37" s="105">
        <v>0</v>
      </c>
      <c r="M37" s="104">
        <f>+J37*7.5%*12</f>
        <v>540</v>
      </c>
      <c r="N37" s="104">
        <f>SUM(K37:M37)</f>
        <v>1026</v>
      </c>
      <c r="O37" s="106">
        <f>ROUND((+I37+J37+N37),2)</f>
        <v>8826</v>
      </c>
    </row>
    <row r="38" spans="1:15" ht="15.75" x14ac:dyDescent="0.25">
      <c r="A38" s="101">
        <v>25</v>
      </c>
      <c r="B38" s="102" t="s">
        <v>282</v>
      </c>
      <c r="C38" s="101" t="s">
        <v>283</v>
      </c>
      <c r="D38" s="101" t="s">
        <v>280</v>
      </c>
      <c r="E38" s="103" t="s">
        <v>252</v>
      </c>
      <c r="F38" s="104">
        <v>416</v>
      </c>
      <c r="G38" s="105">
        <v>0</v>
      </c>
      <c r="H38" s="105">
        <f>+F38+G38</f>
        <v>416</v>
      </c>
      <c r="I38" s="105">
        <f t="shared" si="4"/>
        <v>4992</v>
      </c>
      <c r="J38" s="105">
        <f>+H38</f>
        <v>416</v>
      </c>
      <c r="K38" s="104">
        <f>+J38*6.75%*12</f>
        <v>336.96000000000004</v>
      </c>
      <c r="L38" s="105">
        <v>0</v>
      </c>
      <c r="M38" s="104">
        <f>+J38*7.5%*12</f>
        <v>374.4</v>
      </c>
      <c r="N38" s="104">
        <f>SUM(K38:M38)</f>
        <v>711.36</v>
      </c>
      <c r="O38" s="106">
        <f>ROUND((+I38+J38+N38),2)</f>
        <v>6119.36</v>
      </c>
    </row>
    <row r="39" spans="1:15" ht="15.75" x14ac:dyDescent="0.25">
      <c r="A39" s="101"/>
      <c r="B39" s="114" t="s">
        <v>249</v>
      </c>
      <c r="C39" s="101"/>
      <c r="D39" s="116"/>
      <c r="E39" s="103"/>
      <c r="F39" s="115">
        <f>SUM(F37:F38)</f>
        <v>1016</v>
      </c>
      <c r="G39" s="115">
        <f t="shared" ref="G39:O39" si="15">SUM(G37:G38)</f>
        <v>0</v>
      </c>
      <c r="H39" s="115">
        <f t="shared" si="15"/>
        <v>1016</v>
      </c>
      <c r="I39" s="115">
        <f t="shared" si="15"/>
        <v>12192</v>
      </c>
      <c r="J39" s="115">
        <f t="shared" si="15"/>
        <v>1016</v>
      </c>
      <c r="K39" s="115">
        <f t="shared" si="15"/>
        <v>822.96</v>
      </c>
      <c r="L39" s="115">
        <f t="shared" si="15"/>
        <v>0</v>
      </c>
      <c r="M39" s="115">
        <f t="shared" si="15"/>
        <v>914.4</v>
      </c>
      <c r="N39" s="115">
        <f t="shared" si="15"/>
        <v>1737.3600000000001</v>
      </c>
      <c r="O39" s="115">
        <f t="shared" si="15"/>
        <v>14945.36</v>
      </c>
    </row>
    <row r="40" spans="1:15" ht="15.75" x14ac:dyDescent="0.25">
      <c r="A40" s="101">
        <v>26</v>
      </c>
      <c r="B40" s="102" t="s">
        <v>284</v>
      </c>
      <c r="C40" s="101" t="s">
        <v>285</v>
      </c>
      <c r="D40" s="101" t="s">
        <v>286</v>
      </c>
      <c r="E40" s="103" t="s">
        <v>252</v>
      </c>
      <c r="F40" s="104">
        <v>440</v>
      </c>
      <c r="G40" s="105">
        <v>0</v>
      </c>
      <c r="H40" s="105">
        <f>+F40+G40</f>
        <v>440</v>
      </c>
      <c r="I40" s="105">
        <f t="shared" si="4"/>
        <v>5280</v>
      </c>
      <c r="J40" s="105">
        <f>+H40</f>
        <v>440</v>
      </c>
      <c r="K40" s="104">
        <f>+J40*6.75%*12</f>
        <v>356.40000000000003</v>
      </c>
      <c r="L40" s="105">
        <v>0</v>
      </c>
      <c r="M40" s="104">
        <f>+J40*7.5%*12</f>
        <v>396</v>
      </c>
      <c r="N40" s="104">
        <f>SUM(K40:M40)</f>
        <v>752.40000000000009</v>
      </c>
      <c r="O40" s="106">
        <f>ROUND((+I40+J40+N40),2)</f>
        <v>6472.4</v>
      </c>
    </row>
    <row r="41" spans="1:15" ht="15.75" x14ac:dyDescent="0.25">
      <c r="A41" s="101"/>
      <c r="B41" s="114" t="s">
        <v>249</v>
      </c>
      <c r="C41" s="101"/>
      <c r="D41" s="116"/>
      <c r="E41" s="103"/>
      <c r="F41" s="115">
        <f>+F40</f>
        <v>440</v>
      </c>
      <c r="G41" s="115">
        <f t="shared" ref="G41:O41" si="16">+G40</f>
        <v>0</v>
      </c>
      <c r="H41" s="115">
        <f t="shared" si="16"/>
        <v>440</v>
      </c>
      <c r="I41" s="115">
        <f t="shared" si="16"/>
        <v>5280</v>
      </c>
      <c r="J41" s="115">
        <f t="shared" si="16"/>
        <v>440</v>
      </c>
      <c r="K41" s="115">
        <f t="shared" si="16"/>
        <v>356.40000000000003</v>
      </c>
      <c r="L41" s="115">
        <f t="shared" si="16"/>
        <v>0</v>
      </c>
      <c r="M41" s="115">
        <f t="shared" si="16"/>
        <v>396</v>
      </c>
      <c r="N41" s="115">
        <f t="shared" si="16"/>
        <v>752.40000000000009</v>
      </c>
      <c r="O41" s="115">
        <f t="shared" si="16"/>
        <v>6472.4</v>
      </c>
    </row>
    <row r="42" spans="1:15" ht="23.25" customHeight="1" x14ac:dyDescent="0.25">
      <c r="A42" s="101">
        <v>27</v>
      </c>
      <c r="B42" s="102" t="s">
        <v>287</v>
      </c>
      <c r="C42" s="137" t="s">
        <v>288</v>
      </c>
      <c r="D42" s="101" t="s">
        <v>286</v>
      </c>
      <c r="E42" s="103" t="s">
        <v>252</v>
      </c>
      <c r="F42" s="104">
        <v>416</v>
      </c>
      <c r="G42" s="105">
        <v>0</v>
      </c>
      <c r="H42" s="105">
        <f>+F42+G42</f>
        <v>416</v>
      </c>
      <c r="I42" s="105">
        <f t="shared" si="4"/>
        <v>4992</v>
      </c>
      <c r="J42" s="105">
        <f>+H42</f>
        <v>416</v>
      </c>
      <c r="K42" s="104">
        <f>+J42*6.75%*12</f>
        <v>336.96000000000004</v>
      </c>
      <c r="L42" s="105">
        <v>0</v>
      </c>
      <c r="M42" s="104">
        <f>+J42*7.5%*12</f>
        <v>374.4</v>
      </c>
      <c r="N42" s="104">
        <f>SUM(K42:M42)</f>
        <v>711.36</v>
      </c>
      <c r="O42" s="106">
        <f>ROUND((+I42+J42+N42),2)</f>
        <v>6119.36</v>
      </c>
    </row>
    <row r="43" spans="1:15" ht="15.75" x14ac:dyDescent="0.25">
      <c r="A43" s="101"/>
      <c r="B43" s="114" t="s">
        <v>249</v>
      </c>
      <c r="C43" s="101"/>
      <c r="D43" s="116"/>
      <c r="E43" s="103"/>
      <c r="F43" s="115">
        <f>SUM(F42:F42)</f>
        <v>416</v>
      </c>
      <c r="G43" s="115">
        <f t="shared" ref="G43:O43" si="17">SUM(G42:G42)</f>
        <v>0</v>
      </c>
      <c r="H43" s="115">
        <f t="shared" si="17"/>
        <v>416</v>
      </c>
      <c r="I43" s="115">
        <f t="shared" si="17"/>
        <v>4992</v>
      </c>
      <c r="J43" s="115">
        <f t="shared" si="17"/>
        <v>416</v>
      </c>
      <c r="K43" s="115">
        <f t="shared" si="17"/>
        <v>336.96000000000004</v>
      </c>
      <c r="L43" s="115">
        <f t="shared" si="17"/>
        <v>0</v>
      </c>
      <c r="M43" s="115">
        <f t="shared" si="17"/>
        <v>374.4</v>
      </c>
      <c r="N43" s="115">
        <f t="shared" si="17"/>
        <v>711.36</v>
      </c>
      <c r="O43" s="115">
        <f t="shared" si="17"/>
        <v>6119.36</v>
      </c>
    </row>
    <row r="44" spans="1:15" ht="15.75" x14ac:dyDescent="0.25">
      <c r="A44" s="101">
        <v>28</v>
      </c>
      <c r="B44" s="102" t="s">
        <v>289</v>
      </c>
      <c r="C44" s="101" t="s">
        <v>290</v>
      </c>
      <c r="D44" s="116" t="s">
        <v>291</v>
      </c>
      <c r="E44" s="103" t="s">
        <v>252</v>
      </c>
      <c r="F44" s="104">
        <v>354</v>
      </c>
      <c r="G44" s="105">
        <v>0</v>
      </c>
      <c r="H44" s="105">
        <f>+F44+G44</f>
        <v>354</v>
      </c>
      <c r="I44" s="105">
        <f t="shared" si="4"/>
        <v>4248</v>
      </c>
      <c r="J44" s="105">
        <f>+H44</f>
        <v>354</v>
      </c>
      <c r="K44" s="104">
        <f>+J44*6.75%*12</f>
        <v>286.74</v>
      </c>
      <c r="L44" s="105">
        <v>0</v>
      </c>
      <c r="M44" s="104">
        <f>+J44*7.5%*12</f>
        <v>318.60000000000002</v>
      </c>
      <c r="N44" s="104">
        <f>SUM(K44:M44)</f>
        <v>605.34</v>
      </c>
      <c r="O44" s="106">
        <f>ROUND((+I44+J44+N44),2)</f>
        <v>5207.34</v>
      </c>
    </row>
    <row r="45" spans="1:15" ht="15.75" x14ac:dyDescent="0.25">
      <c r="A45" s="101"/>
      <c r="B45" s="114" t="s">
        <v>249</v>
      </c>
      <c r="C45" s="101"/>
      <c r="D45" s="116"/>
      <c r="E45" s="103"/>
      <c r="F45" s="115">
        <f>+F44</f>
        <v>354</v>
      </c>
      <c r="G45" s="115">
        <f t="shared" ref="G45:O45" si="18">+G44</f>
        <v>0</v>
      </c>
      <c r="H45" s="115">
        <f t="shared" si="18"/>
        <v>354</v>
      </c>
      <c r="I45" s="115">
        <f t="shared" si="18"/>
        <v>4248</v>
      </c>
      <c r="J45" s="115">
        <f t="shared" si="18"/>
        <v>354</v>
      </c>
      <c r="K45" s="115">
        <f t="shared" si="18"/>
        <v>286.74</v>
      </c>
      <c r="L45" s="115">
        <f t="shared" si="18"/>
        <v>0</v>
      </c>
      <c r="M45" s="115">
        <f t="shared" si="18"/>
        <v>318.60000000000002</v>
      </c>
      <c r="N45" s="115">
        <f t="shared" si="18"/>
        <v>605.34</v>
      </c>
      <c r="O45" s="115">
        <f t="shared" si="18"/>
        <v>5207.34</v>
      </c>
    </row>
    <row r="46" spans="1:15" ht="15.75" x14ac:dyDescent="0.25">
      <c r="A46" s="101">
        <v>29</v>
      </c>
      <c r="B46" s="102" t="s">
        <v>292</v>
      </c>
      <c r="C46" s="101" t="s">
        <v>293</v>
      </c>
      <c r="D46" s="101" t="s">
        <v>237</v>
      </c>
      <c r="E46" s="103" t="s">
        <v>252</v>
      </c>
      <c r="F46" s="104">
        <v>390</v>
      </c>
      <c r="G46" s="105">
        <v>0</v>
      </c>
      <c r="H46" s="105">
        <f>+F46+G46</f>
        <v>390</v>
      </c>
      <c r="I46" s="105">
        <f t="shared" si="4"/>
        <v>4680</v>
      </c>
      <c r="J46" s="105">
        <f>+H46</f>
        <v>390</v>
      </c>
      <c r="K46" s="104">
        <f>+J46*6.75%*12</f>
        <v>315.90000000000003</v>
      </c>
      <c r="L46" s="105">
        <v>0</v>
      </c>
      <c r="M46" s="104">
        <f>+J46*7.5%*12</f>
        <v>351</v>
      </c>
      <c r="N46" s="104">
        <f>SUM(K46:M46)</f>
        <v>666.90000000000009</v>
      </c>
      <c r="O46" s="106">
        <f>ROUND((+I46+J46+N46),2)</f>
        <v>5736.9</v>
      </c>
    </row>
    <row r="47" spans="1:15" ht="15.75" x14ac:dyDescent="0.25">
      <c r="A47" s="101"/>
      <c r="B47" s="114" t="s">
        <v>249</v>
      </c>
      <c r="C47" s="101"/>
      <c r="D47" s="116"/>
      <c r="E47" s="103"/>
      <c r="F47" s="115">
        <f>+F46</f>
        <v>390</v>
      </c>
      <c r="G47" s="115">
        <f t="shared" ref="G47:O47" si="19">+G46</f>
        <v>0</v>
      </c>
      <c r="H47" s="115">
        <f t="shared" si="19"/>
        <v>390</v>
      </c>
      <c r="I47" s="115">
        <f t="shared" si="19"/>
        <v>4680</v>
      </c>
      <c r="J47" s="115">
        <f t="shared" si="19"/>
        <v>390</v>
      </c>
      <c r="K47" s="115">
        <f t="shared" si="19"/>
        <v>315.90000000000003</v>
      </c>
      <c r="L47" s="115">
        <f t="shared" si="19"/>
        <v>0</v>
      </c>
      <c r="M47" s="115">
        <f t="shared" si="19"/>
        <v>351</v>
      </c>
      <c r="N47" s="115">
        <f t="shared" si="19"/>
        <v>666.90000000000009</v>
      </c>
      <c r="O47" s="115">
        <f t="shared" si="19"/>
        <v>5736.9</v>
      </c>
    </row>
    <row r="48" spans="1:15" ht="15.75" x14ac:dyDescent="0.25">
      <c r="A48" s="101">
        <v>30</v>
      </c>
      <c r="B48" s="102" t="s">
        <v>294</v>
      </c>
      <c r="C48" s="101" t="s">
        <v>295</v>
      </c>
      <c r="D48" s="101" t="s">
        <v>237</v>
      </c>
      <c r="E48" s="103" t="s">
        <v>252</v>
      </c>
      <c r="F48" s="104">
        <v>420</v>
      </c>
      <c r="G48" s="105">
        <v>0</v>
      </c>
      <c r="H48" s="105">
        <f>+F48+G48</f>
        <v>420</v>
      </c>
      <c r="I48" s="105">
        <f t="shared" si="4"/>
        <v>5040</v>
      </c>
      <c r="J48" s="105">
        <f>+H48</f>
        <v>420</v>
      </c>
      <c r="K48" s="104">
        <f>+J48*6.75%*12</f>
        <v>340.20000000000005</v>
      </c>
      <c r="L48" s="105">
        <v>0</v>
      </c>
      <c r="M48" s="104">
        <f>+J48*7.5%*12</f>
        <v>378</v>
      </c>
      <c r="N48" s="104">
        <f>SUM(K48:M48)</f>
        <v>718.2</v>
      </c>
      <c r="O48" s="106">
        <f>ROUND((+I48+J48+N48),2)</f>
        <v>6178.2</v>
      </c>
    </row>
    <row r="49" spans="1:15" ht="15.75" x14ac:dyDescent="0.25">
      <c r="A49" s="101">
        <v>31</v>
      </c>
      <c r="B49" s="102" t="s">
        <v>296</v>
      </c>
      <c r="C49" s="101" t="s">
        <v>297</v>
      </c>
      <c r="D49" s="101" t="s">
        <v>237</v>
      </c>
      <c r="E49" s="103" t="s">
        <v>252</v>
      </c>
      <c r="F49" s="104">
        <v>450</v>
      </c>
      <c r="G49" s="105">
        <v>0</v>
      </c>
      <c r="H49" s="105">
        <f>+F49+G49</f>
        <v>450</v>
      </c>
      <c r="I49" s="105">
        <f t="shared" si="4"/>
        <v>5400</v>
      </c>
      <c r="J49" s="105">
        <f>+H49</f>
        <v>450</v>
      </c>
      <c r="K49" s="104">
        <f>+J49*6.75%*12</f>
        <v>364.50000000000006</v>
      </c>
      <c r="L49" s="105">
        <v>0</v>
      </c>
      <c r="M49" s="104">
        <f>+J49*7.5%*12</f>
        <v>405</v>
      </c>
      <c r="N49" s="104">
        <f>SUM(K49:M49)</f>
        <v>769.5</v>
      </c>
      <c r="O49" s="106">
        <f>ROUND((+I49+J49+N49),2)</f>
        <v>6619.5</v>
      </c>
    </row>
    <row r="50" spans="1:15" ht="15.75" x14ac:dyDescent="0.25">
      <c r="A50" s="101"/>
      <c r="B50" s="114" t="s">
        <v>249</v>
      </c>
      <c r="C50" s="101"/>
      <c r="D50" s="101"/>
      <c r="E50" s="103"/>
      <c r="F50" s="115">
        <f>SUM(F48:F49)</f>
        <v>870</v>
      </c>
      <c r="G50" s="115">
        <f t="shared" ref="G50:O50" si="20">SUM(G48:G49)</f>
        <v>0</v>
      </c>
      <c r="H50" s="115">
        <f t="shared" si="20"/>
        <v>870</v>
      </c>
      <c r="I50" s="115">
        <f t="shared" si="20"/>
        <v>10440</v>
      </c>
      <c r="J50" s="115">
        <f t="shared" si="20"/>
        <v>870</v>
      </c>
      <c r="K50" s="115">
        <f t="shared" si="20"/>
        <v>704.7</v>
      </c>
      <c r="L50" s="115">
        <f t="shared" si="20"/>
        <v>0</v>
      </c>
      <c r="M50" s="115">
        <f t="shared" si="20"/>
        <v>783</v>
      </c>
      <c r="N50" s="115">
        <f t="shared" si="20"/>
        <v>1487.7</v>
      </c>
      <c r="O50" s="115">
        <f t="shared" si="20"/>
        <v>12797.7</v>
      </c>
    </row>
    <row r="51" spans="1:15" ht="15.75" x14ac:dyDescent="0.25">
      <c r="A51" s="101">
        <v>32</v>
      </c>
      <c r="B51" s="102"/>
      <c r="C51" s="101" t="s">
        <v>298</v>
      </c>
      <c r="D51" s="101" t="s">
        <v>299</v>
      </c>
      <c r="E51" s="103" t="s">
        <v>252</v>
      </c>
      <c r="F51" s="104">
        <v>600</v>
      </c>
      <c r="G51" s="105">
        <v>0</v>
      </c>
      <c r="H51" s="105">
        <f>+F51+G51</f>
        <v>600</v>
      </c>
      <c r="I51" s="105">
        <f t="shared" si="4"/>
        <v>7200</v>
      </c>
      <c r="J51" s="105">
        <f>+H51</f>
        <v>600</v>
      </c>
      <c r="K51" s="104">
        <f>+J51*6.75%*12</f>
        <v>486</v>
      </c>
      <c r="L51" s="105">
        <v>0</v>
      </c>
      <c r="M51" s="104">
        <f>+J51*7.5%*12</f>
        <v>540</v>
      </c>
      <c r="N51" s="104">
        <f>SUM(K51:M51)</f>
        <v>1026</v>
      </c>
      <c r="O51" s="106">
        <f>ROUND((+I51+J51+N51),2)</f>
        <v>8826</v>
      </c>
    </row>
    <row r="52" spans="1:15" ht="15.75" x14ac:dyDescent="0.25">
      <c r="A52" s="101">
        <v>33</v>
      </c>
      <c r="B52" s="102" t="s">
        <v>300</v>
      </c>
      <c r="C52" s="101" t="s">
        <v>301</v>
      </c>
      <c r="D52" s="101" t="s">
        <v>299</v>
      </c>
      <c r="E52" s="103" t="s">
        <v>252</v>
      </c>
      <c r="F52" s="104">
        <v>380</v>
      </c>
      <c r="G52" s="105">
        <v>0</v>
      </c>
      <c r="H52" s="105">
        <f>+F52+G52</f>
        <v>380</v>
      </c>
      <c r="I52" s="105">
        <f t="shared" si="4"/>
        <v>4560</v>
      </c>
      <c r="J52" s="105">
        <f>+H52</f>
        <v>380</v>
      </c>
      <c r="K52" s="104">
        <f>+J52*6.75%*12</f>
        <v>307.8</v>
      </c>
      <c r="L52" s="105">
        <v>0</v>
      </c>
      <c r="M52" s="104">
        <f>+J52*7.5%*12</f>
        <v>342</v>
      </c>
      <c r="N52" s="104">
        <f>SUM(K52:M52)</f>
        <v>649.79999999999995</v>
      </c>
      <c r="O52" s="106">
        <f>ROUND((+I52+J52+N52),2)</f>
        <v>5589.8</v>
      </c>
    </row>
    <row r="53" spans="1:15" ht="15.75" x14ac:dyDescent="0.25">
      <c r="A53" s="101">
        <v>34</v>
      </c>
      <c r="B53" s="102"/>
      <c r="C53" s="101" t="s">
        <v>302</v>
      </c>
      <c r="D53" s="101" t="s">
        <v>299</v>
      </c>
      <c r="E53" s="103" t="s">
        <v>252</v>
      </c>
      <c r="F53" s="104">
        <v>396</v>
      </c>
      <c r="G53" s="105">
        <v>0</v>
      </c>
      <c r="H53" s="105">
        <f>+F53+G53</f>
        <v>396</v>
      </c>
      <c r="I53" s="105">
        <f t="shared" si="4"/>
        <v>4752</v>
      </c>
      <c r="J53" s="105">
        <f>+H53</f>
        <v>396</v>
      </c>
      <c r="K53" s="104">
        <f>+J53*6.75%*12</f>
        <v>320.76</v>
      </c>
      <c r="L53" s="105">
        <v>0</v>
      </c>
      <c r="M53" s="104">
        <f>+J53*7.5%*12</f>
        <v>356.4</v>
      </c>
      <c r="N53" s="104">
        <f>SUM(K53:M53)</f>
        <v>677.16</v>
      </c>
      <c r="O53" s="106">
        <f>ROUND((+I53+J53+N53),2)</f>
        <v>5825.16</v>
      </c>
    </row>
    <row r="54" spans="1:15" ht="33" customHeight="1" x14ac:dyDescent="0.25">
      <c r="A54" s="101">
        <v>35</v>
      </c>
      <c r="B54" s="102" t="s">
        <v>303</v>
      </c>
      <c r="C54" s="137" t="s">
        <v>304</v>
      </c>
      <c r="D54" s="101" t="s">
        <v>299</v>
      </c>
      <c r="E54" s="103" t="s">
        <v>252</v>
      </c>
      <c r="F54" s="104">
        <v>366</v>
      </c>
      <c r="G54" s="105">
        <v>0</v>
      </c>
      <c r="H54" s="105">
        <f>+F54+G54</f>
        <v>366</v>
      </c>
      <c r="I54" s="105">
        <f t="shared" si="4"/>
        <v>4392</v>
      </c>
      <c r="J54" s="105">
        <f>+H54</f>
        <v>366</v>
      </c>
      <c r="K54" s="104">
        <f>+J54*6.75%*12</f>
        <v>296.46000000000004</v>
      </c>
      <c r="L54" s="105">
        <v>0</v>
      </c>
      <c r="M54" s="104">
        <f>+J54*7.5%*12</f>
        <v>329.4</v>
      </c>
      <c r="N54" s="104">
        <f>SUM(K54:M54)</f>
        <v>625.86</v>
      </c>
      <c r="O54" s="106">
        <f>ROUND((+I54+J54+N54),2)</f>
        <v>5383.86</v>
      </c>
    </row>
    <row r="55" spans="1:15" ht="15.75" x14ac:dyDescent="0.25">
      <c r="A55" s="101"/>
      <c r="B55" s="114" t="s">
        <v>249</v>
      </c>
      <c r="C55" s="101"/>
      <c r="D55" s="101"/>
      <c r="E55" s="103"/>
      <c r="F55" s="115">
        <f>SUM(F51:F54)</f>
        <v>1742</v>
      </c>
      <c r="G55" s="115">
        <f t="shared" ref="G55:O55" si="21">SUM(G51:G54)</f>
        <v>0</v>
      </c>
      <c r="H55" s="115">
        <f t="shared" si="21"/>
        <v>1742</v>
      </c>
      <c r="I55" s="115">
        <f t="shared" si="21"/>
        <v>20904</v>
      </c>
      <c r="J55" s="115">
        <f t="shared" si="21"/>
        <v>1742</v>
      </c>
      <c r="K55" s="115">
        <f t="shared" si="21"/>
        <v>1411.02</v>
      </c>
      <c r="L55" s="115">
        <f t="shared" si="21"/>
        <v>0</v>
      </c>
      <c r="M55" s="115">
        <f t="shared" si="21"/>
        <v>1567.8000000000002</v>
      </c>
      <c r="N55" s="115">
        <f t="shared" si="21"/>
        <v>2978.82</v>
      </c>
      <c r="O55" s="115">
        <f t="shared" si="21"/>
        <v>25624.82</v>
      </c>
    </row>
    <row r="56" spans="1:15" ht="15.75" x14ac:dyDescent="0.25">
      <c r="A56" s="101">
        <v>36</v>
      </c>
      <c r="B56" s="118" t="s">
        <v>305</v>
      </c>
      <c r="C56" s="119" t="s">
        <v>306</v>
      </c>
      <c r="D56" s="120"/>
      <c r="E56" s="103" t="s">
        <v>252</v>
      </c>
      <c r="F56" s="121">
        <v>1000</v>
      </c>
      <c r="G56" s="121">
        <v>0</v>
      </c>
      <c r="H56" s="105">
        <f>+F56+G56</f>
        <v>1000</v>
      </c>
      <c r="I56" s="105">
        <f t="shared" si="4"/>
        <v>12000</v>
      </c>
      <c r="J56" s="105">
        <f>+H56</f>
        <v>1000</v>
      </c>
      <c r="K56" s="104">
        <f>+J56*6.75%*12</f>
        <v>810</v>
      </c>
      <c r="L56" s="105">
        <v>0</v>
      </c>
      <c r="M56" s="104">
        <f>+J56*7.5%*12</f>
        <v>900</v>
      </c>
      <c r="N56" s="104">
        <f>SUM(K56:M56)</f>
        <v>1710</v>
      </c>
      <c r="O56" s="106">
        <f>ROUND((+I56+J56+N56),2)</f>
        <v>14710</v>
      </c>
    </row>
    <row r="57" spans="1:15" ht="33" customHeight="1" x14ac:dyDescent="0.25">
      <c r="A57" s="101">
        <v>37</v>
      </c>
      <c r="B57" s="107" t="s">
        <v>307</v>
      </c>
      <c r="C57" s="136" t="s">
        <v>308</v>
      </c>
      <c r="D57" s="110"/>
      <c r="E57" s="103" t="s">
        <v>252</v>
      </c>
      <c r="F57" s="105">
        <v>800</v>
      </c>
      <c r="G57" s="105">
        <v>0</v>
      </c>
      <c r="H57" s="105">
        <f>+F57+G57</f>
        <v>800</v>
      </c>
      <c r="I57" s="105">
        <f t="shared" si="4"/>
        <v>9600</v>
      </c>
      <c r="J57" s="105">
        <f>+H57</f>
        <v>800</v>
      </c>
      <c r="K57" s="104">
        <f>+J57*6.75%*12</f>
        <v>648</v>
      </c>
      <c r="L57" s="105">
        <v>0</v>
      </c>
      <c r="M57" s="104">
        <f>685.71*7.5%*12</f>
        <v>617.13900000000001</v>
      </c>
      <c r="N57" s="104">
        <f>SUM(K57:M57)</f>
        <v>1265.1390000000001</v>
      </c>
      <c r="O57" s="106">
        <f>ROUND((+I57+J57+N57),2)</f>
        <v>11665.14</v>
      </c>
    </row>
    <row r="58" spans="1:15" ht="15.75" x14ac:dyDescent="0.25">
      <c r="A58" s="101">
        <v>38</v>
      </c>
      <c r="B58" s="102" t="s">
        <v>497</v>
      </c>
      <c r="C58" s="101" t="s">
        <v>309</v>
      </c>
      <c r="D58" s="116"/>
      <c r="E58" s="103" t="s">
        <v>252</v>
      </c>
      <c r="F58" s="104">
        <v>600</v>
      </c>
      <c r="G58" s="104">
        <v>0</v>
      </c>
      <c r="H58" s="105">
        <f>+F58+G58</f>
        <v>600</v>
      </c>
      <c r="I58" s="105">
        <f t="shared" si="4"/>
        <v>7200</v>
      </c>
      <c r="J58" s="105">
        <f>+H58</f>
        <v>600</v>
      </c>
      <c r="K58" s="104">
        <f>+J58*6.75%*12</f>
        <v>486</v>
      </c>
      <c r="L58" s="105">
        <v>0</v>
      </c>
      <c r="M58" s="104">
        <f>685.71*7.5%*12</f>
        <v>617.13900000000001</v>
      </c>
      <c r="N58" s="104">
        <f>SUM(K58:M58)</f>
        <v>1103.1390000000001</v>
      </c>
      <c r="O58" s="106">
        <f>ROUND((+I58+J58+N58),2)</f>
        <v>8903.14</v>
      </c>
    </row>
    <row r="59" spans="1:15" ht="15.75" x14ac:dyDescent="0.25">
      <c r="A59" s="101"/>
      <c r="B59" s="114" t="s">
        <v>249</v>
      </c>
      <c r="C59" s="138"/>
      <c r="D59" s="122"/>
      <c r="E59" s="123"/>
      <c r="F59" s="115">
        <f>SUM(F56:F58)</f>
        <v>2400</v>
      </c>
      <c r="G59" s="115">
        <f t="shared" ref="G59:O59" si="22">SUM(G56:G58)</f>
        <v>0</v>
      </c>
      <c r="H59" s="115">
        <f>SUM(H56:H58)</f>
        <v>2400</v>
      </c>
      <c r="I59" s="115">
        <f t="shared" si="22"/>
        <v>28800</v>
      </c>
      <c r="J59" s="115">
        <f t="shared" si="22"/>
        <v>2400</v>
      </c>
      <c r="K59" s="115">
        <f t="shared" si="22"/>
        <v>1944</v>
      </c>
      <c r="L59" s="115">
        <f t="shared" si="22"/>
        <v>0</v>
      </c>
      <c r="M59" s="115">
        <f t="shared" si="22"/>
        <v>2134.2780000000002</v>
      </c>
      <c r="N59" s="115">
        <f>SUM(N56:N58)</f>
        <v>4078.2780000000002</v>
      </c>
      <c r="O59" s="115">
        <f t="shared" si="22"/>
        <v>35278.28</v>
      </c>
    </row>
    <row r="60" spans="1:15" ht="15.75" x14ac:dyDescent="0.25">
      <c r="A60" s="101">
        <v>39</v>
      </c>
      <c r="B60" s="102" t="s">
        <v>510</v>
      </c>
      <c r="C60" s="101" t="s">
        <v>511</v>
      </c>
      <c r="D60" s="116" t="s">
        <v>312</v>
      </c>
      <c r="E60" s="103" t="s">
        <v>252</v>
      </c>
      <c r="F60" s="104">
        <v>1000</v>
      </c>
      <c r="G60" s="104">
        <v>0</v>
      </c>
      <c r="H60" s="105">
        <f>+F60+G60</f>
        <v>1000</v>
      </c>
      <c r="I60" s="105">
        <f t="shared" si="4"/>
        <v>12000</v>
      </c>
      <c r="J60" s="105">
        <f>+H60</f>
        <v>1000</v>
      </c>
      <c r="K60" s="104">
        <f>+J60*6.75%*12</f>
        <v>810</v>
      </c>
      <c r="L60" s="105">
        <v>0</v>
      </c>
      <c r="M60" s="104">
        <f>+J60*7.5%*12</f>
        <v>900</v>
      </c>
      <c r="N60" s="104">
        <f>SUM(K60:M60)</f>
        <v>1710</v>
      </c>
      <c r="O60" s="106">
        <f>ROUND((+I60+J60+N60),2)</f>
        <v>14710</v>
      </c>
    </row>
    <row r="61" spans="1:15" ht="15.75" x14ac:dyDescent="0.25">
      <c r="A61" s="101">
        <v>40</v>
      </c>
      <c r="B61" s="102" t="s">
        <v>310</v>
      </c>
      <c r="C61" s="101" t="s">
        <v>311</v>
      </c>
      <c r="D61" s="116" t="s">
        <v>312</v>
      </c>
      <c r="E61" s="103" t="s">
        <v>252</v>
      </c>
      <c r="F61" s="104">
        <v>390</v>
      </c>
      <c r="G61" s="105">
        <v>0</v>
      </c>
      <c r="H61" s="105">
        <f>+F61+G61</f>
        <v>390</v>
      </c>
      <c r="I61" s="105">
        <f t="shared" si="4"/>
        <v>4680</v>
      </c>
      <c r="J61" s="105">
        <f>+H61</f>
        <v>390</v>
      </c>
      <c r="K61" s="104">
        <f>+J61*6.75%*12</f>
        <v>315.90000000000003</v>
      </c>
      <c r="L61" s="105">
        <v>0</v>
      </c>
      <c r="M61" s="104">
        <f>+J61*7.5%*12</f>
        <v>351</v>
      </c>
      <c r="N61" s="104">
        <f>SUM(K61:M61)</f>
        <v>666.90000000000009</v>
      </c>
      <c r="O61" s="106">
        <f>ROUND((+I61+J61+N61),2)</f>
        <v>5736.9</v>
      </c>
    </row>
    <row r="62" spans="1:15" ht="15.75" x14ac:dyDescent="0.25">
      <c r="A62" s="101">
        <v>41</v>
      </c>
      <c r="B62" s="102" t="s">
        <v>313</v>
      </c>
      <c r="C62" s="101" t="s">
        <v>311</v>
      </c>
      <c r="D62" s="116" t="s">
        <v>312</v>
      </c>
      <c r="E62" s="103" t="s">
        <v>252</v>
      </c>
      <c r="F62" s="104">
        <v>390</v>
      </c>
      <c r="G62" s="105">
        <v>0</v>
      </c>
      <c r="H62" s="105">
        <f>+F62+G62</f>
        <v>390</v>
      </c>
      <c r="I62" s="105">
        <f t="shared" si="4"/>
        <v>4680</v>
      </c>
      <c r="J62" s="105">
        <f>+H62</f>
        <v>390</v>
      </c>
      <c r="K62" s="104">
        <f>+J62*6.75%*12</f>
        <v>315.90000000000003</v>
      </c>
      <c r="L62" s="105">
        <v>0</v>
      </c>
      <c r="M62" s="104">
        <f>+J62*7.5%*12</f>
        <v>351</v>
      </c>
      <c r="N62" s="104">
        <f>SUM(K62:M62)</f>
        <v>666.90000000000009</v>
      </c>
      <c r="O62" s="106">
        <f>ROUND((+I62+J62+N62),2)</f>
        <v>5736.9</v>
      </c>
    </row>
    <row r="63" spans="1:15" ht="15.75" x14ac:dyDescent="0.25">
      <c r="A63" s="101">
        <v>43</v>
      </c>
      <c r="B63" s="102" t="s">
        <v>314</v>
      </c>
      <c r="C63" s="101" t="s">
        <v>315</v>
      </c>
      <c r="D63" s="116" t="s">
        <v>312</v>
      </c>
      <c r="E63" s="103" t="s">
        <v>252</v>
      </c>
      <c r="F63" s="104">
        <v>366</v>
      </c>
      <c r="G63" s="105">
        <v>0</v>
      </c>
      <c r="H63" s="105">
        <f>+F63+G63</f>
        <v>366</v>
      </c>
      <c r="I63" s="105">
        <f t="shared" si="4"/>
        <v>4392</v>
      </c>
      <c r="J63" s="105">
        <f>+H63</f>
        <v>366</v>
      </c>
      <c r="K63" s="104">
        <f>+J63*6.75%*12</f>
        <v>296.46000000000004</v>
      </c>
      <c r="L63" s="105">
        <v>0</v>
      </c>
      <c r="M63" s="104">
        <f>+J63*7.5%*12</f>
        <v>329.4</v>
      </c>
      <c r="N63" s="104">
        <f>SUM(K63:M63)</f>
        <v>625.86</v>
      </c>
      <c r="O63" s="106">
        <f>ROUND((+I63+J63+N63),2)</f>
        <v>5383.86</v>
      </c>
    </row>
    <row r="64" spans="1:15" ht="15.75" x14ac:dyDescent="0.25">
      <c r="A64" s="101">
        <v>44</v>
      </c>
      <c r="B64" s="102" t="s">
        <v>316</v>
      </c>
      <c r="C64" s="101" t="s">
        <v>317</v>
      </c>
      <c r="D64" s="116" t="s">
        <v>312</v>
      </c>
      <c r="E64" s="103" t="s">
        <v>252</v>
      </c>
      <c r="F64" s="104">
        <v>366</v>
      </c>
      <c r="G64" s="105">
        <v>0</v>
      </c>
      <c r="H64" s="105">
        <f>+F64+G64</f>
        <v>366</v>
      </c>
      <c r="I64" s="105">
        <f t="shared" si="4"/>
        <v>4392</v>
      </c>
      <c r="J64" s="105">
        <f>+H64</f>
        <v>366</v>
      </c>
      <c r="K64" s="104">
        <f>+J64*6.75%*12</f>
        <v>296.46000000000004</v>
      </c>
      <c r="L64" s="105">
        <v>0</v>
      </c>
      <c r="M64" s="104">
        <f>+J64*7.5%*12</f>
        <v>329.4</v>
      </c>
      <c r="N64" s="104">
        <f>SUM(K64:M64)</f>
        <v>625.86</v>
      </c>
      <c r="O64" s="106">
        <f>ROUND((+I64+J64+N64),2)</f>
        <v>5383.86</v>
      </c>
    </row>
    <row r="65" spans="1:15" ht="15.75" x14ac:dyDescent="0.25">
      <c r="A65" s="101"/>
      <c r="B65" s="114" t="s">
        <v>249</v>
      </c>
      <c r="C65" s="101"/>
      <c r="D65" s="116"/>
      <c r="E65" s="103"/>
      <c r="F65" s="115">
        <f t="shared" ref="F65:O65" si="23">SUM(F60:F64)</f>
        <v>2512</v>
      </c>
      <c r="G65" s="115">
        <f t="shared" si="23"/>
        <v>0</v>
      </c>
      <c r="H65" s="115">
        <f t="shared" si="23"/>
        <v>2512</v>
      </c>
      <c r="I65" s="115">
        <f t="shared" si="23"/>
        <v>30144</v>
      </c>
      <c r="J65" s="115">
        <f t="shared" si="23"/>
        <v>2512</v>
      </c>
      <c r="K65" s="115">
        <f t="shared" si="23"/>
        <v>2034.7200000000003</v>
      </c>
      <c r="L65" s="115">
        <f t="shared" si="23"/>
        <v>0</v>
      </c>
      <c r="M65" s="115">
        <f t="shared" si="23"/>
        <v>2260.8000000000002</v>
      </c>
      <c r="N65" s="115">
        <f t="shared" si="23"/>
        <v>4295.5200000000004</v>
      </c>
      <c r="O65" s="115">
        <f t="shared" si="23"/>
        <v>36951.520000000004</v>
      </c>
    </row>
    <row r="66" spans="1:15" ht="15.75" x14ac:dyDescent="0.25">
      <c r="A66" s="101">
        <v>45</v>
      </c>
      <c r="B66" s="102" t="s">
        <v>318</v>
      </c>
      <c r="C66" s="101" t="s">
        <v>319</v>
      </c>
      <c r="D66" s="101" t="s">
        <v>237</v>
      </c>
      <c r="E66" s="103" t="s">
        <v>252</v>
      </c>
      <c r="F66" s="104">
        <v>400</v>
      </c>
      <c r="G66" s="105">
        <v>0</v>
      </c>
      <c r="H66" s="105">
        <f>+F66+G66</f>
        <v>400</v>
      </c>
      <c r="I66" s="105">
        <f t="shared" si="4"/>
        <v>4800</v>
      </c>
      <c r="J66" s="105">
        <f>+H66</f>
        <v>400</v>
      </c>
      <c r="K66" s="104">
        <f>+J66*6.75%*12</f>
        <v>324</v>
      </c>
      <c r="L66" s="105">
        <v>0</v>
      </c>
      <c r="M66" s="104">
        <f>+J66*7.5%*12</f>
        <v>360</v>
      </c>
      <c r="N66" s="104">
        <f>SUM(K66:M66)</f>
        <v>684</v>
      </c>
      <c r="O66" s="106">
        <f>ROUND((+I66+J66+N66),2)</f>
        <v>5884</v>
      </c>
    </row>
    <row r="67" spans="1:15" ht="15.75" x14ac:dyDescent="0.25">
      <c r="A67" s="101"/>
      <c r="B67" s="114" t="s">
        <v>249</v>
      </c>
      <c r="C67" s="101"/>
      <c r="D67" s="116"/>
      <c r="E67" s="103"/>
      <c r="F67" s="115">
        <f>SUM(F66)</f>
        <v>400</v>
      </c>
      <c r="G67" s="115">
        <f t="shared" ref="G67:O67" si="24">SUM(G66)</f>
        <v>0</v>
      </c>
      <c r="H67" s="115">
        <f t="shared" si="24"/>
        <v>400</v>
      </c>
      <c r="I67" s="115">
        <f t="shared" si="24"/>
        <v>4800</v>
      </c>
      <c r="J67" s="115">
        <f t="shared" si="24"/>
        <v>400</v>
      </c>
      <c r="K67" s="115">
        <f t="shared" si="24"/>
        <v>324</v>
      </c>
      <c r="L67" s="115">
        <f t="shared" si="24"/>
        <v>0</v>
      </c>
      <c r="M67" s="115">
        <f t="shared" si="24"/>
        <v>360</v>
      </c>
      <c r="N67" s="115">
        <f t="shared" si="24"/>
        <v>684</v>
      </c>
      <c r="O67" s="115">
        <f t="shared" si="24"/>
        <v>5884</v>
      </c>
    </row>
    <row r="68" spans="1:15" ht="15.75" x14ac:dyDescent="0.25">
      <c r="A68" s="101">
        <v>46</v>
      </c>
      <c r="B68" s="102" t="s">
        <v>320</v>
      </c>
      <c r="C68" s="101" t="s">
        <v>321</v>
      </c>
      <c r="D68" s="116" t="s">
        <v>322</v>
      </c>
      <c r="E68" s="103" t="s">
        <v>281</v>
      </c>
      <c r="F68" s="104">
        <v>550</v>
      </c>
      <c r="G68" s="105">
        <v>0</v>
      </c>
      <c r="H68" s="105">
        <f t="shared" ref="H68:H81" si="25">+F68+G68</f>
        <v>550</v>
      </c>
      <c r="I68" s="105">
        <f>+H68*12</f>
        <v>6600</v>
      </c>
      <c r="J68" s="105">
        <f>+H68</f>
        <v>550</v>
      </c>
      <c r="K68" s="104">
        <f t="shared" ref="K68:K81" si="26">+J68*6.75%*12</f>
        <v>445.5</v>
      </c>
      <c r="L68" s="105">
        <v>0</v>
      </c>
      <c r="M68" s="104">
        <f t="shared" ref="M68:M81" si="27">+J68*7.5%*12</f>
        <v>495</v>
      </c>
      <c r="N68" s="104">
        <f t="shared" ref="N68:N81" si="28">SUM(K68:M68)</f>
        <v>940.5</v>
      </c>
      <c r="O68" s="106">
        <f t="shared" ref="O68:O81" si="29">ROUND((+I68+J68+N68),2)</f>
        <v>8090.5</v>
      </c>
    </row>
    <row r="69" spans="1:15" ht="15.75" x14ac:dyDescent="0.25">
      <c r="A69" s="101">
        <v>47</v>
      </c>
      <c r="B69" s="102" t="s">
        <v>323</v>
      </c>
      <c r="C69" s="101" t="s">
        <v>324</v>
      </c>
      <c r="D69" s="116" t="s">
        <v>322</v>
      </c>
      <c r="E69" s="103" t="s">
        <v>281</v>
      </c>
      <c r="F69" s="104">
        <v>300</v>
      </c>
      <c r="G69" s="105">
        <v>0</v>
      </c>
      <c r="H69" s="105">
        <f t="shared" si="25"/>
        <v>300</v>
      </c>
      <c r="I69" s="105">
        <f t="shared" si="4"/>
        <v>3600</v>
      </c>
      <c r="J69" s="105">
        <f>+H69</f>
        <v>300</v>
      </c>
      <c r="K69" s="104">
        <f t="shared" si="26"/>
        <v>243</v>
      </c>
      <c r="L69" s="105">
        <v>0</v>
      </c>
      <c r="M69" s="104">
        <f t="shared" si="27"/>
        <v>270</v>
      </c>
      <c r="N69" s="104">
        <f t="shared" si="28"/>
        <v>513</v>
      </c>
      <c r="O69" s="106">
        <f t="shared" si="29"/>
        <v>4413</v>
      </c>
    </row>
    <row r="70" spans="1:15" ht="15.75" x14ac:dyDescent="0.25">
      <c r="A70" s="101">
        <v>48</v>
      </c>
      <c r="B70" s="102" t="s">
        <v>325</v>
      </c>
      <c r="C70" s="101" t="s">
        <v>326</v>
      </c>
      <c r="D70" s="116" t="s">
        <v>322</v>
      </c>
      <c r="E70" s="103" t="s">
        <v>281</v>
      </c>
      <c r="F70" s="104">
        <v>300</v>
      </c>
      <c r="G70" s="105">
        <v>0</v>
      </c>
      <c r="H70" s="105">
        <f t="shared" si="25"/>
        <v>300</v>
      </c>
      <c r="I70" s="105">
        <f t="shared" si="4"/>
        <v>3600</v>
      </c>
      <c r="J70" s="105">
        <f>+H70</f>
        <v>300</v>
      </c>
      <c r="K70" s="104">
        <f t="shared" si="26"/>
        <v>243</v>
      </c>
      <c r="L70" s="105">
        <v>0</v>
      </c>
      <c r="M70" s="104">
        <f t="shared" si="27"/>
        <v>270</v>
      </c>
      <c r="N70" s="104">
        <f t="shared" si="28"/>
        <v>513</v>
      </c>
      <c r="O70" s="106">
        <f t="shared" si="29"/>
        <v>4413</v>
      </c>
    </row>
    <row r="71" spans="1:15" ht="15.75" x14ac:dyDescent="0.25">
      <c r="A71" s="101">
        <v>49</v>
      </c>
      <c r="B71" s="102" t="s">
        <v>327</v>
      </c>
      <c r="C71" s="101" t="s">
        <v>328</v>
      </c>
      <c r="D71" s="116" t="s">
        <v>322</v>
      </c>
      <c r="E71" s="103" t="s">
        <v>281</v>
      </c>
      <c r="F71" s="104">
        <v>320</v>
      </c>
      <c r="G71" s="105">
        <v>0</v>
      </c>
      <c r="H71" s="105">
        <f t="shared" si="25"/>
        <v>320</v>
      </c>
      <c r="I71" s="105">
        <f t="shared" si="4"/>
        <v>3840</v>
      </c>
      <c r="J71" s="105">
        <f t="shared" ref="J71:J81" si="30">+H71</f>
        <v>320</v>
      </c>
      <c r="K71" s="104">
        <f t="shared" si="26"/>
        <v>259.20000000000005</v>
      </c>
      <c r="L71" s="105">
        <v>0</v>
      </c>
      <c r="M71" s="104">
        <f t="shared" si="27"/>
        <v>288</v>
      </c>
      <c r="N71" s="104">
        <f t="shared" si="28"/>
        <v>547.20000000000005</v>
      </c>
      <c r="O71" s="106">
        <f t="shared" si="29"/>
        <v>4707.2</v>
      </c>
    </row>
    <row r="72" spans="1:15" ht="15.75" x14ac:dyDescent="0.25">
      <c r="A72" s="101">
        <v>50</v>
      </c>
      <c r="B72" s="102" t="s">
        <v>329</v>
      </c>
      <c r="C72" s="101" t="s">
        <v>328</v>
      </c>
      <c r="D72" s="116" t="s">
        <v>322</v>
      </c>
      <c r="E72" s="103" t="s">
        <v>281</v>
      </c>
      <c r="F72" s="104">
        <v>320</v>
      </c>
      <c r="G72" s="105">
        <v>0</v>
      </c>
      <c r="H72" s="105">
        <f t="shared" si="25"/>
        <v>320</v>
      </c>
      <c r="I72" s="105">
        <f t="shared" ref="I72:I115" si="31">+H72*12</f>
        <v>3840</v>
      </c>
      <c r="J72" s="105">
        <f t="shared" si="30"/>
        <v>320</v>
      </c>
      <c r="K72" s="104">
        <f t="shared" si="26"/>
        <v>259.20000000000005</v>
      </c>
      <c r="L72" s="105">
        <v>0</v>
      </c>
      <c r="M72" s="104">
        <f t="shared" si="27"/>
        <v>288</v>
      </c>
      <c r="N72" s="104">
        <f t="shared" si="28"/>
        <v>547.20000000000005</v>
      </c>
      <c r="O72" s="106">
        <f t="shared" si="29"/>
        <v>4707.2</v>
      </c>
    </row>
    <row r="73" spans="1:15" ht="15.75" x14ac:dyDescent="0.25">
      <c r="A73" s="101">
        <v>51</v>
      </c>
      <c r="B73" s="102" t="s">
        <v>330</v>
      </c>
      <c r="C73" s="101" t="s">
        <v>260</v>
      </c>
      <c r="D73" s="116" t="s">
        <v>322</v>
      </c>
      <c r="E73" s="103" t="s">
        <v>281</v>
      </c>
      <c r="F73" s="104">
        <v>342</v>
      </c>
      <c r="G73" s="105">
        <v>0</v>
      </c>
      <c r="H73" s="105">
        <f t="shared" si="25"/>
        <v>342</v>
      </c>
      <c r="I73" s="105">
        <f t="shared" si="31"/>
        <v>4104</v>
      </c>
      <c r="J73" s="105">
        <f t="shared" si="30"/>
        <v>342</v>
      </c>
      <c r="K73" s="104">
        <f t="shared" si="26"/>
        <v>277.02</v>
      </c>
      <c r="L73" s="105">
        <v>0</v>
      </c>
      <c r="M73" s="104">
        <f t="shared" si="27"/>
        <v>307.79999999999995</v>
      </c>
      <c r="N73" s="104">
        <f t="shared" si="28"/>
        <v>584.81999999999994</v>
      </c>
      <c r="O73" s="106">
        <f t="shared" si="29"/>
        <v>5030.82</v>
      </c>
    </row>
    <row r="74" spans="1:15" ht="15.75" x14ac:dyDescent="0.25">
      <c r="A74" s="101">
        <v>52</v>
      </c>
      <c r="B74" s="102" t="s">
        <v>331</v>
      </c>
      <c r="C74" s="101" t="s">
        <v>260</v>
      </c>
      <c r="D74" s="116" t="s">
        <v>322</v>
      </c>
      <c r="E74" s="103" t="s">
        <v>281</v>
      </c>
      <c r="F74" s="104">
        <v>322</v>
      </c>
      <c r="G74" s="105">
        <v>0</v>
      </c>
      <c r="H74" s="105">
        <f t="shared" si="25"/>
        <v>322</v>
      </c>
      <c r="I74" s="105">
        <f t="shared" si="31"/>
        <v>3864</v>
      </c>
      <c r="J74" s="105">
        <f t="shared" si="30"/>
        <v>322</v>
      </c>
      <c r="K74" s="104">
        <f t="shared" si="26"/>
        <v>260.82000000000005</v>
      </c>
      <c r="L74" s="105">
        <v>0</v>
      </c>
      <c r="M74" s="104">
        <f t="shared" si="27"/>
        <v>289.79999999999995</v>
      </c>
      <c r="N74" s="104">
        <f t="shared" si="28"/>
        <v>550.62</v>
      </c>
      <c r="O74" s="106">
        <f t="shared" si="29"/>
        <v>4736.62</v>
      </c>
    </row>
    <row r="75" spans="1:15" ht="15.75" x14ac:dyDescent="0.25">
      <c r="A75" s="101">
        <v>53</v>
      </c>
      <c r="B75" s="102" t="s">
        <v>332</v>
      </c>
      <c r="C75" s="101" t="s">
        <v>260</v>
      </c>
      <c r="D75" s="116" t="s">
        <v>322</v>
      </c>
      <c r="E75" s="103" t="s">
        <v>281</v>
      </c>
      <c r="F75" s="104">
        <v>322</v>
      </c>
      <c r="G75" s="105">
        <v>0</v>
      </c>
      <c r="H75" s="105">
        <f t="shared" si="25"/>
        <v>322</v>
      </c>
      <c r="I75" s="105">
        <f t="shared" si="31"/>
        <v>3864</v>
      </c>
      <c r="J75" s="105">
        <f t="shared" si="30"/>
        <v>322</v>
      </c>
      <c r="K75" s="104">
        <f t="shared" si="26"/>
        <v>260.82000000000005</v>
      </c>
      <c r="L75" s="105">
        <v>0</v>
      </c>
      <c r="M75" s="104">
        <f t="shared" si="27"/>
        <v>289.79999999999995</v>
      </c>
      <c r="N75" s="104">
        <f t="shared" si="28"/>
        <v>550.62</v>
      </c>
      <c r="O75" s="106">
        <f t="shared" si="29"/>
        <v>4736.62</v>
      </c>
    </row>
    <row r="76" spans="1:15" ht="15.75" x14ac:dyDescent="0.25">
      <c r="A76" s="101">
        <v>54</v>
      </c>
      <c r="B76" s="124" t="s">
        <v>333</v>
      </c>
      <c r="C76" s="101" t="s">
        <v>334</v>
      </c>
      <c r="D76" s="116" t="s">
        <v>322</v>
      </c>
      <c r="E76" s="103" t="s">
        <v>281</v>
      </c>
      <c r="F76" s="104">
        <v>320</v>
      </c>
      <c r="G76" s="105">
        <v>0</v>
      </c>
      <c r="H76" s="105">
        <f t="shared" si="25"/>
        <v>320</v>
      </c>
      <c r="I76" s="105">
        <f t="shared" si="31"/>
        <v>3840</v>
      </c>
      <c r="J76" s="105">
        <f t="shared" si="30"/>
        <v>320</v>
      </c>
      <c r="K76" s="104">
        <f t="shared" si="26"/>
        <v>259.20000000000005</v>
      </c>
      <c r="L76" s="105">
        <v>0</v>
      </c>
      <c r="M76" s="104">
        <f t="shared" si="27"/>
        <v>288</v>
      </c>
      <c r="N76" s="104">
        <f t="shared" si="28"/>
        <v>547.20000000000005</v>
      </c>
      <c r="O76" s="106">
        <f t="shared" si="29"/>
        <v>4707.2</v>
      </c>
    </row>
    <row r="77" spans="1:15" ht="15.75" x14ac:dyDescent="0.25">
      <c r="A77" s="101">
        <v>55</v>
      </c>
      <c r="B77" s="124" t="s">
        <v>335</v>
      </c>
      <c r="C77" s="101" t="s">
        <v>334</v>
      </c>
      <c r="D77" s="116" t="s">
        <v>322</v>
      </c>
      <c r="E77" s="103" t="s">
        <v>281</v>
      </c>
      <c r="F77" s="104">
        <v>320</v>
      </c>
      <c r="G77" s="105">
        <v>0</v>
      </c>
      <c r="H77" s="105">
        <f t="shared" si="25"/>
        <v>320</v>
      </c>
      <c r="I77" s="105">
        <f t="shared" si="31"/>
        <v>3840</v>
      </c>
      <c r="J77" s="105">
        <f t="shared" si="30"/>
        <v>320</v>
      </c>
      <c r="K77" s="104">
        <f t="shared" si="26"/>
        <v>259.20000000000005</v>
      </c>
      <c r="L77" s="105">
        <v>0</v>
      </c>
      <c r="M77" s="104">
        <f t="shared" si="27"/>
        <v>288</v>
      </c>
      <c r="N77" s="104">
        <f t="shared" si="28"/>
        <v>547.20000000000005</v>
      </c>
      <c r="O77" s="106">
        <f t="shared" si="29"/>
        <v>4707.2</v>
      </c>
    </row>
    <row r="78" spans="1:15" ht="15.75" x14ac:dyDescent="0.25">
      <c r="A78" s="101">
        <v>56</v>
      </c>
      <c r="B78" s="124" t="s">
        <v>336</v>
      </c>
      <c r="C78" s="101" t="s">
        <v>334</v>
      </c>
      <c r="D78" s="116" t="s">
        <v>322</v>
      </c>
      <c r="E78" s="103" t="s">
        <v>281</v>
      </c>
      <c r="F78" s="104">
        <v>320</v>
      </c>
      <c r="G78" s="105">
        <v>0</v>
      </c>
      <c r="H78" s="105">
        <f t="shared" si="25"/>
        <v>320</v>
      </c>
      <c r="I78" s="105">
        <f t="shared" si="31"/>
        <v>3840</v>
      </c>
      <c r="J78" s="105">
        <f t="shared" si="30"/>
        <v>320</v>
      </c>
      <c r="K78" s="104">
        <f t="shared" si="26"/>
        <v>259.20000000000005</v>
      </c>
      <c r="L78" s="105">
        <v>0</v>
      </c>
      <c r="M78" s="104">
        <f t="shared" si="27"/>
        <v>288</v>
      </c>
      <c r="N78" s="104">
        <f t="shared" si="28"/>
        <v>547.20000000000005</v>
      </c>
      <c r="O78" s="106">
        <f t="shared" si="29"/>
        <v>4707.2</v>
      </c>
    </row>
    <row r="79" spans="1:15" ht="15.75" x14ac:dyDescent="0.25">
      <c r="A79" s="101">
        <v>57</v>
      </c>
      <c r="B79" s="124" t="s">
        <v>337</v>
      </c>
      <c r="C79" s="101" t="s">
        <v>334</v>
      </c>
      <c r="D79" s="116" t="s">
        <v>322</v>
      </c>
      <c r="E79" s="103" t="s">
        <v>281</v>
      </c>
      <c r="F79" s="104">
        <v>320</v>
      </c>
      <c r="G79" s="105">
        <v>0</v>
      </c>
      <c r="H79" s="105">
        <f t="shared" si="25"/>
        <v>320</v>
      </c>
      <c r="I79" s="105">
        <f t="shared" si="31"/>
        <v>3840</v>
      </c>
      <c r="J79" s="105">
        <f t="shared" si="30"/>
        <v>320</v>
      </c>
      <c r="K79" s="104">
        <f t="shared" si="26"/>
        <v>259.20000000000005</v>
      </c>
      <c r="L79" s="105">
        <v>0</v>
      </c>
      <c r="M79" s="104">
        <f t="shared" si="27"/>
        <v>288</v>
      </c>
      <c r="N79" s="104">
        <f t="shared" si="28"/>
        <v>547.20000000000005</v>
      </c>
      <c r="O79" s="106">
        <f t="shared" si="29"/>
        <v>4707.2</v>
      </c>
    </row>
    <row r="80" spans="1:15" ht="15.75" x14ac:dyDescent="0.25">
      <c r="A80" s="101">
        <v>58</v>
      </c>
      <c r="B80" s="167" t="s">
        <v>494</v>
      </c>
      <c r="C80" s="101" t="s">
        <v>496</v>
      </c>
      <c r="D80" s="116" t="s">
        <v>322</v>
      </c>
      <c r="E80" s="103" t="s">
        <v>281</v>
      </c>
      <c r="F80" s="104">
        <v>302</v>
      </c>
      <c r="G80" s="105">
        <v>0</v>
      </c>
      <c r="H80" s="105">
        <f t="shared" si="25"/>
        <v>302</v>
      </c>
      <c r="I80" s="105">
        <f t="shared" si="31"/>
        <v>3624</v>
      </c>
      <c r="J80" s="105">
        <f t="shared" si="30"/>
        <v>302</v>
      </c>
      <c r="K80" s="104">
        <f t="shared" si="26"/>
        <v>244.62</v>
      </c>
      <c r="L80" s="105">
        <v>0</v>
      </c>
      <c r="M80" s="104">
        <f t="shared" si="27"/>
        <v>271.79999999999995</v>
      </c>
      <c r="N80" s="104">
        <f t="shared" si="28"/>
        <v>516.41999999999996</v>
      </c>
      <c r="O80" s="106">
        <f t="shared" si="29"/>
        <v>4442.42</v>
      </c>
    </row>
    <row r="81" spans="1:15" ht="15.75" x14ac:dyDescent="0.25">
      <c r="A81" s="101">
        <v>59</v>
      </c>
      <c r="B81" s="167" t="s">
        <v>495</v>
      </c>
      <c r="C81" s="101" t="s">
        <v>496</v>
      </c>
      <c r="D81" s="116" t="s">
        <v>322</v>
      </c>
      <c r="E81" s="103" t="s">
        <v>281</v>
      </c>
      <c r="F81" s="104">
        <v>302</v>
      </c>
      <c r="G81" s="105">
        <v>0</v>
      </c>
      <c r="H81" s="105">
        <f t="shared" si="25"/>
        <v>302</v>
      </c>
      <c r="I81" s="105">
        <f t="shared" si="31"/>
        <v>3624</v>
      </c>
      <c r="J81" s="105">
        <f t="shared" si="30"/>
        <v>302</v>
      </c>
      <c r="K81" s="104">
        <f t="shared" si="26"/>
        <v>244.62</v>
      </c>
      <c r="L81" s="105">
        <v>0</v>
      </c>
      <c r="M81" s="104">
        <f t="shared" si="27"/>
        <v>271.79999999999995</v>
      </c>
      <c r="N81" s="104">
        <f t="shared" si="28"/>
        <v>516.41999999999996</v>
      </c>
      <c r="O81" s="106">
        <f t="shared" si="29"/>
        <v>4442.42</v>
      </c>
    </row>
    <row r="82" spans="1:15" ht="15.75" x14ac:dyDescent="0.25">
      <c r="A82" s="101"/>
      <c r="B82" s="114" t="s">
        <v>249</v>
      </c>
      <c r="C82" s="101"/>
      <c r="D82" s="116"/>
      <c r="E82" s="103"/>
      <c r="F82" s="115">
        <f t="shared" ref="F82:O82" si="32">SUM(F68:F81)</f>
        <v>4660</v>
      </c>
      <c r="G82" s="115">
        <f t="shared" si="32"/>
        <v>0</v>
      </c>
      <c r="H82" s="115">
        <f t="shared" si="32"/>
        <v>4660</v>
      </c>
      <c r="I82" s="115">
        <f>SUM(I68:I81)</f>
        <v>55920</v>
      </c>
      <c r="J82" s="115">
        <f t="shared" si="32"/>
        <v>4660</v>
      </c>
      <c r="K82" s="115">
        <f t="shared" si="32"/>
        <v>3774.5999999999995</v>
      </c>
      <c r="L82" s="115">
        <f t="shared" si="32"/>
        <v>0</v>
      </c>
      <c r="M82" s="115">
        <f t="shared" si="32"/>
        <v>4194</v>
      </c>
      <c r="N82" s="115">
        <f t="shared" si="32"/>
        <v>7968.5999999999985</v>
      </c>
      <c r="O82" s="115">
        <f t="shared" si="32"/>
        <v>68548.599999999991</v>
      </c>
    </row>
    <row r="83" spans="1:15" ht="15.75" x14ac:dyDescent="0.25">
      <c r="A83" s="101">
        <v>60</v>
      </c>
      <c r="B83" s="102" t="s">
        <v>338</v>
      </c>
      <c r="C83" s="101" t="s">
        <v>339</v>
      </c>
      <c r="D83" s="116" t="s">
        <v>340</v>
      </c>
      <c r="E83" s="103" t="s">
        <v>252</v>
      </c>
      <c r="F83" s="104">
        <v>440</v>
      </c>
      <c r="G83" s="105">
        <v>0</v>
      </c>
      <c r="H83" s="105">
        <f>+F83+G83</f>
        <v>440</v>
      </c>
      <c r="I83" s="105">
        <f t="shared" si="31"/>
        <v>5280</v>
      </c>
      <c r="J83" s="105">
        <f>+H83</f>
        <v>440</v>
      </c>
      <c r="K83" s="104">
        <f>+J83*6.75%*12</f>
        <v>356.40000000000003</v>
      </c>
      <c r="L83" s="105">
        <v>0</v>
      </c>
      <c r="M83" s="104">
        <f>+J83*7.5%*12</f>
        <v>396</v>
      </c>
      <c r="N83" s="104">
        <f>SUM(K83:M83)</f>
        <v>752.40000000000009</v>
      </c>
      <c r="O83" s="106">
        <f>ROUND((+I83+J83+N83),2)</f>
        <v>6472.4</v>
      </c>
    </row>
    <row r="84" spans="1:15" ht="15.75" x14ac:dyDescent="0.25">
      <c r="A84" s="101">
        <v>61</v>
      </c>
      <c r="B84" s="102" t="s">
        <v>341</v>
      </c>
      <c r="C84" s="101" t="s">
        <v>342</v>
      </c>
      <c r="D84" s="116" t="s">
        <v>340</v>
      </c>
      <c r="E84" s="103" t="s">
        <v>252</v>
      </c>
      <c r="F84" s="104">
        <v>416</v>
      </c>
      <c r="G84" s="105">
        <v>0</v>
      </c>
      <c r="H84" s="105">
        <f>+F84+G84</f>
        <v>416</v>
      </c>
      <c r="I84" s="105">
        <f t="shared" si="31"/>
        <v>4992</v>
      </c>
      <c r="J84" s="105">
        <f>+H84</f>
        <v>416</v>
      </c>
      <c r="K84" s="104">
        <f>+J84*6.75%*12</f>
        <v>336.96000000000004</v>
      </c>
      <c r="L84" s="105">
        <v>0</v>
      </c>
      <c r="M84" s="104">
        <f>+J84*7.5%*12</f>
        <v>374.4</v>
      </c>
      <c r="N84" s="104">
        <f>SUM(K84:M84)</f>
        <v>711.36</v>
      </c>
      <c r="O84" s="106">
        <f>ROUND((+I84+J84+N84),2)</f>
        <v>6119.36</v>
      </c>
    </row>
    <row r="85" spans="1:15" ht="15.75" x14ac:dyDescent="0.25">
      <c r="A85" s="101"/>
      <c r="B85" s="114" t="s">
        <v>249</v>
      </c>
      <c r="C85" s="101"/>
      <c r="D85" s="116"/>
      <c r="E85" s="103"/>
      <c r="F85" s="115">
        <f>SUM(F83:F84)</f>
        <v>856</v>
      </c>
      <c r="G85" s="115">
        <f t="shared" ref="G85:O85" si="33">SUM(G83:G84)</f>
        <v>0</v>
      </c>
      <c r="H85" s="115">
        <f t="shared" si="33"/>
        <v>856</v>
      </c>
      <c r="I85" s="115">
        <f t="shared" si="33"/>
        <v>10272</v>
      </c>
      <c r="J85" s="115">
        <f t="shared" si="33"/>
        <v>856</v>
      </c>
      <c r="K85" s="115">
        <f t="shared" si="33"/>
        <v>693.36000000000013</v>
      </c>
      <c r="L85" s="115">
        <f t="shared" si="33"/>
        <v>0</v>
      </c>
      <c r="M85" s="115">
        <f t="shared" si="33"/>
        <v>770.4</v>
      </c>
      <c r="N85" s="115">
        <f t="shared" si="33"/>
        <v>1463.7600000000002</v>
      </c>
      <c r="O85" s="115">
        <f t="shared" si="33"/>
        <v>12591.759999999998</v>
      </c>
    </row>
    <row r="86" spans="1:15" ht="15.75" x14ac:dyDescent="0.25">
      <c r="A86" s="101">
        <v>62</v>
      </c>
      <c r="B86" s="102" t="s">
        <v>343</v>
      </c>
      <c r="C86" s="101" t="s">
        <v>344</v>
      </c>
      <c r="D86" s="101"/>
      <c r="E86" s="103" t="s">
        <v>252</v>
      </c>
      <c r="F86" s="104">
        <v>431</v>
      </c>
      <c r="G86" s="105">
        <v>0</v>
      </c>
      <c r="H86" s="105">
        <f>+F86+G86</f>
        <v>431</v>
      </c>
      <c r="I86" s="105">
        <f t="shared" si="31"/>
        <v>5172</v>
      </c>
      <c r="J86" s="105">
        <f>+H86</f>
        <v>431</v>
      </c>
      <c r="K86" s="104">
        <f>+J86*6.75%*12</f>
        <v>349.11</v>
      </c>
      <c r="L86" s="105">
        <v>0</v>
      </c>
      <c r="M86" s="104">
        <f>+J86*7.5%*12</f>
        <v>387.9</v>
      </c>
      <c r="N86" s="104">
        <f>SUM(K86:M86)</f>
        <v>737.01</v>
      </c>
      <c r="O86" s="106">
        <f>ROUND((+I86+J86+N86),2)</f>
        <v>6340.01</v>
      </c>
    </row>
    <row r="87" spans="1:15" ht="15.75" x14ac:dyDescent="0.25">
      <c r="A87" s="101"/>
      <c r="B87" s="114" t="s">
        <v>249</v>
      </c>
      <c r="C87" s="101"/>
      <c r="D87" s="101"/>
      <c r="E87" s="103"/>
      <c r="F87" s="115">
        <f>SUM(F86:F86)</f>
        <v>431</v>
      </c>
      <c r="G87" s="115">
        <f t="shared" ref="G87:O87" si="34">SUM(G86:G86)</f>
        <v>0</v>
      </c>
      <c r="H87" s="115">
        <f t="shared" si="34"/>
        <v>431</v>
      </c>
      <c r="I87" s="115">
        <f t="shared" si="34"/>
        <v>5172</v>
      </c>
      <c r="J87" s="115">
        <f t="shared" si="34"/>
        <v>431</v>
      </c>
      <c r="K87" s="115">
        <f t="shared" si="34"/>
        <v>349.11</v>
      </c>
      <c r="L87" s="115">
        <f t="shared" si="34"/>
        <v>0</v>
      </c>
      <c r="M87" s="115">
        <f t="shared" si="34"/>
        <v>387.9</v>
      </c>
      <c r="N87" s="115">
        <f t="shared" si="34"/>
        <v>737.01</v>
      </c>
      <c r="O87" s="115">
        <f t="shared" si="34"/>
        <v>6340.01</v>
      </c>
    </row>
    <row r="88" spans="1:15" ht="15.75" x14ac:dyDescent="0.25">
      <c r="A88" s="101">
        <v>63</v>
      </c>
      <c r="B88" s="102" t="s">
        <v>498</v>
      </c>
      <c r="C88" s="101" t="s">
        <v>499</v>
      </c>
      <c r="D88" s="116" t="s">
        <v>345</v>
      </c>
      <c r="E88" s="103" t="s">
        <v>252</v>
      </c>
      <c r="F88" s="104">
        <v>370</v>
      </c>
      <c r="G88" s="105">
        <v>0</v>
      </c>
      <c r="H88" s="105">
        <f t="shared" ref="H88:H107" si="35">+F88+G88</f>
        <v>370</v>
      </c>
      <c r="I88" s="105">
        <f t="shared" si="31"/>
        <v>4440</v>
      </c>
      <c r="J88" s="105">
        <f t="shared" ref="J88:J107" si="36">+H88</f>
        <v>370</v>
      </c>
      <c r="K88" s="104">
        <f t="shared" ref="K88:K107" si="37">+J88*6.75%*12</f>
        <v>299.70000000000005</v>
      </c>
      <c r="L88" s="105">
        <v>0</v>
      </c>
      <c r="M88" s="104">
        <f t="shared" ref="M88:M115" si="38">+J88*7.5%*12</f>
        <v>333</v>
      </c>
      <c r="N88" s="104">
        <f t="shared" ref="N88:N107" si="39">SUM(K88:M88)</f>
        <v>632.70000000000005</v>
      </c>
      <c r="O88" s="106">
        <f t="shared" ref="O88:O107" si="40">ROUND((+I88+J88+N88),2)</f>
        <v>5442.7</v>
      </c>
    </row>
    <row r="89" spans="1:15" ht="15.75" x14ac:dyDescent="0.25">
      <c r="A89" s="101">
        <v>64</v>
      </c>
      <c r="B89" s="102" t="s">
        <v>346</v>
      </c>
      <c r="C89" s="101" t="s">
        <v>500</v>
      </c>
      <c r="D89" s="116" t="s">
        <v>345</v>
      </c>
      <c r="E89" s="103" t="s">
        <v>252</v>
      </c>
      <c r="F89" s="104">
        <v>360</v>
      </c>
      <c r="G89" s="105">
        <v>0</v>
      </c>
      <c r="H89" s="105">
        <f t="shared" si="35"/>
        <v>360</v>
      </c>
      <c r="I89" s="105">
        <f t="shared" si="31"/>
        <v>4320</v>
      </c>
      <c r="J89" s="105">
        <f t="shared" si="36"/>
        <v>360</v>
      </c>
      <c r="K89" s="104">
        <f t="shared" si="37"/>
        <v>291.60000000000002</v>
      </c>
      <c r="L89" s="105">
        <v>0</v>
      </c>
      <c r="M89" s="104">
        <f t="shared" si="38"/>
        <v>324</v>
      </c>
      <c r="N89" s="104">
        <f t="shared" si="39"/>
        <v>615.6</v>
      </c>
      <c r="O89" s="106">
        <f t="shared" si="40"/>
        <v>5295.6</v>
      </c>
    </row>
    <row r="90" spans="1:15" ht="15.75" x14ac:dyDescent="0.25">
      <c r="A90" s="101">
        <v>65</v>
      </c>
      <c r="B90" s="102" t="s">
        <v>347</v>
      </c>
      <c r="C90" s="101" t="s">
        <v>326</v>
      </c>
      <c r="D90" s="116" t="s">
        <v>345</v>
      </c>
      <c r="E90" s="103" t="s">
        <v>252</v>
      </c>
      <c r="F90" s="104">
        <v>320</v>
      </c>
      <c r="G90" s="105">
        <v>0</v>
      </c>
      <c r="H90" s="105">
        <f t="shared" si="35"/>
        <v>320</v>
      </c>
      <c r="I90" s="105">
        <f t="shared" si="31"/>
        <v>3840</v>
      </c>
      <c r="J90" s="105">
        <f t="shared" si="36"/>
        <v>320</v>
      </c>
      <c r="K90" s="104">
        <f>+J90*6.75%*12</f>
        <v>259.20000000000005</v>
      </c>
      <c r="L90" s="105">
        <v>0</v>
      </c>
      <c r="M90" s="104">
        <f t="shared" si="38"/>
        <v>288</v>
      </c>
      <c r="N90" s="104">
        <f t="shared" si="39"/>
        <v>547.20000000000005</v>
      </c>
      <c r="O90" s="106">
        <f t="shared" si="40"/>
        <v>4707.2</v>
      </c>
    </row>
    <row r="91" spans="1:15" ht="15.75" x14ac:dyDescent="0.25">
      <c r="A91" s="101">
        <v>66</v>
      </c>
      <c r="B91" s="102" t="s">
        <v>348</v>
      </c>
      <c r="C91" s="101" t="s">
        <v>349</v>
      </c>
      <c r="D91" s="116" t="s">
        <v>345</v>
      </c>
      <c r="E91" s="103" t="s">
        <v>252</v>
      </c>
      <c r="F91" s="104">
        <v>353</v>
      </c>
      <c r="G91" s="105">
        <v>0</v>
      </c>
      <c r="H91" s="105">
        <f t="shared" si="35"/>
        <v>353</v>
      </c>
      <c r="I91" s="105">
        <f t="shared" si="31"/>
        <v>4236</v>
      </c>
      <c r="J91" s="105">
        <f t="shared" si="36"/>
        <v>353</v>
      </c>
      <c r="K91" s="104">
        <f t="shared" si="37"/>
        <v>285.93</v>
      </c>
      <c r="L91" s="105">
        <v>0</v>
      </c>
      <c r="M91" s="104">
        <f t="shared" si="38"/>
        <v>317.7</v>
      </c>
      <c r="N91" s="104">
        <f t="shared" si="39"/>
        <v>603.63</v>
      </c>
      <c r="O91" s="106">
        <f t="shared" si="40"/>
        <v>5192.63</v>
      </c>
    </row>
    <row r="92" spans="1:15" ht="15.75" x14ac:dyDescent="0.25">
      <c r="A92" s="101">
        <v>67</v>
      </c>
      <c r="B92" s="102" t="s">
        <v>350</v>
      </c>
      <c r="C92" s="101" t="s">
        <v>349</v>
      </c>
      <c r="D92" s="116" t="s">
        <v>345</v>
      </c>
      <c r="E92" s="103" t="s">
        <v>252</v>
      </c>
      <c r="F92" s="104">
        <v>353</v>
      </c>
      <c r="G92" s="105">
        <v>0</v>
      </c>
      <c r="H92" s="105">
        <f t="shared" si="35"/>
        <v>353</v>
      </c>
      <c r="I92" s="105">
        <f t="shared" si="31"/>
        <v>4236</v>
      </c>
      <c r="J92" s="105">
        <f t="shared" si="36"/>
        <v>353</v>
      </c>
      <c r="K92" s="104">
        <f t="shared" si="37"/>
        <v>285.93</v>
      </c>
      <c r="L92" s="105">
        <v>0</v>
      </c>
      <c r="M92" s="104">
        <f t="shared" si="38"/>
        <v>317.7</v>
      </c>
      <c r="N92" s="104">
        <f t="shared" si="39"/>
        <v>603.63</v>
      </c>
      <c r="O92" s="106">
        <f t="shared" si="40"/>
        <v>5192.63</v>
      </c>
    </row>
    <row r="93" spans="1:15" ht="15.75" x14ac:dyDescent="0.25">
      <c r="A93" s="101">
        <v>68</v>
      </c>
      <c r="B93" s="102" t="s">
        <v>351</v>
      </c>
      <c r="C93" s="101" t="s">
        <v>352</v>
      </c>
      <c r="D93" s="116" t="s">
        <v>345</v>
      </c>
      <c r="E93" s="103" t="s">
        <v>252</v>
      </c>
      <c r="F93" s="104">
        <v>320</v>
      </c>
      <c r="G93" s="105">
        <v>0</v>
      </c>
      <c r="H93" s="105">
        <f t="shared" si="35"/>
        <v>320</v>
      </c>
      <c r="I93" s="105">
        <f t="shared" si="31"/>
        <v>3840</v>
      </c>
      <c r="J93" s="105">
        <f t="shared" si="36"/>
        <v>320</v>
      </c>
      <c r="K93" s="104">
        <f t="shared" si="37"/>
        <v>259.20000000000005</v>
      </c>
      <c r="L93" s="105">
        <v>0</v>
      </c>
      <c r="M93" s="104">
        <f t="shared" si="38"/>
        <v>288</v>
      </c>
      <c r="N93" s="104">
        <f t="shared" si="39"/>
        <v>547.20000000000005</v>
      </c>
      <c r="O93" s="106">
        <f t="shared" si="40"/>
        <v>4707.2</v>
      </c>
    </row>
    <row r="94" spans="1:15" ht="15.75" x14ac:dyDescent="0.25">
      <c r="A94" s="101">
        <v>69</v>
      </c>
      <c r="B94" s="102" t="s">
        <v>353</v>
      </c>
      <c r="C94" s="101" t="s">
        <v>354</v>
      </c>
      <c r="D94" s="116" t="s">
        <v>345</v>
      </c>
      <c r="E94" s="103" t="s">
        <v>252</v>
      </c>
      <c r="F94" s="104">
        <v>320</v>
      </c>
      <c r="G94" s="105">
        <v>0</v>
      </c>
      <c r="H94" s="105">
        <f t="shared" si="35"/>
        <v>320</v>
      </c>
      <c r="I94" s="105">
        <f t="shared" si="31"/>
        <v>3840</v>
      </c>
      <c r="J94" s="105">
        <f t="shared" si="36"/>
        <v>320</v>
      </c>
      <c r="K94" s="104">
        <f t="shared" si="37"/>
        <v>259.20000000000005</v>
      </c>
      <c r="L94" s="105">
        <v>0</v>
      </c>
      <c r="M94" s="104">
        <f t="shared" si="38"/>
        <v>288</v>
      </c>
      <c r="N94" s="104">
        <f t="shared" si="39"/>
        <v>547.20000000000005</v>
      </c>
      <c r="O94" s="106">
        <f t="shared" si="40"/>
        <v>4707.2</v>
      </c>
    </row>
    <row r="95" spans="1:15" ht="15.75" x14ac:dyDescent="0.25">
      <c r="A95" s="101">
        <v>70</v>
      </c>
      <c r="B95" s="102" t="s">
        <v>355</v>
      </c>
      <c r="C95" s="101" t="s">
        <v>356</v>
      </c>
      <c r="D95" s="116" t="s">
        <v>345</v>
      </c>
      <c r="E95" s="103" t="s">
        <v>252</v>
      </c>
      <c r="F95" s="104">
        <v>320</v>
      </c>
      <c r="G95" s="105">
        <v>0</v>
      </c>
      <c r="H95" s="105">
        <f t="shared" si="35"/>
        <v>320</v>
      </c>
      <c r="I95" s="105">
        <f t="shared" si="31"/>
        <v>3840</v>
      </c>
      <c r="J95" s="105">
        <f t="shared" si="36"/>
        <v>320</v>
      </c>
      <c r="K95" s="104">
        <f t="shared" si="37"/>
        <v>259.20000000000005</v>
      </c>
      <c r="L95" s="105">
        <v>0</v>
      </c>
      <c r="M95" s="104">
        <f t="shared" si="38"/>
        <v>288</v>
      </c>
      <c r="N95" s="104">
        <f t="shared" si="39"/>
        <v>547.20000000000005</v>
      </c>
      <c r="O95" s="106">
        <f t="shared" si="40"/>
        <v>4707.2</v>
      </c>
    </row>
    <row r="96" spans="1:15" ht="15.75" x14ac:dyDescent="0.25">
      <c r="A96" s="101">
        <v>71</v>
      </c>
      <c r="B96" s="102" t="s">
        <v>357</v>
      </c>
      <c r="C96" s="101" t="s">
        <v>356</v>
      </c>
      <c r="D96" s="116" t="s">
        <v>345</v>
      </c>
      <c r="E96" s="103" t="s">
        <v>252</v>
      </c>
      <c r="F96" s="104">
        <v>320</v>
      </c>
      <c r="G96" s="105">
        <v>0</v>
      </c>
      <c r="H96" s="105">
        <f t="shared" si="35"/>
        <v>320</v>
      </c>
      <c r="I96" s="105">
        <f t="shared" si="31"/>
        <v>3840</v>
      </c>
      <c r="J96" s="105">
        <f t="shared" si="36"/>
        <v>320</v>
      </c>
      <c r="K96" s="104">
        <f t="shared" si="37"/>
        <v>259.20000000000005</v>
      </c>
      <c r="L96" s="105">
        <v>0</v>
      </c>
      <c r="M96" s="104">
        <f t="shared" si="38"/>
        <v>288</v>
      </c>
      <c r="N96" s="104">
        <f t="shared" si="39"/>
        <v>547.20000000000005</v>
      </c>
      <c r="O96" s="106">
        <f t="shared" si="40"/>
        <v>4707.2</v>
      </c>
    </row>
    <row r="97" spans="1:15" ht="15.75" x14ac:dyDescent="0.25">
      <c r="A97" s="101">
        <v>72</v>
      </c>
      <c r="B97" s="102" t="s">
        <v>358</v>
      </c>
      <c r="C97" s="101" t="s">
        <v>359</v>
      </c>
      <c r="D97" s="116" t="s">
        <v>345</v>
      </c>
      <c r="E97" s="103" t="s">
        <v>252</v>
      </c>
      <c r="F97" s="104">
        <v>370</v>
      </c>
      <c r="G97" s="105">
        <v>0</v>
      </c>
      <c r="H97" s="105">
        <f t="shared" si="35"/>
        <v>370</v>
      </c>
      <c r="I97" s="105">
        <f t="shared" si="31"/>
        <v>4440</v>
      </c>
      <c r="J97" s="105">
        <f t="shared" si="36"/>
        <v>370</v>
      </c>
      <c r="K97" s="104">
        <f t="shared" si="37"/>
        <v>299.70000000000005</v>
      </c>
      <c r="L97" s="105">
        <v>0</v>
      </c>
      <c r="M97" s="104">
        <f t="shared" si="38"/>
        <v>333</v>
      </c>
      <c r="N97" s="104">
        <f t="shared" si="39"/>
        <v>632.70000000000005</v>
      </c>
      <c r="O97" s="106">
        <f t="shared" si="40"/>
        <v>5442.7</v>
      </c>
    </row>
    <row r="98" spans="1:15" ht="15.75" x14ac:dyDescent="0.25">
      <c r="A98" s="101">
        <v>73</v>
      </c>
      <c r="B98" s="102" t="s">
        <v>360</v>
      </c>
      <c r="C98" s="101" t="s">
        <v>361</v>
      </c>
      <c r="D98" s="116" t="s">
        <v>345</v>
      </c>
      <c r="E98" s="103" t="s">
        <v>252</v>
      </c>
      <c r="F98" s="104">
        <v>320</v>
      </c>
      <c r="G98" s="105">
        <v>0</v>
      </c>
      <c r="H98" s="105">
        <f t="shared" si="35"/>
        <v>320</v>
      </c>
      <c r="I98" s="105">
        <f t="shared" si="31"/>
        <v>3840</v>
      </c>
      <c r="J98" s="105">
        <f t="shared" si="36"/>
        <v>320</v>
      </c>
      <c r="K98" s="104">
        <f t="shared" si="37"/>
        <v>259.20000000000005</v>
      </c>
      <c r="L98" s="105">
        <v>0</v>
      </c>
      <c r="M98" s="104">
        <f t="shared" si="38"/>
        <v>288</v>
      </c>
      <c r="N98" s="104">
        <f t="shared" si="39"/>
        <v>547.20000000000005</v>
      </c>
      <c r="O98" s="106">
        <f t="shared" si="40"/>
        <v>4707.2</v>
      </c>
    </row>
    <row r="99" spans="1:15" ht="15.75" x14ac:dyDescent="0.25">
      <c r="A99" s="101">
        <v>74</v>
      </c>
      <c r="B99" s="102" t="s">
        <v>362</v>
      </c>
      <c r="C99" s="101" t="s">
        <v>352</v>
      </c>
      <c r="D99" s="116" t="s">
        <v>345</v>
      </c>
      <c r="E99" s="103" t="s">
        <v>252</v>
      </c>
      <c r="F99" s="104">
        <v>320</v>
      </c>
      <c r="G99" s="105">
        <v>0</v>
      </c>
      <c r="H99" s="105">
        <f t="shared" si="35"/>
        <v>320</v>
      </c>
      <c r="I99" s="105">
        <f t="shared" si="31"/>
        <v>3840</v>
      </c>
      <c r="J99" s="105">
        <f t="shared" si="36"/>
        <v>320</v>
      </c>
      <c r="K99" s="104">
        <f t="shared" si="37"/>
        <v>259.20000000000005</v>
      </c>
      <c r="L99" s="105">
        <v>0</v>
      </c>
      <c r="M99" s="104">
        <f t="shared" si="38"/>
        <v>288</v>
      </c>
      <c r="N99" s="104">
        <f t="shared" si="39"/>
        <v>547.20000000000005</v>
      </c>
      <c r="O99" s="106">
        <f t="shared" si="40"/>
        <v>4707.2</v>
      </c>
    </row>
    <row r="100" spans="1:15" ht="15.75" x14ac:dyDescent="0.25">
      <c r="A100" s="101">
        <v>75</v>
      </c>
      <c r="B100" s="102" t="s">
        <v>363</v>
      </c>
      <c r="C100" s="101" t="s">
        <v>364</v>
      </c>
      <c r="D100" s="116" t="s">
        <v>365</v>
      </c>
      <c r="E100" s="103" t="s">
        <v>252</v>
      </c>
      <c r="F100" s="104">
        <v>320</v>
      </c>
      <c r="G100" s="105">
        <v>0</v>
      </c>
      <c r="H100" s="105">
        <f t="shared" si="35"/>
        <v>320</v>
      </c>
      <c r="I100" s="105">
        <f t="shared" si="31"/>
        <v>3840</v>
      </c>
      <c r="J100" s="105">
        <f t="shared" si="36"/>
        <v>320</v>
      </c>
      <c r="K100" s="104">
        <f t="shared" si="37"/>
        <v>259.20000000000005</v>
      </c>
      <c r="L100" s="105">
        <v>0</v>
      </c>
      <c r="M100" s="104">
        <f t="shared" si="38"/>
        <v>288</v>
      </c>
      <c r="N100" s="104">
        <f t="shared" si="39"/>
        <v>547.20000000000005</v>
      </c>
      <c r="O100" s="106">
        <f t="shared" si="40"/>
        <v>4707.2</v>
      </c>
    </row>
    <row r="101" spans="1:15" ht="15.75" x14ac:dyDescent="0.25">
      <c r="A101" s="101">
        <v>76</v>
      </c>
      <c r="B101" s="102" t="s">
        <v>366</v>
      </c>
      <c r="C101" s="101" t="s">
        <v>364</v>
      </c>
      <c r="D101" s="116" t="s">
        <v>365</v>
      </c>
      <c r="E101" s="103" t="s">
        <v>252</v>
      </c>
      <c r="F101" s="104">
        <v>370</v>
      </c>
      <c r="G101" s="105">
        <v>0</v>
      </c>
      <c r="H101" s="105">
        <f t="shared" si="35"/>
        <v>370</v>
      </c>
      <c r="I101" s="105">
        <f t="shared" si="31"/>
        <v>4440</v>
      </c>
      <c r="J101" s="105">
        <f t="shared" si="36"/>
        <v>370</v>
      </c>
      <c r="K101" s="104">
        <f t="shared" si="37"/>
        <v>299.70000000000005</v>
      </c>
      <c r="L101" s="105">
        <v>0</v>
      </c>
      <c r="M101" s="104">
        <f t="shared" si="38"/>
        <v>333</v>
      </c>
      <c r="N101" s="104">
        <f t="shared" si="39"/>
        <v>632.70000000000005</v>
      </c>
      <c r="O101" s="106">
        <f t="shared" si="40"/>
        <v>5442.7</v>
      </c>
    </row>
    <row r="102" spans="1:15" ht="15.75" x14ac:dyDescent="0.25">
      <c r="A102" s="101">
        <v>77</v>
      </c>
      <c r="B102" s="102" t="s">
        <v>367</v>
      </c>
      <c r="C102" s="101" t="s">
        <v>368</v>
      </c>
      <c r="D102" s="116" t="s">
        <v>345</v>
      </c>
      <c r="E102" s="103" t="s">
        <v>252</v>
      </c>
      <c r="F102" s="104">
        <v>370</v>
      </c>
      <c r="G102" s="105">
        <v>0</v>
      </c>
      <c r="H102" s="105">
        <f t="shared" si="35"/>
        <v>370</v>
      </c>
      <c r="I102" s="105">
        <f t="shared" si="31"/>
        <v>4440</v>
      </c>
      <c r="J102" s="105">
        <f t="shared" si="36"/>
        <v>370</v>
      </c>
      <c r="K102" s="104">
        <f t="shared" si="37"/>
        <v>299.70000000000005</v>
      </c>
      <c r="L102" s="105">
        <v>0</v>
      </c>
      <c r="M102" s="104">
        <f t="shared" si="38"/>
        <v>333</v>
      </c>
      <c r="N102" s="104">
        <f t="shared" si="39"/>
        <v>632.70000000000005</v>
      </c>
      <c r="O102" s="106">
        <f t="shared" si="40"/>
        <v>5442.7</v>
      </c>
    </row>
    <row r="103" spans="1:15" ht="15.75" x14ac:dyDescent="0.25">
      <c r="A103" s="101">
        <v>78</v>
      </c>
      <c r="B103" s="102" t="s">
        <v>501</v>
      </c>
      <c r="C103" s="101" t="s">
        <v>502</v>
      </c>
      <c r="D103" s="116" t="s">
        <v>345</v>
      </c>
      <c r="E103" s="103" t="s">
        <v>252</v>
      </c>
      <c r="F103" s="104">
        <v>300</v>
      </c>
      <c r="G103" s="105">
        <v>0</v>
      </c>
      <c r="H103" s="105">
        <f t="shared" si="35"/>
        <v>300</v>
      </c>
      <c r="I103" s="105">
        <f t="shared" si="31"/>
        <v>3600</v>
      </c>
      <c r="J103" s="105">
        <f t="shared" si="36"/>
        <v>300</v>
      </c>
      <c r="K103" s="104">
        <f t="shared" si="37"/>
        <v>243</v>
      </c>
      <c r="L103" s="105">
        <v>0</v>
      </c>
      <c r="M103" s="104">
        <f t="shared" si="38"/>
        <v>270</v>
      </c>
      <c r="N103" s="104">
        <f t="shared" si="39"/>
        <v>513</v>
      </c>
      <c r="O103" s="106">
        <f t="shared" si="40"/>
        <v>4413</v>
      </c>
    </row>
    <row r="104" spans="1:15" ht="15.75" x14ac:dyDescent="0.25">
      <c r="A104" s="101">
        <v>79</v>
      </c>
      <c r="B104" s="102" t="s">
        <v>508</v>
      </c>
      <c r="C104" s="101" t="s">
        <v>502</v>
      </c>
      <c r="D104" s="116" t="s">
        <v>345</v>
      </c>
      <c r="E104" s="103" t="s">
        <v>252</v>
      </c>
      <c r="F104" s="104">
        <v>300</v>
      </c>
      <c r="G104" s="105">
        <v>0</v>
      </c>
      <c r="H104" s="105">
        <f t="shared" ref="H104" si="41">+F104+G104</f>
        <v>300</v>
      </c>
      <c r="I104" s="105">
        <f t="shared" si="31"/>
        <v>3600</v>
      </c>
      <c r="J104" s="105">
        <f t="shared" ref="J104" si="42">+H104</f>
        <v>300</v>
      </c>
      <c r="K104" s="104">
        <f t="shared" ref="K104" si="43">+J104*6.75%*12</f>
        <v>243</v>
      </c>
      <c r="L104" s="105">
        <v>0</v>
      </c>
      <c r="M104" s="104">
        <f t="shared" si="38"/>
        <v>270</v>
      </c>
      <c r="N104" s="104">
        <f t="shared" ref="N104" si="44">SUM(K104:M104)</f>
        <v>513</v>
      </c>
      <c r="O104" s="106">
        <f t="shared" ref="O104" si="45">ROUND((+I104+J104+N104),2)</f>
        <v>4413</v>
      </c>
    </row>
    <row r="105" spans="1:15" ht="15.75" x14ac:dyDescent="0.25">
      <c r="A105" s="101">
        <v>80</v>
      </c>
      <c r="B105" s="102" t="s">
        <v>503</v>
      </c>
      <c r="C105" s="101" t="s">
        <v>504</v>
      </c>
      <c r="D105" s="116" t="s">
        <v>345</v>
      </c>
      <c r="E105" s="103" t="s">
        <v>252</v>
      </c>
      <c r="F105" s="104">
        <v>300</v>
      </c>
      <c r="G105" s="105">
        <v>0</v>
      </c>
      <c r="H105" s="105">
        <f t="shared" si="35"/>
        <v>300</v>
      </c>
      <c r="I105" s="105">
        <f t="shared" si="31"/>
        <v>3600</v>
      </c>
      <c r="J105" s="105">
        <f t="shared" si="36"/>
        <v>300</v>
      </c>
      <c r="K105" s="104">
        <f t="shared" si="37"/>
        <v>243</v>
      </c>
      <c r="L105" s="105">
        <v>0</v>
      </c>
      <c r="M105" s="104">
        <f t="shared" si="38"/>
        <v>270</v>
      </c>
      <c r="N105" s="104">
        <f t="shared" si="39"/>
        <v>513</v>
      </c>
      <c r="O105" s="106">
        <f t="shared" si="40"/>
        <v>4413</v>
      </c>
    </row>
    <row r="106" spans="1:15" ht="15.75" x14ac:dyDescent="0.25">
      <c r="A106" s="101">
        <v>81</v>
      </c>
      <c r="B106" s="102" t="s">
        <v>505</v>
      </c>
      <c r="C106" s="101" t="s">
        <v>504</v>
      </c>
      <c r="D106" s="116" t="s">
        <v>345</v>
      </c>
      <c r="E106" s="103" t="s">
        <v>252</v>
      </c>
      <c r="F106" s="104">
        <v>300</v>
      </c>
      <c r="G106" s="105">
        <v>0</v>
      </c>
      <c r="H106" s="105">
        <f t="shared" si="35"/>
        <v>300</v>
      </c>
      <c r="I106" s="105">
        <f t="shared" si="31"/>
        <v>3600</v>
      </c>
      <c r="J106" s="105">
        <f t="shared" si="36"/>
        <v>300</v>
      </c>
      <c r="K106" s="104">
        <f t="shared" si="37"/>
        <v>243</v>
      </c>
      <c r="L106" s="105">
        <v>0</v>
      </c>
      <c r="M106" s="104">
        <f t="shared" si="38"/>
        <v>270</v>
      </c>
      <c r="N106" s="104">
        <f t="shared" si="39"/>
        <v>513</v>
      </c>
      <c r="O106" s="106">
        <f t="shared" si="40"/>
        <v>4413</v>
      </c>
    </row>
    <row r="107" spans="1:15" ht="15.75" x14ac:dyDescent="0.25">
      <c r="A107" s="101">
        <v>82</v>
      </c>
      <c r="B107" s="102" t="s">
        <v>506</v>
      </c>
      <c r="C107" s="101" t="s">
        <v>507</v>
      </c>
      <c r="D107" s="116" t="s">
        <v>345</v>
      </c>
      <c r="E107" s="103" t="s">
        <v>252</v>
      </c>
      <c r="F107" s="104">
        <v>320</v>
      </c>
      <c r="G107" s="105">
        <v>0</v>
      </c>
      <c r="H107" s="105">
        <f t="shared" si="35"/>
        <v>320</v>
      </c>
      <c r="I107" s="105">
        <f t="shared" si="31"/>
        <v>3840</v>
      </c>
      <c r="J107" s="105">
        <f t="shared" si="36"/>
        <v>320</v>
      </c>
      <c r="K107" s="104">
        <f t="shared" si="37"/>
        <v>259.20000000000005</v>
      </c>
      <c r="L107" s="105">
        <v>0</v>
      </c>
      <c r="M107" s="104">
        <f t="shared" si="38"/>
        <v>288</v>
      </c>
      <c r="N107" s="104">
        <f t="shared" si="39"/>
        <v>547.20000000000005</v>
      </c>
      <c r="O107" s="106">
        <f t="shared" si="40"/>
        <v>4707.2</v>
      </c>
    </row>
    <row r="108" spans="1:15" ht="15.75" x14ac:dyDescent="0.25">
      <c r="A108" s="101">
        <v>83</v>
      </c>
      <c r="B108" s="102" t="s">
        <v>369</v>
      </c>
      <c r="C108" s="101" t="s">
        <v>370</v>
      </c>
      <c r="D108" s="116" t="s">
        <v>345</v>
      </c>
      <c r="E108" s="103" t="s">
        <v>252</v>
      </c>
      <c r="F108" s="104">
        <v>470</v>
      </c>
      <c r="G108" s="105">
        <v>0</v>
      </c>
      <c r="H108" s="105">
        <f>+F108+G108</f>
        <v>470</v>
      </c>
      <c r="I108" s="105">
        <f t="shared" si="31"/>
        <v>5640</v>
      </c>
      <c r="J108" s="105">
        <f>+H108</f>
        <v>470</v>
      </c>
      <c r="K108" s="104">
        <f>+J108*6.75%*12</f>
        <v>380.70000000000005</v>
      </c>
      <c r="L108" s="105">
        <v>0</v>
      </c>
      <c r="M108" s="104">
        <f t="shared" si="38"/>
        <v>423</v>
      </c>
      <c r="N108" s="104">
        <f>SUM(K108:M108)</f>
        <v>803.7</v>
      </c>
      <c r="O108" s="106">
        <f>ROUND((+I108+J108+N108),2)</f>
        <v>6913.7</v>
      </c>
    </row>
    <row r="109" spans="1:15" ht="30.75" x14ac:dyDescent="0.25">
      <c r="A109" s="101">
        <v>84</v>
      </c>
      <c r="B109" s="124" t="s">
        <v>371</v>
      </c>
      <c r="C109" s="125" t="s">
        <v>372</v>
      </c>
      <c r="D109" s="116" t="s">
        <v>345</v>
      </c>
      <c r="E109" s="103" t="s">
        <v>252</v>
      </c>
      <c r="F109" s="104">
        <v>470</v>
      </c>
      <c r="G109" s="105">
        <v>0</v>
      </c>
      <c r="H109" s="105">
        <f>+F109+G109</f>
        <v>470</v>
      </c>
      <c r="I109" s="105">
        <f t="shared" si="31"/>
        <v>5640</v>
      </c>
      <c r="J109" s="105">
        <f>+H109</f>
        <v>470</v>
      </c>
      <c r="K109" s="104">
        <v>0</v>
      </c>
      <c r="L109" s="105">
        <v>394.8</v>
      </c>
      <c r="M109" s="104">
        <f t="shared" si="38"/>
        <v>423</v>
      </c>
      <c r="N109" s="104">
        <f>SUM(K109:M109)</f>
        <v>817.8</v>
      </c>
      <c r="O109" s="106">
        <f>ROUND((+I109+J109+N109),2)</f>
        <v>6927.8</v>
      </c>
    </row>
    <row r="110" spans="1:15" ht="15.75" x14ac:dyDescent="0.25">
      <c r="A110" s="101">
        <v>85</v>
      </c>
      <c r="B110" s="102" t="s">
        <v>373</v>
      </c>
      <c r="C110" s="137" t="s">
        <v>374</v>
      </c>
      <c r="D110" s="116" t="s">
        <v>345</v>
      </c>
      <c r="E110" s="103" t="s">
        <v>252</v>
      </c>
      <c r="F110" s="104">
        <v>320</v>
      </c>
      <c r="G110" s="105">
        <v>0</v>
      </c>
      <c r="H110" s="105">
        <f>+F110+G110</f>
        <v>320</v>
      </c>
      <c r="I110" s="105">
        <f t="shared" si="31"/>
        <v>3840</v>
      </c>
      <c r="J110" s="105">
        <f>+H110</f>
        <v>320</v>
      </c>
      <c r="K110" s="104">
        <f>+J110*6.75%*12</f>
        <v>259.20000000000005</v>
      </c>
      <c r="L110" s="105">
        <v>0</v>
      </c>
      <c r="M110" s="104">
        <f t="shared" si="38"/>
        <v>288</v>
      </c>
      <c r="N110" s="104">
        <f>SUM(K110:M110)</f>
        <v>547.20000000000005</v>
      </c>
      <c r="O110" s="106">
        <f>ROUND((+I110+J110+N110),2)</f>
        <v>4707.2</v>
      </c>
    </row>
    <row r="111" spans="1:15" ht="15.75" x14ac:dyDescent="0.25">
      <c r="A111" s="101"/>
      <c r="B111" s="126"/>
      <c r="C111" s="139"/>
      <c r="D111" s="116"/>
      <c r="E111" s="103"/>
      <c r="F111" s="127"/>
      <c r="G111" s="105"/>
      <c r="H111" s="128"/>
      <c r="I111" s="105">
        <f t="shared" si="31"/>
        <v>0</v>
      </c>
      <c r="J111" s="105"/>
      <c r="K111" s="104"/>
      <c r="L111" s="105"/>
      <c r="M111" s="104">
        <f t="shared" si="38"/>
        <v>0</v>
      </c>
      <c r="N111" s="104"/>
      <c r="O111" s="106"/>
    </row>
    <row r="112" spans="1:15" ht="15.75" x14ac:dyDescent="0.25">
      <c r="A112" s="101">
        <v>86</v>
      </c>
      <c r="B112" s="129" t="s">
        <v>375</v>
      </c>
      <c r="C112" s="140" t="s">
        <v>376</v>
      </c>
      <c r="D112" s="116"/>
      <c r="E112" s="103" t="s">
        <v>252</v>
      </c>
      <c r="F112" s="130">
        <v>1000</v>
      </c>
      <c r="G112" s="105"/>
      <c r="H112" s="130">
        <v>1000</v>
      </c>
      <c r="I112" s="105">
        <f t="shared" si="31"/>
        <v>12000</v>
      </c>
      <c r="J112" s="105">
        <f t="shared" ref="J112:J115" si="46">+H112</f>
        <v>1000</v>
      </c>
      <c r="K112" s="104">
        <f t="shared" ref="K112:K115" si="47">+J112*6.75%*12</f>
        <v>810</v>
      </c>
      <c r="L112" s="105"/>
      <c r="M112" s="104">
        <f t="shared" si="38"/>
        <v>900</v>
      </c>
      <c r="N112" s="104">
        <f>SUM(K112:M112)</f>
        <v>1710</v>
      </c>
      <c r="O112" s="106">
        <f t="shared" ref="O112:O115" si="48">ROUND((+I112+J112+N112),2)</f>
        <v>14710</v>
      </c>
    </row>
    <row r="113" spans="1:15" ht="15.75" x14ac:dyDescent="0.25">
      <c r="A113" s="101">
        <v>87</v>
      </c>
      <c r="B113" s="129" t="s">
        <v>377</v>
      </c>
      <c r="C113" s="140" t="s">
        <v>201</v>
      </c>
      <c r="D113" s="116"/>
      <c r="E113" s="103" t="s">
        <v>252</v>
      </c>
      <c r="F113" s="130">
        <v>450</v>
      </c>
      <c r="G113" s="105"/>
      <c r="H113" s="130">
        <v>450</v>
      </c>
      <c r="I113" s="105">
        <f t="shared" si="31"/>
        <v>5400</v>
      </c>
      <c r="J113" s="105">
        <f t="shared" si="46"/>
        <v>450</v>
      </c>
      <c r="K113" s="104">
        <f t="shared" si="47"/>
        <v>364.50000000000006</v>
      </c>
      <c r="L113" s="105"/>
      <c r="M113" s="104">
        <f t="shared" si="38"/>
        <v>405</v>
      </c>
      <c r="N113" s="104">
        <f t="shared" ref="N113:N115" si="49">SUM(K113:M113)</f>
        <v>769.5</v>
      </c>
      <c r="O113" s="106">
        <f t="shared" si="48"/>
        <v>6619.5</v>
      </c>
    </row>
    <row r="114" spans="1:15" ht="15.75" x14ac:dyDescent="0.25">
      <c r="A114" s="101">
        <v>88</v>
      </c>
      <c r="B114" s="129" t="s">
        <v>512</v>
      </c>
      <c r="C114" s="140" t="s">
        <v>378</v>
      </c>
      <c r="D114" s="116"/>
      <c r="E114" s="103" t="s">
        <v>252</v>
      </c>
      <c r="F114" s="130">
        <v>300</v>
      </c>
      <c r="G114" s="105"/>
      <c r="H114" s="130">
        <v>300</v>
      </c>
      <c r="I114" s="105">
        <f t="shared" si="31"/>
        <v>3600</v>
      </c>
      <c r="J114" s="105">
        <f t="shared" si="46"/>
        <v>300</v>
      </c>
      <c r="K114" s="104">
        <f t="shared" si="47"/>
        <v>243</v>
      </c>
      <c r="L114" s="105"/>
      <c r="M114" s="104">
        <f t="shared" si="38"/>
        <v>270</v>
      </c>
      <c r="N114" s="104">
        <f t="shared" si="49"/>
        <v>513</v>
      </c>
      <c r="O114" s="106">
        <f t="shared" si="48"/>
        <v>4413</v>
      </c>
    </row>
    <row r="115" spans="1:15" ht="15.75" x14ac:dyDescent="0.25">
      <c r="A115" s="101">
        <v>89</v>
      </c>
      <c r="B115" s="129" t="s">
        <v>379</v>
      </c>
      <c r="C115" s="140" t="s">
        <v>378</v>
      </c>
      <c r="D115" s="116"/>
      <c r="E115" s="103" t="s">
        <v>252</v>
      </c>
      <c r="F115" s="130">
        <v>300</v>
      </c>
      <c r="G115" s="105"/>
      <c r="H115" s="130">
        <v>300</v>
      </c>
      <c r="I115" s="105">
        <f t="shared" si="31"/>
        <v>3600</v>
      </c>
      <c r="J115" s="105">
        <f t="shared" si="46"/>
        <v>300</v>
      </c>
      <c r="K115" s="104">
        <f t="shared" si="47"/>
        <v>243</v>
      </c>
      <c r="L115" s="105"/>
      <c r="M115" s="104">
        <f t="shared" si="38"/>
        <v>270</v>
      </c>
      <c r="N115" s="104">
        <f t="shared" si="49"/>
        <v>513</v>
      </c>
      <c r="O115" s="106">
        <f t="shared" si="48"/>
        <v>4413</v>
      </c>
    </row>
    <row r="116" spans="1:15" ht="15.75" x14ac:dyDescent="0.25">
      <c r="A116" s="101"/>
      <c r="B116" s="114" t="s">
        <v>249</v>
      </c>
      <c r="C116" s="101"/>
      <c r="D116" s="116"/>
      <c r="E116" s="103"/>
      <c r="F116" s="115">
        <f t="shared" ref="F116:O116" si="50">SUM(F88:F115)</f>
        <v>9936</v>
      </c>
      <c r="G116" s="115">
        <f t="shared" si="50"/>
        <v>0</v>
      </c>
      <c r="H116" s="115">
        <f t="shared" si="50"/>
        <v>9936</v>
      </c>
      <c r="I116" s="131">
        <f t="shared" si="50"/>
        <v>119232</v>
      </c>
      <c r="J116" s="115">
        <f t="shared" si="50"/>
        <v>9936</v>
      </c>
      <c r="K116" s="115">
        <f t="shared" si="50"/>
        <v>7667.4599999999982</v>
      </c>
      <c r="L116" s="115">
        <f t="shared" si="50"/>
        <v>394.8</v>
      </c>
      <c r="M116" s="115">
        <f t="shared" si="50"/>
        <v>8942.4</v>
      </c>
      <c r="N116" s="115">
        <f t="shared" si="50"/>
        <v>17004.66</v>
      </c>
      <c r="O116" s="115">
        <f t="shared" si="50"/>
        <v>146172.65999999997</v>
      </c>
    </row>
    <row r="117" spans="1:15" ht="15.75" x14ac:dyDescent="0.25">
      <c r="A117" s="101"/>
      <c r="B117" s="132" t="s">
        <v>380</v>
      </c>
      <c r="C117" s="101"/>
      <c r="D117" s="116"/>
      <c r="E117" s="103"/>
      <c r="F117" s="115">
        <f t="shared" ref="F117:O117" si="51">+F116+F87+F85+F82+F67+F65+F59+F55+F50+F47+F45+F43+F41+F39+F36+F32+F30+F26+F19+F17+F13</f>
        <v>38863</v>
      </c>
      <c r="G117" s="115">
        <f t="shared" si="51"/>
        <v>0</v>
      </c>
      <c r="H117" s="115">
        <f t="shared" si="51"/>
        <v>38863</v>
      </c>
      <c r="I117" s="131">
        <f t="shared" si="51"/>
        <v>466356</v>
      </c>
      <c r="J117" s="115">
        <f t="shared" si="51"/>
        <v>38463</v>
      </c>
      <c r="K117" s="115">
        <f t="shared" si="51"/>
        <v>30434.130000000005</v>
      </c>
      <c r="L117" s="115">
        <f t="shared" si="51"/>
        <v>644.40000000000009</v>
      </c>
      <c r="M117" s="115">
        <f t="shared" si="51"/>
        <v>34314.534</v>
      </c>
      <c r="N117" s="115">
        <f t="shared" si="51"/>
        <v>65393.063999999998</v>
      </c>
      <c r="O117" s="115">
        <f t="shared" si="51"/>
        <v>570212.07000000007</v>
      </c>
    </row>
    <row r="118" spans="1:15" ht="15.75" x14ac:dyDescent="0.25">
      <c r="A118" s="101"/>
      <c r="B118" s="102" t="s">
        <v>381</v>
      </c>
      <c r="C118" s="101"/>
      <c r="D118" s="102" t="s">
        <v>382</v>
      </c>
      <c r="E118" s="103" t="s">
        <v>238</v>
      </c>
      <c r="F118" s="104">
        <v>6240</v>
      </c>
      <c r="G118" s="105">
        <v>0</v>
      </c>
      <c r="H118" s="105">
        <v>6240</v>
      </c>
      <c r="I118" s="105">
        <f>+H118*12</f>
        <v>74880</v>
      </c>
      <c r="J118" s="105">
        <f t="shared" ref="J118" si="52">+H118</f>
        <v>6240</v>
      </c>
      <c r="K118" s="104">
        <f>+J118*6.75%*12</f>
        <v>5054.4000000000005</v>
      </c>
      <c r="L118" s="105"/>
      <c r="M118" s="104">
        <f t="shared" ref="M118" si="53">+J118*7.5%*12</f>
        <v>5616</v>
      </c>
      <c r="N118" s="104">
        <f>SUM(K118:M118)</f>
        <v>10670.400000000001</v>
      </c>
      <c r="O118" s="106">
        <f t="shared" ref="O118" si="54">ROUND((+I118+J118+N118),2)</f>
        <v>91790.399999999994</v>
      </c>
    </row>
    <row r="119" spans="1:15" ht="15.75" x14ac:dyDescent="0.25">
      <c r="A119" s="101"/>
      <c r="B119" s="102" t="s">
        <v>383</v>
      </c>
      <c r="C119" s="101"/>
      <c r="D119" s="102" t="s">
        <v>382</v>
      </c>
      <c r="E119" s="133" t="s">
        <v>238</v>
      </c>
      <c r="F119" s="104"/>
      <c r="G119" s="104"/>
      <c r="H119" s="104"/>
      <c r="I119" s="104"/>
      <c r="J119" s="104"/>
      <c r="K119" s="104"/>
      <c r="L119" s="104"/>
      <c r="M119" s="115"/>
      <c r="N119" s="115"/>
      <c r="O119" s="134"/>
    </row>
    <row r="120" spans="1:15" ht="15.75" x14ac:dyDescent="0.25">
      <c r="A120" s="102"/>
      <c r="B120" s="114" t="s">
        <v>380</v>
      </c>
      <c r="C120" s="101"/>
      <c r="D120" s="102"/>
      <c r="E120" s="103"/>
      <c r="F120" s="104"/>
      <c r="G120" s="105"/>
      <c r="H120" s="105"/>
      <c r="I120" s="105"/>
      <c r="J120" s="135"/>
      <c r="K120" s="135"/>
      <c r="L120" s="117"/>
      <c r="M120" s="135"/>
      <c r="N120" s="135"/>
      <c r="O120" s="135">
        <f>SUM(O118:O119)</f>
        <v>91790.399999999994</v>
      </c>
    </row>
    <row r="121" spans="1:15" x14ac:dyDescent="0.25">
      <c r="C121" s="141"/>
    </row>
  </sheetData>
  <mergeCells count="13">
    <mergeCell ref="K4:N4"/>
    <mergeCell ref="O4:O6"/>
    <mergeCell ref="L5:N5"/>
    <mergeCell ref="A1:N1"/>
    <mergeCell ref="A2:N2"/>
    <mergeCell ref="A3:N3"/>
    <mergeCell ref="A4:A6"/>
    <mergeCell ref="B4:B6"/>
    <mergeCell ref="C4:C6"/>
    <mergeCell ref="D4:D6"/>
    <mergeCell ref="E4:E6"/>
    <mergeCell ref="F4:I5"/>
    <mergeCell ref="J4:J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CONSOLIDADO INGRESOS 2016</vt:lpstr>
      <vt:lpstr>RESUMEN GEBERAK</vt:lpstr>
      <vt:lpstr>CUADRO RESUMEN FUENTES FINANCIA</vt:lpstr>
      <vt:lpstr>CUADRO RESUMEN INGRESOS Y EGRES</vt:lpstr>
      <vt:lpstr>ESTRUCTURA PRESUPUESTEARIA</vt:lpstr>
      <vt:lpstr>DETALLE CONSOLIDADO INGRESOS FF</vt:lpstr>
      <vt:lpstr>EGRESOS POR DEPENDENCIA</vt:lpstr>
      <vt:lpstr>PROYECCION INGRESOS 2017</vt:lpstr>
      <vt:lpstr>PROYECCION RECURSO HUMANO</vt:lpstr>
      <vt:lpstr>Hoja1</vt:lpstr>
      <vt:lpstr>FODES 25%</vt:lpstr>
      <vt:lpstr>FONDO MUNICIPAL</vt:lpstr>
      <vt:lpstr>PUERTO SAN JUAN</vt:lpstr>
      <vt:lpstr>FONDOS DONACIONES</vt:lpstr>
      <vt:lpstr>FODES 75%</vt:lpstr>
      <vt:lpstr>PREINVERSION 5% FODES</vt:lpstr>
      <vt:lpstr>SERVICIO DE LA DEUDA</vt:lpstr>
      <vt:lpstr>PROYECTOS 2017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Alcaldia Suchitoto</cp:lastModifiedBy>
  <cp:lastPrinted>2019-04-05T17:59:28Z</cp:lastPrinted>
  <dcterms:created xsi:type="dcterms:W3CDTF">2016-05-27T22:14:14Z</dcterms:created>
  <dcterms:modified xsi:type="dcterms:W3CDTF">2019-04-05T20:51:18Z</dcterms:modified>
</cp:coreProperties>
</file>