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F:\ACCESO A LA INFORMACION\"/>
    </mc:Choice>
  </mc:AlternateContent>
  <xr:revisionPtr revIDLastSave="0" documentId="13_ncr:1_{27DF6710-59FA-4647-91A5-3252A303B2C5}" xr6:coauthVersionLast="47" xr6:coauthVersionMax="47" xr10:uidLastSave="{00000000-0000-0000-0000-000000000000}"/>
  <bookViews>
    <workbookView xWindow="-120" yWindow="-120" windowWidth="29040" windowHeight="15840" tabRatio="891" xr2:uid="{00000000-000D-0000-FFFF-FFFF00000000}"/>
  </bookViews>
  <sheets>
    <sheet name="ESTR. PRE. 1" sheetId="11" r:id="rId1"/>
    <sheet name="PRESUP.DE PERSONAL 2" sheetId="12" r:id="rId2"/>
    <sheet name="0101PP 3" sheetId="26" r:id="rId3"/>
    <sheet name="0102PP 4" sheetId="27" r:id="rId4"/>
    <sheet name="0201" sheetId="28" r:id="rId5"/>
    <sheet name="020202" sheetId="65" r:id="rId6"/>
    <sheet name="0203" sheetId="51" r:id="rId7"/>
    <sheet name="RESUMEN " sheetId="71" r:id="rId8"/>
    <sheet name="SUMARIOS ING.Y EGRESOS 7" sheetId="10" r:id="rId9"/>
    <sheet name="CONSOLIDADO DE INGRESOS 8" sheetId="1" r:id="rId10"/>
    <sheet name="DETALLE DE INGRESOS 9" sheetId="3" r:id="rId11"/>
    <sheet name="PROYECCION INGRESOS FP 10" sheetId="31" r:id="rId12"/>
    <sheet name="PROYCCFODES FUNCIONAMIENTO 2024" sheetId="2" r:id="rId13"/>
    <sheet name="0101 F.P DIRECCION Y ADM SUP" sheetId="6" r:id="rId14"/>
    <sheet name="0102 F.P.AD.FINANC Y TRIBUTARIA" sheetId="67" r:id="rId15"/>
    <sheet name="0201 F.P. BINESTAR SOCIAL" sheetId="68" r:id="rId16"/>
    <sheet name="0202 SERV.INTERNOS" sheetId="8" r:id="rId17"/>
    <sheet name="0203 SERV. EXTERNOS" sheetId="69" r:id="rId18"/>
    <sheet name="FUNCIONAMIENTO-FOND PROPIOS-FAM" sheetId="20" r:id="rId19"/>
    <sheet name="PROG-FAM" sheetId="62" r:id="rId20"/>
    <sheet name="1.5% LIBRE DISPONIBILIDAD 2024" sheetId="5" r:id="rId21"/>
    <sheet name="CONSOLIDADO DE EGRESO 12" sheetId="4" r:id="rId22"/>
    <sheet name="CBI" sheetId="70" r:id="rId23"/>
    <sheet name="DONACIONES" sheetId="66" r:id="rId24"/>
    <sheet name="FMI Y BID" sheetId="60" r:id="rId25"/>
    <sheet name="AMORTIZACION" sheetId="64" r:id="rId26"/>
    <sheet name="PRESTAMO" sheetId="63" r:id="rId27"/>
  </sheets>
  <externalReferences>
    <externalReference r:id="rId28"/>
  </externalReferences>
  <definedNames>
    <definedName name="_xlnm.Print_Area" localSheetId="13">'0101 F.P DIRECCION Y ADM SUP'!$A$1:$H$47</definedName>
    <definedName name="_xlnm.Print_Area" localSheetId="2">'0101PP 3'!$A$1:$R$118</definedName>
    <definedName name="_xlnm.Print_Area" localSheetId="3">'0102PP 4'!$A$1:$N$62</definedName>
    <definedName name="_xlnm.Print_Area" localSheetId="4">'0201'!$A$1:$O$59</definedName>
    <definedName name="_xlnm.Print_Area" localSheetId="5">'020202'!$A$1:$O$26</definedName>
    <definedName name="_xlnm.Print_Area" localSheetId="6">'0203'!$A$1:$R$91</definedName>
    <definedName name="_xlnm.Print_Area" localSheetId="17">'0203 SERV. EXTERNOS'!$A$1:$H$32</definedName>
    <definedName name="_xlnm.Print_Area" localSheetId="20">'1.5% LIBRE DISPONIBILIDAD 2024'!$A$1:$H$52</definedName>
    <definedName name="_xlnm.Print_Area" localSheetId="25">AMORTIZACION!$A$1:$H$24</definedName>
    <definedName name="_xlnm.Print_Area" localSheetId="22">CBI!$A$1:$H$16</definedName>
    <definedName name="_xlnm.Print_Area" localSheetId="21">'CONSOLIDADO DE EGRESO 12'!$A$1:$V$106</definedName>
    <definedName name="_xlnm.Print_Area" localSheetId="9">'CONSOLIDADO DE INGRESOS 8'!$A$1:$L$77</definedName>
    <definedName name="_xlnm.Print_Area" localSheetId="23">DONACIONES!$A$1:$H$26</definedName>
    <definedName name="_xlnm.Print_Area" localSheetId="0">'ESTR. PRE. 1'!$A$1:$I$74</definedName>
    <definedName name="_xlnm.Print_Area" localSheetId="18">'FUNCIONAMIENTO-FOND PROPIOS-FAM'!$A$1:$F$81</definedName>
    <definedName name="_xlnm.Print_Area" localSheetId="26">PRESTAMO!$A$1:$G$76</definedName>
    <definedName name="_xlnm.Print_Area" localSheetId="1">'PRESUP.DE PERSONAL 2'!$A$1:$G$360</definedName>
    <definedName name="_xlnm.Print_Area" localSheetId="19">'PROG-FAM'!$A$1:$H$65</definedName>
    <definedName name="_xlnm.Print_Area" localSheetId="12">'PROYCCFODES FUNCIONAMIENTO 2024'!$A$1:$C$13</definedName>
    <definedName name="_xlnm.Print_Area" localSheetId="11">'PROYECCION INGRESOS FP 10'!$A$1:$M$76</definedName>
    <definedName name="_xlnm.Print_Area" localSheetId="7">'RESUMEN '!$A$1:$R$46</definedName>
    <definedName name="_xlnm.Print_Area" localSheetId="8">'SUMARIOS ING.Y EGRESOS 7'!$A$1:$D$29</definedName>
    <definedName name="_xlnm.Print_Titles" localSheetId="13">'0101 F.P DIRECCION Y ADM SUP'!$1:$11</definedName>
    <definedName name="_xlnm.Print_Titles" localSheetId="4">'0201'!$1:$6</definedName>
    <definedName name="_xlnm.Print_Titles" localSheetId="16">'0202 SERV.INTERNOS'!$1:$11</definedName>
    <definedName name="_xlnm.Print_Titles" localSheetId="20">'1.5% LIBRE DISPONIBILIDAD 2024'!$1:$10</definedName>
    <definedName name="_xlnm.Print_Titles" localSheetId="21">'CONSOLIDADO DE EGRESO 12'!$1:$11</definedName>
    <definedName name="_xlnm.Print_Titles" localSheetId="9">'CONSOLIDADO DE INGRESOS 8'!$1:$9</definedName>
    <definedName name="_xlnm.Print_Titles" localSheetId="10">'DETALLE DE INGRESOS 9'!$1:$3</definedName>
    <definedName name="_xlnm.Print_Titles" localSheetId="18">'FUNCIONAMIENTO-FOND PROPIOS-FAM'!$1:$8</definedName>
    <definedName name="_xlnm.Print_Titles" localSheetId="11">'PROYECCION INGRESOS FP 10'!$1:$5</definedName>
  </definedNames>
  <calcPr calcId="181029"/>
</workbook>
</file>

<file path=xl/calcChain.xml><?xml version="1.0" encoding="utf-8"?>
<calcChain xmlns="http://schemas.openxmlformats.org/spreadsheetml/2006/main">
  <c r="G26" i="4" l="1"/>
  <c r="G52" i="4"/>
  <c r="H19" i="60"/>
  <c r="H12" i="60"/>
  <c r="H22" i="60" s="1"/>
  <c r="V84" i="4"/>
  <c r="V87" i="4"/>
  <c r="V88" i="4"/>
  <c r="V90" i="4"/>
  <c r="V91" i="4"/>
  <c r="V40" i="4"/>
  <c r="V41" i="4"/>
  <c r="V56" i="4"/>
  <c r="V60" i="4"/>
  <c r="V61" i="4"/>
  <c r="V16" i="4"/>
  <c r="V20" i="4"/>
  <c r="V21" i="4"/>
  <c r="V23" i="4"/>
  <c r="G25" i="4" l="1"/>
  <c r="G28" i="4"/>
  <c r="G31" i="4"/>
  <c r="G35" i="4"/>
  <c r="V35" i="4" s="1"/>
  <c r="G36" i="4"/>
  <c r="G42" i="4"/>
  <c r="G45" i="4"/>
  <c r="G57" i="4"/>
  <c r="E29" i="20"/>
  <c r="E33" i="20"/>
  <c r="E52" i="20"/>
  <c r="E69" i="20"/>
  <c r="E67" i="20"/>
  <c r="E65" i="20"/>
  <c r="E64" i="20"/>
  <c r="E62" i="20"/>
  <c r="E61" i="20"/>
  <c r="E60" i="20"/>
  <c r="E49" i="20"/>
  <c r="E47" i="20"/>
  <c r="E46" i="20"/>
  <c r="E36" i="20"/>
  <c r="E32" i="20"/>
  <c r="E31" i="20"/>
  <c r="E28" i="20"/>
  <c r="E19" i="20"/>
  <c r="E22" i="20"/>
  <c r="D73" i="20"/>
  <c r="D68" i="20"/>
  <c r="D70" i="20"/>
  <c r="D60" i="20"/>
  <c r="D63" i="20" s="1"/>
  <c r="D51" i="20"/>
  <c r="D36" i="20"/>
  <c r="D32" i="20"/>
  <c r="D29" i="20"/>
  <c r="D28" i="20"/>
  <c r="D27" i="20"/>
  <c r="D23" i="20"/>
  <c r="L34" i="4"/>
  <c r="I34" i="4"/>
  <c r="H23" i="67"/>
  <c r="H22" i="69"/>
  <c r="J81" i="4"/>
  <c r="V81" i="4" s="1"/>
  <c r="J37" i="4"/>
  <c r="J32" i="4"/>
  <c r="H36" i="62"/>
  <c r="H34" i="62"/>
  <c r="D77" i="20" l="1"/>
  <c r="E70" i="1"/>
  <c r="C83" i="3" l="1"/>
  <c r="J68" i="1" s="1"/>
  <c r="H71" i="4"/>
  <c r="V71" i="4" s="1"/>
  <c r="I70" i="4"/>
  <c r="I73" i="4" s="1"/>
  <c r="C74" i="31"/>
  <c r="I8" i="31"/>
  <c r="H65" i="1"/>
  <c r="H72" i="4"/>
  <c r="V72" i="4" s="1"/>
  <c r="H41" i="6"/>
  <c r="E86" i="4"/>
  <c r="E99" i="4" s="1"/>
  <c r="C86" i="4"/>
  <c r="C42" i="4"/>
  <c r="C36" i="4"/>
  <c r="C32" i="4"/>
  <c r="V32" i="4" s="1"/>
  <c r="C31" i="4"/>
  <c r="C30" i="4"/>
  <c r="C26" i="4"/>
  <c r="V26" i="4" s="1"/>
  <c r="I58" i="28"/>
  <c r="N58" i="28"/>
  <c r="J24" i="71"/>
  <c r="N24" i="71"/>
  <c r="O24" i="71"/>
  <c r="P24" i="71"/>
  <c r="Q24" i="71"/>
  <c r="I55" i="28"/>
  <c r="J55" i="28"/>
  <c r="M55" i="28"/>
  <c r="N55" i="28"/>
  <c r="F129" i="12"/>
  <c r="F128" i="12"/>
  <c r="F127" i="12"/>
  <c r="D357" i="12"/>
  <c r="E212" i="12"/>
  <c r="D212" i="12"/>
  <c r="D83" i="12"/>
  <c r="N29" i="71"/>
  <c r="O29" i="71"/>
  <c r="P29" i="71"/>
  <c r="I89" i="51"/>
  <c r="J89" i="51"/>
  <c r="J29" i="71" s="1"/>
  <c r="Q89" i="51"/>
  <c r="Q29" i="71" s="1"/>
  <c r="I57" i="28"/>
  <c r="J57" i="28"/>
  <c r="K20" i="71" s="1"/>
  <c r="N57" i="28"/>
  <c r="I56" i="28"/>
  <c r="J56" i="28"/>
  <c r="N56" i="28"/>
  <c r="I116" i="26"/>
  <c r="J116" i="26"/>
  <c r="N116" i="26"/>
  <c r="O116" i="26"/>
  <c r="P116" i="26"/>
  <c r="Q116" i="26"/>
  <c r="I113" i="26"/>
  <c r="N113" i="26"/>
  <c r="O113" i="26"/>
  <c r="P113" i="26"/>
  <c r="Q113" i="26"/>
  <c r="D344" i="12"/>
  <c r="D358" i="12" s="1"/>
  <c r="C37" i="51"/>
  <c r="D37" i="51"/>
  <c r="D89" i="51" s="1"/>
  <c r="D29" i="71" s="1"/>
  <c r="E37" i="51"/>
  <c r="E89" i="51" s="1"/>
  <c r="O37" i="51"/>
  <c r="C20" i="28"/>
  <c r="D20" i="28"/>
  <c r="E20" i="28"/>
  <c r="E344" i="12"/>
  <c r="F305" i="12"/>
  <c r="F37" i="51" s="1"/>
  <c r="H44" i="5"/>
  <c r="H37" i="5"/>
  <c r="H51" i="5"/>
  <c r="F207" i="12"/>
  <c r="G207" i="12" s="1"/>
  <c r="D25" i="20"/>
  <c r="B64" i="20"/>
  <c r="A64" i="20"/>
  <c r="A46" i="20"/>
  <c r="B46" i="20"/>
  <c r="H52" i="4"/>
  <c r="H45" i="4"/>
  <c r="H34" i="4"/>
  <c r="H36" i="4"/>
  <c r="H31" i="4"/>
  <c r="H36" i="6"/>
  <c r="H25" i="4"/>
  <c r="H42" i="6"/>
  <c r="H44" i="6" s="1"/>
  <c r="C89" i="3"/>
  <c r="C90" i="3"/>
  <c r="C88" i="3" s="1"/>
  <c r="C74" i="3"/>
  <c r="C64" i="3"/>
  <c r="C65" i="3"/>
  <c r="C66" i="3"/>
  <c r="C63" i="3" s="1"/>
  <c r="C67" i="1"/>
  <c r="N27" i="71"/>
  <c r="N42" i="71" s="1"/>
  <c r="O27" i="71"/>
  <c r="P27" i="71"/>
  <c r="Q27" i="71"/>
  <c r="K25" i="71"/>
  <c r="K27" i="71" s="1"/>
  <c r="K42" i="71" s="1"/>
  <c r="K19" i="71"/>
  <c r="N19" i="71"/>
  <c r="O19" i="71"/>
  <c r="P19" i="71"/>
  <c r="Q19" i="71"/>
  <c r="Q44" i="71"/>
  <c r="P44" i="71"/>
  <c r="O44" i="71"/>
  <c r="B42" i="71"/>
  <c r="J19" i="71"/>
  <c r="B39" i="71"/>
  <c r="A8" i="71"/>
  <c r="A39" i="71" s="1"/>
  <c r="A40" i="71" s="1"/>
  <c r="I90" i="51"/>
  <c r="I88" i="51"/>
  <c r="J88" i="51"/>
  <c r="N88" i="51"/>
  <c r="Q88" i="51"/>
  <c r="C47" i="51"/>
  <c r="D47" i="51"/>
  <c r="E47" i="51"/>
  <c r="O47" i="51"/>
  <c r="P47" i="51"/>
  <c r="C38" i="51"/>
  <c r="D38" i="51"/>
  <c r="E38" i="51"/>
  <c r="E88" i="51" s="1"/>
  <c r="O38" i="51"/>
  <c r="P38" i="51"/>
  <c r="N24" i="65"/>
  <c r="J25" i="65"/>
  <c r="K30" i="71" s="1"/>
  <c r="K44" i="71" s="1"/>
  <c r="N25" i="65"/>
  <c r="N30" i="71" s="1"/>
  <c r="N44" i="71" s="1"/>
  <c r="I24" i="65"/>
  <c r="J24" i="65"/>
  <c r="C17" i="65"/>
  <c r="D17" i="65"/>
  <c r="E17" i="65"/>
  <c r="C39" i="28"/>
  <c r="D39" i="28"/>
  <c r="E39" i="28"/>
  <c r="C33" i="28"/>
  <c r="D33" i="28"/>
  <c r="E33" i="28"/>
  <c r="C31" i="28"/>
  <c r="D31" i="28"/>
  <c r="E31" i="28"/>
  <c r="C19" i="28"/>
  <c r="D19" i="28"/>
  <c r="D55" i="28" s="1"/>
  <c r="E19" i="28"/>
  <c r="C8" i="28"/>
  <c r="D8" i="28"/>
  <c r="E8" i="28"/>
  <c r="G8" i="28" s="1"/>
  <c r="H60" i="27"/>
  <c r="I60" i="27"/>
  <c r="M60" i="27"/>
  <c r="H59" i="27"/>
  <c r="I59" i="27"/>
  <c r="L59" i="27"/>
  <c r="M59" i="27"/>
  <c r="M62" i="27" s="1"/>
  <c r="B58" i="27"/>
  <c r="C58" i="27"/>
  <c r="L58" i="27" s="1"/>
  <c r="D58" i="27"/>
  <c r="B51" i="27"/>
  <c r="C51" i="27"/>
  <c r="D51" i="27"/>
  <c r="B52" i="27"/>
  <c r="C52" i="27"/>
  <c r="D52" i="27"/>
  <c r="B45" i="27"/>
  <c r="C45" i="27"/>
  <c r="D45" i="27"/>
  <c r="B36" i="27"/>
  <c r="C36" i="27"/>
  <c r="L36" i="27" s="1"/>
  <c r="D36" i="27"/>
  <c r="F36" i="27" s="1"/>
  <c r="B35" i="27"/>
  <c r="C35" i="27"/>
  <c r="L35" i="27" s="1"/>
  <c r="D35" i="27"/>
  <c r="F35" i="27" s="1"/>
  <c r="B11" i="27"/>
  <c r="C11" i="27"/>
  <c r="D11" i="27"/>
  <c r="B12" i="27"/>
  <c r="C12" i="27"/>
  <c r="D12" i="27"/>
  <c r="E141" i="12"/>
  <c r="D141" i="12"/>
  <c r="F137" i="12"/>
  <c r="G137" i="12" s="1"/>
  <c r="I115" i="26"/>
  <c r="J115" i="26"/>
  <c r="N115" i="26"/>
  <c r="O115" i="26"/>
  <c r="P115" i="26"/>
  <c r="Q115" i="26"/>
  <c r="I114" i="26"/>
  <c r="J114" i="26"/>
  <c r="M114" i="26"/>
  <c r="M12" i="71" s="1"/>
  <c r="N114" i="26"/>
  <c r="O114" i="26"/>
  <c r="P114" i="26"/>
  <c r="Q114" i="26"/>
  <c r="I112" i="26"/>
  <c r="J112" i="26"/>
  <c r="M112" i="26"/>
  <c r="M14" i="71" s="1"/>
  <c r="N112" i="26"/>
  <c r="O112" i="26"/>
  <c r="Q112" i="26"/>
  <c r="C107" i="26"/>
  <c r="D107" i="26"/>
  <c r="E107" i="26"/>
  <c r="G107" i="26" s="1"/>
  <c r="C84" i="26"/>
  <c r="D84" i="26"/>
  <c r="E84" i="26"/>
  <c r="C82" i="26"/>
  <c r="D82" i="26"/>
  <c r="E82" i="26"/>
  <c r="F82" i="26"/>
  <c r="C61" i="26"/>
  <c r="D61" i="26"/>
  <c r="E61" i="26"/>
  <c r="P61" i="26"/>
  <c r="P112" i="26" s="1"/>
  <c r="C34" i="26"/>
  <c r="D34" i="26"/>
  <c r="E34" i="26"/>
  <c r="F34" i="26"/>
  <c r="E26" i="26"/>
  <c r="D26" i="26"/>
  <c r="C26" i="26"/>
  <c r="C21" i="26"/>
  <c r="D21" i="26"/>
  <c r="E21" i="26"/>
  <c r="D30" i="12"/>
  <c r="E30" i="12"/>
  <c r="F29" i="12"/>
  <c r="E230" i="12"/>
  <c r="D230" i="12"/>
  <c r="E223" i="12"/>
  <c r="D223" i="12"/>
  <c r="E199" i="12"/>
  <c r="D199" i="12"/>
  <c r="E184" i="12"/>
  <c r="D184" i="12"/>
  <c r="E130" i="12"/>
  <c r="D130" i="12"/>
  <c r="E103" i="12"/>
  <c r="D103" i="12"/>
  <c r="E43" i="12"/>
  <c r="D43" i="12"/>
  <c r="E24" i="12"/>
  <c r="D24" i="12"/>
  <c r="E72" i="12"/>
  <c r="D72" i="12"/>
  <c r="F70" i="12"/>
  <c r="F222" i="12"/>
  <c r="F33" i="28" s="1"/>
  <c r="G33" i="28" s="1"/>
  <c r="F206" i="12"/>
  <c r="F19" i="28" s="1"/>
  <c r="F55" i="28" s="1"/>
  <c r="F194" i="12"/>
  <c r="F8" i="28" s="1"/>
  <c r="F175" i="12"/>
  <c r="E45" i="27" s="1"/>
  <c r="F126" i="12"/>
  <c r="G126" i="12" s="1"/>
  <c r="F99" i="12"/>
  <c r="G99" i="12" s="1"/>
  <c r="G97" i="12"/>
  <c r="G96" i="12"/>
  <c r="G40" i="12"/>
  <c r="G39" i="12"/>
  <c r="G35" i="12"/>
  <c r="F22" i="12"/>
  <c r="C62" i="62"/>
  <c r="N83" i="4" s="1"/>
  <c r="H14" i="62"/>
  <c r="E115" i="12"/>
  <c r="D115" i="12"/>
  <c r="D85" i="26"/>
  <c r="E85" i="26"/>
  <c r="C85" i="26"/>
  <c r="F100" i="12"/>
  <c r="F181" i="12"/>
  <c r="E51" i="27" s="1"/>
  <c r="G51" i="27" s="1"/>
  <c r="C98" i="26"/>
  <c r="D98" i="26"/>
  <c r="D114" i="26" s="1"/>
  <c r="D12" i="71" s="1"/>
  <c r="E98" i="26"/>
  <c r="E114" i="26"/>
  <c r="E12" i="71" s="1"/>
  <c r="C77" i="26"/>
  <c r="D77" i="26"/>
  <c r="E77" i="26"/>
  <c r="G77" i="26" s="1"/>
  <c r="E29" i="26"/>
  <c r="D29" i="26"/>
  <c r="C29" i="26"/>
  <c r="G95" i="12"/>
  <c r="F229" i="12"/>
  <c r="E34" i="12"/>
  <c r="D34" i="12"/>
  <c r="F114" i="12"/>
  <c r="F98" i="26"/>
  <c r="F114" i="26" s="1"/>
  <c r="F12" i="71" s="1"/>
  <c r="G12" i="71" s="1"/>
  <c r="D93" i="12"/>
  <c r="E93" i="12"/>
  <c r="F91" i="12"/>
  <c r="F77" i="26"/>
  <c r="E357" i="12"/>
  <c r="D272" i="12"/>
  <c r="E190" i="12"/>
  <c r="D190" i="12"/>
  <c r="E165" i="12"/>
  <c r="D165" i="12"/>
  <c r="E161" i="12"/>
  <c r="E51" i="12"/>
  <c r="F220" i="12"/>
  <c r="G220" i="12" s="1"/>
  <c r="F306" i="12"/>
  <c r="F38" i="51" s="1"/>
  <c r="F315" i="12"/>
  <c r="E272" i="12"/>
  <c r="F182" i="12"/>
  <c r="E52" i="27" s="1"/>
  <c r="G52" i="27" s="1"/>
  <c r="F189" i="12"/>
  <c r="F163" i="12"/>
  <c r="G163" i="12" s="1"/>
  <c r="F33" i="12"/>
  <c r="C63" i="62"/>
  <c r="N75" i="4" s="1"/>
  <c r="F76" i="20"/>
  <c r="H5" i="62"/>
  <c r="D79" i="4"/>
  <c r="E12" i="31"/>
  <c r="E14" i="31"/>
  <c r="E15" i="31"/>
  <c r="C87" i="63"/>
  <c r="T82" i="4" s="1"/>
  <c r="V82" i="4" s="1"/>
  <c r="H23" i="60"/>
  <c r="J76" i="4"/>
  <c r="J75" i="4"/>
  <c r="J59" i="4"/>
  <c r="J55" i="4"/>
  <c r="J53" i="4"/>
  <c r="V53" i="4" s="1"/>
  <c r="J25" i="4"/>
  <c r="H21" i="68"/>
  <c r="C55" i="62"/>
  <c r="N49" i="4" s="1"/>
  <c r="H22" i="4"/>
  <c r="V22" i="4" s="1"/>
  <c r="D58" i="4"/>
  <c r="E73" i="4"/>
  <c r="D70" i="4"/>
  <c r="V70" i="4" s="1"/>
  <c r="C79" i="4"/>
  <c r="D104" i="4"/>
  <c r="E104" i="4"/>
  <c r="C28" i="4"/>
  <c r="C80" i="4"/>
  <c r="V80" i="4" s="1"/>
  <c r="C60" i="62"/>
  <c r="C52" i="20" s="1"/>
  <c r="C56" i="62"/>
  <c r="C45" i="20" s="1"/>
  <c r="C58" i="62"/>
  <c r="C46" i="20" s="1"/>
  <c r="F46" i="20" s="1"/>
  <c r="G99" i="4"/>
  <c r="F85" i="4"/>
  <c r="E64" i="31"/>
  <c r="H16" i="70"/>
  <c r="F62" i="26"/>
  <c r="D81" i="26"/>
  <c r="D80" i="26"/>
  <c r="D79" i="26"/>
  <c r="N48" i="51"/>
  <c r="P48" i="51" s="1"/>
  <c r="N46" i="51"/>
  <c r="N45" i="51"/>
  <c r="P45" i="51" s="1"/>
  <c r="N36" i="51"/>
  <c r="P36" i="51" s="1"/>
  <c r="N34" i="51"/>
  <c r="P34" i="51" s="1"/>
  <c r="N26" i="51"/>
  <c r="O26" i="51" s="1"/>
  <c r="N20" i="51"/>
  <c r="O20" i="51" s="1"/>
  <c r="N31" i="51"/>
  <c r="P31" i="51" s="1"/>
  <c r="N32" i="51"/>
  <c r="N43" i="51"/>
  <c r="P43" i="51" s="1"/>
  <c r="C26" i="51"/>
  <c r="D26" i="51"/>
  <c r="E26" i="51"/>
  <c r="C20" i="51"/>
  <c r="D20" i="51"/>
  <c r="E20" i="51"/>
  <c r="C21" i="51"/>
  <c r="D21" i="51"/>
  <c r="E21" i="51"/>
  <c r="O21" i="51"/>
  <c r="P21" i="51"/>
  <c r="C22" i="51"/>
  <c r="D22" i="51"/>
  <c r="E22" i="51"/>
  <c r="O22" i="51"/>
  <c r="P22" i="51"/>
  <c r="C23" i="51"/>
  <c r="D23" i="51"/>
  <c r="E23" i="51"/>
  <c r="P23" i="51"/>
  <c r="O23" i="51"/>
  <c r="C24" i="51"/>
  <c r="D24" i="51"/>
  <c r="E24" i="51"/>
  <c r="O24" i="51"/>
  <c r="C25" i="51"/>
  <c r="D25" i="51"/>
  <c r="E25" i="51"/>
  <c r="M25" i="51" s="1"/>
  <c r="O25" i="51"/>
  <c r="C23" i="65"/>
  <c r="D23" i="65"/>
  <c r="E23" i="65"/>
  <c r="C24" i="28"/>
  <c r="D24" i="28"/>
  <c r="E24" i="28"/>
  <c r="C29" i="28"/>
  <c r="D29" i="28"/>
  <c r="E29" i="28"/>
  <c r="C23" i="28"/>
  <c r="D23" i="28"/>
  <c r="E23" i="28"/>
  <c r="B46" i="27"/>
  <c r="C46" i="27"/>
  <c r="D46" i="27"/>
  <c r="L46" i="27" s="1"/>
  <c r="C27" i="27"/>
  <c r="D27" i="27"/>
  <c r="F27" i="27" s="1"/>
  <c r="B27" i="27"/>
  <c r="E83" i="12"/>
  <c r="C70" i="26"/>
  <c r="D70" i="26"/>
  <c r="D113" i="26" s="1"/>
  <c r="D13" i="71" s="1"/>
  <c r="E70" i="26"/>
  <c r="E113" i="26" s="1"/>
  <c r="E13" i="71" s="1"/>
  <c r="F81" i="12"/>
  <c r="F70" i="26" s="1"/>
  <c r="F113" i="26" s="1"/>
  <c r="F13" i="71" s="1"/>
  <c r="G13" i="71" s="1"/>
  <c r="C40" i="26"/>
  <c r="D40" i="26"/>
  <c r="E40" i="26"/>
  <c r="E48" i="12"/>
  <c r="D48" i="12"/>
  <c r="F47" i="12"/>
  <c r="E37" i="12"/>
  <c r="C60" i="26"/>
  <c r="D60" i="26"/>
  <c r="E60" i="26"/>
  <c r="D28" i="26"/>
  <c r="E28" i="26"/>
  <c r="M28" i="26" s="1"/>
  <c r="C28" i="26"/>
  <c r="F69" i="12"/>
  <c r="G69" i="12" s="1"/>
  <c r="F291" i="12"/>
  <c r="G291" i="12" s="1"/>
  <c r="F271" i="12"/>
  <c r="E218" i="12"/>
  <c r="D218" i="12"/>
  <c r="F217" i="12"/>
  <c r="F29" i="28" s="1"/>
  <c r="H29" i="28" s="1"/>
  <c r="F210" i="12"/>
  <c r="G210" i="12" s="1"/>
  <c r="F176" i="12"/>
  <c r="G176" i="12" s="1"/>
  <c r="D161" i="12"/>
  <c r="F150" i="12"/>
  <c r="F32" i="12"/>
  <c r="G32" i="12" s="1"/>
  <c r="G238" i="12"/>
  <c r="G17" i="12"/>
  <c r="C62" i="26"/>
  <c r="F71" i="12"/>
  <c r="G71" i="12" s="1"/>
  <c r="P53" i="51"/>
  <c r="E16" i="12"/>
  <c r="D16" i="12"/>
  <c r="C11" i="26"/>
  <c r="D11" i="26"/>
  <c r="E11" i="26"/>
  <c r="G11" i="26" s="1"/>
  <c r="C12" i="26"/>
  <c r="D12" i="26"/>
  <c r="E12" i="26"/>
  <c r="G12" i="26" s="1"/>
  <c r="C13" i="26"/>
  <c r="D13" i="26"/>
  <c r="E13" i="26"/>
  <c r="G13" i="26" s="1"/>
  <c r="E48" i="20"/>
  <c r="L54" i="4" s="1"/>
  <c r="V54" i="4" s="1"/>
  <c r="C83" i="63"/>
  <c r="T94" i="4" s="1"/>
  <c r="V94" i="4" s="1"/>
  <c r="F76" i="4"/>
  <c r="G29" i="63"/>
  <c r="U100" i="4"/>
  <c r="U67" i="4"/>
  <c r="C79" i="3"/>
  <c r="D78" i="3" s="1"/>
  <c r="D16" i="10" s="1"/>
  <c r="H62" i="1"/>
  <c r="C12" i="2"/>
  <c r="C11" i="2" s="1"/>
  <c r="C10" i="2" s="1"/>
  <c r="G47" i="63"/>
  <c r="G78" i="4"/>
  <c r="G73" i="4"/>
  <c r="G24" i="4"/>
  <c r="G66" i="4"/>
  <c r="V101" i="4"/>
  <c r="N46" i="4"/>
  <c r="N37" i="4"/>
  <c r="V37" i="4" s="1"/>
  <c r="N55" i="4"/>
  <c r="N33" i="4"/>
  <c r="N29" i="4"/>
  <c r="L99" i="4"/>
  <c r="M24" i="4"/>
  <c r="D78" i="4"/>
  <c r="E78" i="4"/>
  <c r="F45" i="4"/>
  <c r="F38" i="4"/>
  <c r="F29" i="4"/>
  <c r="F25" i="4"/>
  <c r="F24" i="4"/>
  <c r="L104" i="4"/>
  <c r="K66" i="4"/>
  <c r="L51" i="4"/>
  <c r="K104" i="4"/>
  <c r="K102" i="4"/>
  <c r="K99" i="4"/>
  <c r="K78" i="4"/>
  <c r="K73" i="4"/>
  <c r="J104" i="4"/>
  <c r="J102" i="4"/>
  <c r="J99" i="4"/>
  <c r="J73" i="4"/>
  <c r="I63" i="4"/>
  <c r="V63" i="4" s="1"/>
  <c r="I62" i="4"/>
  <c r="I44" i="4"/>
  <c r="H89" i="4"/>
  <c r="V89" i="4" s="1"/>
  <c r="F104" i="4"/>
  <c r="H59" i="4"/>
  <c r="H55" i="4"/>
  <c r="H50" i="4"/>
  <c r="V50" i="4" s="1"/>
  <c r="H49" i="4"/>
  <c r="H48" i="4"/>
  <c r="H42" i="4"/>
  <c r="H39" i="4"/>
  <c r="H38" i="4"/>
  <c r="H29" i="4"/>
  <c r="H27" i="4"/>
  <c r="D24" i="4"/>
  <c r="E24" i="4"/>
  <c r="E65" i="4"/>
  <c r="V65" i="4" s="1"/>
  <c r="D67" i="20"/>
  <c r="F10" i="20"/>
  <c r="F17" i="20"/>
  <c r="F18" i="20"/>
  <c r="F19" i="20"/>
  <c r="F20" i="20"/>
  <c r="E45" i="20"/>
  <c r="E54" i="20"/>
  <c r="F54" i="20" s="1"/>
  <c r="E53" i="20"/>
  <c r="F53" i="20" s="1"/>
  <c r="E38" i="20"/>
  <c r="F38" i="20" s="1"/>
  <c r="E44" i="20"/>
  <c r="F44" i="20" s="1"/>
  <c r="E42" i="20"/>
  <c r="D55" i="20"/>
  <c r="D64" i="4" s="1"/>
  <c r="V64" i="4" s="1"/>
  <c r="H39" i="5"/>
  <c r="G38" i="5"/>
  <c r="C50" i="62"/>
  <c r="C36" i="20" s="1"/>
  <c r="F36" i="20" s="1"/>
  <c r="C59" i="62"/>
  <c r="C49" i="20" s="1"/>
  <c r="C52" i="62"/>
  <c r="C39" i="20" s="1"/>
  <c r="C49" i="62"/>
  <c r="C33" i="20" s="1"/>
  <c r="F33" i="20" s="1"/>
  <c r="C48" i="62"/>
  <c r="C32" i="20" s="1"/>
  <c r="F32" i="20" s="1"/>
  <c r="C45" i="62"/>
  <c r="C28" i="20" s="1"/>
  <c r="C44" i="62"/>
  <c r="C27" i="20" s="1"/>
  <c r="C42" i="62"/>
  <c r="C24" i="20" s="1"/>
  <c r="C43" i="62"/>
  <c r="C25" i="20" s="1"/>
  <c r="C41" i="62"/>
  <c r="C22" i="20" s="1"/>
  <c r="H23" i="62"/>
  <c r="O19" i="51"/>
  <c r="E19" i="51"/>
  <c r="D19" i="51"/>
  <c r="C18" i="51"/>
  <c r="C19" i="51"/>
  <c r="E35" i="20"/>
  <c r="F35" i="20" s="1"/>
  <c r="E34" i="20"/>
  <c r="F34" i="20" s="1"/>
  <c r="E26" i="20"/>
  <c r="F26" i="20" s="1"/>
  <c r="F356" i="12"/>
  <c r="G356" i="12" s="1"/>
  <c r="F287" i="12"/>
  <c r="F170" i="12"/>
  <c r="E78" i="20"/>
  <c r="E79" i="20" s="1"/>
  <c r="E74" i="20"/>
  <c r="E59" i="20"/>
  <c r="F59" i="20" s="1"/>
  <c r="E58" i="20"/>
  <c r="E43" i="20"/>
  <c r="E24" i="20"/>
  <c r="H47" i="5"/>
  <c r="D13" i="20"/>
  <c r="C15" i="4" s="1"/>
  <c r="C88" i="63"/>
  <c r="T95" i="4" s="1"/>
  <c r="V95" i="4" s="1"/>
  <c r="G53" i="63"/>
  <c r="M104" i="4"/>
  <c r="M102" i="4"/>
  <c r="M99" i="4"/>
  <c r="M78" i="4"/>
  <c r="M73" i="4"/>
  <c r="M55" i="4"/>
  <c r="M66" i="4" s="1"/>
  <c r="G104" i="4"/>
  <c r="T103" i="4"/>
  <c r="C85" i="63"/>
  <c r="T97" i="4" s="1"/>
  <c r="V97" i="4" s="1"/>
  <c r="G63" i="63"/>
  <c r="G55" i="63"/>
  <c r="G52" i="1"/>
  <c r="G29" i="31"/>
  <c r="G30" i="31"/>
  <c r="G31" i="31"/>
  <c r="T73" i="4"/>
  <c r="P50" i="51"/>
  <c r="O51" i="51"/>
  <c r="O52" i="51"/>
  <c r="P49" i="51"/>
  <c r="E49" i="51"/>
  <c r="E50" i="51"/>
  <c r="E51" i="51"/>
  <c r="E52" i="51"/>
  <c r="E53" i="51"/>
  <c r="D49" i="51"/>
  <c r="D50" i="51"/>
  <c r="D51" i="51"/>
  <c r="D52" i="51"/>
  <c r="D53" i="51"/>
  <c r="C49" i="51"/>
  <c r="C50" i="51"/>
  <c r="C51" i="51"/>
  <c r="C52" i="51"/>
  <c r="C53" i="51"/>
  <c r="E48" i="51"/>
  <c r="D48" i="51"/>
  <c r="C48" i="51"/>
  <c r="D86" i="12"/>
  <c r="E25" i="28"/>
  <c r="G25" i="28" s="1"/>
  <c r="D25" i="28"/>
  <c r="C25" i="28"/>
  <c r="F36" i="12"/>
  <c r="D37" i="12"/>
  <c r="F213" i="12"/>
  <c r="G213" i="12" s="1"/>
  <c r="G65" i="1"/>
  <c r="L65" i="1" s="1"/>
  <c r="G68" i="1"/>
  <c r="G69" i="1"/>
  <c r="G64" i="1"/>
  <c r="G60" i="1"/>
  <c r="G58" i="1"/>
  <c r="L58" i="1" s="1"/>
  <c r="G46" i="1"/>
  <c r="G47" i="1"/>
  <c r="G48" i="1"/>
  <c r="G49" i="1"/>
  <c r="G50" i="1"/>
  <c r="G51" i="1"/>
  <c r="G53" i="1"/>
  <c r="G45" i="1"/>
  <c r="G42" i="1"/>
  <c r="G43" i="1"/>
  <c r="G41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6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  <c r="E11" i="31"/>
  <c r="E20" i="31"/>
  <c r="E19" i="31"/>
  <c r="E18" i="31"/>
  <c r="E17" i="31"/>
  <c r="E16" i="31"/>
  <c r="E10" i="31"/>
  <c r="E9" i="31"/>
  <c r="E8" i="31"/>
  <c r="G32" i="31"/>
  <c r="G35" i="31"/>
  <c r="G9" i="63"/>
  <c r="G11" i="63"/>
  <c r="G20" i="63"/>
  <c r="C82" i="63" s="1"/>
  <c r="T93" i="4" s="1"/>
  <c r="V93" i="4" s="1"/>
  <c r="G21" i="63"/>
  <c r="H23" i="63"/>
  <c r="G23" i="63"/>
  <c r="G25" i="63"/>
  <c r="H25" i="63"/>
  <c r="H27" i="63"/>
  <c r="G28" i="63"/>
  <c r="G27" i="63" s="1"/>
  <c r="H29" i="63"/>
  <c r="G32" i="63"/>
  <c r="G31" i="63" s="1"/>
  <c r="G34" i="63"/>
  <c r="G33" i="63" s="1"/>
  <c r="G36" i="63"/>
  <c r="C86" i="63" s="1"/>
  <c r="T98" i="4" s="1"/>
  <c r="V98" i="4" s="1"/>
  <c r="G37" i="63"/>
  <c r="G39" i="63"/>
  <c r="G41" i="63"/>
  <c r="G43" i="63"/>
  <c r="G46" i="63"/>
  <c r="G45" i="63" s="1"/>
  <c r="G50" i="63"/>
  <c r="G49" i="63" s="1"/>
  <c r="G51" i="63"/>
  <c r="G58" i="63"/>
  <c r="C84" i="63" s="1"/>
  <c r="T96" i="4" s="1"/>
  <c r="V96" i="4" s="1"/>
  <c r="G59" i="63"/>
  <c r="G61" i="63"/>
  <c r="H14" i="64"/>
  <c r="H11" i="66"/>
  <c r="N12" i="4"/>
  <c r="N13" i="4"/>
  <c r="I15" i="4"/>
  <c r="N15" i="4"/>
  <c r="I17" i="4"/>
  <c r="V17" i="4" s="1"/>
  <c r="N18" i="4"/>
  <c r="N19" i="4"/>
  <c r="T24" i="4"/>
  <c r="U24" i="4"/>
  <c r="U66" i="4"/>
  <c r="H68" i="4"/>
  <c r="V68" i="4" s="1"/>
  <c r="H69" i="4"/>
  <c r="V69" i="4" s="1"/>
  <c r="F73" i="4"/>
  <c r="I78" i="4"/>
  <c r="C78" i="4"/>
  <c r="H78" i="4"/>
  <c r="U78" i="4"/>
  <c r="H79" i="4"/>
  <c r="I99" i="4"/>
  <c r="U99" i="4"/>
  <c r="C102" i="4"/>
  <c r="F102" i="4"/>
  <c r="H102" i="4"/>
  <c r="I102" i="4"/>
  <c r="N102" i="4"/>
  <c r="T102" i="4"/>
  <c r="H103" i="4"/>
  <c r="H104" i="4" s="1"/>
  <c r="I104" i="4"/>
  <c r="U104" i="4"/>
  <c r="C58" i="4"/>
  <c r="F38" i="5"/>
  <c r="J15" i="62"/>
  <c r="H21" i="62"/>
  <c r="C46" i="62"/>
  <c r="C30" i="20" s="1"/>
  <c r="F30" i="20" s="1"/>
  <c r="C47" i="62"/>
  <c r="C31" i="20" s="1"/>
  <c r="N34" i="4" s="1"/>
  <c r="C53" i="62"/>
  <c r="C40" i="20" s="1"/>
  <c r="C41" i="20"/>
  <c r="C43" i="20"/>
  <c r="C57" i="62"/>
  <c r="C66" i="20" s="1"/>
  <c r="F66" i="20" s="1"/>
  <c r="C75" i="20"/>
  <c r="C64" i="62"/>
  <c r="C78" i="20" s="1"/>
  <c r="A9" i="20"/>
  <c r="F12" i="67" s="1"/>
  <c r="B9" i="20"/>
  <c r="G12" i="67" s="1"/>
  <c r="C12" i="4"/>
  <c r="A11" i="20"/>
  <c r="F13" i="6" s="1"/>
  <c r="B11" i="20"/>
  <c r="G13" i="68" s="1"/>
  <c r="C13" i="4"/>
  <c r="A12" i="20"/>
  <c r="F11" i="5" s="1"/>
  <c r="B12" i="20"/>
  <c r="G11" i="5" s="1"/>
  <c r="A13" i="20"/>
  <c r="F14" i="8" s="1"/>
  <c r="B13" i="20"/>
  <c r="A14" i="20"/>
  <c r="F15" i="8" s="1"/>
  <c r="B14" i="20"/>
  <c r="G15" i="8" s="1"/>
  <c r="E14" i="20"/>
  <c r="F14" i="20" s="1"/>
  <c r="A15" i="20"/>
  <c r="F15" i="6" s="1"/>
  <c r="B15" i="20"/>
  <c r="G16" i="5" s="1"/>
  <c r="A16" i="20"/>
  <c r="F16" i="6" s="1"/>
  <c r="B16" i="20"/>
  <c r="G16" i="68" s="1"/>
  <c r="A17" i="20"/>
  <c r="B17" i="20"/>
  <c r="A18" i="20"/>
  <c r="B18" i="20"/>
  <c r="A19" i="20"/>
  <c r="B19" i="20"/>
  <c r="C21" i="20"/>
  <c r="A22" i="20"/>
  <c r="B22" i="20"/>
  <c r="D22" i="20"/>
  <c r="C25" i="4" s="1"/>
  <c r="A24" i="20"/>
  <c r="B24" i="20"/>
  <c r="A25" i="20"/>
  <c r="B25" i="20"/>
  <c r="A26" i="20"/>
  <c r="B26" i="20"/>
  <c r="A27" i="20"/>
  <c r="B27" i="20"/>
  <c r="A28" i="20"/>
  <c r="B28" i="20"/>
  <c r="A30" i="20"/>
  <c r="B30" i="20"/>
  <c r="C33" i="4"/>
  <c r="A31" i="20"/>
  <c r="B31" i="20"/>
  <c r="C34" i="4"/>
  <c r="A32" i="20"/>
  <c r="B32" i="20"/>
  <c r="A34" i="20"/>
  <c r="B34" i="20"/>
  <c r="A35" i="20"/>
  <c r="B35" i="20"/>
  <c r="A36" i="20"/>
  <c r="B36" i="20"/>
  <c r="A37" i="20"/>
  <c r="B37" i="20"/>
  <c r="C43" i="4"/>
  <c r="V43" i="4" s="1"/>
  <c r="A38" i="20"/>
  <c r="B38" i="20"/>
  <c r="C44" i="4"/>
  <c r="V44" i="4" s="1"/>
  <c r="A39" i="20"/>
  <c r="F27" i="5" s="1"/>
  <c r="B39" i="20"/>
  <c r="G27" i="5" s="1"/>
  <c r="D39" i="20"/>
  <c r="C45" i="4" s="1"/>
  <c r="A40" i="20"/>
  <c r="F28" i="5" s="1"/>
  <c r="B40" i="20"/>
  <c r="G28" i="5" s="1"/>
  <c r="D40" i="20"/>
  <c r="C46" i="4" s="1"/>
  <c r="V46" i="4" s="1"/>
  <c r="A41" i="20"/>
  <c r="F29" i="5" s="1"/>
  <c r="B41" i="20"/>
  <c r="G29" i="5" s="1"/>
  <c r="D41" i="20"/>
  <c r="C47" i="4" s="1"/>
  <c r="V47" i="4" s="1"/>
  <c r="A42" i="20"/>
  <c r="F30" i="5" s="1"/>
  <c r="B42" i="20"/>
  <c r="G30" i="5" s="1"/>
  <c r="D42" i="20"/>
  <c r="A43" i="20"/>
  <c r="F31" i="5" s="1"/>
  <c r="B43" i="20"/>
  <c r="G31" i="5" s="1"/>
  <c r="A44" i="20"/>
  <c r="B44" i="20"/>
  <c r="A45" i="20"/>
  <c r="B45" i="20"/>
  <c r="A49" i="20"/>
  <c r="B49" i="20"/>
  <c r="A50" i="20"/>
  <c r="F32" i="5" s="1"/>
  <c r="B50" i="20"/>
  <c r="G32" i="5" s="1"/>
  <c r="D50" i="20"/>
  <c r="F50" i="20" s="1"/>
  <c r="A52" i="20"/>
  <c r="F35" i="6" s="1"/>
  <c r="B52" i="20"/>
  <c r="A53" i="20"/>
  <c r="B53" i="20"/>
  <c r="C62" i="4"/>
  <c r="A54" i="20"/>
  <c r="B54" i="20"/>
  <c r="D56" i="20"/>
  <c r="F56" i="20" s="1"/>
  <c r="A58" i="20"/>
  <c r="F37" i="6" s="1"/>
  <c r="B58" i="20"/>
  <c r="G37" i="6" s="1"/>
  <c r="A59" i="20"/>
  <c r="F38" i="6" s="1"/>
  <c r="B59" i="20"/>
  <c r="G38" i="6" s="1"/>
  <c r="C73" i="4"/>
  <c r="A73" i="20"/>
  <c r="B73" i="20"/>
  <c r="D78" i="20"/>
  <c r="C103" i="4" s="1"/>
  <c r="C104" i="4" s="1"/>
  <c r="A19" i="8"/>
  <c r="F45" i="6"/>
  <c r="G45" i="6"/>
  <c r="H46" i="6"/>
  <c r="C6" i="2"/>
  <c r="C5" i="2" s="1"/>
  <c r="C4" i="2" s="1"/>
  <c r="C7" i="31"/>
  <c r="C6" i="31" s="1"/>
  <c r="K7" i="31"/>
  <c r="G8" i="31"/>
  <c r="G9" i="31"/>
  <c r="I9" i="31"/>
  <c r="G10" i="31"/>
  <c r="I10" i="31"/>
  <c r="G11" i="31"/>
  <c r="I11" i="31"/>
  <c r="G12" i="31"/>
  <c r="I12" i="31"/>
  <c r="G13" i="31"/>
  <c r="I13" i="31"/>
  <c r="G14" i="31"/>
  <c r="M14" i="31" s="1"/>
  <c r="I14" i="31"/>
  <c r="G15" i="31"/>
  <c r="M15" i="31" s="1"/>
  <c r="I15" i="31"/>
  <c r="G16" i="31"/>
  <c r="I16" i="31"/>
  <c r="G17" i="31"/>
  <c r="I17" i="31"/>
  <c r="G18" i="31"/>
  <c r="I18" i="31"/>
  <c r="G19" i="31"/>
  <c r="I19" i="31"/>
  <c r="G20" i="31"/>
  <c r="M20" i="31" s="1"/>
  <c r="C19" i="3" s="1"/>
  <c r="H22" i="1" s="1"/>
  <c r="I20" i="31"/>
  <c r="E21" i="31"/>
  <c r="G21" i="31"/>
  <c r="I21" i="31"/>
  <c r="E22" i="31"/>
  <c r="G22" i="31"/>
  <c r="I22" i="31"/>
  <c r="E25" i="31"/>
  <c r="M25" i="31" s="1"/>
  <c r="C24" i="3" s="1"/>
  <c r="H26" i="1" s="1"/>
  <c r="E26" i="31"/>
  <c r="E27" i="31"/>
  <c r="G27" i="31"/>
  <c r="I27" i="31"/>
  <c r="K27" i="31"/>
  <c r="E28" i="31"/>
  <c r="G28" i="31"/>
  <c r="I28" i="31"/>
  <c r="K28" i="31"/>
  <c r="E29" i="31"/>
  <c r="E30" i="31"/>
  <c r="I30" i="31" s="1"/>
  <c r="K30" i="31"/>
  <c r="E31" i="31"/>
  <c r="E32" i="31"/>
  <c r="I32" i="31" s="1"/>
  <c r="E33" i="31"/>
  <c r="I33" i="31" s="1"/>
  <c r="G33" i="31"/>
  <c r="K33" i="31"/>
  <c r="E34" i="31"/>
  <c r="G34" i="31"/>
  <c r="I34" i="31"/>
  <c r="K34" i="31"/>
  <c r="K35" i="31"/>
  <c r="E36" i="31"/>
  <c r="I36" i="31"/>
  <c r="G36" i="31"/>
  <c r="K36" i="31"/>
  <c r="E37" i="31"/>
  <c r="I37" i="31"/>
  <c r="G37" i="31"/>
  <c r="K37" i="31"/>
  <c r="E38" i="31"/>
  <c r="I38" i="31" s="1"/>
  <c r="G38" i="31"/>
  <c r="K38" i="31"/>
  <c r="C39" i="31"/>
  <c r="E40" i="31"/>
  <c r="G40" i="31"/>
  <c r="E41" i="31"/>
  <c r="I41" i="31" s="1"/>
  <c r="G41" i="31"/>
  <c r="K41" i="31" s="1"/>
  <c r="C43" i="31"/>
  <c r="G44" i="31"/>
  <c r="C45" i="31"/>
  <c r="K45" i="31"/>
  <c r="E46" i="31"/>
  <c r="G46" i="31"/>
  <c r="G45" i="31" s="1"/>
  <c r="I46" i="31"/>
  <c r="I45" i="31" s="1"/>
  <c r="C47" i="31"/>
  <c r="E47" i="31"/>
  <c r="G47" i="31"/>
  <c r="I47" i="31"/>
  <c r="K47" i="31"/>
  <c r="M48" i="31"/>
  <c r="G51" i="31"/>
  <c r="K51" i="31" s="1"/>
  <c r="C52" i="31"/>
  <c r="B53" i="31"/>
  <c r="E53" i="31"/>
  <c r="I53" i="31" s="1"/>
  <c r="G53" i="31"/>
  <c r="K53" i="31" s="1"/>
  <c r="E54" i="31"/>
  <c r="I54" i="31" s="1"/>
  <c r="G54" i="31"/>
  <c r="K54" i="31" s="1"/>
  <c r="E55" i="31"/>
  <c r="G55" i="31"/>
  <c r="K55" i="31" s="1"/>
  <c r="E56" i="31"/>
  <c r="G56" i="31"/>
  <c r="K56" i="31" s="1"/>
  <c r="I56" i="31"/>
  <c r="E57" i="31"/>
  <c r="G57" i="31"/>
  <c r="K57" i="31" s="1"/>
  <c r="I57" i="31"/>
  <c r="E58" i="31"/>
  <c r="I58" i="31" s="1"/>
  <c r="G58" i="31"/>
  <c r="K58" i="31" s="1"/>
  <c r="M58" i="31" s="1"/>
  <c r="C59" i="31"/>
  <c r="E60" i="31"/>
  <c r="E59" i="31" s="1"/>
  <c r="G60" i="31"/>
  <c r="G59" i="31" s="1"/>
  <c r="I60" i="31"/>
  <c r="I59" i="31" s="1"/>
  <c r="C61" i="31"/>
  <c r="C49" i="31" s="1"/>
  <c r="K61" i="31"/>
  <c r="E62" i="31"/>
  <c r="G62" i="31"/>
  <c r="I62" i="31"/>
  <c r="M63" i="31"/>
  <c r="G64" i="31"/>
  <c r="I64" i="31"/>
  <c r="C66" i="31"/>
  <c r="C65" i="31" s="1"/>
  <c r="M67" i="31"/>
  <c r="M66" i="31" s="1"/>
  <c r="M65" i="31" s="1"/>
  <c r="C69" i="31"/>
  <c r="C68" i="31" s="1"/>
  <c r="E69" i="31"/>
  <c r="E68" i="31" s="1"/>
  <c r="M70" i="31"/>
  <c r="M69" i="31" s="1"/>
  <c r="M68" i="31" s="1"/>
  <c r="E72" i="31"/>
  <c r="E71" i="31" s="1"/>
  <c r="E65" i="31" s="1"/>
  <c r="G72" i="31"/>
  <c r="G71" i="31" s="1"/>
  <c r="I72" i="31"/>
  <c r="I71" i="31" s="1"/>
  <c r="I65" i="31" s="1"/>
  <c r="K72" i="31"/>
  <c r="K71" i="31" s="1"/>
  <c r="M73" i="31"/>
  <c r="C11" i="3"/>
  <c r="H14" i="1" s="1"/>
  <c r="C12" i="3"/>
  <c r="H15" i="1" s="1"/>
  <c r="C13" i="3"/>
  <c r="H16" i="1" s="1"/>
  <c r="L16" i="1" s="1"/>
  <c r="C14" i="3"/>
  <c r="H17" i="1" s="1"/>
  <c r="C15" i="3"/>
  <c r="H18" i="1" s="1"/>
  <c r="C16" i="3"/>
  <c r="H19" i="1" s="1"/>
  <c r="L19" i="1" s="1"/>
  <c r="C17" i="3"/>
  <c r="H20" i="1" s="1"/>
  <c r="C18" i="3"/>
  <c r="H21" i="1" s="1"/>
  <c r="C20" i="3"/>
  <c r="H23" i="1" s="1"/>
  <c r="C40" i="3"/>
  <c r="C43" i="3"/>
  <c r="C50" i="3"/>
  <c r="H45" i="1" s="1"/>
  <c r="C51" i="3"/>
  <c r="H46" i="1" s="1"/>
  <c r="C52" i="3"/>
  <c r="H47" i="1" s="1"/>
  <c r="C53" i="3"/>
  <c r="H48" i="1" s="1"/>
  <c r="C54" i="3"/>
  <c r="C55" i="3"/>
  <c r="H50" i="1"/>
  <c r="C57" i="3"/>
  <c r="H51" i="1" s="1"/>
  <c r="C59" i="3"/>
  <c r="H52" i="1" s="1"/>
  <c r="C61" i="3"/>
  <c r="H53" i="1" s="1"/>
  <c r="D57" i="1"/>
  <c r="G57" i="1" s="1"/>
  <c r="L57" i="1" s="1"/>
  <c r="C71" i="3"/>
  <c r="C70" i="3" s="1"/>
  <c r="D69" i="3" s="1"/>
  <c r="D14" i="10" s="1"/>
  <c r="C77" i="3"/>
  <c r="D76" i="3" s="1"/>
  <c r="E75" i="3" s="1"/>
  <c r="B45" i="1"/>
  <c r="C55" i="1"/>
  <c r="G55" i="1" s="1"/>
  <c r="L55" i="1" s="1"/>
  <c r="E56" i="1"/>
  <c r="G56" i="1" s="1"/>
  <c r="L56" i="1" s="1"/>
  <c r="H64" i="1"/>
  <c r="L64" i="1" s="1"/>
  <c r="G66" i="1"/>
  <c r="I66" i="1"/>
  <c r="I76" i="1" s="1"/>
  <c r="K69" i="1"/>
  <c r="D21" i="10"/>
  <c r="C7" i="51"/>
  <c r="D7" i="51"/>
  <c r="E7" i="51"/>
  <c r="G7" i="51" s="1"/>
  <c r="O7" i="51"/>
  <c r="P7" i="51"/>
  <c r="C8" i="51"/>
  <c r="D8" i="51"/>
  <c r="E8" i="51"/>
  <c r="O8" i="51"/>
  <c r="P8" i="51"/>
  <c r="C9" i="51"/>
  <c r="D9" i="51"/>
  <c r="E9" i="51"/>
  <c r="C10" i="51"/>
  <c r="D10" i="51"/>
  <c r="E10" i="51"/>
  <c r="C11" i="51"/>
  <c r="D11" i="51"/>
  <c r="E11" i="51"/>
  <c r="C12" i="51"/>
  <c r="D12" i="51"/>
  <c r="E12" i="51"/>
  <c r="M12" i="51" s="1"/>
  <c r="O12" i="51"/>
  <c r="P12" i="51"/>
  <c r="C13" i="51"/>
  <c r="D13" i="51"/>
  <c r="E13" i="51"/>
  <c r="O13" i="51"/>
  <c r="P13" i="51"/>
  <c r="C14" i="51"/>
  <c r="D14" i="51"/>
  <c r="E14" i="51"/>
  <c r="O14" i="51"/>
  <c r="P14" i="51"/>
  <c r="C15" i="51"/>
  <c r="D15" i="51"/>
  <c r="E15" i="51"/>
  <c r="N15" i="51"/>
  <c r="C16" i="51"/>
  <c r="D16" i="51"/>
  <c r="E16" i="51"/>
  <c r="O16" i="51"/>
  <c r="P16" i="51"/>
  <c r="C17" i="51"/>
  <c r="D17" i="51"/>
  <c r="E17" i="51"/>
  <c r="O17" i="51"/>
  <c r="P17" i="51"/>
  <c r="D18" i="51"/>
  <c r="E18" i="51"/>
  <c r="M18" i="51" s="1"/>
  <c r="N18" i="51"/>
  <c r="P18" i="51"/>
  <c r="C27" i="51"/>
  <c r="D27" i="51"/>
  <c r="M27" i="51" s="1"/>
  <c r="E27" i="51"/>
  <c r="O27" i="51"/>
  <c r="P27" i="51"/>
  <c r="C28" i="51"/>
  <c r="D28" i="51"/>
  <c r="E28" i="51"/>
  <c r="M28" i="51" s="1"/>
  <c r="O28" i="51"/>
  <c r="P28" i="51"/>
  <c r="C29" i="51"/>
  <c r="D29" i="51"/>
  <c r="E29" i="51"/>
  <c r="O29" i="51"/>
  <c r="P29" i="51"/>
  <c r="C30" i="51"/>
  <c r="D30" i="51"/>
  <c r="E30" i="51"/>
  <c r="N30" i="51"/>
  <c r="P30" i="51"/>
  <c r="C31" i="51"/>
  <c r="D31" i="51"/>
  <c r="E31" i="51"/>
  <c r="C32" i="51"/>
  <c r="D32" i="51"/>
  <c r="E32" i="51"/>
  <c r="C33" i="51"/>
  <c r="D33" i="51"/>
  <c r="E33" i="51"/>
  <c r="O33" i="51"/>
  <c r="P33" i="51"/>
  <c r="C34" i="51"/>
  <c r="D34" i="51"/>
  <c r="E34" i="51"/>
  <c r="C35" i="51"/>
  <c r="D35" i="51"/>
  <c r="E35" i="51"/>
  <c r="O35" i="51"/>
  <c r="P35" i="51"/>
  <c r="C36" i="51"/>
  <c r="D36" i="51"/>
  <c r="E36" i="51"/>
  <c r="C39" i="51"/>
  <c r="D39" i="51"/>
  <c r="E39" i="51"/>
  <c r="O39" i="51"/>
  <c r="P39" i="51"/>
  <c r="C40" i="51"/>
  <c r="D40" i="51"/>
  <c r="E40" i="51"/>
  <c r="N40" i="51"/>
  <c r="P40" i="51" s="1"/>
  <c r="C41" i="51"/>
  <c r="D41" i="51"/>
  <c r="E41" i="51"/>
  <c r="M41" i="51" s="1"/>
  <c r="O41" i="51"/>
  <c r="P41" i="51"/>
  <c r="C42" i="51"/>
  <c r="D42" i="51"/>
  <c r="E42" i="51"/>
  <c r="N42" i="51"/>
  <c r="P42" i="51" s="1"/>
  <c r="C43" i="51"/>
  <c r="D43" i="51"/>
  <c r="E43" i="51"/>
  <c r="C44" i="51"/>
  <c r="D44" i="51"/>
  <c r="E44" i="51"/>
  <c r="M44" i="51" s="1"/>
  <c r="N44" i="51"/>
  <c r="P44" i="51" s="1"/>
  <c r="C45" i="51"/>
  <c r="D45" i="51"/>
  <c r="E45" i="51"/>
  <c r="C46" i="51"/>
  <c r="D46" i="51"/>
  <c r="E46" i="51"/>
  <c r="C54" i="51"/>
  <c r="D54" i="51"/>
  <c r="E54" i="51"/>
  <c r="G54" i="51" s="1"/>
  <c r="O54" i="51"/>
  <c r="P54" i="51"/>
  <c r="C55" i="51"/>
  <c r="D55" i="51"/>
  <c r="E55" i="51"/>
  <c r="O55" i="51"/>
  <c r="P55" i="51"/>
  <c r="C56" i="51"/>
  <c r="D56" i="51"/>
  <c r="E56" i="51"/>
  <c r="O56" i="51"/>
  <c r="Q56" i="51"/>
  <c r="C57" i="51"/>
  <c r="D57" i="51"/>
  <c r="E57" i="51"/>
  <c r="O57" i="51"/>
  <c r="Q57" i="51"/>
  <c r="C58" i="51"/>
  <c r="D58" i="51"/>
  <c r="E58" i="51"/>
  <c r="O58" i="51"/>
  <c r="P58" i="51"/>
  <c r="C59" i="51"/>
  <c r="D59" i="51"/>
  <c r="M59" i="51" s="1"/>
  <c r="E59" i="51"/>
  <c r="O59" i="51"/>
  <c r="P59" i="51"/>
  <c r="C60" i="51"/>
  <c r="D60" i="51"/>
  <c r="E60" i="51"/>
  <c r="O60" i="51"/>
  <c r="Q60" i="51"/>
  <c r="C61" i="51"/>
  <c r="D61" i="51"/>
  <c r="E61" i="51"/>
  <c r="O61" i="51"/>
  <c r="Q61" i="51"/>
  <c r="C62" i="51"/>
  <c r="D62" i="51"/>
  <c r="E62" i="51"/>
  <c r="O62" i="51"/>
  <c r="P62" i="51"/>
  <c r="C63" i="51"/>
  <c r="D63" i="51"/>
  <c r="E63" i="51"/>
  <c r="O63" i="51"/>
  <c r="P63" i="51"/>
  <c r="C64" i="51"/>
  <c r="D64" i="51"/>
  <c r="E64" i="51"/>
  <c r="M64" i="51" s="1"/>
  <c r="O64" i="51"/>
  <c r="P64" i="51"/>
  <c r="C65" i="51"/>
  <c r="D65" i="51"/>
  <c r="E65" i="51"/>
  <c r="O65" i="51"/>
  <c r="P65" i="51"/>
  <c r="C66" i="51"/>
  <c r="D66" i="51"/>
  <c r="E66" i="51"/>
  <c r="M66" i="51" s="1"/>
  <c r="O66" i="51"/>
  <c r="P66" i="51"/>
  <c r="C67" i="51"/>
  <c r="D67" i="51"/>
  <c r="E67" i="51"/>
  <c r="O67" i="51"/>
  <c r="P67" i="51"/>
  <c r="C68" i="51"/>
  <c r="D68" i="51"/>
  <c r="E68" i="51"/>
  <c r="O68" i="51"/>
  <c r="P68" i="51"/>
  <c r="C69" i="51"/>
  <c r="D69" i="51"/>
  <c r="E69" i="51"/>
  <c r="G69" i="51" s="1"/>
  <c r="O69" i="51"/>
  <c r="P69" i="51"/>
  <c r="C70" i="51"/>
  <c r="D70" i="51"/>
  <c r="E70" i="51"/>
  <c r="O70" i="51"/>
  <c r="P70" i="51"/>
  <c r="C71" i="51"/>
  <c r="D71" i="51"/>
  <c r="M71" i="51" s="1"/>
  <c r="E71" i="51"/>
  <c r="O71" i="51"/>
  <c r="P71" i="51"/>
  <c r="C72" i="51"/>
  <c r="D72" i="51"/>
  <c r="E72" i="51"/>
  <c r="M72" i="51" s="1"/>
  <c r="O72" i="51"/>
  <c r="P72" i="51"/>
  <c r="C73" i="51"/>
  <c r="D73" i="51"/>
  <c r="M73" i="51" s="1"/>
  <c r="E73" i="51"/>
  <c r="O73" i="51"/>
  <c r="P73" i="51"/>
  <c r="C74" i="51"/>
  <c r="D74" i="51"/>
  <c r="E74" i="51"/>
  <c r="O74" i="51"/>
  <c r="P74" i="51"/>
  <c r="C75" i="51"/>
  <c r="D75" i="51"/>
  <c r="E75" i="51"/>
  <c r="O75" i="51"/>
  <c r="P75" i="51"/>
  <c r="C76" i="51"/>
  <c r="D76" i="51"/>
  <c r="E76" i="51"/>
  <c r="G76" i="51" s="1"/>
  <c r="O76" i="51"/>
  <c r="P76" i="51"/>
  <c r="C77" i="51"/>
  <c r="D77" i="51"/>
  <c r="M77" i="51" s="1"/>
  <c r="E77" i="51"/>
  <c r="O77" i="51"/>
  <c r="P77" i="51"/>
  <c r="C78" i="51"/>
  <c r="D78" i="51"/>
  <c r="E78" i="51"/>
  <c r="G78" i="51" s="1"/>
  <c r="O78" i="51"/>
  <c r="P78" i="51"/>
  <c r="C79" i="51"/>
  <c r="D79" i="51"/>
  <c r="E79" i="51"/>
  <c r="O79" i="51"/>
  <c r="P79" i="51"/>
  <c r="C80" i="51"/>
  <c r="D80" i="51"/>
  <c r="E80" i="51"/>
  <c r="O80" i="51"/>
  <c r="P80" i="51"/>
  <c r="C81" i="51"/>
  <c r="D81" i="51"/>
  <c r="E81" i="51"/>
  <c r="O81" i="51"/>
  <c r="P81" i="51"/>
  <c r="C82" i="51"/>
  <c r="D82" i="51"/>
  <c r="E82" i="51"/>
  <c r="M82" i="51" s="1"/>
  <c r="O82" i="51"/>
  <c r="P82" i="51"/>
  <c r="C83" i="51"/>
  <c r="D83" i="51"/>
  <c r="E83" i="51"/>
  <c r="N83" i="51"/>
  <c r="C84" i="51"/>
  <c r="D84" i="51"/>
  <c r="E84" i="51"/>
  <c r="O84" i="51"/>
  <c r="P84" i="51"/>
  <c r="C85" i="51"/>
  <c r="D85" i="51"/>
  <c r="E85" i="51"/>
  <c r="O85" i="51"/>
  <c r="P85" i="51"/>
  <c r="C86" i="51"/>
  <c r="D86" i="51"/>
  <c r="E86" i="51"/>
  <c r="O86" i="51"/>
  <c r="P86" i="51"/>
  <c r="C87" i="51"/>
  <c r="D87" i="51"/>
  <c r="E87" i="51"/>
  <c r="O87" i="51"/>
  <c r="P87" i="51"/>
  <c r="C7" i="65"/>
  <c r="D7" i="65"/>
  <c r="E7" i="65"/>
  <c r="C8" i="65"/>
  <c r="D8" i="65"/>
  <c r="E8" i="65"/>
  <c r="G8" i="65" s="1"/>
  <c r="C9" i="65"/>
  <c r="D9" i="65"/>
  <c r="E9" i="65"/>
  <c r="C10" i="65"/>
  <c r="D10" i="65"/>
  <c r="E10" i="65"/>
  <c r="C11" i="65"/>
  <c r="D11" i="65"/>
  <c r="E11" i="65"/>
  <c r="M11" i="65" s="1"/>
  <c r="C12" i="65"/>
  <c r="D12" i="65"/>
  <c r="E12" i="65"/>
  <c r="C13" i="65"/>
  <c r="D13" i="65"/>
  <c r="E13" i="65"/>
  <c r="G13" i="65" s="1"/>
  <c r="C14" i="65"/>
  <c r="D14" i="65"/>
  <c r="E14" i="65"/>
  <c r="C15" i="65"/>
  <c r="D15" i="65"/>
  <c r="E15" i="65"/>
  <c r="C16" i="65"/>
  <c r="D16" i="65"/>
  <c r="D24" i="65" s="1"/>
  <c r="E16" i="65"/>
  <c r="C18" i="65"/>
  <c r="D18" i="65"/>
  <c r="E18" i="65"/>
  <c r="M18" i="65" s="1"/>
  <c r="C19" i="65"/>
  <c r="D19" i="65"/>
  <c r="E19" i="65"/>
  <c r="C20" i="65"/>
  <c r="D20" i="65"/>
  <c r="E20" i="65"/>
  <c r="C21" i="65"/>
  <c r="D21" i="65"/>
  <c r="M21" i="65" s="1"/>
  <c r="E21" i="65"/>
  <c r="C22" i="65"/>
  <c r="D22" i="65"/>
  <c r="E22" i="65"/>
  <c r="C7" i="28"/>
  <c r="D7" i="28"/>
  <c r="E7" i="28"/>
  <c r="E57" i="28" s="1"/>
  <c r="E22" i="71" s="1"/>
  <c r="C9" i="28"/>
  <c r="D9" i="28"/>
  <c r="E9" i="28"/>
  <c r="C10" i="28"/>
  <c r="D10" i="28"/>
  <c r="M10" i="28" s="1"/>
  <c r="E10" i="28"/>
  <c r="C11" i="28"/>
  <c r="D11" i="28"/>
  <c r="E11" i="28"/>
  <c r="G11" i="28" s="1"/>
  <c r="C12" i="28"/>
  <c r="D12" i="28"/>
  <c r="E12" i="28"/>
  <c r="C13" i="28"/>
  <c r="D13" i="28"/>
  <c r="E13" i="28"/>
  <c r="G13" i="28" s="1"/>
  <c r="C14" i="28"/>
  <c r="D14" i="28"/>
  <c r="E14" i="28"/>
  <c r="M14" i="28" s="1"/>
  <c r="C15" i="28"/>
  <c r="D15" i="28"/>
  <c r="E15" i="28"/>
  <c r="C16" i="28"/>
  <c r="D16" i="28"/>
  <c r="E16" i="28"/>
  <c r="C17" i="28"/>
  <c r="D17" i="28"/>
  <c r="E17" i="28"/>
  <c r="C18" i="28"/>
  <c r="D18" i="28"/>
  <c r="E18" i="28"/>
  <c r="M18" i="28" s="1"/>
  <c r="C21" i="28"/>
  <c r="D21" i="28"/>
  <c r="E21" i="28"/>
  <c r="C22" i="28"/>
  <c r="D22" i="28"/>
  <c r="E22" i="28"/>
  <c r="C26" i="28"/>
  <c r="D26" i="28"/>
  <c r="E26" i="28"/>
  <c r="C27" i="28"/>
  <c r="D27" i="28"/>
  <c r="E27" i="28"/>
  <c r="M27" i="28" s="1"/>
  <c r="C28" i="28"/>
  <c r="D28" i="28"/>
  <c r="M28" i="28" s="1"/>
  <c r="E28" i="28"/>
  <c r="C30" i="28"/>
  <c r="D30" i="28"/>
  <c r="E30" i="28"/>
  <c r="C32" i="28"/>
  <c r="D32" i="28"/>
  <c r="E32" i="28"/>
  <c r="C34" i="28"/>
  <c r="D34" i="28"/>
  <c r="E34" i="28"/>
  <c r="C35" i="28"/>
  <c r="D35" i="28"/>
  <c r="E35" i="28"/>
  <c r="C36" i="28"/>
  <c r="D36" i="28"/>
  <c r="E36" i="28"/>
  <c r="C37" i="28"/>
  <c r="D37" i="28"/>
  <c r="E37" i="28"/>
  <c r="C38" i="28"/>
  <c r="D38" i="28"/>
  <c r="E38" i="28"/>
  <c r="M38" i="28" s="1"/>
  <c r="C40" i="28"/>
  <c r="D40" i="28"/>
  <c r="E40" i="28"/>
  <c r="C41" i="28"/>
  <c r="D41" i="28"/>
  <c r="E41" i="28"/>
  <c r="C42" i="28"/>
  <c r="D42" i="28"/>
  <c r="E42" i="28"/>
  <c r="C43" i="28"/>
  <c r="D43" i="28"/>
  <c r="E43" i="28"/>
  <c r="C44" i="28"/>
  <c r="D44" i="28"/>
  <c r="M44" i="28" s="1"/>
  <c r="E44" i="28"/>
  <c r="C45" i="28"/>
  <c r="D45" i="28"/>
  <c r="E45" i="28"/>
  <c r="G45" i="28" s="1"/>
  <c r="F45" i="28"/>
  <c r="H45" i="28" s="1"/>
  <c r="C46" i="28"/>
  <c r="D46" i="28"/>
  <c r="E46" i="28"/>
  <c r="C47" i="28"/>
  <c r="D47" i="28"/>
  <c r="E47" i="28"/>
  <c r="C48" i="28"/>
  <c r="D48" i="28"/>
  <c r="E48" i="28"/>
  <c r="C49" i="28"/>
  <c r="D49" i="28"/>
  <c r="M49" i="28" s="1"/>
  <c r="E49" i="28"/>
  <c r="C50" i="28"/>
  <c r="D50" i="28"/>
  <c r="E50" i="28"/>
  <c r="C51" i="28"/>
  <c r="D51" i="28"/>
  <c r="M51" i="28" s="1"/>
  <c r="E51" i="28"/>
  <c r="C52" i="28"/>
  <c r="D52" i="28"/>
  <c r="E52" i="28"/>
  <c r="C53" i="28"/>
  <c r="D53" i="28"/>
  <c r="E53" i="28"/>
  <c r="C54" i="28"/>
  <c r="D54" i="28"/>
  <c r="E54" i="28"/>
  <c r="B7" i="27"/>
  <c r="C7" i="27"/>
  <c r="L7" i="27" s="1"/>
  <c r="D7" i="27"/>
  <c r="B8" i="27"/>
  <c r="C8" i="27"/>
  <c r="D8" i="27"/>
  <c r="F8" i="27" s="1"/>
  <c r="B9" i="27"/>
  <c r="C9" i="27"/>
  <c r="D9" i="27"/>
  <c r="B10" i="27"/>
  <c r="C10" i="27"/>
  <c r="D10" i="27"/>
  <c r="B13" i="27"/>
  <c r="C13" i="27"/>
  <c r="D13" i="27"/>
  <c r="B14" i="27"/>
  <c r="C14" i="27"/>
  <c r="D14" i="27"/>
  <c r="B15" i="27"/>
  <c r="C15" i="27"/>
  <c r="D15" i="27"/>
  <c r="B16" i="27"/>
  <c r="C16" i="27"/>
  <c r="D16" i="27"/>
  <c r="B17" i="27"/>
  <c r="C17" i="27"/>
  <c r="D17" i="27"/>
  <c r="B18" i="27"/>
  <c r="C18" i="27"/>
  <c r="D18" i="27"/>
  <c r="B19" i="27"/>
  <c r="C19" i="27"/>
  <c r="D19" i="27"/>
  <c r="B20" i="27"/>
  <c r="C20" i="27"/>
  <c r="D20" i="27"/>
  <c r="B21" i="27"/>
  <c r="C21" i="27"/>
  <c r="D21" i="27"/>
  <c r="B22" i="27"/>
  <c r="C22" i="27"/>
  <c r="D22" i="27"/>
  <c r="B23" i="27"/>
  <c r="C23" i="27"/>
  <c r="D23" i="27"/>
  <c r="B24" i="27"/>
  <c r="C24" i="27"/>
  <c r="D24" i="27"/>
  <c r="B25" i="27"/>
  <c r="C25" i="27"/>
  <c r="L25" i="27" s="1"/>
  <c r="D25" i="27"/>
  <c r="B26" i="27"/>
  <c r="C26" i="27"/>
  <c r="D26" i="27"/>
  <c r="B28" i="27"/>
  <c r="C28" i="27"/>
  <c r="D28" i="27"/>
  <c r="H28" i="27"/>
  <c r="H61" i="27" s="1"/>
  <c r="H62" i="27" s="1"/>
  <c r="I28" i="27"/>
  <c r="I61" i="27" s="1"/>
  <c r="I62" i="27" s="1"/>
  <c r="M28" i="27"/>
  <c r="B29" i="27"/>
  <c r="C29" i="27"/>
  <c r="D29" i="27"/>
  <c r="B30" i="27"/>
  <c r="C30" i="27"/>
  <c r="D30" i="27"/>
  <c r="B31" i="27"/>
  <c r="C31" i="27"/>
  <c r="D31" i="27"/>
  <c r="F31" i="27" s="1"/>
  <c r="B32" i="27"/>
  <c r="C32" i="27"/>
  <c r="D32" i="27"/>
  <c r="L32" i="27" s="1"/>
  <c r="B33" i="27"/>
  <c r="C33" i="27"/>
  <c r="D33" i="27"/>
  <c r="B34" i="27"/>
  <c r="C34" i="27"/>
  <c r="D34" i="27"/>
  <c r="F34" i="27" s="1"/>
  <c r="B37" i="27"/>
  <c r="C37" i="27"/>
  <c r="D37" i="27"/>
  <c r="F37" i="27" s="1"/>
  <c r="B38" i="27"/>
  <c r="C38" i="27"/>
  <c r="D38" i="27"/>
  <c r="B39" i="27"/>
  <c r="C39" i="27"/>
  <c r="L39" i="27" s="1"/>
  <c r="D39" i="27"/>
  <c r="B40" i="27"/>
  <c r="C40" i="27"/>
  <c r="D40" i="27"/>
  <c r="B41" i="27"/>
  <c r="C41" i="27"/>
  <c r="D41" i="27"/>
  <c r="B42" i="27"/>
  <c r="C42" i="27"/>
  <c r="D42" i="27"/>
  <c r="B43" i="27"/>
  <c r="C43" i="27"/>
  <c r="D43" i="27"/>
  <c r="B44" i="27"/>
  <c r="C44" i="27"/>
  <c r="D44" i="27"/>
  <c r="B47" i="27"/>
  <c r="C47" i="27"/>
  <c r="D47" i="27"/>
  <c r="B48" i="27"/>
  <c r="C48" i="27"/>
  <c r="D48" i="27"/>
  <c r="B49" i="27"/>
  <c r="C49" i="27"/>
  <c r="D49" i="27"/>
  <c r="B50" i="27"/>
  <c r="C50" i="27"/>
  <c r="D50" i="27"/>
  <c r="B53" i="27"/>
  <c r="C53" i="27"/>
  <c r="D53" i="27"/>
  <c r="B54" i="27"/>
  <c r="C54" i="27"/>
  <c r="D54" i="27"/>
  <c r="F54" i="27" s="1"/>
  <c r="B55" i="27"/>
  <c r="C55" i="27"/>
  <c r="D55" i="27"/>
  <c r="B56" i="27"/>
  <c r="C56" i="27"/>
  <c r="D56" i="27"/>
  <c r="B57" i="27"/>
  <c r="C57" i="27"/>
  <c r="D57" i="27"/>
  <c r="C8" i="26"/>
  <c r="D8" i="26"/>
  <c r="E8" i="26"/>
  <c r="G8" i="26" s="1"/>
  <c r="C9" i="26"/>
  <c r="D9" i="26"/>
  <c r="E9" i="26"/>
  <c r="C10" i="26"/>
  <c r="D10" i="26"/>
  <c r="E10" i="26"/>
  <c r="G10" i="26" s="1"/>
  <c r="C14" i="26"/>
  <c r="D14" i="26"/>
  <c r="E14" i="26"/>
  <c r="G14" i="26" s="1"/>
  <c r="C15" i="26"/>
  <c r="D15" i="26"/>
  <c r="E15" i="26"/>
  <c r="G15" i="26" s="1"/>
  <c r="I16" i="26"/>
  <c r="J39" i="71" s="1"/>
  <c r="J16" i="26"/>
  <c r="K39" i="71" s="1"/>
  <c r="M16" i="26"/>
  <c r="N16" i="26"/>
  <c r="N39" i="71" s="1"/>
  <c r="C17" i="26"/>
  <c r="D17" i="26"/>
  <c r="E17" i="26"/>
  <c r="G17" i="26" s="1"/>
  <c r="F17" i="26"/>
  <c r="H17" i="26" s="1"/>
  <c r="C18" i="26"/>
  <c r="D18" i="26"/>
  <c r="E18" i="26"/>
  <c r="C19" i="26"/>
  <c r="D19" i="26"/>
  <c r="E19" i="26"/>
  <c r="G19" i="26" s="1"/>
  <c r="C20" i="26"/>
  <c r="D20" i="26"/>
  <c r="E20" i="26"/>
  <c r="G20" i="26" s="1"/>
  <c r="C22" i="26"/>
  <c r="D22" i="26"/>
  <c r="E22" i="26"/>
  <c r="C23" i="26"/>
  <c r="D23" i="26"/>
  <c r="E23" i="26"/>
  <c r="C24" i="26"/>
  <c r="D24" i="26"/>
  <c r="M24" i="26" s="1"/>
  <c r="E24" i="26"/>
  <c r="C25" i="26"/>
  <c r="D25" i="26"/>
  <c r="E25" i="26"/>
  <c r="C27" i="26"/>
  <c r="D27" i="26"/>
  <c r="E27" i="26"/>
  <c r="G27" i="26" s="1"/>
  <c r="C30" i="26"/>
  <c r="D30" i="26"/>
  <c r="E30" i="26"/>
  <c r="C31" i="26"/>
  <c r="D31" i="26"/>
  <c r="E31" i="26"/>
  <c r="G31" i="26" s="1"/>
  <c r="C32" i="26"/>
  <c r="D32" i="26"/>
  <c r="E32" i="26"/>
  <c r="G32" i="26" s="1"/>
  <c r="C33" i="26"/>
  <c r="D33" i="26"/>
  <c r="E33" i="26"/>
  <c r="C35" i="26"/>
  <c r="D35" i="26"/>
  <c r="E35" i="26"/>
  <c r="C36" i="26"/>
  <c r="D36" i="26"/>
  <c r="E36" i="26"/>
  <c r="C37" i="26"/>
  <c r="D37" i="26"/>
  <c r="E37" i="26"/>
  <c r="C38" i="26"/>
  <c r="D38" i="26"/>
  <c r="E38" i="26"/>
  <c r="C39" i="26"/>
  <c r="D39" i="26"/>
  <c r="E39" i="26"/>
  <c r="M39" i="26" s="1"/>
  <c r="C41" i="26"/>
  <c r="D41" i="26"/>
  <c r="E41" i="26"/>
  <c r="C42" i="26"/>
  <c r="D42" i="26"/>
  <c r="E42" i="26"/>
  <c r="C43" i="26"/>
  <c r="D43" i="26"/>
  <c r="E43" i="26"/>
  <c r="G43" i="26" s="1"/>
  <c r="C44" i="26"/>
  <c r="D44" i="26"/>
  <c r="E44" i="26"/>
  <c r="C45" i="26"/>
  <c r="D45" i="26"/>
  <c r="E45" i="26"/>
  <c r="C46" i="26"/>
  <c r="D46" i="26"/>
  <c r="E46" i="26"/>
  <c r="C47" i="26"/>
  <c r="D47" i="26"/>
  <c r="E47" i="26"/>
  <c r="C48" i="26"/>
  <c r="D48" i="26"/>
  <c r="E48" i="26"/>
  <c r="I48" i="26"/>
  <c r="C49" i="26"/>
  <c r="D49" i="26"/>
  <c r="E49" i="26"/>
  <c r="C50" i="26"/>
  <c r="D50" i="26"/>
  <c r="E50" i="26"/>
  <c r="C51" i="26"/>
  <c r="D51" i="26"/>
  <c r="E51" i="26"/>
  <c r="C52" i="26"/>
  <c r="D52" i="26"/>
  <c r="E52" i="26"/>
  <c r="C53" i="26"/>
  <c r="D53" i="26"/>
  <c r="E53" i="26"/>
  <c r="M53" i="26" s="1"/>
  <c r="C54" i="26"/>
  <c r="D54" i="26"/>
  <c r="E54" i="26"/>
  <c r="C55" i="26"/>
  <c r="D55" i="26"/>
  <c r="E55" i="26"/>
  <c r="G55" i="26" s="1"/>
  <c r="C56" i="26"/>
  <c r="D56" i="26"/>
  <c r="E56" i="26"/>
  <c r="C57" i="26"/>
  <c r="D57" i="26"/>
  <c r="E57" i="26"/>
  <c r="C58" i="26"/>
  <c r="D58" i="26"/>
  <c r="E58" i="26"/>
  <c r="C59" i="26"/>
  <c r="D59" i="26"/>
  <c r="E59" i="26"/>
  <c r="C63" i="26"/>
  <c r="D63" i="26"/>
  <c r="M63" i="26" s="1"/>
  <c r="E63" i="26"/>
  <c r="G63" i="26" s="1"/>
  <c r="C64" i="26"/>
  <c r="D64" i="26"/>
  <c r="E64" i="26"/>
  <c r="C65" i="26"/>
  <c r="D65" i="26"/>
  <c r="E65" i="26"/>
  <c r="C66" i="26"/>
  <c r="D66" i="26"/>
  <c r="E66" i="26"/>
  <c r="C67" i="26"/>
  <c r="D67" i="26"/>
  <c r="E67" i="26"/>
  <c r="C68" i="26"/>
  <c r="D68" i="26"/>
  <c r="E68" i="26"/>
  <c r="M68" i="26" s="1"/>
  <c r="I68" i="26"/>
  <c r="J68" i="26"/>
  <c r="N68" i="26"/>
  <c r="C69" i="26"/>
  <c r="D69" i="26"/>
  <c r="E69" i="26"/>
  <c r="M69" i="26" s="1"/>
  <c r="C71" i="26"/>
  <c r="D71" i="26"/>
  <c r="M71" i="26" s="1"/>
  <c r="E71" i="26"/>
  <c r="C72" i="26"/>
  <c r="D72" i="26"/>
  <c r="E72" i="26"/>
  <c r="C73" i="26"/>
  <c r="D73" i="26"/>
  <c r="E73" i="26"/>
  <c r="C74" i="26"/>
  <c r="D74" i="26"/>
  <c r="E74" i="26"/>
  <c r="G74" i="26" s="1"/>
  <c r="C75" i="26"/>
  <c r="D75" i="26"/>
  <c r="E75" i="26"/>
  <c r="C76" i="26"/>
  <c r="D76" i="26"/>
  <c r="E76" i="26"/>
  <c r="G76" i="26" s="1"/>
  <c r="C78" i="26"/>
  <c r="D78" i="26"/>
  <c r="E78" i="26"/>
  <c r="C79" i="26"/>
  <c r="E79" i="26"/>
  <c r="C80" i="26"/>
  <c r="E80" i="26"/>
  <c r="G80" i="26" s="1"/>
  <c r="C81" i="26"/>
  <c r="E81" i="26"/>
  <c r="G81" i="26"/>
  <c r="C83" i="26"/>
  <c r="D83" i="26"/>
  <c r="E83" i="26"/>
  <c r="C86" i="26"/>
  <c r="D86" i="26"/>
  <c r="E86" i="26"/>
  <c r="C87" i="26"/>
  <c r="E87" i="26"/>
  <c r="M87" i="26" s="1"/>
  <c r="C88" i="26"/>
  <c r="D88" i="26"/>
  <c r="E88" i="26"/>
  <c r="C89" i="26"/>
  <c r="D89" i="26"/>
  <c r="E89" i="26"/>
  <c r="C90" i="26"/>
  <c r="D90" i="26"/>
  <c r="M90" i="26" s="1"/>
  <c r="E90" i="26"/>
  <c r="C91" i="26"/>
  <c r="D91" i="26"/>
  <c r="E91" i="26"/>
  <c r="C92" i="26"/>
  <c r="D92" i="26"/>
  <c r="E92" i="26"/>
  <c r="C93" i="26"/>
  <c r="D93" i="26"/>
  <c r="E93" i="26"/>
  <c r="C94" i="26"/>
  <c r="D94" i="26"/>
  <c r="E94" i="26"/>
  <c r="C95" i="26"/>
  <c r="D95" i="26"/>
  <c r="E95" i="26"/>
  <c r="C96" i="26"/>
  <c r="D96" i="26"/>
  <c r="E96" i="26"/>
  <c r="C97" i="26"/>
  <c r="D97" i="26"/>
  <c r="E97" i="26"/>
  <c r="C99" i="26"/>
  <c r="D99" i="26"/>
  <c r="E99" i="26"/>
  <c r="C100" i="26"/>
  <c r="D100" i="26"/>
  <c r="E100" i="26"/>
  <c r="C101" i="26"/>
  <c r="D101" i="26"/>
  <c r="E101" i="26"/>
  <c r="C102" i="26"/>
  <c r="D102" i="26"/>
  <c r="E102" i="26"/>
  <c r="C103" i="26"/>
  <c r="D103" i="26"/>
  <c r="E103" i="26"/>
  <c r="C104" i="26"/>
  <c r="D104" i="26"/>
  <c r="E104" i="26"/>
  <c r="M104" i="26" s="1"/>
  <c r="C105" i="26"/>
  <c r="D105" i="26"/>
  <c r="E105" i="26"/>
  <c r="G105" i="26" s="1"/>
  <c r="C106" i="26"/>
  <c r="D106" i="26"/>
  <c r="E106" i="26"/>
  <c r="C108" i="26"/>
  <c r="D108" i="26"/>
  <c r="M108" i="26" s="1"/>
  <c r="E108" i="26"/>
  <c r="C109" i="26"/>
  <c r="D109" i="26"/>
  <c r="E109" i="26"/>
  <c r="M109" i="26" s="1"/>
  <c r="C110" i="26"/>
  <c r="D110" i="26"/>
  <c r="E110" i="26"/>
  <c r="F8" i="12"/>
  <c r="G8" i="12" s="1"/>
  <c r="F9" i="12"/>
  <c r="F9" i="26" s="1"/>
  <c r="H9" i="26" s="1"/>
  <c r="F10" i="12"/>
  <c r="F11" i="12"/>
  <c r="F11" i="26" s="1"/>
  <c r="F12" i="12"/>
  <c r="F13" i="12"/>
  <c r="G13" i="12" s="1"/>
  <c r="F14" i="12"/>
  <c r="G14" i="12" s="1"/>
  <c r="F15" i="12"/>
  <c r="F18" i="12"/>
  <c r="G18" i="12" s="1"/>
  <c r="D19" i="12"/>
  <c r="E19" i="12"/>
  <c r="F20" i="12"/>
  <c r="G20" i="12" s="1"/>
  <c r="F21" i="12"/>
  <c r="G21" i="12" s="1"/>
  <c r="F23" i="12"/>
  <c r="F22" i="26" s="1"/>
  <c r="H22" i="26" s="1"/>
  <c r="F25" i="12"/>
  <c r="F23" i="26" s="1"/>
  <c r="H23" i="26" s="1"/>
  <c r="F26" i="12"/>
  <c r="G26" i="12" s="1"/>
  <c r="F27" i="12"/>
  <c r="D28" i="12"/>
  <c r="E28" i="12"/>
  <c r="F31" i="12"/>
  <c r="F27" i="26" s="1"/>
  <c r="H27" i="26" s="1"/>
  <c r="F38" i="12"/>
  <c r="F41" i="12"/>
  <c r="F42" i="12"/>
  <c r="G42" i="12" s="1"/>
  <c r="F44" i="12"/>
  <c r="G44" i="12" s="1"/>
  <c r="F45" i="12"/>
  <c r="F38" i="26" s="1"/>
  <c r="F46" i="12"/>
  <c r="G46" i="12" s="1"/>
  <c r="F49" i="12"/>
  <c r="F50" i="12"/>
  <c r="G50" i="12" s="1"/>
  <c r="D51" i="12"/>
  <c r="F52" i="12"/>
  <c r="G52" i="12" s="1"/>
  <c r="F53" i="12"/>
  <c r="F44" i="26" s="1"/>
  <c r="F54" i="12"/>
  <c r="G54" i="12" s="1"/>
  <c r="F55" i="12"/>
  <c r="F56" i="12"/>
  <c r="G56" i="12" s="1"/>
  <c r="F57" i="12"/>
  <c r="F48" i="26" s="1"/>
  <c r="G48" i="26" s="1"/>
  <c r="F58" i="12"/>
  <c r="F59" i="12"/>
  <c r="F60" i="12"/>
  <c r="F51" i="26" s="1"/>
  <c r="F61" i="12"/>
  <c r="F62" i="12"/>
  <c r="F53" i="26" s="1"/>
  <c r="F63" i="12"/>
  <c r="F64" i="12"/>
  <c r="F65" i="12"/>
  <c r="F56" i="26" s="1"/>
  <c r="F66" i="12"/>
  <c r="G66" i="12" s="1"/>
  <c r="F67" i="12"/>
  <c r="F58" i="26" s="1"/>
  <c r="F68" i="12"/>
  <c r="G68" i="12" s="1"/>
  <c r="F59" i="26"/>
  <c r="N59" i="26" s="1"/>
  <c r="F73" i="12"/>
  <c r="F63" i="26" s="1"/>
  <c r="F74" i="12"/>
  <c r="F75" i="12"/>
  <c r="F65" i="26" s="1"/>
  <c r="H65" i="26" s="1"/>
  <c r="F76" i="12"/>
  <c r="F77" i="12"/>
  <c r="G77" i="12" s="1"/>
  <c r="D78" i="12"/>
  <c r="E78" i="12"/>
  <c r="F79" i="12"/>
  <c r="F80" i="12"/>
  <c r="F82" i="12"/>
  <c r="F71" i="26" s="1"/>
  <c r="H71" i="26" s="1"/>
  <c r="F84" i="12"/>
  <c r="F72" i="26" s="1"/>
  <c r="H72" i="26" s="1"/>
  <c r="F85" i="12"/>
  <c r="G85" i="12"/>
  <c r="E86" i="12"/>
  <c r="F87" i="12"/>
  <c r="G87" i="12" s="1"/>
  <c r="F88" i="12"/>
  <c r="F75" i="26" s="1"/>
  <c r="H75" i="26" s="1"/>
  <c r="D89" i="12"/>
  <c r="E89" i="12"/>
  <c r="F90" i="12"/>
  <c r="F92" i="12"/>
  <c r="G92" i="12" s="1"/>
  <c r="F164" i="12"/>
  <c r="E36" i="27" s="1"/>
  <c r="F79" i="26"/>
  <c r="H79" i="26" s="1"/>
  <c r="F98" i="12"/>
  <c r="G98" i="12" s="1"/>
  <c r="F101" i="12"/>
  <c r="F102" i="12"/>
  <c r="G102" i="12" s="1"/>
  <c r="F104" i="12"/>
  <c r="F105" i="12"/>
  <c r="F89" i="26" s="1"/>
  <c r="F106" i="12"/>
  <c r="G106" i="12" s="1"/>
  <c r="F107" i="12"/>
  <c r="G107" i="12" s="1"/>
  <c r="F108" i="12"/>
  <c r="G108" i="12" s="1"/>
  <c r="F109" i="12"/>
  <c r="G109" i="12" s="1"/>
  <c r="F110" i="12"/>
  <c r="G110" i="12" s="1"/>
  <c r="F111" i="12"/>
  <c r="G111" i="12" s="1"/>
  <c r="F112" i="12"/>
  <c r="F113" i="12"/>
  <c r="F97" i="26" s="1"/>
  <c r="G113" i="12"/>
  <c r="F116" i="12"/>
  <c r="F117" i="12" s="1"/>
  <c r="D117" i="12"/>
  <c r="E117" i="12"/>
  <c r="F118" i="12"/>
  <c r="F119" i="12"/>
  <c r="G119" i="12"/>
  <c r="F120" i="12"/>
  <c r="G120" i="12" s="1"/>
  <c r="F121" i="12"/>
  <c r="F122" i="12"/>
  <c r="G122" i="12" s="1"/>
  <c r="D123" i="12"/>
  <c r="E123" i="12"/>
  <c r="F124" i="12"/>
  <c r="F125" i="12"/>
  <c r="F106" i="26" s="1"/>
  <c r="F265" i="12"/>
  <c r="F17" i="65" s="1"/>
  <c r="G127" i="12"/>
  <c r="F109" i="26"/>
  <c r="H109" i="26" s="1"/>
  <c r="F133" i="12"/>
  <c r="E7" i="27" s="1"/>
  <c r="G7" i="27" s="1"/>
  <c r="F134" i="12"/>
  <c r="G134" i="12"/>
  <c r="F135" i="12"/>
  <c r="E9" i="27" s="1"/>
  <c r="G9" i="27" s="1"/>
  <c r="F136" i="12"/>
  <c r="F138" i="12"/>
  <c r="E12" i="27" s="1"/>
  <c r="F139" i="12"/>
  <c r="E13" i="27" s="1"/>
  <c r="G13" i="27" s="1"/>
  <c r="F140" i="12"/>
  <c r="E14" i="27" s="1"/>
  <c r="F142" i="12"/>
  <c r="F143" i="12"/>
  <c r="E16" i="27" s="1"/>
  <c r="G16" i="27" s="1"/>
  <c r="F144" i="12"/>
  <c r="G144" i="12" s="1"/>
  <c r="F145" i="12"/>
  <c r="F146" i="12"/>
  <c r="F147" i="12"/>
  <c r="E20" i="27" s="1"/>
  <c r="F148" i="12"/>
  <c r="E21" i="27" s="1"/>
  <c r="F149" i="12"/>
  <c r="F153" i="12"/>
  <c r="G153" i="12" s="1"/>
  <c r="F152" i="12"/>
  <c r="G152" i="12" s="1"/>
  <c r="F151" i="12"/>
  <c r="E25" i="27" s="1"/>
  <c r="F154" i="12"/>
  <c r="E26" i="27" s="1"/>
  <c r="F155" i="12"/>
  <c r="G155" i="12" s="1"/>
  <c r="F156" i="12"/>
  <c r="G156" i="12" s="1"/>
  <c r="F157" i="12"/>
  <c r="G157" i="12" s="1"/>
  <c r="F158" i="12"/>
  <c r="E31" i="27" s="1"/>
  <c r="G31" i="27" s="1"/>
  <c r="F159" i="12"/>
  <c r="E32" i="27" s="1"/>
  <c r="F160" i="12"/>
  <c r="E33" i="27" s="1"/>
  <c r="F162" i="12"/>
  <c r="F166" i="12"/>
  <c r="F167" i="12"/>
  <c r="F168" i="12"/>
  <c r="E39" i="27" s="1"/>
  <c r="D169" i="12"/>
  <c r="E169" i="12"/>
  <c r="F171" i="12"/>
  <c r="F172" i="12"/>
  <c r="E42" i="27" s="1"/>
  <c r="F173" i="12"/>
  <c r="G173" i="12" s="1"/>
  <c r="F174" i="12"/>
  <c r="F177" i="12"/>
  <c r="F178" i="12"/>
  <c r="G178" i="12" s="1"/>
  <c r="F179" i="12"/>
  <c r="E49" i="27" s="1"/>
  <c r="F180" i="12"/>
  <c r="E50" i="27" s="1"/>
  <c r="G50" i="27" s="1"/>
  <c r="F183" i="12"/>
  <c r="G183" i="12" s="1"/>
  <c r="F185" i="12"/>
  <c r="E54" i="27" s="1"/>
  <c r="F186" i="12"/>
  <c r="F187" i="12"/>
  <c r="F188" i="12"/>
  <c r="F190" i="12" s="1"/>
  <c r="F193" i="12"/>
  <c r="F195" i="12"/>
  <c r="F196" i="12"/>
  <c r="G196" i="12"/>
  <c r="F197" i="12"/>
  <c r="F198" i="12"/>
  <c r="F200" i="12"/>
  <c r="G200" i="12" s="1"/>
  <c r="F201" i="12"/>
  <c r="G201" i="12" s="1"/>
  <c r="F202" i="12"/>
  <c r="F15" i="28" s="1"/>
  <c r="F203" i="12"/>
  <c r="G203" i="12" s="1"/>
  <c r="F204" i="12"/>
  <c r="G204" i="12" s="1"/>
  <c r="F205" i="12"/>
  <c r="G205" i="12" s="1"/>
  <c r="F208" i="12"/>
  <c r="G208" i="12" s="1"/>
  <c r="F209" i="12"/>
  <c r="F211" i="12"/>
  <c r="G211" i="12" s="1"/>
  <c r="F214" i="12"/>
  <c r="F215" i="12"/>
  <c r="F216" i="12"/>
  <c r="F219" i="12"/>
  <c r="G219" i="12" s="1"/>
  <c r="F221" i="12"/>
  <c r="F224" i="12"/>
  <c r="F34" i="28" s="1"/>
  <c r="H34" i="28" s="1"/>
  <c r="F225" i="12"/>
  <c r="G225" i="12" s="1"/>
  <c r="F35" i="28"/>
  <c r="H35" i="28" s="1"/>
  <c r="F226" i="12"/>
  <c r="F36" i="28" s="1"/>
  <c r="H36" i="28" s="1"/>
  <c r="F227" i="12"/>
  <c r="F37" i="28" s="1"/>
  <c r="F228" i="12"/>
  <c r="G228" i="12" s="1"/>
  <c r="F231" i="12"/>
  <c r="F232" i="12"/>
  <c r="F233" i="12"/>
  <c r="F42" i="28" s="1"/>
  <c r="H42" i="28" s="1"/>
  <c r="D234" i="12"/>
  <c r="E234" i="12"/>
  <c r="F235" i="12"/>
  <c r="F43" i="28" s="1"/>
  <c r="F236" i="12"/>
  <c r="D237" i="12"/>
  <c r="E237" i="12"/>
  <c r="F239" i="12"/>
  <c r="G239" i="12" s="1"/>
  <c r="G240" i="12" s="1"/>
  <c r="D240" i="12"/>
  <c r="E240" i="12"/>
  <c r="F241" i="12"/>
  <c r="F47" i="28" s="1"/>
  <c r="F242" i="12"/>
  <c r="F243" i="12"/>
  <c r="F49" i="28" s="1"/>
  <c r="H49" i="28" s="1"/>
  <c r="D244" i="12"/>
  <c r="E244" i="12"/>
  <c r="F245" i="12"/>
  <c r="F50" i="28" s="1"/>
  <c r="H50" i="28" s="1"/>
  <c r="F246" i="12"/>
  <c r="G246" i="12" s="1"/>
  <c r="F247" i="12"/>
  <c r="G247" i="12" s="1"/>
  <c r="F248" i="12"/>
  <c r="D249" i="12"/>
  <c r="E249" i="12"/>
  <c r="F250" i="12"/>
  <c r="F54" i="28" s="1"/>
  <c r="H54" i="28" s="1"/>
  <c r="D251" i="12"/>
  <c r="E251" i="12"/>
  <c r="F254" i="12"/>
  <c r="F7" i="65" s="1"/>
  <c r="H7" i="65" s="1"/>
  <c r="F255" i="12"/>
  <c r="F256" i="12"/>
  <c r="F9" i="65" s="1"/>
  <c r="H9" i="65" s="1"/>
  <c r="F257" i="12"/>
  <c r="G257" i="12" s="1"/>
  <c r="F258" i="12"/>
  <c r="F11" i="65" s="1"/>
  <c r="F259" i="12"/>
  <c r="F12" i="65" s="1"/>
  <c r="D260" i="12"/>
  <c r="E260" i="12"/>
  <c r="F261" i="12"/>
  <c r="F13" i="65" s="1"/>
  <c r="F262" i="12"/>
  <c r="G262" i="12" s="1"/>
  <c r="F263" i="12"/>
  <c r="F264" i="12"/>
  <c r="F266" i="12"/>
  <c r="G266" i="12" s="1"/>
  <c r="F267" i="12"/>
  <c r="F268" i="12"/>
  <c r="F20" i="65" s="1"/>
  <c r="F269" i="12"/>
  <c r="F270" i="12"/>
  <c r="G270" i="12" s="1"/>
  <c r="F275" i="12"/>
  <c r="F276" i="12"/>
  <c r="G276" i="12" s="1"/>
  <c r="F277" i="12"/>
  <c r="G277" i="12" s="1"/>
  <c r="F278" i="12"/>
  <c r="F279" i="12"/>
  <c r="F11" i="51" s="1"/>
  <c r="H11" i="51" s="1"/>
  <c r="F280" i="12"/>
  <c r="F281" i="12"/>
  <c r="F282" i="12"/>
  <c r="F14" i="51" s="1"/>
  <c r="H14" i="51" s="1"/>
  <c r="F283" i="12"/>
  <c r="F15" i="51" s="1"/>
  <c r="H15" i="51" s="1"/>
  <c r="F284" i="12"/>
  <c r="F16" i="51" s="1"/>
  <c r="H16" i="51" s="1"/>
  <c r="F285" i="12"/>
  <c r="G285" i="12" s="1"/>
  <c r="F286" i="12"/>
  <c r="G286" i="12" s="1"/>
  <c r="F288" i="12"/>
  <c r="G288" i="12" s="1"/>
  <c r="F289" i="12"/>
  <c r="G289" i="12" s="1"/>
  <c r="F290" i="12"/>
  <c r="F22" i="51" s="1"/>
  <c r="H22" i="51" s="1"/>
  <c r="F292" i="12"/>
  <c r="F24" i="51" s="1"/>
  <c r="F293" i="12"/>
  <c r="G293" i="12" s="1"/>
  <c r="F294" i="12"/>
  <c r="F295" i="12"/>
  <c r="F296" i="12"/>
  <c r="F28" i="51" s="1"/>
  <c r="H28" i="51" s="1"/>
  <c r="F297" i="12"/>
  <c r="G297" i="12" s="1"/>
  <c r="F298" i="12"/>
  <c r="G298" i="12" s="1"/>
  <c r="F299" i="12"/>
  <c r="G299" i="12" s="1"/>
  <c r="F300" i="12"/>
  <c r="G300" i="12" s="1"/>
  <c r="F301" i="12"/>
  <c r="F302" i="12"/>
  <c r="G302" i="12" s="1"/>
  <c r="F303" i="12"/>
  <c r="F304" i="12"/>
  <c r="F36" i="51" s="1"/>
  <c r="F307" i="12"/>
  <c r="F39" i="51" s="1"/>
  <c r="F308" i="12"/>
  <c r="F309" i="12"/>
  <c r="G309" i="12" s="1"/>
  <c r="F310" i="12"/>
  <c r="G310" i="12" s="1"/>
  <c r="F311" i="12"/>
  <c r="F312" i="12"/>
  <c r="F313" i="12"/>
  <c r="F314" i="12"/>
  <c r="G314" i="12" s="1"/>
  <c r="F322" i="12"/>
  <c r="F54" i="51" s="1"/>
  <c r="H54" i="51" s="1"/>
  <c r="F323" i="12"/>
  <c r="F55" i="51" s="1"/>
  <c r="H55" i="51" s="1"/>
  <c r="F324" i="12"/>
  <c r="G324" i="12" s="1"/>
  <c r="F325" i="12"/>
  <c r="G325" i="12" s="1"/>
  <c r="F326" i="12"/>
  <c r="F327" i="12"/>
  <c r="F59" i="51" s="1"/>
  <c r="H59" i="51" s="1"/>
  <c r="F328" i="12"/>
  <c r="G328" i="12" s="1"/>
  <c r="F329" i="12"/>
  <c r="F61" i="51" s="1"/>
  <c r="J61" i="51" s="1"/>
  <c r="F330" i="12"/>
  <c r="F62" i="51" s="1"/>
  <c r="H62" i="51" s="1"/>
  <c r="F331" i="12"/>
  <c r="G331" i="12" s="1"/>
  <c r="F332" i="12"/>
  <c r="F64" i="51" s="1"/>
  <c r="F333" i="12"/>
  <c r="G333" i="12" s="1"/>
  <c r="F334" i="12"/>
  <c r="F335" i="12"/>
  <c r="G335" i="12" s="1"/>
  <c r="F336" i="12"/>
  <c r="F68" i="51" s="1"/>
  <c r="F337" i="12"/>
  <c r="F338" i="12"/>
  <c r="G338" i="12" s="1"/>
  <c r="F339" i="12"/>
  <c r="F71" i="51" s="1"/>
  <c r="F340" i="12"/>
  <c r="G340" i="12" s="1"/>
  <c r="F341" i="12"/>
  <c r="F73" i="51" s="1"/>
  <c r="F342" i="12"/>
  <c r="F343" i="12"/>
  <c r="G343" i="12" s="1"/>
  <c r="F345" i="12"/>
  <c r="F346" i="12"/>
  <c r="F347" i="12"/>
  <c r="F348" i="12"/>
  <c r="G348" i="12" s="1"/>
  <c r="F349" i="12"/>
  <c r="F80" i="51" s="1"/>
  <c r="F350" i="12"/>
  <c r="G350" i="12" s="1"/>
  <c r="F351" i="12"/>
  <c r="F82" i="51" s="1"/>
  <c r="H82" i="51" s="1"/>
  <c r="F352" i="12"/>
  <c r="G352" i="12" s="1"/>
  <c r="F353" i="12"/>
  <c r="G353" i="12" s="1"/>
  <c r="F354" i="12"/>
  <c r="F316" i="12"/>
  <c r="G316" i="12" s="1"/>
  <c r="F317" i="12"/>
  <c r="F49" i="51" s="1"/>
  <c r="J49" i="51" s="1"/>
  <c r="F318" i="12"/>
  <c r="G318" i="12" s="1"/>
  <c r="F319" i="12"/>
  <c r="G319" i="12" s="1"/>
  <c r="F320" i="12"/>
  <c r="F52" i="51" s="1"/>
  <c r="F355" i="12"/>
  <c r="G355" i="12" s="1"/>
  <c r="F321" i="12"/>
  <c r="G73" i="1"/>
  <c r="L73" i="1" s="1"/>
  <c r="V74" i="4"/>
  <c r="E51" i="31"/>
  <c r="I51" i="31" s="1"/>
  <c r="M51" i="31" s="1"/>
  <c r="K40" i="31"/>
  <c r="K32" i="31"/>
  <c r="G70" i="1"/>
  <c r="L70" i="1" s="1"/>
  <c r="C49" i="4"/>
  <c r="C68" i="3"/>
  <c r="C67" i="3" s="1"/>
  <c r="C24" i="31"/>
  <c r="C23" i="31" s="1"/>
  <c r="I35" i="31"/>
  <c r="P51" i="51"/>
  <c r="P52" i="51"/>
  <c r="C29" i="4"/>
  <c r="V29" i="4" s="1"/>
  <c r="C39" i="4"/>
  <c r="V39" i="4" s="1"/>
  <c r="C38" i="4"/>
  <c r="C51" i="4"/>
  <c r="N73" i="4"/>
  <c r="C63" i="20"/>
  <c r="P32" i="51"/>
  <c r="G35" i="63"/>
  <c r="F51" i="20"/>
  <c r="G57" i="63"/>
  <c r="T78" i="4"/>
  <c r="G71" i="1"/>
  <c r="L71" i="1" s="1"/>
  <c r="G74" i="1"/>
  <c r="L74" i="1" s="1"/>
  <c r="F30" i="26"/>
  <c r="H30" i="26" s="1"/>
  <c r="F81" i="26"/>
  <c r="P26" i="51"/>
  <c r="P20" i="51"/>
  <c r="P25" i="51"/>
  <c r="P24" i="51"/>
  <c r="O49" i="51"/>
  <c r="O53" i="51"/>
  <c r="O50" i="51"/>
  <c r="O48" i="51"/>
  <c r="P19" i="51"/>
  <c r="O32" i="51"/>
  <c r="O18" i="51"/>
  <c r="M29" i="31"/>
  <c r="C28" i="3" s="1"/>
  <c r="M62" i="31"/>
  <c r="C42" i="3"/>
  <c r="H41" i="1"/>
  <c r="L41" i="1" s="1"/>
  <c r="I69" i="31"/>
  <c r="I68" i="31" s="1"/>
  <c r="I66" i="31" s="1"/>
  <c r="C73" i="3"/>
  <c r="D72" i="3" s="1"/>
  <c r="D15" i="10" s="1"/>
  <c r="F62" i="1"/>
  <c r="M26" i="31"/>
  <c r="C25" i="3" s="1"/>
  <c r="H27" i="1" s="1"/>
  <c r="I40" i="31"/>
  <c r="H60" i="1"/>
  <c r="E35" i="31"/>
  <c r="M35" i="31" s="1"/>
  <c r="C34" i="3" s="1"/>
  <c r="H36" i="1" s="1"/>
  <c r="L36" i="1" s="1"/>
  <c r="N59" i="4"/>
  <c r="J45" i="4"/>
  <c r="E76" i="1"/>
  <c r="H49" i="1"/>
  <c r="L49" i="1" s="1"/>
  <c r="G19" i="63"/>
  <c r="D76" i="1"/>
  <c r="F28" i="26"/>
  <c r="H28" i="26" s="1"/>
  <c r="F33" i="26"/>
  <c r="H33" i="26" s="1"/>
  <c r="G94" i="12"/>
  <c r="F80" i="26"/>
  <c r="H80" i="26" s="1"/>
  <c r="F87" i="51"/>
  <c r="G87" i="51" s="1"/>
  <c r="G11" i="12"/>
  <c r="F43" i="26"/>
  <c r="G217" i="12"/>
  <c r="G114" i="12"/>
  <c r="E24" i="27"/>
  <c r="G24" i="27" s="1"/>
  <c r="G154" i="12"/>
  <c r="G168" i="12"/>
  <c r="G91" i="12"/>
  <c r="G290" i="12"/>
  <c r="F46" i="28"/>
  <c r="H46" i="28" s="1"/>
  <c r="F25" i="28"/>
  <c r="G162" i="12"/>
  <c r="G254" i="12"/>
  <c r="G124" i="12"/>
  <c r="F57" i="51"/>
  <c r="J57" i="51" s="1"/>
  <c r="G143" i="12"/>
  <c r="F23" i="51"/>
  <c r="M23" i="65"/>
  <c r="F56" i="51"/>
  <c r="F94" i="26"/>
  <c r="E46" i="27"/>
  <c r="G46" i="27" s="1"/>
  <c r="G202" i="12"/>
  <c r="F21" i="51"/>
  <c r="G21" i="51" s="1"/>
  <c r="F90" i="26"/>
  <c r="G90" i="26" s="1"/>
  <c r="G351" i="12"/>
  <c r="E8" i="27"/>
  <c r="G8" i="27" s="1"/>
  <c r="F30" i="51"/>
  <c r="G245" i="12"/>
  <c r="G320" i="12"/>
  <c r="G60" i="12"/>
  <c r="F105" i="26"/>
  <c r="F81" i="51"/>
  <c r="H81" i="51" s="1"/>
  <c r="F8" i="65"/>
  <c r="H8" i="65" s="1"/>
  <c r="F79" i="51"/>
  <c r="H79" i="51" s="1"/>
  <c r="G62" i="26"/>
  <c r="K62" i="26" s="1"/>
  <c r="L62" i="26" s="1"/>
  <c r="R62" i="26" s="1"/>
  <c r="M50" i="51"/>
  <c r="G255" i="12"/>
  <c r="G304" i="12"/>
  <c r="H62" i="26"/>
  <c r="H113" i="26" s="1"/>
  <c r="I13" i="71" s="1"/>
  <c r="F67" i="26"/>
  <c r="G53" i="12"/>
  <c r="F48" i="28"/>
  <c r="F9" i="51"/>
  <c r="H9" i="51" s="1"/>
  <c r="G14" i="27"/>
  <c r="G180" i="12"/>
  <c r="G38" i="12"/>
  <c r="M62" i="26"/>
  <c r="M113" i="26" s="1"/>
  <c r="M13" i="71" s="1"/>
  <c r="F101" i="26"/>
  <c r="H101" i="26" s="1"/>
  <c r="G283" i="12"/>
  <c r="G339" i="12"/>
  <c r="G31" i="12"/>
  <c r="E17" i="27"/>
  <c r="G17" i="27" s="1"/>
  <c r="G41" i="12"/>
  <c r="F35" i="26"/>
  <c r="H35" i="26" s="1"/>
  <c r="F47" i="26"/>
  <c r="E28" i="27"/>
  <c r="G28" i="27" s="1"/>
  <c r="F92" i="26"/>
  <c r="H92" i="26" s="1"/>
  <c r="F19" i="26"/>
  <c r="H19" i="26" s="1"/>
  <c r="F39" i="26"/>
  <c r="E23" i="27"/>
  <c r="G23" i="27" s="1"/>
  <c r="F27" i="28"/>
  <c r="F48" i="20"/>
  <c r="N27" i="4"/>
  <c r="L17" i="27"/>
  <c r="H98" i="26"/>
  <c r="H114" i="26" s="1"/>
  <c r="I12" i="71" s="1"/>
  <c r="M84" i="26"/>
  <c r="M52" i="26"/>
  <c r="M77" i="26"/>
  <c r="M82" i="26"/>
  <c r="M40" i="26"/>
  <c r="G82" i="26"/>
  <c r="H82" i="26"/>
  <c r="G79" i="26"/>
  <c r="G98" i="26"/>
  <c r="G114" i="26" s="1"/>
  <c r="H12" i="71" s="1"/>
  <c r="G34" i="26"/>
  <c r="H34" i="26"/>
  <c r="M86" i="26"/>
  <c r="M60" i="26"/>
  <c r="M56" i="26"/>
  <c r="M44" i="26"/>
  <c r="H105" i="26"/>
  <c r="M94" i="26"/>
  <c r="F14" i="27"/>
  <c r="L18" i="27"/>
  <c r="L55" i="27"/>
  <c r="L49" i="27"/>
  <c r="F51" i="27"/>
  <c r="J51" i="27" s="1"/>
  <c r="K51" i="27" s="1"/>
  <c r="M87" i="51"/>
  <c r="M19" i="51"/>
  <c r="M10" i="51"/>
  <c r="M39" i="51"/>
  <c r="M21" i="51"/>
  <c r="M13" i="51"/>
  <c r="N26" i="65"/>
  <c r="J26" i="65"/>
  <c r="H17" i="65"/>
  <c r="M12" i="65"/>
  <c r="M8" i="65"/>
  <c r="M12" i="28"/>
  <c r="M22" i="28"/>
  <c r="M29" i="28"/>
  <c r="G29" i="28"/>
  <c r="K29" i="28" s="1"/>
  <c r="L29" i="28" s="1"/>
  <c r="O29" i="28" s="1"/>
  <c r="F10" i="28"/>
  <c r="H10" i="28" s="1"/>
  <c r="L43" i="27"/>
  <c r="F108" i="26"/>
  <c r="F73" i="26"/>
  <c r="F57" i="26"/>
  <c r="M43" i="28"/>
  <c r="G250" i="12"/>
  <c r="G251" i="12" s="1"/>
  <c r="G148" i="12"/>
  <c r="E11" i="27"/>
  <c r="G81" i="12"/>
  <c r="F14" i="65"/>
  <c r="C59" i="27"/>
  <c r="D18" i="71" s="1"/>
  <c r="M33" i="28"/>
  <c r="H33" i="28"/>
  <c r="H37" i="28"/>
  <c r="G45" i="27"/>
  <c r="F102" i="26"/>
  <c r="H102" i="26" s="1"/>
  <c r="F95" i="26"/>
  <c r="G322" i="12"/>
  <c r="F45" i="26"/>
  <c r="H45" i="26" s="1"/>
  <c r="G175" i="12"/>
  <c r="M16" i="65"/>
  <c r="M24" i="65" s="1"/>
  <c r="M26" i="71" s="1"/>
  <c r="G194" i="12"/>
  <c r="G128" i="12"/>
  <c r="F36" i="26"/>
  <c r="H36" i="26" s="1"/>
  <c r="G140" i="12"/>
  <c r="G341" i="12"/>
  <c r="F34" i="12"/>
  <c r="M15" i="65"/>
  <c r="G182" i="12"/>
  <c r="G181" i="12"/>
  <c r="G222" i="12"/>
  <c r="F13" i="28"/>
  <c r="H13" i="28" s="1"/>
  <c r="F78" i="26"/>
  <c r="H78" i="26" s="1"/>
  <c r="E35" i="27"/>
  <c r="G35" i="27" s="1"/>
  <c r="J35" i="27" s="1"/>
  <c r="K35" i="27" s="1"/>
  <c r="N35" i="27" s="1"/>
  <c r="M31" i="28"/>
  <c r="F48" i="51"/>
  <c r="G48" i="51" s="1"/>
  <c r="L20" i="27"/>
  <c r="K76" i="1"/>
  <c r="C56" i="3"/>
  <c r="G67" i="1"/>
  <c r="L67" i="1" s="1"/>
  <c r="G101" i="12"/>
  <c r="F86" i="26"/>
  <c r="G86" i="26" s="1"/>
  <c r="G45" i="26"/>
  <c r="E55" i="27"/>
  <c r="F55" i="27" s="1"/>
  <c r="G186" i="12"/>
  <c r="F20" i="51"/>
  <c r="G20" i="51" s="1"/>
  <c r="G264" i="12"/>
  <c r="F16" i="65"/>
  <c r="G44" i="26"/>
  <c r="G263" i="12"/>
  <c r="F15" i="65"/>
  <c r="H15" i="65" s="1"/>
  <c r="M51" i="26"/>
  <c r="G235" i="12"/>
  <c r="G10" i="12"/>
  <c r="F10" i="26"/>
  <c r="G275" i="12"/>
  <c r="F7" i="51"/>
  <c r="E48" i="27"/>
  <c r="F48" i="27" s="1"/>
  <c r="G7" i="65"/>
  <c r="K7" i="65" s="1"/>
  <c r="L7" i="65" s="1"/>
  <c r="M46" i="31"/>
  <c r="E45" i="31"/>
  <c r="E44" i="31" s="1"/>
  <c r="I44" i="31" s="1"/>
  <c r="I43" i="31" s="1"/>
  <c r="I42" i="31" s="1"/>
  <c r="G242" i="12"/>
  <c r="G64" i="12"/>
  <c r="F55" i="26"/>
  <c r="N55" i="26" s="1"/>
  <c r="G307" i="12"/>
  <c r="E56" i="27"/>
  <c r="G187" i="12"/>
  <c r="F87" i="26"/>
  <c r="G138" i="12"/>
  <c r="J48" i="26"/>
  <c r="K48" i="26" s="1"/>
  <c r="L48" i="26" s="1"/>
  <c r="M79" i="26"/>
  <c r="G265" i="12"/>
  <c r="G189" i="12"/>
  <c r="E58" i="27"/>
  <c r="G58" i="27" s="1"/>
  <c r="F21" i="26"/>
  <c r="G22" i="12"/>
  <c r="F26" i="26"/>
  <c r="F107" i="26"/>
  <c r="H107" i="26" s="1"/>
  <c r="K107" i="26" s="1"/>
  <c r="L107" i="26" s="1"/>
  <c r="R107" i="26" s="1"/>
  <c r="G306" i="12"/>
  <c r="F7" i="27"/>
  <c r="G73" i="26"/>
  <c r="H73" i="26"/>
  <c r="H48" i="51"/>
  <c r="H7" i="51"/>
  <c r="F58" i="27"/>
  <c r="G48" i="27"/>
  <c r="J48" i="27" s="1"/>
  <c r="K48" i="27" s="1"/>
  <c r="H10" i="26"/>
  <c r="N51" i="27"/>
  <c r="M37" i="51"/>
  <c r="M89" i="51" s="1"/>
  <c r="M29" i="71" s="1"/>
  <c r="M7" i="51"/>
  <c r="M36" i="51"/>
  <c r="M31" i="51"/>
  <c r="M15" i="51"/>
  <c r="G15" i="51"/>
  <c r="M9" i="51"/>
  <c r="M43" i="51"/>
  <c r="O36" i="51"/>
  <c r="M30" i="51"/>
  <c r="G49" i="51"/>
  <c r="K49" i="51" s="1"/>
  <c r="L49" i="51" s="1"/>
  <c r="M79" i="51"/>
  <c r="O44" i="51"/>
  <c r="O30" i="51"/>
  <c r="M22" i="51"/>
  <c r="M49" i="51"/>
  <c r="M84" i="51"/>
  <c r="M48" i="51"/>
  <c r="M23" i="51"/>
  <c r="M76" i="51"/>
  <c r="M57" i="51"/>
  <c r="M17" i="51"/>
  <c r="M51" i="51"/>
  <c r="M70" i="51"/>
  <c r="M34" i="51"/>
  <c r="D88" i="51"/>
  <c r="D30" i="71" s="1"/>
  <c r="M54" i="51"/>
  <c r="M26" i="51"/>
  <c r="M42" i="51"/>
  <c r="O88" i="51"/>
  <c r="H106" i="26"/>
  <c r="L57" i="27"/>
  <c r="L42" i="27"/>
  <c r="L38" i="27"/>
  <c r="E43" i="31"/>
  <c r="E42" i="31" s="1"/>
  <c r="G125" i="12"/>
  <c r="G28" i="26"/>
  <c r="H30" i="1"/>
  <c r="L30" i="1" s="1"/>
  <c r="F50" i="27"/>
  <c r="J50" i="27" s="1"/>
  <c r="K50" i="27" s="1"/>
  <c r="F11" i="28"/>
  <c r="H11" i="28" s="1"/>
  <c r="G197" i="12"/>
  <c r="H77" i="26"/>
  <c r="K77" i="26" s="1"/>
  <c r="L77" i="26" s="1"/>
  <c r="H86" i="26"/>
  <c r="F21" i="28"/>
  <c r="H21" i="28" s="1"/>
  <c r="F32" i="28"/>
  <c r="H32" i="28" s="1"/>
  <c r="G221" i="12"/>
  <c r="G23" i="26"/>
  <c r="M23" i="26"/>
  <c r="G327" i="12"/>
  <c r="G241" i="12"/>
  <c r="F251" i="12"/>
  <c r="M49" i="26"/>
  <c r="H67" i="26"/>
  <c r="M20" i="65"/>
  <c r="G11" i="51"/>
  <c r="H25" i="28"/>
  <c r="K25" i="28" s="1"/>
  <c r="L25" i="28" s="1"/>
  <c r="H81" i="26"/>
  <c r="G303" i="12"/>
  <c r="F35" i="51"/>
  <c r="H35" i="51" s="1"/>
  <c r="G295" i="12"/>
  <c r="F27" i="51"/>
  <c r="H27" i="51" s="1"/>
  <c r="G171" i="12"/>
  <c r="E41" i="27"/>
  <c r="G41" i="27" s="1"/>
  <c r="G36" i="27"/>
  <c r="J36" i="27" s="1"/>
  <c r="K36" i="27" s="1"/>
  <c r="H8" i="28"/>
  <c r="C58" i="3"/>
  <c r="I61" i="31"/>
  <c r="L53" i="1"/>
  <c r="M93" i="26"/>
  <c r="M12" i="31"/>
  <c r="M45" i="51"/>
  <c r="G37" i="51"/>
  <c r="G89" i="51" s="1"/>
  <c r="H29" i="71" s="1"/>
  <c r="N90" i="51"/>
  <c r="N28" i="71" s="1"/>
  <c r="N31" i="71" s="1"/>
  <c r="N45" i="71" s="1"/>
  <c r="H14" i="69" s="1"/>
  <c r="L15" i="4" s="1"/>
  <c r="K44" i="31"/>
  <c r="M44" i="31" s="1"/>
  <c r="G43" i="31"/>
  <c r="P37" i="51"/>
  <c r="N52" i="4"/>
  <c r="C64" i="20"/>
  <c r="G305" i="12"/>
  <c r="F20" i="28"/>
  <c r="G20" i="28" s="1"/>
  <c r="F23" i="28"/>
  <c r="H23" i="28" s="1"/>
  <c r="E73" i="20"/>
  <c r="F73" i="20" s="1"/>
  <c r="H86" i="4"/>
  <c r="M43" i="31"/>
  <c r="G59" i="51"/>
  <c r="H80" i="51" l="1"/>
  <c r="G80" i="51"/>
  <c r="G236" i="12"/>
  <c r="G237" i="12" s="1"/>
  <c r="F237" i="12"/>
  <c r="G63" i="12"/>
  <c r="F54" i="26"/>
  <c r="G66" i="26"/>
  <c r="G282" i="12"/>
  <c r="F44" i="28"/>
  <c r="H44" i="28" s="1"/>
  <c r="F18" i="51"/>
  <c r="H18" i="51" s="1"/>
  <c r="G95" i="26"/>
  <c r="K95" i="26" s="1"/>
  <c r="L95" i="26" s="1"/>
  <c r="R95" i="26" s="1"/>
  <c r="M20" i="26"/>
  <c r="F45" i="51"/>
  <c r="H45" i="51" s="1"/>
  <c r="G313" i="12"/>
  <c r="F26" i="28"/>
  <c r="H26" i="28" s="1"/>
  <c r="G214" i="12"/>
  <c r="G142" i="12"/>
  <c r="E15" i="27"/>
  <c r="G15" i="27" s="1"/>
  <c r="O83" i="51"/>
  <c r="P83" i="51"/>
  <c r="O15" i="51"/>
  <c r="P15" i="51"/>
  <c r="G278" i="12"/>
  <c r="F10" i="51"/>
  <c r="F64" i="26"/>
  <c r="G74" i="12"/>
  <c r="F32" i="26"/>
  <c r="H32" i="26" s="1"/>
  <c r="F43" i="12"/>
  <c r="F18" i="26"/>
  <c r="F19" i="12"/>
  <c r="F12" i="26"/>
  <c r="H12" i="26" s="1"/>
  <c r="G12" i="12"/>
  <c r="G87" i="26"/>
  <c r="G243" i="12"/>
  <c r="G308" i="12"/>
  <c r="F40" i="51"/>
  <c r="H40" i="51" s="1"/>
  <c r="G294" i="12"/>
  <c r="F26" i="51"/>
  <c r="H26" i="51" s="1"/>
  <c r="F103" i="26"/>
  <c r="G121" i="12"/>
  <c r="F100" i="26"/>
  <c r="H100" i="26" s="1"/>
  <c r="G118" i="12"/>
  <c r="G79" i="12"/>
  <c r="F68" i="26"/>
  <c r="H68" i="26" s="1"/>
  <c r="F66" i="26"/>
  <c r="H66" i="26" s="1"/>
  <c r="G76" i="12"/>
  <c r="H44" i="26"/>
  <c r="K44" i="26" s="1"/>
  <c r="L44" i="26" s="1"/>
  <c r="N44" i="26"/>
  <c r="G106" i="26"/>
  <c r="G35" i="26"/>
  <c r="M35" i="26"/>
  <c r="F29" i="26"/>
  <c r="G33" i="12"/>
  <c r="F39" i="28"/>
  <c r="G229" i="12"/>
  <c r="G29" i="12"/>
  <c r="G30" i="12" s="1"/>
  <c r="F30" i="12"/>
  <c r="G26" i="26"/>
  <c r="M26" i="26"/>
  <c r="L52" i="27"/>
  <c r="F52" i="27"/>
  <c r="J52" i="27" s="1"/>
  <c r="K52" i="27" s="1"/>
  <c r="N52" i="27" s="1"/>
  <c r="K11" i="28"/>
  <c r="L11" i="28" s="1"/>
  <c r="E116" i="26"/>
  <c r="H16" i="65"/>
  <c r="H24" i="65" s="1"/>
  <c r="I26" i="71" s="1"/>
  <c r="F24" i="65"/>
  <c r="F26" i="71" s="1"/>
  <c r="G26" i="71" s="1"/>
  <c r="G82" i="12"/>
  <c r="G227" i="12"/>
  <c r="M74" i="26"/>
  <c r="H95" i="26"/>
  <c r="H55" i="26"/>
  <c r="K73" i="26"/>
  <c r="L73" i="26" s="1"/>
  <c r="F244" i="12"/>
  <c r="C45" i="3"/>
  <c r="M45" i="31"/>
  <c r="F32" i="51"/>
  <c r="H32" i="51" s="1"/>
  <c r="G349" i="12"/>
  <c r="G159" i="12"/>
  <c r="F50" i="51"/>
  <c r="G50" i="51" s="1"/>
  <c r="G336" i="12"/>
  <c r="E53" i="27"/>
  <c r="G53" i="27" s="1"/>
  <c r="F18" i="65"/>
  <c r="F66" i="51"/>
  <c r="G334" i="12"/>
  <c r="F76" i="26"/>
  <c r="H76" i="26" s="1"/>
  <c r="G90" i="12"/>
  <c r="G9" i="65"/>
  <c r="K9" i="65" s="1"/>
  <c r="L9" i="65" s="1"/>
  <c r="M20" i="51"/>
  <c r="K79" i="26"/>
  <c r="L79" i="26" s="1"/>
  <c r="R79" i="26" s="1"/>
  <c r="M102" i="26"/>
  <c r="M97" i="26"/>
  <c r="M64" i="26"/>
  <c r="M57" i="26"/>
  <c r="M41" i="26"/>
  <c r="M18" i="26"/>
  <c r="K17" i="26"/>
  <c r="L17" i="26" s="1"/>
  <c r="L54" i="27"/>
  <c r="L29" i="27"/>
  <c r="L21" i="27"/>
  <c r="L13" i="27"/>
  <c r="M45" i="28"/>
  <c r="M41" i="28"/>
  <c r="M37" i="28"/>
  <c r="M36" i="28"/>
  <c r="M32" i="28"/>
  <c r="M30" i="28"/>
  <c r="M17" i="28"/>
  <c r="M16" i="28"/>
  <c r="G14" i="65"/>
  <c r="M86" i="51"/>
  <c r="M85" i="51"/>
  <c r="M81" i="51"/>
  <c r="L69" i="1"/>
  <c r="M41" i="31"/>
  <c r="M25" i="28"/>
  <c r="M29" i="26"/>
  <c r="V49" i="4"/>
  <c r="F20" i="27"/>
  <c r="M110" i="26"/>
  <c r="M100" i="26"/>
  <c r="M95" i="26"/>
  <c r="M91" i="26"/>
  <c r="M66" i="26"/>
  <c r="M59" i="26"/>
  <c r="M55" i="26"/>
  <c r="M32" i="26"/>
  <c r="M25" i="26"/>
  <c r="L34" i="27"/>
  <c r="L30" i="27"/>
  <c r="L26" i="27"/>
  <c r="L22" i="27"/>
  <c r="L8" i="27"/>
  <c r="M52" i="28"/>
  <c r="M48" i="28"/>
  <c r="M80" i="51"/>
  <c r="M75" i="51"/>
  <c r="M68" i="51"/>
  <c r="M56" i="51"/>
  <c r="M40" i="51"/>
  <c r="M32" i="51"/>
  <c r="G16" i="51"/>
  <c r="L66" i="1"/>
  <c r="L18" i="1"/>
  <c r="M30" i="31"/>
  <c r="C29" i="3" s="1"/>
  <c r="H31" i="1" s="1"/>
  <c r="L31" i="1" s="1"/>
  <c r="M19" i="31"/>
  <c r="M13" i="31"/>
  <c r="V75" i="4"/>
  <c r="H38" i="51"/>
  <c r="M38" i="51"/>
  <c r="G38" i="51"/>
  <c r="H29" i="26"/>
  <c r="G29" i="26"/>
  <c r="H66" i="51"/>
  <c r="G66" i="51"/>
  <c r="K66" i="51" s="1"/>
  <c r="L66" i="51" s="1"/>
  <c r="R66" i="51" s="1"/>
  <c r="F99" i="4"/>
  <c r="V85" i="4"/>
  <c r="F17" i="51"/>
  <c r="F60" i="26"/>
  <c r="N60" i="26" s="1"/>
  <c r="G36" i="26"/>
  <c r="K36" i="26" s="1"/>
  <c r="L36" i="26" s="1"/>
  <c r="K19" i="26"/>
  <c r="L19" i="26" s="1"/>
  <c r="F17" i="27"/>
  <c r="M11" i="28"/>
  <c r="O11" i="28" s="1"/>
  <c r="M22" i="65"/>
  <c r="M63" i="51"/>
  <c r="M46" i="51"/>
  <c r="C76" i="1"/>
  <c r="K106" i="26"/>
  <c r="L106" i="26" s="1"/>
  <c r="G36" i="28"/>
  <c r="K36" i="28" s="1"/>
  <c r="L36" i="28" s="1"/>
  <c r="O36" i="28" s="1"/>
  <c r="G18" i="51"/>
  <c r="K18" i="51" s="1"/>
  <c r="L18" i="51" s="1"/>
  <c r="G164" i="12"/>
  <c r="G332" i="12"/>
  <c r="G57" i="12"/>
  <c r="M17" i="26"/>
  <c r="F24" i="26"/>
  <c r="G172" i="12"/>
  <c r="F42" i="51"/>
  <c r="F20" i="26"/>
  <c r="H20" i="26" s="1"/>
  <c r="F86" i="12"/>
  <c r="K80" i="26"/>
  <c r="L80" i="26" s="1"/>
  <c r="K15" i="51"/>
  <c r="L15" i="51" s="1"/>
  <c r="R15" i="51" s="1"/>
  <c r="G67" i="12"/>
  <c r="M105" i="26"/>
  <c r="M45" i="26"/>
  <c r="M47" i="28"/>
  <c r="M65" i="51"/>
  <c r="M54" i="31"/>
  <c r="V33" i="4"/>
  <c r="M53" i="51"/>
  <c r="F58" i="20"/>
  <c r="E63" i="20"/>
  <c r="F63" i="20" s="1"/>
  <c r="L45" i="27"/>
  <c r="V86" i="4"/>
  <c r="K34" i="26"/>
  <c r="L34" i="26" s="1"/>
  <c r="R34" i="26" s="1"/>
  <c r="F78" i="12"/>
  <c r="M13" i="65"/>
  <c r="O34" i="51"/>
  <c r="D191" i="12"/>
  <c r="G71" i="26"/>
  <c r="G67" i="26"/>
  <c r="L45" i="1"/>
  <c r="M52" i="51"/>
  <c r="H28" i="68"/>
  <c r="E39" i="20"/>
  <c r="G61" i="51"/>
  <c r="F8" i="26"/>
  <c r="H8" i="26" s="1"/>
  <c r="H73" i="4"/>
  <c r="G139" i="12"/>
  <c r="F29" i="51"/>
  <c r="H29" i="51" s="1"/>
  <c r="F83" i="51"/>
  <c r="H83" i="51" s="1"/>
  <c r="F24" i="28"/>
  <c r="H24" i="28" s="1"/>
  <c r="K35" i="26"/>
  <c r="L35" i="26" s="1"/>
  <c r="G84" i="12"/>
  <c r="G86" i="12" s="1"/>
  <c r="F86" i="51"/>
  <c r="G223" i="12"/>
  <c r="G151" i="12"/>
  <c r="G109" i="26"/>
  <c r="K109" i="26" s="1"/>
  <c r="L109" i="26" s="1"/>
  <c r="R109" i="26" s="1"/>
  <c r="M67" i="26"/>
  <c r="M48" i="26"/>
  <c r="F24" i="27"/>
  <c r="L14" i="1"/>
  <c r="M8" i="31"/>
  <c r="C7" i="3" s="1"/>
  <c r="H10" i="1" s="1"/>
  <c r="L10" i="1" s="1"/>
  <c r="L26" i="1"/>
  <c r="F74" i="20"/>
  <c r="E77" i="20"/>
  <c r="F78" i="4"/>
  <c r="V76" i="4"/>
  <c r="D131" i="12"/>
  <c r="E112" i="26"/>
  <c r="G244" i="12"/>
  <c r="F46" i="51"/>
  <c r="G79" i="51"/>
  <c r="K79" i="51" s="1"/>
  <c r="L79" i="51" s="1"/>
  <c r="R79" i="51" s="1"/>
  <c r="H20" i="51"/>
  <c r="K20" i="51" s="1"/>
  <c r="L20" i="51" s="1"/>
  <c r="R20" i="51" s="1"/>
  <c r="N48" i="26"/>
  <c r="F8" i="51"/>
  <c r="M9" i="65"/>
  <c r="O9" i="65" s="1"/>
  <c r="K98" i="26"/>
  <c r="G226" i="12"/>
  <c r="G54" i="26"/>
  <c r="G73" i="12"/>
  <c r="G26" i="28"/>
  <c r="V62" i="4"/>
  <c r="V58" i="4"/>
  <c r="N99" i="4"/>
  <c r="V83" i="4"/>
  <c r="F18" i="28"/>
  <c r="H18" i="28" s="1"/>
  <c r="G20" i="27"/>
  <c r="G23" i="12"/>
  <c r="F37" i="26"/>
  <c r="G147" i="12"/>
  <c r="G18" i="65"/>
  <c r="G45" i="12"/>
  <c r="M57" i="31"/>
  <c r="M38" i="31"/>
  <c r="C37" i="3" s="1"/>
  <c r="H38" i="1" s="1"/>
  <c r="L38" i="1" s="1"/>
  <c r="V55" i="4"/>
  <c r="G102" i="26"/>
  <c r="K102" i="26" s="1"/>
  <c r="L102" i="26" s="1"/>
  <c r="R102" i="26" s="1"/>
  <c r="G75" i="12"/>
  <c r="K48" i="51"/>
  <c r="L48" i="51" s="1"/>
  <c r="F84" i="26"/>
  <c r="F17" i="28"/>
  <c r="H17" i="28" s="1"/>
  <c r="G9" i="12"/>
  <c r="F52" i="28"/>
  <c r="G52" i="28" s="1"/>
  <c r="F199" i="12"/>
  <c r="G103" i="26"/>
  <c r="G94" i="26"/>
  <c r="G22" i="26"/>
  <c r="L28" i="27"/>
  <c r="L23" i="27"/>
  <c r="D61" i="27"/>
  <c r="E16" i="71" s="1"/>
  <c r="G49" i="28"/>
  <c r="V59" i="4"/>
  <c r="M80" i="26"/>
  <c r="V52" i="4"/>
  <c r="G35" i="51"/>
  <c r="G21" i="28"/>
  <c r="K21" i="28" s="1"/>
  <c r="L21" i="28" s="1"/>
  <c r="H87" i="26"/>
  <c r="K87" i="26" s="1"/>
  <c r="L87" i="26" s="1"/>
  <c r="R87" i="26" s="1"/>
  <c r="K7" i="51"/>
  <c r="L7" i="51" s="1"/>
  <c r="H90" i="26"/>
  <c r="K54" i="51"/>
  <c r="L54" i="51" s="1"/>
  <c r="R54" i="51" s="1"/>
  <c r="G160" i="12"/>
  <c r="M103" i="26"/>
  <c r="M47" i="26"/>
  <c r="E61" i="31"/>
  <c r="L52" i="1"/>
  <c r="L50" i="1"/>
  <c r="R49" i="51"/>
  <c r="K43" i="31"/>
  <c r="K42" i="31" s="1"/>
  <c r="G14" i="51"/>
  <c r="K14" i="51" s="1"/>
  <c r="L14" i="51" s="1"/>
  <c r="F22" i="65"/>
  <c r="H22" i="65" s="1"/>
  <c r="G44" i="28"/>
  <c r="K44" i="28" s="1"/>
  <c r="L44" i="28" s="1"/>
  <c r="O44" i="28" s="1"/>
  <c r="F38" i="28"/>
  <c r="H38" i="28" s="1"/>
  <c r="G329" i="12"/>
  <c r="G7" i="28"/>
  <c r="K82" i="26"/>
  <c r="L82" i="26" s="1"/>
  <c r="R82" i="26" s="1"/>
  <c r="F60" i="51"/>
  <c r="E30" i="27"/>
  <c r="E29" i="27"/>
  <c r="C81" i="63"/>
  <c r="T92" i="4" s="1"/>
  <c r="V92" i="4" s="1"/>
  <c r="G259" i="12"/>
  <c r="F240" i="12"/>
  <c r="M78" i="26"/>
  <c r="M65" i="26"/>
  <c r="M58" i="26"/>
  <c r="M54" i="26"/>
  <c r="M50" i="26"/>
  <c r="K10" i="26"/>
  <c r="L10" i="26" s="1"/>
  <c r="R10" i="26" s="1"/>
  <c r="L40" i="27"/>
  <c r="M19" i="65"/>
  <c r="M14" i="65"/>
  <c r="M10" i="65"/>
  <c r="V27" i="4"/>
  <c r="E131" i="12"/>
  <c r="G19" i="12"/>
  <c r="V38" i="4"/>
  <c r="K60" i="31"/>
  <c r="M40" i="28"/>
  <c r="D90" i="51"/>
  <c r="D28" i="71" s="1"/>
  <c r="D31" i="71" s="1"/>
  <c r="D45" i="71" s="1"/>
  <c r="V34" i="4"/>
  <c r="N77" i="4"/>
  <c r="V77" i="4" s="1"/>
  <c r="C67" i="20"/>
  <c r="F42" i="20"/>
  <c r="F49" i="20"/>
  <c r="D79" i="20"/>
  <c r="G13" i="69"/>
  <c r="G13" i="8"/>
  <c r="G13" i="67"/>
  <c r="C57" i="4"/>
  <c r="V57" i="4" s="1"/>
  <c r="F12" i="5"/>
  <c r="F15" i="69"/>
  <c r="F15" i="68"/>
  <c r="F17" i="5"/>
  <c r="F67" i="20"/>
  <c r="N36" i="4"/>
  <c r="V36" i="4" s="1"/>
  <c r="G15" i="68"/>
  <c r="F16" i="68"/>
  <c r="F13" i="8"/>
  <c r="F40" i="20"/>
  <c r="F52" i="20"/>
  <c r="F41" i="20"/>
  <c r="G52" i="51"/>
  <c r="H52" i="51"/>
  <c r="H36" i="51"/>
  <c r="G36" i="51"/>
  <c r="K36" i="51" s="1"/>
  <c r="L36" i="51" s="1"/>
  <c r="K65" i="31"/>
  <c r="K69" i="31"/>
  <c r="K68" i="31" s="1"/>
  <c r="K66" i="31" s="1"/>
  <c r="H13" i="65"/>
  <c r="K13" i="65" s="1"/>
  <c r="L13" i="65" s="1"/>
  <c r="O13" i="65" s="1"/>
  <c r="H47" i="28"/>
  <c r="G47" i="28"/>
  <c r="J31" i="27"/>
  <c r="K31" i="27" s="1"/>
  <c r="K49" i="28"/>
  <c r="L49" i="28" s="1"/>
  <c r="O49" i="28" s="1"/>
  <c r="F12" i="27"/>
  <c r="L22" i="1"/>
  <c r="H42" i="1"/>
  <c r="L42" i="1" s="1"/>
  <c r="C44" i="3"/>
  <c r="G64" i="51"/>
  <c r="H64" i="51"/>
  <c r="K64" i="51" s="1"/>
  <c r="L64" i="51" s="1"/>
  <c r="R64" i="51" s="1"/>
  <c r="G12" i="27"/>
  <c r="J12" i="27" s="1"/>
  <c r="K12" i="27" s="1"/>
  <c r="O59" i="26"/>
  <c r="P59" i="26"/>
  <c r="H38" i="26"/>
  <c r="H115" i="26" s="1"/>
  <c r="I11" i="71" s="1"/>
  <c r="F115" i="26"/>
  <c r="F11" i="71" s="1"/>
  <c r="G11" i="71" s="1"/>
  <c r="K76" i="26"/>
  <c r="L76" i="26" s="1"/>
  <c r="G20" i="65"/>
  <c r="H20" i="65"/>
  <c r="F25" i="20"/>
  <c r="N28" i="4"/>
  <c r="V28" i="4" s="1"/>
  <c r="H43" i="28"/>
  <c r="G43" i="28"/>
  <c r="K43" i="28" s="1"/>
  <c r="L43" i="28" s="1"/>
  <c r="J15" i="28"/>
  <c r="J58" i="28" s="1"/>
  <c r="K21" i="71" s="1"/>
  <c r="K24" i="71" s="1"/>
  <c r="K43" i="71" s="1"/>
  <c r="G15" i="28"/>
  <c r="G75" i="26"/>
  <c r="K75" i="26" s="1"/>
  <c r="L75" i="26" s="1"/>
  <c r="R75" i="26" s="1"/>
  <c r="G54" i="27"/>
  <c r="J54" i="27" s="1"/>
  <c r="K54" i="27" s="1"/>
  <c r="N54" i="27" s="1"/>
  <c r="N31" i="4"/>
  <c r="V31" i="4" s="1"/>
  <c r="F28" i="20"/>
  <c r="H39" i="51"/>
  <c r="G39" i="51"/>
  <c r="K39" i="51" s="1"/>
  <c r="L39" i="51" s="1"/>
  <c r="R39" i="51" s="1"/>
  <c r="F25" i="27"/>
  <c r="G25" i="27"/>
  <c r="G42" i="28"/>
  <c r="K42" i="28" s="1"/>
  <c r="L42" i="28" s="1"/>
  <c r="K26" i="28"/>
  <c r="L26" i="28" s="1"/>
  <c r="D60" i="27"/>
  <c r="E17" i="71" s="1"/>
  <c r="K13" i="28"/>
  <c r="L13" i="28" s="1"/>
  <c r="G296" i="12"/>
  <c r="G59" i="26"/>
  <c r="J14" i="27"/>
  <c r="K14" i="27" s="1"/>
  <c r="G317" i="12"/>
  <c r="L50" i="27"/>
  <c r="F40" i="27"/>
  <c r="M53" i="28"/>
  <c r="M58" i="51"/>
  <c r="M35" i="51"/>
  <c r="G29" i="51"/>
  <c r="L21" i="1"/>
  <c r="F75" i="51"/>
  <c r="H59" i="26"/>
  <c r="M75" i="26"/>
  <c r="F13" i="26"/>
  <c r="G93" i="12"/>
  <c r="O31" i="51"/>
  <c r="M13" i="28"/>
  <c r="M9" i="28"/>
  <c r="G83" i="51"/>
  <c r="K83" i="51" s="1"/>
  <c r="L83" i="51" s="1"/>
  <c r="G45" i="51"/>
  <c r="K45" i="51" s="1"/>
  <c r="L45" i="51" s="1"/>
  <c r="E191" i="12"/>
  <c r="F56" i="28"/>
  <c r="F23" i="71" s="1"/>
  <c r="G23" i="71" s="1"/>
  <c r="G55" i="51"/>
  <c r="K55" i="51" s="1"/>
  <c r="L55" i="51" s="1"/>
  <c r="K55" i="26"/>
  <c r="L55" i="26" s="1"/>
  <c r="K45" i="26"/>
  <c r="L45" i="26" s="1"/>
  <c r="R45" i="26" s="1"/>
  <c r="F41" i="27"/>
  <c r="J41" i="27" s="1"/>
  <c r="K41" i="27" s="1"/>
  <c r="G81" i="51"/>
  <c r="G26" i="51"/>
  <c r="K26" i="51" s="1"/>
  <c r="L26" i="51" s="1"/>
  <c r="R26" i="51" s="1"/>
  <c r="G40" i="51"/>
  <c r="K40" i="51" s="1"/>
  <c r="L40" i="51" s="1"/>
  <c r="J60" i="26"/>
  <c r="F93" i="12"/>
  <c r="F41" i="51"/>
  <c r="F230" i="12"/>
  <c r="M42" i="28"/>
  <c r="F83" i="26"/>
  <c r="G88" i="12"/>
  <c r="G116" i="12"/>
  <c r="G117" i="12" s="1"/>
  <c r="F51" i="51"/>
  <c r="E43" i="27"/>
  <c r="H58" i="1"/>
  <c r="F72" i="51"/>
  <c r="H72" i="51" s="1"/>
  <c r="G330" i="12"/>
  <c r="F25" i="51"/>
  <c r="G25" i="51" s="1"/>
  <c r="L14" i="27"/>
  <c r="Q90" i="51"/>
  <c r="Q28" i="71" s="1"/>
  <c r="Q31" i="71" s="1"/>
  <c r="Q45" i="71" s="1"/>
  <c r="M55" i="51"/>
  <c r="L48" i="1"/>
  <c r="G61" i="31"/>
  <c r="F43" i="20"/>
  <c r="G28" i="51"/>
  <c r="K28" i="51" s="1"/>
  <c r="L28" i="51" s="1"/>
  <c r="R28" i="51" s="1"/>
  <c r="J58" i="27"/>
  <c r="K58" i="27" s="1"/>
  <c r="N58" i="27" s="1"/>
  <c r="H87" i="51"/>
  <c r="K87" i="51" s="1"/>
  <c r="L87" i="51" s="1"/>
  <c r="R87" i="51" s="1"/>
  <c r="G284" i="12"/>
  <c r="G158" i="12"/>
  <c r="G72" i="51"/>
  <c r="G60" i="26"/>
  <c r="M36" i="26"/>
  <c r="R36" i="26" s="1"/>
  <c r="F14" i="28"/>
  <c r="F70" i="51"/>
  <c r="G185" i="12"/>
  <c r="F34" i="51"/>
  <c r="F30" i="28"/>
  <c r="F16" i="28"/>
  <c r="G16" i="28" s="1"/>
  <c r="G105" i="12"/>
  <c r="M106" i="26"/>
  <c r="R106" i="26" s="1"/>
  <c r="D16" i="26"/>
  <c r="D39" i="71" s="1"/>
  <c r="M78" i="51"/>
  <c r="L17" i="1"/>
  <c r="I59" i="28"/>
  <c r="J28" i="71" s="1"/>
  <c r="J43" i="71" s="1"/>
  <c r="N36" i="27"/>
  <c r="G198" i="12"/>
  <c r="G78" i="26"/>
  <c r="K78" i="26" s="1"/>
  <c r="L78" i="26" s="1"/>
  <c r="F10" i="65"/>
  <c r="H10" i="65" s="1"/>
  <c r="G233" i="12"/>
  <c r="M17" i="31"/>
  <c r="F12" i="28"/>
  <c r="G70" i="26"/>
  <c r="G113" i="26" s="1"/>
  <c r="H13" i="71" s="1"/>
  <c r="F51" i="28"/>
  <c r="E39" i="31"/>
  <c r="K27" i="26"/>
  <c r="L27" i="26" s="1"/>
  <c r="L33" i="27"/>
  <c r="G7" i="31"/>
  <c r="G6" i="31" s="1"/>
  <c r="D111" i="26"/>
  <c r="R77" i="26"/>
  <c r="G35" i="28"/>
  <c r="K35" i="28" s="1"/>
  <c r="L35" i="28" s="1"/>
  <c r="F16" i="27"/>
  <c r="J16" i="27" s="1"/>
  <c r="K16" i="27" s="1"/>
  <c r="G206" i="12"/>
  <c r="L9" i="27"/>
  <c r="M31" i="26"/>
  <c r="N50" i="27"/>
  <c r="K45" i="28"/>
  <c r="L45" i="28" s="1"/>
  <c r="O45" i="28" s="1"/>
  <c r="J70" i="26"/>
  <c r="J113" i="26" s="1"/>
  <c r="K13" i="71" s="1"/>
  <c r="G65" i="12"/>
  <c r="F93" i="26"/>
  <c r="F223" i="12"/>
  <c r="G256" i="12"/>
  <c r="M26" i="28"/>
  <c r="G261" i="12"/>
  <c r="G25" i="12"/>
  <c r="G28" i="12" s="1"/>
  <c r="F91" i="26"/>
  <c r="H91" i="26" s="1"/>
  <c r="G224" i="12"/>
  <c r="G179" i="12"/>
  <c r="M40" i="31"/>
  <c r="C39" i="3" s="1"/>
  <c r="H39" i="1" s="1"/>
  <c r="L39" i="1" s="1"/>
  <c r="O40" i="51"/>
  <c r="M89" i="26"/>
  <c r="M73" i="26"/>
  <c r="M43" i="26"/>
  <c r="L48" i="27"/>
  <c r="N48" i="27" s="1"/>
  <c r="M35" i="28"/>
  <c r="M21" i="28"/>
  <c r="O21" i="28" s="1"/>
  <c r="M15" i="28"/>
  <c r="M37" i="31"/>
  <c r="C36" i="3" s="1"/>
  <c r="M34" i="31"/>
  <c r="C33" i="3" s="1"/>
  <c r="H35" i="1" s="1"/>
  <c r="L35" i="1" s="1"/>
  <c r="M21" i="31"/>
  <c r="M16" i="31"/>
  <c r="O25" i="28"/>
  <c r="H21" i="51"/>
  <c r="K21" i="51" s="1"/>
  <c r="L21" i="51" s="1"/>
  <c r="R21" i="51" s="1"/>
  <c r="G57" i="51"/>
  <c r="K57" i="51" s="1"/>
  <c r="L57" i="51" s="1"/>
  <c r="R57" i="51" s="1"/>
  <c r="J7" i="27"/>
  <c r="K7" i="27" s="1"/>
  <c r="N7" i="27" s="1"/>
  <c r="G165" i="12"/>
  <c r="D57" i="20"/>
  <c r="G279" i="12"/>
  <c r="F65" i="51"/>
  <c r="H65" i="51" s="1"/>
  <c r="F63" i="51"/>
  <c r="G62" i="12"/>
  <c r="F99" i="26"/>
  <c r="H99" i="26" s="1"/>
  <c r="G52" i="31"/>
  <c r="G49" i="31" s="1"/>
  <c r="F31" i="51"/>
  <c r="D252" i="12"/>
  <c r="G135" i="12"/>
  <c r="G123" i="12"/>
  <c r="G101" i="26"/>
  <c r="G92" i="26"/>
  <c r="K92" i="26" s="1"/>
  <c r="L92" i="26" s="1"/>
  <c r="I111" i="26"/>
  <c r="J40" i="71" s="1"/>
  <c r="J41" i="71" s="1"/>
  <c r="M20" i="28"/>
  <c r="K71" i="26"/>
  <c r="L71" i="26" s="1"/>
  <c r="R71" i="26" s="1"/>
  <c r="L27" i="27"/>
  <c r="G24" i="26"/>
  <c r="G323" i="12"/>
  <c r="F249" i="12"/>
  <c r="E111" i="26"/>
  <c r="E40" i="71" s="1"/>
  <c r="G54" i="28"/>
  <c r="K54" i="28" s="1"/>
  <c r="L54" i="28" s="1"/>
  <c r="G38" i="28"/>
  <c r="K38" i="28" s="1"/>
  <c r="L38" i="28" s="1"/>
  <c r="R48" i="51"/>
  <c r="F31" i="28"/>
  <c r="G31" i="28" s="1"/>
  <c r="G57" i="28" s="1"/>
  <c r="H22" i="71" s="1"/>
  <c r="M23" i="28"/>
  <c r="G268" i="12"/>
  <c r="G55" i="27"/>
  <c r="J55" i="27" s="1"/>
  <c r="K55" i="27" s="1"/>
  <c r="N55" i="27" s="1"/>
  <c r="M37" i="26"/>
  <c r="L24" i="27"/>
  <c r="N24" i="27" s="1"/>
  <c r="L16" i="27"/>
  <c r="M33" i="31"/>
  <c r="C32" i="3" s="1"/>
  <c r="H34" i="1" s="1"/>
  <c r="L34" i="1" s="1"/>
  <c r="G42" i="31"/>
  <c r="K67" i="26"/>
  <c r="L67" i="26" s="1"/>
  <c r="R67" i="26" s="1"/>
  <c r="G9" i="51"/>
  <c r="K9" i="51" s="1"/>
  <c r="L9" i="51" s="1"/>
  <c r="R9" i="51" s="1"/>
  <c r="G22" i="51"/>
  <c r="K22" i="51" s="1"/>
  <c r="L22" i="51" s="1"/>
  <c r="R22" i="51" s="1"/>
  <c r="K32" i="26"/>
  <c r="L32" i="26" s="1"/>
  <c r="R32" i="26" s="1"/>
  <c r="H18" i="65"/>
  <c r="K18" i="65" s="1"/>
  <c r="L18" i="65" s="1"/>
  <c r="O18" i="65" s="1"/>
  <c r="F103" i="12"/>
  <c r="G37" i="28"/>
  <c r="K37" i="28" s="1"/>
  <c r="L37" i="28" s="1"/>
  <c r="O37" i="28" s="1"/>
  <c r="G89" i="12"/>
  <c r="F42" i="26"/>
  <c r="H42" i="26" s="1"/>
  <c r="L53" i="27"/>
  <c r="L47" i="27"/>
  <c r="L41" i="27"/>
  <c r="M14" i="51"/>
  <c r="R14" i="51" s="1"/>
  <c r="M8" i="51"/>
  <c r="M64" i="31"/>
  <c r="M61" i="31" s="1"/>
  <c r="M105" i="4"/>
  <c r="M24" i="28"/>
  <c r="M24" i="51"/>
  <c r="G13" i="6"/>
  <c r="F12" i="69"/>
  <c r="F12" i="6"/>
  <c r="F16" i="8"/>
  <c r="F15" i="67"/>
  <c r="F16" i="5"/>
  <c r="F13" i="69"/>
  <c r="F12" i="8"/>
  <c r="L66" i="4"/>
  <c r="F66" i="4"/>
  <c r="F105" i="4" s="1"/>
  <c r="F12" i="68"/>
  <c r="G15" i="67"/>
  <c r="F13" i="67"/>
  <c r="E66" i="4"/>
  <c r="F13" i="68"/>
  <c r="C99" i="4"/>
  <c r="F16" i="67"/>
  <c r="F14" i="6"/>
  <c r="F14" i="68"/>
  <c r="G16" i="8"/>
  <c r="F14" i="69"/>
  <c r="F14" i="67"/>
  <c r="F17" i="8"/>
  <c r="F16" i="69"/>
  <c r="G15" i="6"/>
  <c r="F39" i="20"/>
  <c r="N45" i="4"/>
  <c r="V45" i="4" s="1"/>
  <c r="C72" i="20"/>
  <c r="C77" i="20" s="1"/>
  <c r="C37" i="20"/>
  <c r="F37" i="20" s="1"/>
  <c r="N78" i="4"/>
  <c r="F75" i="20"/>
  <c r="N42" i="4"/>
  <c r="V42" i="4" s="1"/>
  <c r="F78" i="20"/>
  <c r="C79" i="20"/>
  <c r="N103" i="4"/>
  <c r="N104" i="4" s="1"/>
  <c r="M31" i="31"/>
  <c r="C30" i="3" s="1"/>
  <c r="H32" i="1" s="1"/>
  <c r="L32" i="1" s="1"/>
  <c r="J66" i="4"/>
  <c r="E57" i="20"/>
  <c r="C48" i="4"/>
  <c r="V48" i="4" s="1"/>
  <c r="I117" i="26"/>
  <c r="L59" i="1"/>
  <c r="H17" i="51"/>
  <c r="G17" i="51"/>
  <c r="G347" i="12"/>
  <c r="F78" i="51"/>
  <c r="F234" i="12"/>
  <c r="F40" i="28"/>
  <c r="H40" i="28" s="1"/>
  <c r="F96" i="26"/>
  <c r="G112" i="12"/>
  <c r="G70" i="12"/>
  <c r="F61" i="26"/>
  <c r="G72" i="26"/>
  <c r="K72" i="26" s="1"/>
  <c r="L72" i="26" s="1"/>
  <c r="M72" i="26"/>
  <c r="K35" i="51"/>
  <c r="L35" i="51" s="1"/>
  <c r="R35" i="51" s="1"/>
  <c r="K86" i="26"/>
  <c r="L86" i="26" s="1"/>
  <c r="R86" i="26" s="1"/>
  <c r="N54" i="26"/>
  <c r="K20" i="26"/>
  <c r="L20" i="26" s="1"/>
  <c r="R20" i="26" s="1"/>
  <c r="F357" i="12"/>
  <c r="F76" i="51"/>
  <c r="G269" i="12"/>
  <c r="F21" i="65"/>
  <c r="F260" i="12"/>
  <c r="G258" i="12"/>
  <c r="G39" i="27"/>
  <c r="F39" i="27"/>
  <c r="J39" i="27" s="1"/>
  <c r="K39" i="27" s="1"/>
  <c r="N39" i="27" s="1"/>
  <c r="F14" i="26"/>
  <c r="F16" i="12"/>
  <c r="C61" i="27"/>
  <c r="D16" i="71" s="1"/>
  <c r="L10" i="27"/>
  <c r="M54" i="28"/>
  <c r="G46" i="28"/>
  <c r="K46" i="28" s="1"/>
  <c r="L46" i="28" s="1"/>
  <c r="M46" i="28"/>
  <c r="D66" i="4"/>
  <c r="I66" i="4"/>
  <c r="V100" i="4"/>
  <c r="U102" i="4"/>
  <c r="V102" i="4" s="1"/>
  <c r="D27" i="10" s="1"/>
  <c r="G100" i="12"/>
  <c r="G103" i="12" s="1"/>
  <c r="F85" i="26"/>
  <c r="N43" i="26"/>
  <c r="H43" i="26"/>
  <c r="K43" i="26" s="1"/>
  <c r="L43" i="26" s="1"/>
  <c r="G346" i="12"/>
  <c r="F77" i="51"/>
  <c r="O38" i="28"/>
  <c r="J25" i="27"/>
  <c r="K25" i="27" s="1"/>
  <c r="N25" i="27" s="1"/>
  <c r="G11" i="27"/>
  <c r="F11" i="27"/>
  <c r="H48" i="28"/>
  <c r="G48" i="28"/>
  <c r="H30" i="51"/>
  <c r="G30" i="51"/>
  <c r="K30" i="51" s="1"/>
  <c r="L30" i="51" s="1"/>
  <c r="R30" i="51" s="1"/>
  <c r="F46" i="27"/>
  <c r="J46" i="27" s="1"/>
  <c r="K46" i="27" s="1"/>
  <c r="N46" i="27" s="1"/>
  <c r="G167" i="12"/>
  <c r="E38" i="27"/>
  <c r="N51" i="26"/>
  <c r="G51" i="26"/>
  <c r="H51" i="26"/>
  <c r="D26" i="71"/>
  <c r="G24" i="31"/>
  <c r="G43" i="12"/>
  <c r="G27" i="28"/>
  <c r="H27" i="28"/>
  <c r="F161" i="12"/>
  <c r="M101" i="26"/>
  <c r="F67" i="51"/>
  <c r="G24" i="12"/>
  <c r="G108" i="26"/>
  <c r="H108" i="26"/>
  <c r="K16" i="51"/>
  <c r="L16" i="51" s="1"/>
  <c r="N47" i="26"/>
  <c r="G47" i="26"/>
  <c r="H13" i="26"/>
  <c r="K13" i="26" s="1"/>
  <c r="L13" i="26" s="1"/>
  <c r="R13" i="26" s="1"/>
  <c r="F85" i="51"/>
  <c r="G354" i="12"/>
  <c r="G49" i="27"/>
  <c r="F49" i="27"/>
  <c r="E37" i="27"/>
  <c r="F169" i="12"/>
  <c r="G166" i="12"/>
  <c r="G59" i="12"/>
  <c r="F50" i="26"/>
  <c r="G27" i="12"/>
  <c r="F25" i="26"/>
  <c r="L37" i="27"/>
  <c r="E90" i="51"/>
  <c r="E28" i="71" s="1"/>
  <c r="E24" i="31"/>
  <c r="G105" i="4"/>
  <c r="F47" i="51"/>
  <c r="F88" i="51" s="1"/>
  <c r="G315" i="12"/>
  <c r="M96" i="26"/>
  <c r="K81" i="26"/>
  <c r="L81" i="26" s="1"/>
  <c r="R81" i="26" s="1"/>
  <c r="G11" i="65"/>
  <c r="H11" i="65"/>
  <c r="F84" i="51"/>
  <c r="G73" i="51"/>
  <c r="H73" i="51"/>
  <c r="F165" i="12"/>
  <c r="E34" i="27"/>
  <c r="F49" i="26"/>
  <c r="G58" i="12"/>
  <c r="F72" i="12"/>
  <c r="F28" i="12"/>
  <c r="F44" i="27"/>
  <c r="D59" i="27"/>
  <c r="L31" i="27"/>
  <c r="O42" i="51"/>
  <c r="M11" i="51"/>
  <c r="N24" i="4"/>
  <c r="D99" i="4"/>
  <c r="V79" i="4"/>
  <c r="E18" i="27"/>
  <c r="G18" i="27" s="1"/>
  <c r="H14" i="65"/>
  <c r="K14" i="65" s="1"/>
  <c r="L14" i="65" s="1"/>
  <c r="O14" i="65" s="1"/>
  <c r="H37" i="26"/>
  <c r="G37" i="26"/>
  <c r="H25" i="51"/>
  <c r="F13" i="51"/>
  <c r="G281" i="12"/>
  <c r="E47" i="27"/>
  <c r="G47" i="27" s="1"/>
  <c r="G177" i="12"/>
  <c r="F83" i="12"/>
  <c r="F69" i="26"/>
  <c r="D25" i="65"/>
  <c r="D25" i="71" s="1"/>
  <c r="M7" i="65"/>
  <c r="G60" i="51"/>
  <c r="K52" i="31"/>
  <c r="K49" i="31" s="1"/>
  <c r="G12" i="69"/>
  <c r="G12" i="8"/>
  <c r="G12" i="68"/>
  <c r="G12" i="6"/>
  <c r="D73" i="4"/>
  <c r="G129" i="12"/>
  <c r="F110" i="26"/>
  <c r="H110" i="26" s="1"/>
  <c r="F130" i="12"/>
  <c r="G145" i="12"/>
  <c r="I24" i="31"/>
  <c r="I23" i="31" s="1"/>
  <c r="H24" i="26"/>
  <c r="K24" i="26" s="1"/>
  <c r="L24" i="26" s="1"/>
  <c r="R24" i="26" s="1"/>
  <c r="F28" i="27"/>
  <c r="J28" i="27" s="1"/>
  <c r="K28" i="27" s="1"/>
  <c r="N28" i="27" s="1"/>
  <c r="H39" i="26"/>
  <c r="G39" i="26"/>
  <c r="H52" i="28"/>
  <c r="K52" i="28" s="1"/>
  <c r="L52" i="28" s="1"/>
  <c r="O52" i="28" s="1"/>
  <c r="H94" i="26"/>
  <c r="K94" i="26" s="1"/>
  <c r="L94" i="26" s="1"/>
  <c r="R94" i="26" s="1"/>
  <c r="G321" i="12"/>
  <c r="F53" i="51"/>
  <c r="H34" i="51"/>
  <c r="G34" i="51"/>
  <c r="K34" i="51"/>
  <c r="L34" i="51" s="1"/>
  <c r="R34" i="51" s="1"/>
  <c r="G280" i="12"/>
  <c r="F12" i="51"/>
  <c r="M83" i="51"/>
  <c r="M74" i="51"/>
  <c r="M67" i="51"/>
  <c r="M60" i="51"/>
  <c r="M29" i="51"/>
  <c r="M16" i="51"/>
  <c r="G14" i="67"/>
  <c r="G14" i="68"/>
  <c r="G14" i="8"/>
  <c r="M74" i="31"/>
  <c r="C72" i="31"/>
  <c r="E19" i="27"/>
  <c r="G19" i="27" s="1"/>
  <c r="G146" i="12"/>
  <c r="I12" i="65"/>
  <c r="I25" i="65" s="1"/>
  <c r="G12" i="65"/>
  <c r="M46" i="26"/>
  <c r="G27" i="51"/>
  <c r="K27" i="51" s="1"/>
  <c r="L27" i="51" s="1"/>
  <c r="R27" i="51" s="1"/>
  <c r="F9" i="27"/>
  <c r="J9" i="27" s="1"/>
  <c r="K9" i="27" s="1"/>
  <c r="N9" i="27" s="1"/>
  <c r="R40" i="51"/>
  <c r="M88" i="26"/>
  <c r="J60" i="51"/>
  <c r="G312" i="12"/>
  <c r="F44" i="51"/>
  <c r="F9" i="28"/>
  <c r="G195" i="12"/>
  <c r="G10" i="65"/>
  <c r="K10" i="65" s="1"/>
  <c r="L10" i="65" s="1"/>
  <c r="O10" i="65" s="1"/>
  <c r="E25" i="65"/>
  <c r="E25" i="71" s="1"/>
  <c r="G62" i="51"/>
  <c r="K62" i="51" s="1"/>
  <c r="L62" i="51" s="1"/>
  <c r="M62" i="51"/>
  <c r="G170" i="12"/>
  <c r="E40" i="27"/>
  <c r="O7" i="65"/>
  <c r="M92" i="26"/>
  <c r="M34" i="28"/>
  <c r="G34" i="28"/>
  <c r="F27" i="20"/>
  <c r="N30" i="4"/>
  <c r="V30" i="4" s="1"/>
  <c r="H26" i="26"/>
  <c r="K26" i="26" s="1"/>
  <c r="L26" i="26" s="1"/>
  <c r="R26" i="26" s="1"/>
  <c r="G15" i="65"/>
  <c r="K15" i="65"/>
  <c r="L15" i="65" s="1"/>
  <c r="O15" i="65" s="1"/>
  <c r="K90" i="26"/>
  <c r="L90" i="26" s="1"/>
  <c r="R90" i="26" s="1"/>
  <c r="K28" i="26"/>
  <c r="L28" i="26" s="1"/>
  <c r="R28" i="26" s="1"/>
  <c r="G311" i="12"/>
  <c r="F43" i="51"/>
  <c r="G193" i="12"/>
  <c r="F7" i="28"/>
  <c r="D57" i="28"/>
  <c r="D22" i="71" s="1"/>
  <c r="M7" i="28"/>
  <c r="F37" i="12"/>
  <c r="F31" i="26"/>
  <c r="G36" i="12"/>
  <c r="G37" i="12" s="1"/>
  <c r="T104" i="4"/>
  <c r="G287" i="12"/>
  <c r="F19" i="51"/>
  <c r="C65" i="62"/>
  <c r="P46" i="51"/>
  <c r="P90" i="51" s="1"/>
  <c r="O46" i="51"/>
  <c r="L12" i="71"/>
  <c r="R12" i="71" s="1"/>
  <c r="G15" i="12"/>
  <c r="G16" i="12" s="1"/>
  <c r="F15" i="26"/>
  <c r="H15" i="26" s="1"/>
  <c r="K15" i="26" s="1"/>
  <c r="L15" i="26" s="1"/>
  <c r="R15" i="26" s="1"/>
  <c r="M42" i="26"/>
  <c r="U73" i="4"/>
  <c r="V67" i="4"/>
  <c r="H103" i="26"/>
  <c r="D13" i="10"/>
  <c r="D62" i="3"/>
  <c r="F69" i="51"/>
  <c r="H69" i="51" s="1"/>
  <c r="K69" i="51" s="1"/>
  <c r="L69" i="51" s="1"/>
  <c r="G337" i="12"/>
  <c r="K59" i="51"/>
  <c r="L59" i="51" s="1"/>
  <c r="R59" i="51" s="1"/>
  <c r="F28" i="28"/>
  <c r="G28" i="28" s="1"/>
  <c r="G216" i="12"/>
  <c r="G218" i="12" s="1"/>
  <c r="G188" i="12"/>
  <c r="E57" i="27"/>
  <c r="G21" i="27"/>
  <c r="F21" i="27"/>
  <c r="F88" i="26"/>
  <c r="G88" i="26" s="1"/>
  <c r="G104" i="12"/>
  <c r="F115" i="12"/>
  <c r="E115" i="26"/>
  <c r="E11" i="71" s="1"/>
  <c r="G38" i="26"/>
  <c r="L46" i="1"/>
  <c r="F40" i="26"/>
  <c r="G47" i="12"/>
  <c r="G48" i="12" s="1"/>
  <c r="F48" i="12"/>
  <c r="O43" i="51"/>
  <c r="E55" i="28"/>
  <c r="G19" i="28"/>
  <c r="G55" i="28" s="1"/>
  <c r="H20" i="71" s="1"/>
  <c r="H66" i="4"/>
  <c r="J54" i="26"/>
  <c r="G248" i="12"/>
  <c r="G249" i="12" s="1"/>
  <c r="F53" i="28"/>
  <c r="G53" i="26"/>
  <c r="H53" i="26"/>
  <c r="N53" i="26"/>
  <c r="G21" i="26"/>
  <c r="H21" i="26"/>
  <c r="H68" i="51"/>
  <c r="G68" i="51"/>
  <c r="G231" i="12"/>
  <c r="G215" i="12"/>
  <c r="F218" i="12"/>
  <c r="E10" i="27"/>
  <c r="F10" i="27" s="1"/>
  <c r="G136" i="12"/>
  <c r="H97" i="26"/>
  <c r="G97" i="26"/>
  <c r="G65" i="26"/>
  <c r="K65" i="26" s="1"/>
  <c r="L65" i="26" s="1"/>
  <c r="R65" i="26" s="1"/>
  <c r="M27" i="26"/>
  <c r="M22" i="26"/>
  <c r="O35" i="28"/>
  <c r="G22" i="65"/>
  <c r="K22" i="65" s="1"/>
  <c r="L22" i="65" s="1"/>
  <c r="O22" i="65" s="1"/>
  <c r="G16" i="67"/>
  <c r="G16" i="6"/>
  <c r="G17" i="8"/>
  <c r="G17" i="5"/>
  <c r="G16" i="69"/>
  <c r="L47" i="1"/>
  <c r="E252" i="12"/>
  <c r="K33" i="28"/>
  <c r="L33" i="28" s="1"/>
  <c r="O33" i="28" s="1"/>
  <c r="C60" i="27"/>
  <c r="L12" i="27"/>
  <c r="M17" i="65"/>
  <c r="M25" i="65" s="1"/>
  <c r="M25" i="71" s="1"/>
  <c r="M27" i="71" s="1"/>
  <c r="M44" i="71" s="1"/>
  <c r="H13" i="8" s="1"/>
  <c r="K13" i="4" s="1"/>
  <c r="F24" i="12"/>
  <c r="M61" i="51"/>
  <c r="R36" i="51"/>
  <c r="K61" i="51"/>
  <c r="L61" i="51" s="1"/>
  <c r="G190" i="12"/>
  <c r="J20" i="27"/>
  <c r="K20" i="27" s="1"/>
  <c r="N20" i="27" s="1"/>
  <c r="G17" i="65"/>
  <c r="K17" i="65" s="1"/>
  <c r="L17" i="65" s="1"/>
  <c r="M99" i="26"/>
  <c r="E105" i="4"/>
  <c r="E56" i="28"/>
  <c r="E23" i="71" s="1"/>
  <c r="G18" i="28"/>
  <c r="L27" i="1"/>
  <c r="K29" i="51"/>
  <c r="L29" i="51" s="1"/>
  <c r="J17" i="27"/>
  <c r="K17" i="27" s="1"/>
  <c r="N17" i="27" s="1"/>
  <c r="O45" i="51"/>
  <c r="M19" i="26"/>
  <c r="R19" i="26" s="1"/>
  <c r="M33" i="51"/>
  <c r="M56" i="31"/>
  <c r="D56" i="28"/>
  <c r="D23" i="71" s="1"/>
  <c r="P88" i="51"/>
  <c r="G230" i="12"/>
  <c r="J24" i="27"/>
  <c r="K24" i="27" s="1"/>
  <c r="E273" i="12"/>
  <c r="E359" i="12" s="1"/>
  <c r="E360" i="12" s="1"/>
  <c r="D116" i="26"/>
  <c r="D10" i="71" s="1"/>
  <c r="C42" i="31"/>
  <c r="C5" i="31" s="1"/>
  <c r="M22" i="31"/>
  <c r="C21" i="3" s="1"/>
  <c r="H24" i="1" s="1"/>
  <c r="L24" i="1" s="1"/>
  <c r="G76" i="63"/>
  <c r="F55" i="20"/>
  <c r="I91" i="51"/>
  <c r="E358" i="12"/>
  <c r="R73" i="26"/>
  <c r="K29" i="26"/>
  <c r="L29" i="26" s="1"/>
  <c r="R29" i="26" s="1"/>
  <c r="L75" i="1"/>
  <c r="D273" i="12"/>
  <c r="L13" i="71"/>
  <c r="R13" i="71" s="1"/>
  <c r="K101" i="26"/>
  <c r="L101" i="26" s="1"/>
  <c r="R101" i="26" s="1"/>
  <c r="M76" i="26"/>
  <c r="R76" i="26" s="1"/>
  <c r="L19" i="27"/>
  <c r="M69" i="51"/>
  <c r="M27" i="31"/>
  <c r="C26" i="3" s="1"/>
  <c r="H28" i="1" s="1"/>
  <c r="L28" i="1" s="1"/>
  <c r="M10" i="31"/>
  <c r="C9" i="3" s="1"/>
  <c r="H12" i="1" s="1"/>
  <c r="L12" i="1" s="1"/>
  <c r="N51" i="4"/>
  <c r="V51" i="4" s="1"/>
  <c r="H39" i="62"/>
  <c r="K11" i="51"/>
  <c r="L11" i="51" s="1"/>
  <c r="R18" i="51"/>
  <c r="K66" i="26"/>
  <c r="L66" i="26" s="1"/>
  <c r="R66" i="26" s="1"/>
  <c r="I39" i="31"/>
  <c r="K39" i="31"/>
  <c r="G100" i="26"/>
  <c r="K100" i="26" s="1"/>
  <c r="L100" i="26" s="1"/>
  <c r="R100" i="26" s="1"/>
  <c r="M53" i="31"/>
  <c r="G39" i="31"/>
  <c r="G23" i="31" s="1"/>
  <c r="G5" i="31" s="1"/>
  <c r="G76" i="31" s="1"/>
  <c r="M9" i="31"/>
  <c r="C8" i="3" s="1"/>
  <c r="H11" i="1" s="1"/>
  <c r="L11" i="1" s="1"/>
  <c r="F45" i="20"/>
  <c r="J78" i="4"/>
  <c r="K81" i="51"/>
  <c r="L81" i="51" s="1"/>
  <c r="R81" i="51" s="1"/>
  <c r="K105" i="26"/>
  <c r="L105" i="26" s="1"/>
  <c r="R105" i="26" s="1"/>
  <c r="G14" i="28"/>
  <c r="G82" i="51"/>
  <c r="K82" i="51" s="1"/>
  <c r="L82" i="51" s="1"/>
  <c r="R82" i="51" s="1"/>
  <c r="L23" i="1"/>
  <c r="G34" i="12"/>
  <c r="G130" i="12"/>
  <c r="G78" i="12"/>
  <c r="H19" i="28"/>
  <c r="H55" i="28" s="1"/>
  <c r="I20" i="71" s="1"/>
  <c r="E66" i="31"/>
  <c r="M36" i="31"/>
  <c r="C35" i="3" s="1"/>
  <c r="H37" i="1" s="1"/>
  <c r="L37" i="1" s="1"/>
  <c r="N59" i="28"/>
  <c r="C90" i="63"/>
  <c r="H99" i="4"/>
  <c r="F31" i="20"/>
  <c r="F24" i="20"/>
  <c r="M28" i="31"/>
  <c r="C27" i="3" s="1"/>
  <c r="H29" i="1" s="1"/>
  <c r="L29" i="1" s="1"/>
  <c r="C38" i="3"/>
  <c r="M26" i="65"/>
  <c r="D8" i="71"/>
  <c r="R17" i="26"/>
  <c r="R7" i="51"/>
  <c r="H58" i="26"/>
  <c r="G58" i="26"/>
  <c r="N58" i="26"/>
  <c r="D20" i="71"/>
  <c r="G40" i="28"/>
  <c r="K40" i="28" s="1"/>
  <c r="L40" i="28" s="1"/>
  <c r="O40" i="28" s="1"/>
  <c r="G174" i="12"/>
  <c r="E44" i="27"/>
  <c r="F184" i="12"/>
  <c r="G37" i="27"/>
  <c r="J37" i="27" s="1"/>
  <c r="K37" i="27" s="1"/>
  <c r="N37" i="27" s="1"/>
  <c r="G26" i="27"/>
  <c r="F26" i="27"/>
  <c r="D115" i="26"/>
  <c r="D11" i="71" s="1"/>
  <c r="M38" i="26"/>
  <c r="I118" i="26"/>
  <c r="J8" i="71" s="1"/>
  <c r="J15" i="71" s="1"/>
  <c r="G9" i="26"/>
  <c r="G16" i="26" s="1"/>
  <c r="E16" i="26"/>
  <c r="M50" i="28"/>
  <c r="G50" i="28"/>
  <c r="K50" i="28" s="1"/>
  <c r="L50" i="28" s="1"/>
  <c r="I55" i="31"/>
  <c r="M55" i="31" s="1"/>
  <c r="M52" i="31" s="1"/>
  <c r="E52" i="31"/>
  <c r="E49" i="31" s="1"/>
  <c r="M11" i="31"/>
  <c r="I7" i="31"/>
  <c r="I6" i="31" s="1"/>
  <c r="F58" i="51"/>
  <c r="G326" i="12"/>
  <c r="F33" i="51"/>
  <c r="G301" i="12"/>
  <c r="H24" i="51"/>
  <c r="G24" i="51"/>
  <c r="G267" i="12"/>
  <c r="F19" i="65"/>
  <c r="F272" i="12"/>
  <c r="H96" i="26"/>
  <c r="G96" i="26"/>
  <c r="K96" i="26" s="1"/>
  <c r="L96" i="26" s="1"/>
  <c r="R96" i="26" s="1"/>
  <c r="F41" i="26"/>
  <c r="F51" i="12"/>
  <c r="G49" i="12"/>
  <c r="G51" i="12" s="1"/>
  <c r="F15" i="27"/>
  <c r="J15" i="27" s="1"/>
  <c r="K15" i="27" s="1"/>
  <c r="L15" i="27"/>
  <c r="H20" i="28"/>
  <c r="K20" i="28" s="1"/>
  <c r="L20" i="28" s="1"/>
  <c r="Q55" i="26"/>
  <c r="O55" i="26"/>
  <c r="G292" i="12"/>
  <c r="G260" i="12"/>
  <c r="G56" i="26"/>
  <c r="N56" i="26"/>
  <c r="H56" i="26"/>
  <c r="G33" i="27"/>
  <c r="F33" i="27"/>
  <c r="D9" i="71"/>
  <c r="F104" i="26"/>
  <c r="M47" i="51"/>
  <c r="M88" i="51" s="1"/>
  <c r="H47" i="51"/>
  <c r="H88" i="51" s="1"/>
  <c r="G47" i="51"/>
  <c r="G88" i="51" s="1"/>
  <c r="G32" i="28"/>
  <c r="K32" i="28" s="1"/>
  <c r="L32" i="28" s="1"/>
  <c r="O32" i="28" s="1"/>
  <c r="G56" i="27"/>
  <c r="F32" i="27"/>
  <c r="G32" i="27"/>
  <c r="F30" i="71"/>
  <c r="G30" i="71" s="1"/>
  <c r="K8" i="28"/>
  <c r="K23" i="26"/>
  <c r="L23" i="26" s="1"/>
  <c r="R23" i="26" s="1"/>
  <c r="L98" i="26"/>
  <c r="K114" i="26"/>
  <c r="G23" i="28"/>
  <c r="K23" i="28" s="1"/>
  <c r="K47" i="28"/>
  <c r="L47" i="28" s="1"/>
  <c r="O47" i="28" s="1"/>
  <c r="G64" i="26"/>
  <c r="H64" i="26"/>
  <c r="G24" i="28"/>
  <c r="K24" i="28" s="1"/>
  <c r="L24" i="28" s="1"/>
  <c r="G93" i="26"/>
  <c r="H93" i="26"/>
  <c r="G57" i="26"/>
  <c r="N57" i="26"/>
  <c r="J57" i="26"/>
  <c r="K57" i="26" s="1"/>
  <c r="L57" i="26" s="1"/>
  <c r="N50" i="26"/>
  <c r="H50" i="26"/>
  <c r="D112" i="26"/>
  <c r="G33" i="26"/>
  <c r="K33" i="26" s="1"/>
  <c r="L33" i="26" s="1"/>
  <c r="M33" i="26"/>
  <c r="F56" i="27"/>
  <c r="L56" i="27"/>
  <c r="G65" i="31"/>
  <c r="G69" i="31"/>
  <c r="G68" i="31" s="1"/>
  <c r="G66" i="31" s="1"/>
  <c r="E29" i="71"/>
  <c r="E30" i="71"/>
  <c r="G110" i="26"/>
  <c r="K110" i="26" s="1"/>
  <c r="L110" i="26" s="1"/>
  <c r="R110" i="26" s="1"/>
  <c r="K22" i="26"/>
  <c r="H63" i="26"/>
  <c r="K63" i="26" s="1"/>
  <c r="L63" i="26" s="1"/>
  <c r="R63" i="26" s="1"/>
  <c r="H89" i="26"/>
  <c r="G89" i="26"/>
  <c r="M32" i="31"/>
  <c r="C31" i="3" s="1"/>
  <c r="K24" i="31"/>
  <c r="K8" i="26"/>
  <c r="F13" i="27"/>
  <c r="H50" i="51"/>
  <c r="K50" i="51" s="1"/>
  <c r="L50" i="51" s="1"/>
  <c r="R50" i="51" s="1"/>
  <c r="K34" i="28"/>
  <c r="L34" i="28" s="1"/>
  <c r="G342" i="12"/>
  <c r="F74" i="51"/>
  <c r="D91" i="51"/>
  <c r="C49" i="3"/>
  <c r="D48" i="3" s="1"/>
  <c r="D12" i="10" s="1"/>
  <c r="K18" i="28"/>
  <c r="L18" i="28" s="1"/>
  <c r="O18" i="28" s="1"/>
  <c r="N25" i="4"/>
  <c r="F22" i="20"/>
  <c r="H71" i="51"/>
  <c r="G71" i="51"/>
  <c r="O43" i="28"/>
  <c r="G50" i="26"/>
  <c r="H28" i="28"/>
  <c r="K28" i="28" s="1"/>
  <c r="L28" i="28" s="1"/>
  <c r="O28" i="28" s="1"/>
  <c r="J56" i="51"/>
  <c r="J90" i="51" s="1"/>
  <c r="G56" i="51"/>
  <c r="H23" i="51"/>
  <c r="G23" i="51"/>
  <c r="G29" i="27"/>
  <c r="F29" i="27"/>
  <c r="H14" i="28"/>
  <c r="K14" i="28" s="1"/>
  <c r="L14" i="28" s="1"/>
  <c r="O14" i="28" s="1"/>
  <c r="G99" i="26"/>
  <c r="K99" i="26" s="1"/>
  <c r="L99" i="26" s="1"/>
  <c r="R99" i="26" s="1"/>
  <c r="F42" i="27"/>
  <c r="G42" i="27"/>
  <c r="G150" i="12"/>
  <c r="E27" i="27"/>
  <c r="G62" i="1"/>
  <c r="L62" i="1" s="1"/>
  <c r="L63" i="1" s="1"/>
  <c r="F76" i="1"/>
  <c r="G76" i="1" s="1"/>
  <c r="G133" i="12"/>
  <c r="F141" i="12"/>
  <c r="G10" i="28"/>
  <c r="K10" i="28" s="1"/>
  <c r="L10" i="28" s="1"/>
  <c r="O10" i="28" s="1"/>
  <c r="F74" i="26"/>
  <c r="F89" i="12"/>
  <c r="Q91" i="51"/>
  <c r="F53" i="27"/>
  <c r="J53" i="27" s="1"/>
  <c r="K53" i="27" s="1"/>
  <c r="N53" i="27" s="1"/>
  <c r="H47" i="26"/>
  <c r="F22" i="28"/>
  <c r="G209" i="12"/>
  <c r="F212" i="12"/>
  <c r="G149" i="12"/>
  <c r="E22" i="27"/>
  <c r="F46" i="26"/>
  <c r="G55" i="12"/>
  <c r="H11" i="26"/>
  <c r="E24" i="65"/>
  <c r="G16" i="65"/>
  <c r="L20" i="1"/>
  <c r="L60" i="1"/>
  <c r="L61" i="1" s="1"/>
  <c r="N91" i="51"/>
  <c r="K70" i="26"/>
  <c r="F23" i="27"/>
  <c r="J23" i="27" s="1"/>
  <c r="K23" i="27" s="1"/>
  <c r="N23" i="27" s="1"/>
  <c r="G54" i="1"/>
  <c r="H37" i="51"/>
  <c r="F89" i="51"/>
  <c r="F29" i="71" s="1"/>
  <c r="G29" i="71" s="1"/>
  <c r="F20" i="71"/>
  <c r="F344" i="12"/>
  <c r="F358" i="12" s="1"/>
  <c r="E7" i="31"/>
  <c r="M18" i="31"/>
  <c r="E58" i="28"/>
  <c r="E21" i="71" s="1"/>
  <c r="J8" i="27"/>
  <c r="M30" i="26"/>
  <c r="G30" i="26"/>
  <c r="K30" i="26" s="1"/>
  <c r="L30" i="26" s="1"/>
  <c r="D58" i="28"/>
  <c r="D21" i="71" s="1"/>
  <c r="E91" i="51"/>
  <c r="E45" i="71" s="1"/>
  <c r="G68" i="26"/>
  <c r="K68" i="26" s="1"/>
  <c r="L68" i="26" s="1"/>
  <c r="R68" i="26" s="1"/>
  <c r="K8" i="65"/>
  <c r="G61" i="12"/>
  <c r="F52" i="26"/>
  <c r="L68" i="1"/>
  <c r="L72" i="1" s="1"/>
  <c r="J76" i="1"/>
  <c r="G232" i="12"/>
  <c r="F41" i="28"/>
  <c r="M47" i="31"/>
  <c r="M42" i="31" s="1"/>
  <c r="C47" i="3"/>
  <c r="C46" i="3" s="1"/>
  <c r="H43" i="1" s="1"/>
  <c r="L43" i="1" s="1"/>
  <c r="L44" i="1" s="1"/>
  <c r="L15" i="1"/>
  <c r="L51" i="1"/>
  <c r="F23" i="65"/>
  <c r="G23" i="65" s="1"/>
  <c r="G271" i="12"/>
  <c r="E20" i="71"/>
  <c r="G345" i="12"/>
  <c r="M39" i="71"/>
  <c r="F123" i="12"/>
  <c r="G80" i="12"/>
  <c r="G83" i="12" s="1"/>
  <c r="F45" i="27"/>
  <c r="J45" i="27" s="1"/>
  <c r="K45" i="27" s="1"/>
  <c r="N45" i="27" s="1"/>
  <c r="M8" i="28"/>
  <c r="E10" i="71" l="1"/>
  <c r="E14" i="71"/>
  <c r="K47" i="26"/>
  <c r="L47" i="26" s="1"/>
  <c r="O24" i="28"/>
  <c r="K58" i="26"/>
  <c r="L58" i="26" s="1"/>
  <c r="R61" i="51"/>
  <c r="H16" i="28"/>
  <c r="G17" i="28"/>
  <c r="G32" i="51"/>
  <c r="K32" i="51" s="1"/>
  <c r="L32" i="51" s="1"/>
  <c r="R32" i="51" s="1"/>
  <c r="R35" i="26"/>
  <c r="M39" i="28"/>
  <c r="M56" i="28" s="1"/>
  <c r="G39" i="28"/>
  <c r="H39" i="28"/>
  <c r="H56" i="28" s="1"/>
  <c r="I23" i="71" s="1"/>
  <c r="N31" i="27"/>
  <c r="K12" i="26"/>
  <c r="L12" i="26" s="1"/>
  <c r="R12" i="26" s="1"/>
  <c r="K38" i="51"/>
  <c r="L38" i="51" s="1"/>
  <c r="R38" i="51" s="1"/>
  <c r="H18" i="26"/>
  <c r="G18" i="26"/>
  <c r="K80" i="51"/>
  <c r="L80" i="51" s="1"/>
  <c r="R80" i="51" s="1"/>
  <c r="F252" i="12"/>
  <c r="F47" i="27"/>
  <c r="R45" i="51"/>
  <c r="G42" i="26"/>
  <c r="K42" i="26" s="1"/>
  <c r="L42" i="26" s="1"/>
  <c r="G234" i="12"/>
  <c r="D24" i="71"/>
  <c r="D43" i="71" s="1"/>
  <c r="G212" i="12"/>
  <c r="J59" i="28"/>
  <c r="J42" i="27"/>
  <c r="K42" i="27" s="1"/>
  <c r="N42" i="27" s="1"/>
  <c r="K93" i="26"/>
  <c r="L93" i="26" s="1"/>
  <c r="R93" i="26" s="1"/>
  <c r="F18" i="27"/>
  <c r="J18" i="27" s="1"/>
  <c r="K18" i="27" s="1"/>
  <c r="N18" i="27" s="1"/>
  <c r="M39" i="31"/>
  <c r="T99" i="4"/>
  <c r="T105" i="4" s="1"/>
  <c r="R11" i="51"/>
  <c r="D359" i="12"/>
  <c r="D360" i="12" s="1"/>
  <c r="K103" i="26"/>
  <c r="L103" i="26" s="1"/>
  <c r="R103" i="26" s="1"/>
  <c r="G199" i="12"/>
  <c r="R92" i="26"/>
  <c r="K39" i="26"/>
  <c r="L39" i="26" s="1"/>
  <c r="R39" i="26" s="1"/>
  <c r="F16" i="26"/>
  <c r="K17" i="51"/>
  <c r="L17" i="51" s="1"/>
  <c r="R17" i="51" s="1"/>
  <c r="J31" i="71"/>
  <c r="R78" i="26"/>
  <c r="K60" i="26"/>
  <c r="L60" i="26" s="1"/>
  <c r="P44" i="26"/>
  <c r="O44" i="26"/>
  <c r="R44" i="26" s="1"/>
  <c r="H10" i="51"/>
  <c r="G10" i="51"/>
  <c r="G84" i="26"/>
  <c r="K84" i="26" s="1"/>
  <c r="H84" i="26"/>
  <c r="K37" i="26"/>
  <c r="L37" i="26" s="1"/>
  <c r="R37" i="26" s="1"/>
  <c r="K51" i="26"/>
  <c r="L51" i="26" s="1"/>
  <c r="J11" i="27"/>
  <c r="K11" i="27" s="1"/>
  <c r="N11" i="27" s="1"/>
  <c r="K72" i="51"/>
  <c r="L72" i="51" s="1"/>
  <c r="R72" i="51" s="1"/>
  <c r="H86" i="51"/>
  <c r="G86" i="51"/>
  <c r="K86" i="51"/>
  <c r="L86" i="51" s="1"/>
  <c r="R86" i="51" s="1"/>
  <c r="N15" i="27"/>
  <c r="G42" i="51"/>
  <c r="K42" i="51" s="1"/>
  <c r="L42" i="51" s="1"/>
  <c r="H42" i="51"/>
  <c r="H14" i="26"/>
  <c r="K14" i="26" s="1"/>
  <c r="L14" i="26" s="1"/>
  <c r="R14" i="26" s="1"/>
  <c r="K54" i="26"/>
  <c r="L54" i="26" s="1"/>
  <c r="K60" i="51"/>
  <c r="L60" i="51" s="1"/>
  <c r="R60" i="51" s="1"/>
  <c r="G65" i="51"/>
  <c r="K65" i="51" s="1"/>
  <c r="L65" i="51" s="1"/>
  <c r="R65" i="51" s="1"/>
  <c r="G357" i="12"/>
  <c r="J49" i="27"/>
  <c r="K49" i="27" s="1"/>
  <c r="N49" i="27" s="1"/>
  <c r="H31" i="28"/>
  <c r="K31" i="28" s="1"/>
  <c r="L31" i="28" s="1"/>
  <c r="R72" i="26"/>
  <c r="H8" i="51"/>
  <c r="G8" i="51"/>
  <c r="N16" i="27"/>
  <c r="Q48" i="26"/>
  <c r="O48" i="26"/>
  <c r="R48" i="26" s="1"/>
  <c r="J47" i="27"/>
  <c r="K47" i="27" s="1"/>
  <c r="N47" i="27" s="1"/>
  <c r="E23" i="31"/>
  <c r="H16" i="26"/>
  <c r="L54" i="1"/>
  <c r="K20" i="65"/>
  <c r="L20" i="65" s="1"/>
  <c r="O20" i="65" s="1"/>
  <c r="G30" i="27"/>
  <c r="F30" i="27"/>
  <c r="H46" i="51"/>
  <c r="K46" i="51" s="1"/>
  <c r="L46" i="51" s="1"/>
  <c r="R46" i="51" s="1"/>
  <c r="G46" i="51"/>
  <c r="G184" i="12"/>
  <c r="O17" i="65"/>
  <c r="M57" i="28"/>
  <c r="M22" i="71" s="1"/>
  <c r="M60" i="31"/>
  <c r="M59" i="31" s="1"/>
  <c r="M49" i="31" s="1"/>
  <c r="K59" i="31"/>
  <c r="K64" i="26"/>
  <c r="L64" i="26" s="1"/>
  <c r="R64" i="26" s="1"/>
  <c r="E61" i="27"/>
  <c r="F16" i="71" s="1"/>
  <c r="O60" i="26"/>
  <c r="P60" i="26"/>
  <c r="G141" i="12"/>
  <c r="O20" i="28"/>
  <c r="K53" i="26"/>
  <c r="L53" i="26" s="1"/>
  <c r="K25" i="51"/>
  <c r="L25" i="51" s="1"/>
  <c r="R25" i="51" s="1"/>
  <c r="R55" i="51"/>
  <c r="R80" i="26"/>
  <c r="V78" i="4"/>
  <c r="D25" i="10" s="1"/>
  <c r="H83" i="26"/>
  <c r="G83" i="26"/>
  <c r="J29" i="27"/>
  <c r="K29" i="27" s="1"/>
  <c r="N29" i="27" s="1"/>
  <c r="K71" i="51"/>
  <c r="L71" i="51" s="1"/>
  <c r="R71" i="51" s="1"/>
  <c r="J26" i="27"/>
  <c r="K26" i="27" s="1"/>
  <c r="N26" i="27" s="1"/>
  <c r="K12" i="65"/>
  <c r="L12" i="65" s="1"/>
  <c r="O12" i="65" s="1"/>
  <c r="H51" i="28"/>
  <c r="G51" i="28"/>
  <c r="N14" i="27"/>
  <c r="K15" i="28"/>
  <c r="L15" i="28" s="1"/>
  <c r="O15" i="28" s="1"/>
  <c r="K59" i="26"/>
  <c r="L59" i="26" s="1"/>
  <c r="R59" i="26" s="1"/>
  <c r="K16" i="28"/>
  <c r="L16" i="28" s="1"/>
  <c r="O16" i="28" s="1"/>
  <c r="R83" i="51"/>
  <c r="E117" i="26"/>
  <c r="H12" i="28"/>
  <c r="G12" i="28"/>
  <c r="H41" i="51"/>
  <c r="G41" i="51"/>
  <c r="G75" i="51"/>
  <c r="K75" i="51" s="1"/>
  <c r="L75" i="51" s="1"/>
  <c r="R75" i="51" s="1"/>
  <c r="H75" i="51"/>
  <c r="V99" i="4"/>
  <c r="D26" i="10" s="1"/>
  <c r="O50" i="28"/>
  <c r="O90" i="51"/>
  <c r="O91" i="51" s="1"/>
  <c r="F19" i="27"/>
  <c r="G91" i="26"/>
  <c r="K91" i="26" s="1"/>
  <c r="L91" i="26" s="1"/>
  <c r="R91" i="26" s="1"/>
  <c r="C57" i="20"/>
  <c r="C80" i="20" s="1"/>
  <c r="G31" i="51"/>
  <c r="H31" i="51"/>
  <c r="G30" i="28"/>
  <c r="H30" i="28"/>
  <c r="K24" i="51"/>
  <c r="L24" i="51" s="1"/>
  <c r="R24" i="51" s="1"/>
  <c r="J21" i="27"/>
  <c r="K21" i="27" s="1"/>
  <c r="N21" i="27" s="1"/>
  <c r="O26" i="28"/>
  <c r="N12" i="27"/>
  <c r="F59" i="27"/>
  <c r="H18" i="71" s="1"/>
  <c r="F43" i="27"/>
  <c r="G43" i="27"/>
  <c r="O42" i="28"/>
  <c r="K50" i="26"/>
  <c r="L50" i="26" s="1"/>
  <c r="J33" i="27"/>
  <c r="K33" i="27" s="1"/>
  <c r="N33" i="27" s="1"/>
  <c r="G344" i="12"/>
  <c r="G358" i="12" s="1"/>
  <c r="M111" i="26"/>
  <c r="V73" i="4"/>
  <c r="D24" i="10" s="1"/>
  <c r="O46" i="28"/>
  <c r="G115" i="12"/>
  <c r="E9" i="71"/>
  <c r="H70" i="51"/>
  <c r="G70" i="51"/>
  <c r="G51" i="51"/>
  <c r="H51" i="51"/>
  <c r="O13" i="28"/>
  <c r="R42" i="26"/>
  <c r="K48" i="28"/>
  <c r="L48" i="28" s="1"/>
  <c r="O48" i="28" s="1"/>
  <c r="O54" i="28"/>
  <c r="G63" i="51"/>
  <c r="H63" i="51"/>
  <c r="K11" i="26"/>
  <c r="L11" i="26" s="1"/>
  <c r="R11" i="26" s="1"/>
  <c r="K97" i="26"/>
  <c r="L97" i="26" s="1"/>
  <c r="R97" i="26" s="1"/>
  <c r="M90" i="51"/>
  <c r="M28" i="71" s="1"/>
  <c r="N41" i="27"/>
  <c r="K52" i="51"/>
  <c r="L52" i="51" s="1"/>
  <c r="R52" i="51" s="1"/>
  <c r="U105" i="4"/>
  <c r="C66" i="4"/>
  <c r="V104" i="4"/>
  <c r="D28" i="10" s="1"/>
  <c r="F77" i="20"/>
  <c r="F79" i="20"/>
  <c r="V103" i="4"/>
  <c r="I5" i="31"/>
  <c r="I76" i="31" s="1"/>
  <c r="P28" i="71"/>
  <c r="P31" i="71" s="1"/>
  <c r="P45" i="71" s="1"/>
  <c r="P91" i="51"/>
  <c r="O28" i="71"/>
  <c r="O31" i="71" s="1"/>
  <c r="O45" i="71" s="1"/>
  <c r="G9" i="28"/>
  <c r="H9" i="28"/>
  <c r="H84" i="51"/>
  <c r="G84" i="51"/>
  <c r="K84" i="51" s="1"/>
  <c r="L84" i="51" s="1"/>
  <c r="R84" i="51" s="1"/>
  <c r="H77" i="51"/>
  <c r="G77" i="51"/>
  <c r="H61" i="26"/>
  <c r="G61" i="26"/>
  <c r="F112" i="26"/>
  <c r="F14" i="71" s="1"/>
  <c r="G14" i="71" s="1"/>
  <c r="H88" i="26"/>
  <c r="K88" i="26" s="1"/>
  <c r="L88" i="26" s="1"/>
  <c r="R88" i="26" s="1"/>
  <c r="O34" i="28"/>
  <c r="K21" i="26"/>
  <c r="L21" i="26" s="1"/>
  <c r="R21" i="26" s="1"/>
  <c r="H43" i="51"/>
  <c r="G43" i="51"/>
  <c r="R42" i="51"/>
  <c r="H67" i="51"/>
  <c r="G67" i="51"/>
  <c r="K17" i="28"/>
  <c r="L17" i="28" s="1"/>
  <c r="O17" i="28" s="1"/>
  <c r="G21" i="65"/>
  <c r="H21" i="65"/>
  <c r="E18" i="71"/>
  <c r="E19" i="71" s="1"/>
  <c r="E42" i="71" s="1"/>
  <c r="D62" i="27"/>
  <c r="E6" i="31"/>
  <c r="E5" i="31" s="1"/>
  <c r="E76" i="31" s="1"/>
  <c r="K56" i="26"/>
  <c r="L56" i="26" s="1"/>
  <c r="G44" i="51"/>
  <c r="H44" i="51"/>
  <c r="I26" i="65"/>
  <c r="J25" i="71"/>
  <c r="J27" i="71" s="1"/>
  <c r="J44" i="71" s="1"/>
  <c r="J46" i="71" s="1"/>
  <c r="H85" i="51"/>
  <c r="G85" i="51"/>
  <c r="O51" i="26"/>
  <c r="P51" i="26"/>
  <c r="P43" i="26"/>
  <c r="O43" i="26"/>
  <c r="H76" i="51"/>
  <c r="K76" i="51" s="1"/>
  <c r="L76" i="51" s="1"/>
  <c r="R76" i="51" s="1"/>
  <c r="K23" i="51"/>
  <c r="L23" i="51" s="1"/>
  <c r="R23" i="51" s="1"/>
  <c r="F131" i="12"/>
  <c r="P53" i="26"/>
  <c r="O53" i="26"/>
  <c r="F57" i="27"/>
  <c r="F60" i="27" s="1"/>
  <c r="H17" i="71" s="1"/>
  <c r="G57" i="27"/>
  <c r="G60" i="27" s="1"/>
  <c r="I17" i="71" s="1"/>
  <c r="K11" i="65"/>
  <c r="L11" i="65" s="1"/>
  <c r="O11" i="65" s="1"/>
  <c r="F38" i="27"/>
  <c r="G38" i="27"/>
  <c r="R29" i="51"/>
  <c r="J40" i="26"/>
  <c r="J111" i="26" s="1"/>
  <c r="J118" i="26" s="1"/>
  <c r="G40" i="26"/>
  <c r="G40" i="27"/>
  <c r="J40" i="27" s="1"/>
  <c r="K40" i="27" s="1"/>
  <c r="N40" i="27" s="1"/>
  <c r="J19" i="27"/>
  <c r="K19" i="27" s="1"/>
  <c r="N19" i="27" s="1"/>
  <c r="H12" i="51"/>
  <c r="G12" i="51"/>
  <c r="K12" i="51" s="1"/>
  <c r="L12" i="51" s="1"/>
  <c r="R12" i="51" s="1"/>
  <c r="H25" i="26"/>
  <c r="G25" i="26"/>
  <c r="G85" i="26"/>
  <c r="H85" i="26"/>
  <c r="H112" i="26" s="1"/>
  <c r="I14" i="71" s="1"/>
  <c r="G19" i="51"/>
  <c r="H19" i="51"/>
  <c r="K56" i="51"/>
  <c r="L56" i="51" s="1"/>
  <c r="R56" i="51" s="1"/>
  <c r="G10" i="27"/>
  <c r="J10" i="27" s="1"/>
  <c r="K10" i="27" s="1"/>
  <c r="N10" i="27" s="1"/>
  <c r="H31" i="26"/>
  <c r="K31" i="26" s="1"/>
  <c r="L31" i="26" s="1"/>
  <c r="R31" i="26" s="1"/>
  <c r="M72" i="31"/>
  <c r="M71" i="31" s="1"/>
  <c r="C71" i="31"/>
  <c r="C76" i="31" s="1"/>
  <c r="H69" i="26"/>
  <c r="H116" i="26" s="1"/>
  <c r="I10" i="71" s="1"/>
  <c r="G69" i="26"/>
  <c r="F116" i="26"/>
  <c r="F10" i="71" s="1"/>
  <c r="G10" i="71" s="1"/>
  <c r="O54" i="26"/>
  <c r="Q54" i="26"/>
  <c r="H78" i="51"/>
  <c r="K78" i="51" s="1"/>
  <c r="L78" i="51" s="1"/>
  <c r="R78" i="51" s="1"/>
  <c r="D17" i="71"/>
  <c r="D19" i="71" s="1"/>
  <c r="D42" i="71" s="1"/>
  <c r="C62" i="27"/>
  <c r="M58" i="28"/>
  <c r="M21" i="71" s="1"/>
  <c r="H53" i="28"/>
  <c r="G53" i="28"/>
  <c r="K53" i="28" s="1"/>
  <c r="L53" i="28" s="1"/>
  <c r="O53" i="28" s="1"/>
  <c r="R27" i="26"/>
  <c r="E60" i="27"/>
  <c r="F17" i="71" s="1"/>
  <c r="G17" i="71" s="1"/>
  <c r="L17" i="71" s="1"/>
  <c r="H49" i="26"/>
  <c r="G49" i="26"/>
  <c r="N49" i="26"/>
  <c r="O47" i="26"/>
  <c r="P47" i="26"/>
  <c r="K27" i="28"/>
  <c r="L27" i="28" s="1"/>
  <c r="O27" i="28" s="1"/>
  <c r="G115" i="26"/>
  <c r="H11" i="71" s="1"/>
  <c r="L11" i="71" s="1"/>
  <c r="K38" i="26"/>
  <c r="R62" i="51"/>
  <c r="G34" i="27"/>
  <c r="J34" i="27" s="1"/>
  <c r="K34" i="27" s="1"/>
  <c r="N34" i="27" s="1"/>
  <c r="R16" i="51"/>
  <c r="E31" i="71"/>
  <c r="J32" i="27"/>
  <c r="K32" i="27" s="1"/>
  <c r="N32" i="27" s="1"/>
  <c r="R55" i="26"/>
  <c r="F273" i="12"/>
  <c r="D105" i="4"/>
  <c r="G169" i="12"/>
  <c r="K19" i="28"/>
  <c r="L19" i="28" s="1"/>
  <c r="J56" i="27"/>
  <c r="K56" i="27" s="1"/>
  <c r="N56" i="27" s="1"/>
  <c r="R69" i="51"/>
  <c r="H53" i="51"/>
  <c r="G53" i="51"/>
  <c r="K53" i="51" s="1"/>
  <c r="L53" i="51" s="1"/>
  <c r="R53" i="51" s="1"/>
  <c r="L60" i="27"/>
  <c r="M17" i="71" s="1"/>
  <c r="K108" i="26"/>
  <c r="L108" i="26" s="1"/>
  <c r="R108" i="26" s="1"/>
  <c r="D27" i="71"/>
  <c r="D44" i="71" s="1"/>
  <c r="F58" i="28"/>
  <c r="F21" i="71" s="1"/>
  <c r="G21" i="71" s="1"/>
  <c r="K89" i="26"/>
  <c r="L89" i="26" s="1"/>
  <c r="R89" i="26" s="1"/>
  <c r="G272" i="12"/>
  <c r="G273" i="12" s="1"/>
  <c r="K68" i="51"/>
  <c r="L68" i="51" s="1"/>
  <c r="R68" i="51" s="1"/>
  <c r="H7" i="28"/>
  <c r="K7" i="28" s="1"/>
  <c r="F57" i="28"/>
  <c r="F22" i="71" s="1"/>
  <c r="G22" i="71" s="1"/>
  <c r="G13" i="51"/>
  <c r="H13" i="51"/>
  <c r="K73" i="51"/>
  <c r="L73" i="51" s="1"/>
  <c r="R73" i="51" s="1"/>
  <c r="D26" i="65"/>
  <c r="F57" i="20"/>
  <c r="I8" i="71"/>
  <c r="I39" i="71"/>
  <c r="L23" i="28"/>
  <c r="H39" i="71"/>
  <c r="H8" i="71"/>
  <c r="D14" i="71"/>
  <c r="D15" i="71" s="1"/>
  <c r="D118" i="26"/>
  <c r="G252" i="12"/>
  <c r="G58" i="51"/>
  <c r="H58" i="51"/>
  <c r="L8" i="65"/>
  <c r="E59" i="27"/>
  <c r="G44" i="27"/>
  <c r="G59" i="27" s="1"/>
  <c r="M115" i="26"/>
  <c r="I52" i="31"/>
  <c r="I49" i="31" s="1"/>
  <c r="G16" i="71"/>
  <c r="G74" i="51"/>
  <c r="H74" i="51"/>
  <c r="E118" i="26"/>
  <c r="E39" i="71"/>
  <c r="M30" i="71"/>
  <c r="G41" i="28"/>
  <c r="H41" i="28"/>
  <c r="G72" i="12"/>
  <c r="G131" i="12" s="1"/>
  <c r="H74" i="26"/>
  <c r="K74" i="26" s="1"/>
  <c r="L74" i="26" s="1"/>
  <c r="R74" i="26" s="1"/>
  <c r="G27" i="27"/>
  <c r="J27" i="27" s="1"/>
  <c r="K27" i="27" s="1"/>
  <c r="N27" i="27" s="1"/>
  <c r="O50" i="26"/>
  <c r="P50" i="26"/>
  <c r="K23" i="31"/>
  <c r="M24" i="31"/>
  <c r="E26" i="71"/>
  <c r="E27" i="71" s="1"/>
  <c r="E44" i="71" s="1"/>
  <c r="E26" i="65"/>
  <c r="R30" i="26"/>
  <c r="G46" i="26"/>
  <c r="N46" i="26"/>
  <c r="H46" i="26"/>
  <c r="M9" i="71"/>
  <c r="F39" i="71"/>
  <c r="G19" i="65"/>
  <c r="G25" i="65" s="1"/>
  <c r="H25" i="71" s="1"/>
  <c r="H19" i="65"/>
  <c r="F25" i="65"/>
  <c r="G33" i="51"/>
  <c r="K33" i="51" s="1"/>
  <c r="L33" i="51" s="1"/>
  <c r="R33" i="51" s="1"/>
  <c r="F90" i="51"/>
  <c r="H33" i="51"/>
  <c r="J91" i="51"/>
  <c r="K28" i="71"/>
  <c r="K31" i="71" s="1"/>
  <c r="K45" i="71" s="1"/>
  <c r="V25" i="4"/>
  <c r="N66" i="4"/>
  <c r="O57" i="26"/>
  <c r="Q57" i="26"/>
  <c r="L8" i="28"/>
  <c r="K9" i="26"/>
  <c r="L9" i="26" s="1"/>
  <c r="R9" i="26" s="1"/>
  <c r="C10" i="3"/>
  <c r="M7" i="31"/>
  <c r="M6" i="31" s="1"/>
  <c r="H57" i="28"/>
  <c r="I30" i="71"/>
  <c r="H30" i="71"/>
  <c r="E24" i="71"/>
  <c r="E43" i="71" s="1"/>
  <c r="G20" i="71"/>
  <c r="F24" i="71"/>
  <c r="F43" i="71" s="1"/>
  <c r="E59" i="28"/>
  <c r="K55" i="28"/>
  <c r="G161" i="12"/>
  <c r="G191" i="12" s="1"/>
  <c r="G104" i="26"/>
  <c r="H104" i="26"/>
  <c r="P56" i="26"/>
  <c r="O56" i="26"/>
  <c r="D59" i="28"/>
  <c r="H33" i="1"/>
  <c r="L33" i="1" s="1"/>
  <c r="L40" i="1" s="1"/>
  <c r="C23" i="3"/>
  <c r="D22" i="3" s="1"/>
  <c r="D10" i="10" s="1"/>
  <c r="J117" i="26"/>
  <c r="K9" i="71"/>
  <c r="K15" i="71" s="1"/>
  <c r="K8" i="27"/>
  <c r="J13" i="27"/>
  <c r="K13" i="27" s="1"/>
  <c r="N13" i="27" s="1"/>
  <c r="L61" i="27"/>
  <c r="P58" i="26"/>
  <c r="O58" i="26"/>
  <c r="R33" i="26"/>
  <c r="H41" i="26"/>
  <c r="G41" i="26"/>
  <c r="K41" i="26"/>
  <c r="F111" i="26"/>
  <c r="F118" i="26" s="1"/>
  <c r="M116" i="26"/>
  <c r="M10" i="71" s="1"/>
  <c r="F22" i="27"/>
  <c r="F61" i="27" s="1"/>
  <c r="G22" i="27"/>
  <c r="G61" i="27" s="1"/>
  <c r="I16" i="71" s="1"/>
  <c r="L70" i="26"/>
  <c r="K113" i="26"/>
  <c r="H52" i="26"/>
  <c r="N52" i="26"/>
  <c r="G52" i="26"/>
  <c r="K52" i="26" s="1"/>
  <c r="L52" i="26" s="1"/>
  <c r="L22" i="26"/>
  <c r="G56" i="28"/>
  <c r="K47" i="51"/>
  <c r="G24" i="65"/>
  <c r="K16" i="65"/>
  <c r="L114" i="26"/>
  <c r="R98" i="26"/>
  <c r="R114" i="26" s="1"/>
  <c r="H23" i="65"/>
  <c r="K23" i="65" s="1"/>
  <c r="L23" i="65" s="1"/>
  <c r="O23" i="65" s="1"/>
  <c r="H89" i="51"/>
  <c r="I29" i="71" s="1"/>
  <c r="L29" i="71" s="1"/>
  <c r="R29" i="71" s="1"/>
  <c r="K37" i="51"/>
  <c r="H22" i="28"/>
  <c r="H58" i="28" s="1"/>
  <c r="I21" i="71" s="1"/>
  <c r="G22" i="28"/>
  <c r="G58" i="28" s="1"/>
  <c r="H21" i="71" s="1"/>
  <c r="F191" i="12"/>
  <c r="D41" i="3"/>
  <c r="D11" i="10" s="1"/>
  <c r="K16" i="26"/>
  <c r="L8" i="26"/>
  <c r="L30" i="71"/>
  <c r="R30" i="71" s="1"/>
  <c r="D117" i="26"/>
  <c r="M23" i="71" l="1"/>
  <c r="M59" i="28"/>
  <c r="K18" i="26"/>
  <c r="L18" i="26" s="1"/>
  <c r="R18" i="26" s="1"/>
  <c r="K41" i="28"/>
  <c r="L41" i="28" s="1"/>
  <c r="O41" i="28" s="1"/>
  <c r="K13" i="51"/>
  <c r="L13" i="51" s="1"/>
  <c r="R13" i="51" s="1"/>
  <c r="K69" i="26"/>
  <c r="L69" i="26" s="1"/>
  <c r="R69" i="26" s="1"/>
  <c r="R60" i="26"/>
  <c r="K8" i="51"/>
  <c r="L8" i="51" s="1"/>
  <c r="M24" i="71"/>
  <c r="M43" i="71" s="1"/>
  <c r="H13" i="68" s="1"/>
  <c r="J13" i="4" s="1"/>
  <c r="K39" i="28"/>
  <c r="D32" i="71"/>
  <c r="R54" i="26"/>
  <c r="R53" i="26"/>
  <c r="K83" i="26"/>
  <c r="L83" i="26" s="1"/>
  <c r="R83" i="26" s="1"/>
  <c r="K10" i="51"/>
  <c r="L10" i="51" s="1"/>
  <c r="R10" i="51" s="1"/>
  <c r="L7" i="28"/>
  <c r="O7" i="28" s="1"/>
  <c r="K57" i="28"/>
  <c r="L84" i="26"/>
  <c r="R84" i="26" s="1"/>
  <c r="K116" i="26"/>
  <c r="K41" i="51"/>
  <c r="L41" i="51" s="1"/>
  <c r="R41" i="51" s="1"/>
  <c r="J30" i="27"/>
  <c r="K30" i="27" s="1"/>
  <c r="N30" i="27" s="1"/>
  <c r="K43" i="51"/>
  <c r="L43" i="51" s="1"/>
  <c r="R43" i="51" s="1"/>
  <c r="K12" i="28"/>
  <c r="L12" i="28" s="1"/>
  <c r="O12" i="28" s="1"/>
  <c r="K51" i="51"/>
  <c r="L51" i="51" s="1"/>
  <c r="R51" i="51" s="1"/>
  <c r="K40" i="26"/>
  <c r="L40" i="26" s="1"/>
  <c r="R40" i="26" s="1"/>
  <c r="M31" i="71"/>
  <c r="M45" i="71" s="1"/>
  <c r="H13" i="69" s="1"/>
  <c r="L13" i="4" s="1"/>
  <c r="R47" i="26"/>
  <c r="K19" i="51"/>
  <c r="L19" i="51" s="1"/>
  <c r="R19" i="51" s="1"/>
  <c r="M91" i="51"/>
  <c r="R51" i="26"/>
  <c r="G116" i="26"/>
  <c r="H10" i="71" s="1"/>
  <c r="K63" i="51"/>
  <c r="L63" i="51" s="1"/>
  <c r="R63" i="51" s="1"/>
  <c r="K51" i="28"/>
  <c r="L51" i="28" s="1"/>
  <c r="O51" i="28" s="1"/>
  <c r="K85" i="51"/>
  <c r="L85" i="51" s="1"/>
  <c r="R85" i="51" s="1"/>
  <c r="J22" i="27"/>
  <c r="K22" i="27" s="1"/>
  <c r="N22" i="27" s="1"/>
  <c r="K49" i="26"/>
  <c r="L49" i="26" s="1"/>
  <c r="K67" i="51"/>
  <c r="L67" i="51" s="1"/>
  <c r="R67" i="51" s="1"/>
  <c r="R57" i="26"/>
  <c r="K30" i="28"/>
  <c r="L30" i="28" s="1"/>
  <c r="O30" i="28" s="1"/>
  <c r="K44" i="51"/>
  <c r="L44" i="51" s="1"/>
  <c r="R44" i="51" s="1"/>
  <c r="K31" i="51"/>
  <c r="L31" i="51" s="1"/>
  <c r="R31" i="51" s="1"/>
  <c r="R56" i="26"/>
  <c r="J32" i="71"/>
  <c r="K9" i="28"/>
  <c r="L9" i="28" s="1"/>
  <c r="O9" i="28" s="1"/>
  <c r="K104" i="26"/>
  <c r="L104" i="26" s="1"/>
  <c r="R104" i="26" s="1"/>
  <c r="K46" i="26"/>
  <c r="L46" i="26" s="1"/>
  <c r="K85" i="26"/>
  <c r="L85" i="26" s="1"/>
  <c r="R43" i="26"/>
  <c r="K70" i="51"/>
  <c r="L70" i="51" s="1"/>
  <c r="R70" i="51" s="1"/>
  <c r="J43" i="27"/>
  <c r="K43" i="27" s="1"/>
  <c r="N43" i="27" s="1"/>
  <c r="F59" i="28"/>
  <c r="K25" i="26"/>
  <c r="L25" i="26" s="1"/>
  <c r="R25" i="26" s="1"/>
  <c r="J38" i="27"/>
  <c r="K38" i="27" s="1"/>
  <c r="N38" i="27" s="1"/>
  <c r="F359" i="12"/>
  <c r="F360" i="12" s="1"/>
  <c r="L10" i="71"/>
  <c r="R10" i="71" s="1"/>
  <c r="K77" i="51"/>
  <c r="L77" i="51" s="1"/>
  <c r="R77" i="51" s="1"/>
  <c r="G112" i="26"/>
  <c r="H14" i="71" s="1"/>
  <c r="L14" i="71" s="1"/>
  <c r="R14" i="71" s="1"/>
  <c r="P49" i="26"/>
  <c r="O49" i="26"/>
  <c r="R49" i="26"/>
  <c r="R17" i="71"/>
  <c r="D40" i="71"/>
  <c r="D41" i="71" s="1"/>
  <c r="D46" i="71" s="1"/>
  <c r="J57" i="27"/>
  <c r="R58" i="26"/>
  <c r="L38" i="26"/>
  <c r="K115" i="26"/>
  <c r="K21" i="65"/>
  <c r="L21" i="65" s="1"/>
  <c r="O21" i="65" s="1"/>
  <c r="M117" i="26"/>
  <c r="R50" i="26"/>
  <c r="K58" i="51"/>
  <c r="L58" i="51" s="1"/>
  <c r="R58" i="51" s="1"/>
  <c r="H90" i="51"/>
  <c r="I28" i="71" s="1"/>
  <c r="I31" i="71" s="1"/>
  <c r="I45" i="71" s="1"/>
  <c r="H16" i="69" s="1"/>
  <c r="L19" i="4" s="1"/>
  <c r="K74" i="51"/>
  <c r="L74" i="51" s="1"/>
  <c r="R74" i="51" s="1"/>
  <c r="K61" i="26"/>
  <c r="F62" i="27"/>
  <c r="H16" i="71"/>
  <c r="H19" i="71" s="1"/>
  <c r="H42" i="71" s="1"/>
  <c r="H15" i="67" s="1"/>
  <c r="I18" i="4" s="1"/>
  <c r="O8" i="65"/>
  <c r="L16" i="65"/>
  <c r="K24" i="65"/>
  <c r="R70" i="26"/>
  <c r="R113" i="26" s="1"/>
  <c r="L113" i="26"/>
  <c r="H13" i="1"/>
  <c r="C6" i="3"/>
  <c r="D5" i="3" s="1"/>
  <c r="G39" i="71"/>
  <c r="F8" i="71"/>
  <c r="L21" i="71"/>
  <c r="R21" i="71" s="1"/>
  <c r="R85" i="26"/>
  <c r="K5" i="31"/>
  <c r="K76" i="31" s="1"/>
  <c r="M23" i="31"/>
  <c r="M5" i="31" s="1"/>
  <c r="M76" i="31" s="1"/>
  <c r="G359" i="12"/>
  <c r="G360" i="12" s="1"/>
  <c r="H26" i="71"/>
  <c r="L26" i="71" s="1"/>
  <c r="R26" i="71" s="1"/>
  <c r="G26" i="65"/>
  <c r="K22" i="28"/>
  <c r="L47" i="51"/>
  <c r="K88" i="51"/>
  <c r="O8" i="28"/>
  <c r="E8" i="71"/>
  <c r="E15" i="71" s="1"/>
  <c r="E32" i="71" s="1"/>
  <c r="E41" i="71"/>
  <c r="E46" i="71" s="1"/>
  <c r="M11" i="71"/>
  <c r="R11" i="71" s="1"/>
  <c r="M118" i="26"/>
  <c r="M16" i="71"/>
  <c r="M19" i="71" s="1"/>
  <c r="M42" i="71" s="1"/>
  <c r="H13" i="67" s="1"/>
  <c r="I13" i="4" s="1"/>
  <c r="L62" i="27"/>
  <c r="R22" i="26"/>
  <c r="R116" i="26" s="1"/>
  <c r="L116" i="26"/>
  <c r="N8" i="27"/>
  <c r="N61" i="27" s="1"/>
  <c r="O31" i="28"/>
  <c r="O57" i="28" s="1"/>
  <c r="L57" i="28"/>
  <c r="G90" i="51"/>
  <c r="R8" i="51"/>
  <c r="L90" i="51"/>
  <c r="O23" i="28"/>
  <c r="P46" i="26"/>
  <c r="P111" i="26" s="1"/>
  <c r="O46" i="26"/>
  <c r="R46" i="26" s="1"/>
  <c r="N111" i="26"/>
  <c r="G111" i="26"/>
  <c r="K40" i="71"/>
  <c r="K41" i="71" s="1"/>
  <c r="K46" i="71" s="1"/>
  <c r="K32" i="71"/>
  <c r="F25" i="71"/>
  <c r="F26" i="65"/>
  <c r="I18" i="71"/>
  <c r="I19" i="71" s="1"/>
  <c r="I42" i="71" s="1"/>
  <c r="H16" i="67" s="1"/>
  <c r="I19" i="4" s="1"/>
  <c r="G62" i="27"/>
  <c r="H17" i="5"/>
  <c r="D16" i="20" s="1"/>
  <c r="N105" i="4"/>
  <c r="V66" i="4"/>
  <c r="D23" i="10" s="1"/>
  <c r="H25" i="65"/>
  <c r="F18" i="71"/>
  <c r="E62" i="27"/>
  <c r="F28" i="71"/>
  <c r="F91" i="51"/>
  <c r="F45" i="71" s="1"/>
  <c r="L20" i="71"/>
  <c r="G24" i="71"/>
  <c r="G43" i="71" s="1"/>
  <c r="H12" i="68" s="1"/>
  <c r="K89" i="51"/>
  <c r="L37" i="51"/>
  <c r="L41" i="26"/>
  <c r="H111" i="26"/>
  <c r="Q52" i="26"/>
  <c r="Q111" i="26" s="1"/>
  <c r="O52" i="26"/>
  <c r="J44" i="27"/>
  <c r="H23" i="71"/>
  <c r="L23" i="71" s="1"/>
  <c r="R23" i="71" s="1"/>
  <c r="G59" i="28"/>
  <c r="F117" i="26"/>
  <c r="F9" i="71"/>
  <c r="R8" i="26"/>
  <c r="R16" i="26" s="1"/>
  <c r="L16" i="26"/>
  <c r="L55" i="28"/>
  <c r="O19" i="28"/>
  <c r="O55" i="28" s="1"/>
  <c r="I22" i="71"/>
  <c r="L22" i="71" s="1"/>
  <c r="R22" i="71" s="1"/>
  <c r="H59" i="28"/>
  <c r="K19" i="65"/>
  <c r="H16" i="5"/>
  <c r="D15" i="20" s="1"/>
  <c r="L39" i="28" l="1"/>
  <c r="K56" i="28"/>
  <c r="R52" i="26"/>
  <c r="J61" i="27"/>
  <c r="K90" i="51"/>
  <c r="K91" i="51" s="1"/>
  <c r="K111" i="26"/>
  <c r="L16" i="71"/>
  <c r="H27" i="71"/>
  <c r="H44" i="71" s="1"/>
  <c r="H16" i="8" s="1"/>
  <c r="K18" i="4" s="1"/>
  <c r="K61" i="27"/>
  <c r="H91" i="51"/>
  <c r="J60" i="27"/>
  <c r="K57" i="27"/>
  <c r="L61" i="26"/>
  <c r="K112" i="26"/>
  <c r="K118" i="26" s="1"/>
  <c r="L115" i="26"/>
  <c r="R38" i="26"/>
  <c r="R115" i="26" s="1"/>
  <c r="R90" i="51"/>
  <c r="J12" i="4"/>
  <c r="G9" i="71"/>
  <c r="F40" i="71"/>
  <c r="F41" i="71" s="1"/>
  <c r="R20" i="71"/>
  <c r="R24" i="71" s="1"/>
  <c r="L24" i="71"/>
  <c r="L43" i="71" s="1"/>
  <c r="R43" i="71" s="1"/>
  <c r="R47" i="51"/>
  <c r="R88" i="51" s="1"/>
  <c r="L88" i="51"/>
  <c r="R16" i="71"/>
  <c r="C18" i="4"/>
  <c r="L22" i="28"/>
  <c r="K58" i="28"/>
  <c r="K59" i="28" s="1"/>
  <c r="F15" i="71"/>
  <c r="G8" i="71"/>
  <c r="K44" i="27"/>
  <c r="J59" i="27"/>
  <c r="J62" i="27" s="1"/>
  <c r="G28" i="71"/>
  <c r="F31" i="71"/>
  <c r="F27" i="71"/>
  <c r="F44" i="71" s="1"/>
  <c r="G25" i="71"/>
  <c r="L39" i="71"/>
  <c r="D9" i="10"/>
  <c r="D17" i="10" s="1"/>
  <c r="E4" i="3"/>
  <c r="E91" i="3" s="1"/>
  <c r="C19" i="4"/>
  <c r="G18" i="71"/>
  <c r="F19" i="71"/>
  <c r="F42" i="71" s="1"/>
  <c r="L13" i="1"/>
  <c r="L25" i="1" s="1"/>
  <c r="L76" i="1" s="1"/>
  <c r="H76" i="1"/>
  <c r="L77" i="1" s="1"/>
  <c r="G117" i="26"/>
  <c r="H9" i="71"/>
  <c r="G118" i="26"/>
  <c r="H28" i="71"/>
  <c r="H31" i="71" s="1"/>
  <c r="H45" i="71" s="1"/>
  <c r="H15" i="69" s="1"/>
  <c r="L18" i="4" s="1"/>
  <c r="G91" i="51"/>
  <c r="L19" i="65"/>
  <c r="K25" i="65"/>
  <c r="K26" i="65" s="1"/>
  <c r="H117" i="26"/>
  <c r="I9" i="71"/>
  <c r="H118" i="26"/>
  <c r="H24" i="71"/>
  <c r="H43" i="71" s="1"/>
  <c r="H15" i="68" s="1"/>
  <c r="J18" i="4" s="1"/>
  <c r="L89" i="51"/>
  <c r="R37" i="51"/>
  <c r="R89" i="51" s="1"/>
  <c r="H26" i="65"/>
  <c r="I25" i="71"/>
  <c r="I27" i="71" s="1"/>
  <c r="I44" i="71" s="1"/>
  <c r="H17" i="8" s="1"/>
  <c r="K19" i="4" s="1"/>
  <c r="N117" i="26"/>
  <c r="N9" i="71"/>
  <c r="N118" i="26"/>
  <c r="M40" i="71"/>
  <c r="I24" i="71"/>
  <c r="I43" i="71" s="1"/>
  <c r="H16" i="68" s="1"/>
  <c r="J19" i="4" s="1"/>
  <c r="Q118" i="26"/>
  <c r="Q9" i="71"/>
  <c r="Q117" i="26"/>
  <c r="R41" i="26"/>
  <c r="R111" i="26" s="1"/>
  <c r="L111" i="26"/>
  <c r="O111" i="26"/>
  <c r="M15" i="71"/>
  <c r="M32" i="71" s="1"/>
  <c r="O16" i="65"/>
  <c r="O24" i="65" s="1"/>
  <c r="L24" i="65"/>
  <c r="P118" i="26"/>
  <c r="P9" i="71"/>
  <c r="P117" i="26"/>
  <c r="O39" i="28" l="1"/>
  <c r="O56" i="28" s="1"/>
  <c r="L56" i="28"/>
  <c r="R91" i="51"/>
  <c r="R61" i="26"/>
  <c r="R112" i="26" s="1"/>
  <c r="R117" i="26" s="1"/>
  <c r="L112" i="26"/>
  <c r="L117" i="26" s="1"/>
  <c r="K117" i="26"/>
  <c r="K60" i="27"/>
  <c r="N57" i="27"/>
  <c r="N60" i="27" s="1"/>
  <c r="L28" i="71"/>
  <c r="G31" i="71"/>
  <c r="G45" i="71" s="1"/>
  <c r="H12" i="69" s="1"/>
  <c r="N44" i="27"/>
  <c r="N59" i="27" s="1"/>
  <c r="K59" i="27"/>
  <c r="H13" i="6"/>
  <c r="M41" i="71"/>
  <c r="M46" i="71" s="1"/>
  <c r="H16" i="6"/>
  <c r="I40" i="71"/>
  <c r="I41" i="71" s="1"/>
  <c r="I46" i="71" s="1"/>
  <c r="I15" i="71"/>
  <c r="I32" i="71" s="1"/>
  <c r="H11" i="5"/>
  <c r="G15" i="71"/>
  <c r="L8" i="71"/>
  <c r="R8" i="71" s="1"/>
  <c r="O118" i="26"/>
  <c r="O117" i="26"/>
  <c r="O9" i="71"/>
  <c r="O19" i="65"/>
  <c r="O25" i="65" s="1"/>
  <c r="O26" i="65" s="1"/>
  <c r="L25" i="65"/>
  <c r="L26" i="65" s="1"/>
  <c r="F32" i="71"/>
  <c r="F46" i="71"/>
  <c r="P40" i="71"/>
  <c r="P41" i="71" s="1"/>
  <c r="P46" i="71" s="1"/>
  <c r="P15" i="71"/>
  <c r="P32" i="71" s="1"/>
  <c r="L91" i="51"/>
  <c r="L18" i="71"/>
  <c r="G19" i="71"/>
  <c r="G42" i="71" s="1"/>
  <c r="H12" i="67" s="1"/>
  <c r="G40" i="71"/>
  <c r="L9" i="71"/>
  <c r="N15" i="71"/>
  <c r="N40" i="71"/>
  <c r="N41" i="71" s="1"/>
  <c r="N46" i="71" s="1"/>
  <c r="O22" i="28"/>
  <c r="O58" i="28" s="1"/>
  <c r="O59" i="28" s="1"/>
  <c r="L58" i="28"/>
  <c r="L59" i="28" s="1"/>
  <c r="R39" i="71"/>
  <c r="H40" i="71"/>
  <c r="H15" i="71"/>
  <c r="H32" i="71" s="1"/>
  <c r="J24" i="4"/>
  <c r="J105" i="4" s="1"/>
  <c r="L118" i="26"/>
  <c r="Q15" i="71"/>
  <c r="Q32" i="71" s="1"/>
  <c r="Q40" i="71"/>
  <c r="Q41" i="71" s="1"/>
  <c r="Q46" i="71" s="1"/>
  <c r="G27" i="71"/>
  <c r="G44" i="71" s="1"/>
  <c r="H12" i="8" s="1"/>
  <c r="L25" i="71"/>
  <c r="R118" i="26"/>
  <c r="H17" i="68"/>
  <c r="H29" i="68" s="1"/>
  <c r="K62" i="27" l="1"/>
  <c r="N62" i="27"/>
  <c r="R9" i="71"/>
  <c r="H19" i="4"/>
  <c r="V19" i="4" s="1"/>
  <c r="E16" i="20"/>
  <c r="F16" i="20" s="1"/>
  <c r="H18" i="5"/>
  <c r="H52" i="5" s="1"/>
  <c r="D12" i="20"/>
  <c r="K13" i="5"/>
  <c r="E11" i="20"/>
  <c r="F11" i="20" s="1"/>
  <c r="H13" i="4"/>
  <c r="V13" i="4" s="1"/>
  <c r="I12" i="4"/>
  <c r="I24" i="4" s="1"/>
  <c r="I105" i="4" s="1"/>
  <c r="H17" i="67"/>
  <c r="H24" i="67" s="1"/>
  <c r="L12" i="4"/>
  <c r="L24" i="4" s="1"/>
  <c r="L105" i="4" s="1"/>
  <c r="H17" i="69"/>
  <c r="H23" i="69" s="1"/>
  <c r="K12" i="4"/>
  <c r="K24" i="4" s="1"/>
  <c r="K105" i="4" s="1"/>
  <c r="H18" i="8"/>
  <c r="H19" i="8" s="1"/>
  <c r="N32" i="71"/>
  <c r="H14" i="6"/>
  <c r="R18" i="71"/>
  <c r="R19" i="71" s="1"/>
  <c r="L19" i="71"/>
  <c r="L42" i="71" s="1"/>
  <c r="R42" i="71" s="1"/>
  <c r="L31" i="71"/>
  <c r="L45" i="71" s="1"/>
  <c r="R45" i="71" s="1"/>
  <c r="R28" i="71"/>
  <c r="R31" i="71" s="1"/>
  <c r="L27" i="71"/>
  <c r="L44" i="71" s="1"/>
  <c r="R44" i="71" s="1"/>
  <c r="R25" i="71"/>
  <c r="R27" i="71" s="1"/>
  <c r="O40" i="71"/>
  <c r="O41" i="71" s="1"/>
  <c r="O46" i="71" s="1"/>
  <c r="O15" i="71"/>
  <c r="O32" i="71" s="1"/>
  <c r="L40" i="71"/>
  <c r="H12" i="6"/>
  <c r="G41" i="71"/>
  <c r="G46" i="71" s="1"/>
  <c r="H41" i="71"/>
  <c r="H46" i="71" s="1"/>
  <c r="L15" i="71"/>
  <c r="G32" i="71"/>
  <c r="E13" i="20" l="1"/>
  <c r="F13" i="20" s="1"/>
  <c r="H15" i="4"/>
  <c r="V15" i="4" s="1"/>
  <c r="D21" i="20"/>
  <c r="D80" i="20" s="1"/>
  <c r="F12" i="20"/>
  <c r="C14" i="4"/>
  <c r="V14" i="4" s="1"/>
  <c r="L32" i="71"/>
  <c r="R15" i="71"/>
  <c r="R32" i="71" s="1"/>
  <c r="H15" i="6"/>
  <c r="E9" i="20"/>
  <c r="H12" i="4"/>
  <c r="R40" i="71"/>
  <c r="R41" i="71" s="1"/>
  <c r="R46" i="71" s="1"/>
  <c r="L41" i="71"/>
  <c r="L46" i="71" s="1"/>
  <c r="E15" i="20" l="1"/>
  <c r="F15" i="20" s="1"/>
  <c r="H18" i="4"/>
  <c r="V18" i="4" s="1"/>
  <c r="V12" i="4"/>
  <c r="H18" i="6"/>
  <c r="H47" i="6" s="1"/>
  <c r="G33" i="69" s="1"/>
  <c r="G35" i="69" s="1"/>
  <c r="C24" i="4"/>
  <c r="F9" i="20"/>
  <c r="E21" i="20" l="1"/>
  <c r="E80" i="20" s="1"/>
  <c r="F80" i="20" s="1"/>
  <c r="F21" i="20"/>
  <c r="H24" i="4"/>
  <c r="H105" i="4" s="1"/>
  <c r="C105" i="4"/>
  <c r="V24" i="4" l="1"/>
  <c r="D22" i="10" s="1"/>
  <c r="D29" i="10" s="1"/>
  <c r="V10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PRESUPUESTO01</author>
  </authors>
  <commentList>
    <comment ref="B2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$5,451,967.63 saldos iniciales
$100,000.00 que fondos propios le debe a fondos prestamo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PRESUPUESTO01</author>
  </authors>
  <commentList>
    <comment ref="C7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aquí estan comtemplados 8 meses del 1.5% , 7 meses  de $80,269.00 y un mes de $80,269.01.
 ya que solo dos mes nos ha depositado el ministerio de Hacienda</t>
        </r>
      </text>
    </comment>
    <comment ref="C8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aquí estan comtemplados 8 meses de la fam, 7 meses  de $40,000.00 y un mes de $40,000.03
ya que solo un mes nos ha depositado el ministerio de Hacienda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PRESUPUESTO01</author>
  </authors>
  <commentList>
    <comment ref="H1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$ 3275  PRIMERO DE MAYO
$ 2725 DIA DE LA MADRE
5000 DIA DEL MAESTRO</t>
        </r>
      </text>
    </comment>
    <comment ref="H2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ATAUDES $ 4000.00
1 DE MAYO $100
DIA DE MADRE $ 1145.25</t>
        </r>
      </text>
    </comment>
    <comment ref="H22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dia de la madre</t>
        </r>
      </text>
    </comment>
    <comment ref="H23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dia de la madre</t>
        </r>
      </text>
    </comment>
    <comment ref="H2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$825.00 chapas
$1225.00 dia de la madre
$160.00 primero de mayo</t>
        </r>
      </text>
    </comment>
    <comment ref="H29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fondo circulante 1 cada 2 mese de $3000
</t>
        </r>
      </text>
    </comment>
    <comment ref="H30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pago de servicio de radio $718.68 x 9
</t>
        </r>
      </text>
    </comment>
    <comment ref="H31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$ 81367.58 cobrado en el año 2023
y 2632.42 de los ingresos normales para hacer el pago de 6 meses poniendo que nos saldran $14,000 mensuales</t>
        </r>
      </text>
    </comment>
    <comment ref="H33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 xml:space="preserve">PRESUPUESTO01:
$ 850.00 primero de mayo
$ 340.00 dia de la madre
</t>
        </r>
      </text>
    </comment>
    <comment ref="H34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COMISION A CLESA POR COBRO DE IMPUESTOS</t>
        </r>
      </text>
    </comment>
    <comment ref="H35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 $1031.97 dia de la madre
$ 477.50 primero de mayo</t>
        </r>
      </text>
    </comment>
    <comment ref="H37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PRESUPUESTO01:SEGURO DE PERSONAS $ 29,979.43 Y $ 6020.57 DE SEGURO DE FIDELIDAD</t>
        </r>
      </text>
    </comment>
    <comment ref="H38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1325 seguros de vehiculos mensual * 12 = $15,890.88</t>
        </r>
      </text>
    </comment>
    <comment ref="H39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1325 seguros de vehiculos mensual * 12 = $15,890.88</t>
        </r>
      </text>
    </comment>
    <comment ref="H42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$7700 para mesa y sillas de conferencia y $5000 para otras cosas</t>
        </r>
      </text>
    </comment>
    <comment ref="H43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LICENCIAS DE MICROSOFT $452.20 MENSUAL POR 12 MESES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 de la Juventud</author>
  </authors>
  <commentList>
    <comment ref="B24" authorId="0" shapeId="0" xr:uid="{00000000-0006-0000-1200-000001000000}">
      <text>
        <r>
          <rPr>
            <b/>
            <sz val="8"/>
            <color indexed="8"/>
            <rFont val="Tahoma"/>
            <family val="2"/>
          </rPr>
          <t>Casa de la Juventud: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C80" authorId="0" shapeId="0" xr:uid="{00000000-0006-0000-1200-000002000000}">
      <text>
        <r>
          <rPr>
            <b/>
            <sz val="8"/>
            <color indexed="8"/>
            <rFont val="Tahoma"/>
            <family val="2"/>
          </rPr>
          <t>Casa de la Juventud: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PRESUPUESTO01</author>
  </authors>
  <commentList>
    <comment ref="H35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se han dejado 4
 meses de pago de alumbrado publico a $14,000 mensual</t>
        </r>
      </text>
    </comment>
    <comment ref="H37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se han dejado 8 meses a 13,500
 cada mes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PRESUPUESTO01</author>
    <author>Usuario</author>
  </authors>
  <commentList>
    <comment ref="H19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compra de agua purificada $1550 mensuales * 6 = $9,300.00
COMPRA DE CAFÉ Y AZUCAR $5,700, PARA LOS DOS MESES</t>
        </r>
      </text>
    </comment>
    <comment ref="H21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compra de uniformes para el pérsonal</t>
        </r>
      </text>
    </comment>
    <comment ref="H27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$7275.23 para insumos para  ornato y limpieza 
$5000 decoracion fiesta navideña</t>
        </r>
      </text>
    </comment>
    <comment ref="H28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mas $ 50.00 mensuales de la balastrera * 12= $ 900</t>
        </r>
      </text>
    </comment>
    <comment ref="H29" authorId="0" shapeId="0" xr:uid="{00000000-0006-0000-1400-000005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AGUA POTABLE DEL MERCADO DE METALIO
$200.00
AGUA POTABLE MUNICIPAL $ 7069.39</t>
        </r>
      </text>
    </comment>
    <comment ref="H30" authorId="0" shapeId="0" xr:uid="{00000000-0006-0000-1400-000006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$ 344.08 claro mensual * 12 = $ 4,128.96 
$ 6870.85 movistar mensual * 12 =$ 82,450.20
$25.00 mensual de internet la balastrera * 12= $ 300.00
puse $8500 mensuales por 9 meses</t>
        </r>
      </text>
    </comment>
    <comment ref="H31" authorId="0" shapeId="0" xr:uid="{00000000-0006-0000-1400-000007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$13,500X 3 MESES </t>
        </r>
      </text>
    </comment>
    <comment ref="H32" authorId="0" shapeId="0" xr:uid="{00000000-0006-0000-1400-000008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arrendamiento de fotocopiadora $1100.00 mensuales X 8 MESES</t>
        </r>
      </text>
    </comment>
    <comment ref="H33" authorId="0" shapeId="0" xr:uid="{00000000-0006-0000-1400-000009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$ 172.08 mnesual de la balastrera * 8 meses $ 1376.64</t>
        </r>
      </text>
    </comment>
    <comment ref="H41" authorId="0" shapeId="0" xr:uid="{00000000-0006-0000-1400-00000A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alquiler en CEPA $507.66 X 8 MESES</t>
        </r>
      </text>
    </comment>
    <comment ref="H46" authorId="0" shapeId="0" xr:uid="{00000000-0006-0000-1400-00000B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385 mensual por 9 meses 
asistencia de soporte tecnico del sistema de administracion tributaria</t>
        </r>
      </text>
    </comment>
    <comment ref="H49" authorId="1" shapeId="0" xr:uid="{00000000-0006-0000-1400-00000C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 9 meses de kali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 de la Juventud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Casa de la Juventud: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PRESUPUESTO01</author>
  </authors>
  <commentList>
    <comment ref="H12" authorId="0" shapeId="0" xr:uid="{070CB2E3-8AF3-47C3-A348-24EBC0051E9B}">
      <text>
        <r>
          <rPr>
            <b/>
            <sz val="9"/>
            <color indexed="81"/>
            <rFont val="Tahoma"/>
            <charset val="1"/>
          </rPr>
          <t>PRESUPUESTO01:</t>
        </r>
        <r>
          <rPr>
            <sz val="9"/>
            <color indexed="81"/>
            <rFont val="Tahoma"/>
            <charset val="1"/>
          </rPr>
          <t xml:space="preserve">
en esta cifra dejaré $16696.80 para junio que fue lo de la tormenta y $6000 para otra emergencia si se presentaré</t>
        </r>
      </text>
    </comment>
    <comment ref="H19" authorId="0" shapeId="0" xr:uid="{613ED4EF-3C94-4037-ADF9-541CE78712A0}">
      <text>
        <r>
          <rPr>
            <b/>
            <sz val="9"/>
            <color indexed="81"/>
            <rFont val="Tahoma"/>
            <charset val="1"/>
          </rPr>
          <t>PRESUPUESTO01:</t>
        </r>
        <r>
          <rPr>
            <sz val="9"/>
            <color indexed="81"/>
            <rFont val="Tahoma"/>
            <charset val="1"/>
          </rPr>
          <t xml:space="preserve">
en este cifra dejaré $5085.83 para junio por lo de la tormenta y $3,638.22 para cualquier otra emergencia que se presente.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PRESUPUESTO01</author>
  </authors>
  <commentList>
    <comment ref="G22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PRESUPUESTO01:</t>
        </r>
        <r>
          <rPr>
            <sz val="9"/>
            <color indexed="81"/>
            <rFont val="Tahoma"/>
            <family val="2"/>
          </rPr>
          <t xml:space="preserve">
este proyecto en el presupuesto venika con 179,121.88, se le hizo un incremento de 176,378.13</t>
        </r>
      </text>
    </comment>
  </commentList>
</comments>
</file>

<file path=xl/sharedStrings.xml><?xml version="1.0" encoding="utf-8"?>
<sst xmlns="http://schemas.openxmlformats.org/spreadsheetml/2006/main" count="2754" uniqueCount="1225">
  <si>
    <t>(En Dolares de los Estados Unidos de America)</t>
  </si>
  <si>
    <t>DETALLE CONSOLIDADO DE INGRESOS POR ESPECIFICO Y FUENTE DE FINANCIAMIENTO</t>
  </si>
  <si>
    <t>(1) Objeto Específico</t>
  </si>
  <si>
    <t>(2) DENOMINACION</t>
  </si>
  <si>
    <t>(3) Fondo General</t>
  </si>
  <si>
    <t>(9) Fondos Propios</t>
  </si>
  <si>
    <t>(11) Préstamos Internos</t>
  </si>
  <si>
    <t xml:space="preserve">(13) T O T A L  </t>
  </si>
  <si>
    <t>(4) FODES</t>
  </si>
  <si>
    <t>(8) SUBTOTAL</t>
  </si>
  <si>
    <t>11801</t>
  </si>
  <si>
    <t>De Comercio</t>
  </si>
  <si>
    <t>11802</t>
  </si>
  <si>
    <t>De Industria</t>
  </si>
  <si>
    <t>11804</t>
  </si>
  <si>
    <t>De Servicios</t>
  </si>
  <si>
    <t xml:space="preserve">sub total </t>
  </si>
  <si>
    <t>Por Servicio de Certificación o Visado de Documentos</t>
  </si>
  <si>
    <t>Por expedicion de documentos de identificacion</t>
  </si>
  <si>
    <t>Alumbrado Público</t>
  </si>
  <si>
    <t>12109</t>
  </si>
  <si>
    <t>12111</t>
  </si>
  <si>
    <t>Cementerios</t>
  </si>
  <si>
    <t>12114</t>
  </si>
  <si>
    <t>fiestas 5%</t>
  </si>
  <si>
    <t>12115</t>
  </si>
  <si>
    <t>Mercados</t>
  </si>
  <si>
    <t>12117</t>
  </si>
  <si>
    <t>Pavimentacion</t>
  </si>
  <si>
    <t>12119</t>
  </si>
  <si>
    <t>Rastro y Tiangue</t>
  </si>
  <si>
    <t>Terminal de Buses</t>
  </si>
  <si>
    <t>12199</t>
  </si>
  <si>
    <t>Tasas diversas</t>
  </si>
  <si>
    <t>12210</t>
  </si>
  <si>
    <t>Permisos y Licencias Municipales</t>
  </si>
  <si>
    <t>12211</t>
  </si>
  <si>
    <t>Cotejo de Fierros</t>
  </si>
  <si>
    <t>14199</t>
  </si>
  <si>
    <t>Ventas de bienes diversos</t>
  </si>
  <si>
    <t>15301</t>
  </si>
  <si>
    <t>15302</t>
  </si>
  <si>
    <t>Interes por mora de impuestos</t>
  </si>
  <si>
    <t>15312</t>
  </si>
  <si>
    <t>Multas del Registro del Estado Familiar</t>
  </si>
  <si>
    <t>15314</t>
  </si>
  <si>
    <t>Otras Multas Municipales</t>
  </si>
  <si>
    <t>15402</t>
  </si>
  <si>
    <t>Arrendamiento de Inmuebles</t>
  </si>
  <si>
    <t>15703</t>
  </si>
  <si>
    <t>Rentabilidad de Cuentas Bancarias</t>
  </si>
  <si>
    <t>15799</t>
  </si>
  <si>
    <t xml:space="preserve">Ingresos Diversos </t>
  </si>
  <si>
    <t>32102</t>
  </si>
  <si>
    <t>(14) TOTAL INGRESOS</t>
  </si>
  <si>
    <t>CODIGO G.O.E.S</t>
  </si>
  <si>
    <t>CLASIFICACION G.O.E.S.</t>
  </si>
  <si>
    <t>INGRESOS CORRIENTES</t>
  </si>
  <si>
    <t xml:space="preserve"> </t>
  </si>
  <si>
    <t>11</t>
  </si>
  <si>
    <t>IMPUESTOS</t>
  </si>
  <si>
    <t>118</t>
  </si>
  <si>
    <t>Impuestos Municipales</t>
  </si>
  <si>
    <t>Comercio</t>
  </si>
  <si>
    <t>Industria</t>
  </si>
  <si>
    <t>Servicios</t>
  </si>
  <si>
    <t>11818</t>
  </si>
  <si>
    <t>Vialidad</t>
  </si>
  <si>
    <t>12</t>
  </si>
  <si>
    <t>TASAS Y DERECHOS</t>
  </si>
  <si>
    <t>121</t>
  </si>
  <si>
    <t>Tasas</t>
  </si>
  <si>
    <t>Por Servicios de Certificacion  ó Visado de Documentos</t>
  </si>
  <si>
    <t>12106</t>
  </si>
  <si>
    <t>Por Expedic.  de Doc.  de Identificacion</t>
  </si>
  <si>
    <t>Cementerios Municipales</t>
  </si>
  <si>
    <t>Fiestas  5 %</t>
  </si>
  <si>
    <t>Mercado</t>
  </si>
  <si>
    <t>Pavimentación</t>
  </si>
  <si>
    <t>Tasas Diversas</t>
  </si>
  <si>
    <t>122</t>
  </si>
  <si>
    <t>Derechos</t>
  </si>
  <si>
    <t>14</t>
  </si>
  <si>
    <t>VENTA DE BIENES Y SERVICIOS</t>
  </si>
  <si>
    <t>141</t>
  </si>
  <si>
    <t xml:space="preserve">Venta de Bienes </t>
  </si>
  <si>
    <t>Venta de Bienes Diversos</t>
  </si>
  <si>
    <t>142</t>
  </si>
  <si>
    <t>Ingresos por Prestación de Servicios Públicos</t>
  </si>
  <si>
    <t>15</t>
  </si>
  <si>
    <t>INGRESOS FINANCIEROS Y OTROS</t>
  </si>
  <si>
    <t>Multas e Intereses por Mora</t>
  </si>
  <si>
    <t>Intereses por Mora</t>
  </si>
  <si>
    <t>Multas por Registro Civil</t>
  </si>
  <si>
    <t>Arrendamientos de Bienes</t>
  </si>
  <si>
    <t>Arrendamientos de Inmuebles</t>
  </si>
  <si>
    <t>157</t>
  </si>
  <si>
    <t>Otros Ingresos no Clasificados</t>
  </si>
  <si>
    <t>Ingresos Diversos</t>
  </si>
  <si>
    <t>16</t>
  </si>
  <si>
    <t>TRANSFERENCIAS CORRIENTES</t>
  </si>
  <si>
    <t>162</t>
  </si>
  <si>
    <t>Transferencias Corrientes del Sector Público</t>
  </si>
  <si>
    <t>De Personas Naturales</t>
  </si>
  <si>
    <t>31</t>
  </si>
  <si>
    <t>313</t>
  </si>
  <si>
    <t>32</t>
  </si>
  <si>
    <t>SALDOS AÑOS ANTERIORES</t>
  </si>
  <si>
    <t>321</t>
  </si>
  <si>
    <t>Saldos Iniciales de Caja y Bancos</t>
  </si>
  <si>
    <t>32101</t>
  </si>
  <si>
    <t>Saldo Inicial en Caja</t>
  </si>
  <si>
    <t>Saldo Inicial en Bancos F.Prop.</t>
  </si>
  <si>
    <t xml:space="preserve">INGRESOS TOTALES </t>
  </si>
  <si>
    <t>DETALLE</t>
  </si>
  <si>
    <t>SUB TOTAL</t>
  </si>
  <si>
    <t>Ingresos Presupuestados Dólares</t>
  </si>
  <si>
    <t>Por Servicios de Certificación ó Visado de Documentos</t>
  </si>
  <si>
    <t>Por Expedicion de Documentos de Identificación</t>
  </si>
  <si>
    <t>Aseo Público   residencial</t>
  </si>
  <si>
    <t>Fiestas 5%</t>
  </si>
  <si>
    <t>Venta de Bienes</t>
  </si>
  <si>
    <t>153</t>
  </si>
  <si>
    <t>Multas Impuestos y Tasas</t>
  </si>
  <si>
    <t>Arrendamiento de Bienes</t>
  </si>
  <si>
    <t>Trasnferencias corrientes del sector Privado</t>
  </si>
  <si>
    <t>ENDEUDAMIENTO PUBLICO</t>
  </si>
  <si>
    <t>Contratación de Emprestitos Internos</t>
  </si>
  <si>
    <t>TOTAL GENERAL……………………</t>
  </si>
  <si>
    <t>(En Dolares de los Estados Unidos de América)</t>
  </si>
  <si>
    <t>DETALLE CONSOLIDADO DE EGRESOS POR ESPECIFICO Y ESTRUCTURA PRESUPUESTARIA</t>
  </si>
  <si>
    <t>(3) ESTRUCTURA PRESUPUESTARIA</t>
  </si>
  <si>
    <t>(4) TOTAL</t>
  </si>
  <si>
    <t>51101</t>
  </si>
  <si>
    <t>Aguinaldos</t>
  </si>
  <si>
    <t>Dietas</t>
  </si>
  <si>
    <t>sub total  51</t>
  </si>
  <si>
    <t>Productos Textiles y Vestuarios</t>
  </si>
  <si>
    <t>Productos de papel y Carton</t>
  </si>
  <si>
    <t>Combustibles y Lubricantes</t>
  </si>
  <si>
    <t>Materiales Informaticos</t>
  </si>
  <si>
    <t>Herramientas, Repuestos  y accesorios.</t>
  </si>
  <si>
    <t>Especies Municipales</t>
  </si>
  <si>
    <t>Bienes de usos y consumos diversos</t>
  </si>
  <si>
    <t>Servicios de Energia Electrica</t>
  </si>
  <si>
    <t>Servicios de Agua</t>
  </si>
  <si>
    <t>Servicios de Telecomunicaciones</t>
  </si>
  <si>
    <t>Alumbrado Publico</t>
  </si>
  <si>
    <t>Servicios de Publicidad</t>
  </si>
  <si>
    <t>Impresiones, Publicaciones y Reproducciones</t>
  </si>
  <si>
    <t>Servicios Generales y arrendamientos diversos</t>
  </si>
  <si>
    <t>Viaticos por Comision Externa</t>
  </si>
  <si>
    <t>sub total 54</t>
  </si>
  <si>
    <t>55308</t>
  </si>
  <si>
    <t>Primas y Gastos de Seguros de Bienes</t>
  </si>
  <si>
    <t>Comisiones y Gastos Bancarios</t>
  </si>
  <si>
    <t>sub total 55</t>
  </si>
  <si>
    <t>sub total 56</t>
  </si>
  <si>
    <t>61601</t>
  </si>
  <si>
    <t>61603</t>
  </si>
  <si>
    <t>61699</t>
  </si>
  <si>
    <t>54302</t>
  </si>
  <si>
    <t>61606</t>
  </si>
  <si>
    <t>61608</t>
  </si>
  <si>
    <t>61599</t>
  </si>
  <si>
    <t>subtotal 61</t>
  </si>
  <si>
    <t>71308</t>
  </si>
  <si>
    <t>72101</t>
  </si>
  <si>
    <t>subtotal  72</t>
  </si>
  <si>
    <t>TOTAL EGRESOS</t>
  </si>
  <si>
    <t>PRESUPUESTO MUNICIPAL DE FUNCIONAMIENTO POR ESTRUCTURA PRESUPUESTARIA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</si>
  <si>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</si>
  <si>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</si>
  <si>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</si>
  <si>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</si>
  <si>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</si>
  <si>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</si>
  <si>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</si>
  <si>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</si>
  <si>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</si>
  <si>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01</t>
  </si>
  <si>
    <t>1</t>
  </si>
  <si>
    <t>51107</t>
  </si>
  <si>
    <t xml:space="preserve">Atenciones Oficiales </t>
  </si>
  <si>
    <t>02</t>
  </si>
  <si>
    <t>2</t>
  </si>
  <si>
    <t>000</t>
  </si>
  <si>
    <t>54504</t>
  </si>
  <si>
    <t>Cuentas por pagar de años anteriores</t>
  </si>
  <si>
    <t>I PARTE</t>
  </si>
  <si>
    <t>Rubro</t>
  </si>
  <si>
    <t xml:space="preserve">CLASIFICACION PRESUPUESTARIA DE INGRESOS </t>
  </si>
  <si>
    <t xml:space="preserve">Total </t>
  </si>
  <si>
    <t>SALDOS DE AÑOS ANTERIORES</t>
  </si>
  <si>
    <t>TOTAL  DE  INGRESOS</t>
  </si>
  <si>
    <t>II PARTE</t>
  </si>
  <si>
    <t xml:space="preserve">CLASIFICACION PRESUPUESTARIA DE EGRESOS </t>
  </si>
  <si>
    <t>REMUNERACIONES</t>
  </si>
  <si>
    <t>ADQUISICION DE BIENES Y SERVICIOS</t>
  </si>
  <si>
    <t>GASTOS FINANCIEROS Y OTROS</t>
  </si>
  <si>
    <t>INVERSIONES EN ACTIVOS FIJOS</t>
  </si>
  <si>
    <t>AMORTIZACION DE ENDEUDAMIENTO PUBLICO</t>
  </si>
  <si>
    <t>TOTAL  DE  EGRESOS</t>
  </si>
  <si>
    <t>CODIGO</t>
  </si>
  <si>
    <t>AREA DE GESTION</t>
  </si>
  <si>
    <t>UNIDAD PRESUPUESTARIA</t>
  </si>
  <si>
    <t>LINEA DE TRABAJO</t>
  </si>
  <si>
    <t>0101</t>
  </si>
  <si>
    <t>0201</t>
  </si>
  <si>
    <t>0202</t>
  </si>
  <si>
    <t>TERRENOS</t>
  </si>
  <si>
    <t>VIALES</t>
  </si>
  <si>
    <t>DE SALUD Y SANEAMIENTO AMBIENTAL</t>
  </si>
  <si>
    <t>DE EDUCACION Y RECREACION</t>
  </si>
  <si>
    <t>ELECTRICAS Y COMUNICACIONES</t>
  </si>
  <si>
    <t>No DE PLAZAS</t>
  </si>
  <si>
    <t>SUELDOS</t>
  </si>
  <si>
    <t>Sueldo</t>
  </si>
  <si>
    <t xml:space="preserve">MONTO </t>
  </si>
  <si>
    <t>TITULO DE LA PLAZA</t>
  </si>
  <si>
    <t>Mensual</t>
  </si>
  <si>
    <t>ANUAL</t>
  </si>
  <si>
    <t xml:space="preserve">   DIRECCION Y ADMINISTRACION MUNICIPAL</t>
  </si>
  <si>
    <t xml:space="preserve">Sindico Municipal   </t>
  </si>
  <si>
    <t>Sub total</t>
  </si>
  <si>
    <t>OBLIGACIONES PATRONALES</t>
  </si>
  <si>
    <t>AGUINALDO</t>
  </si>
  <si>
    <t xml:space="preserve">    LINEA DE TRABAJO</t>
  </si>
  <si>
    <t>ISSS</t>
  </si>
  <si>
    <t>AFP'S</t>
  </si>
  <si>
    <t>IPSFA</t>
  </si>
  <si>
    <t xml:space="preserve">TOTAL </t>
  </si>
  <si>
    <t xml:space="preserve">         UNIDAD ORGANIZACIONAL</t>
  </si>
  <si>
    <t>MENSUAL</t>
  </si>
  <si>
    <t>DIRECCION SUPERIOR</t>
  </si>
  <si>
    <t>0101 - Concejo Municipal</t>
  </si>
  <si>
    <t>ADMINISTRACION FINANCIERA Y TRIBUTARIA</t>
  </si>
  <si>
    <t>FONDOS PROPIOS.</t>
  </si>
  <si>
    <t>TOTAL</t>
  </si>
  <si>
    <t>SUB-TOTAL</t>
  </si>
  <si>
    <t>Servicios de Contabilidad y Auditoría (Externa)</t>
  </si>
  <si>
    <t>0101 - Direccion y Administracion Superior</t>
  </si>
  <si>
    <t>F.PROPIOS</t>
  </si>
  <si>
    <t>PREST.INTERNOS</t>
  </si>
  <si>
    <r>
      <t>F</t>
    </r>
    <r>
      <rPr>
        <b/>
        <vertAlign val="subscript"/>
        <sz val="10"/>
        <rFont val="Arial"/>
        <family val="2"/>
      </rPr>
      <t>6</t>
    </r>
  </si>
  <si>
    <t>56305</t>
  </si>
  <si>
    <t>Becas</t>
  </si>
  <si>
    <t xml:space="preserve">De Educacion y Recreacion </t>
  </si>
  <si>
    <t>Eléctricas y Comunicaciones</t>
  </si>
  <si>
    <t>Supervisión de Infraestructuras</t>
  </si>
  <si>
    <t>subtotal 71</t>
  </si>
  <si>
    <t>Obras de Infraestructuras Diversas</t>
  </si>
  <si>
    <t>16301</t>
  </si>
  <si>
    <t>31304</t>
  </si>
  <si>
    <t>54109</t>
  </si>
  <si>
    <t>61101</t>
  </si>
  <si>
    <t>61104</t>
  </si>
  <si>
    <t>61199</t>
  </si>
  <si>
    <t>54106</t>
  </si>
  <si>
    <t>51202</t>
  </si>
  <si>
    <t>54101</t>
  </si>
  <si>
    <t>54112</t>
  </si>
  <si>
    <t>56303</t>
  </si>
  <si>
    <t>56304</t>
  </si>
  <si>
    <t>54103</t>
  </si>
  <si>
    <t>54111</t>
  </si>
  <si>
    <t>De empresas Privadas Financieras no financieras</t>
  </si>
  <si>
    <t>De Empresas Privadas no Financieras</t>
  </si>
  <si>
    <t>De Empresas Públicas Financieras</t>
  </si>
  <si>
    <t>Por Remuneraciones Permanentes AFPs</t>
  </si>
  <si>
    <t>Beneficios Adicionales</t>
  </si>
  <si>
    <t>Productos Alimenticios para Personas</t>
  </si>
  <si>
    <t>Llantas y Neumáticos</t>
  </si>
  <si>
    <t>Minerales no Metálicos y Productos Derivados (arena, piedra, tierra y otros)</t>
  </si>
  <si>
    <t>Minerales  Metálicos y Productos Derivados (alambre, hierro y otros)</t>
  </si>
  <si>
    <t>De Empresas Financieras  (Banco Promerica) Intereses y Comisiones</t>
  </si>
  <si>
    <t>De Empresas Financieras (Banco Promerica)</t>
  </si>
  <si>
    <t>51701</t>
  </si>
  <si>
    <t>Al Personal de Servicios Permanentes (Indemnizaciones)</t>
  </si>
  <si>
    <t>61602</t>
  </si>
  <si>
    <t>Postes, torres y antenas</t>
  </si>
  <si>
    <t>Ingresos Diversos (Y Deudores por Reintegro)</t>
  </si>
  <si>
    <t>12118</t>
  </si>
  <si>
    <t xml:space="preserve">Por prestacion de Servicios en el paìs (Gastos de Representacion) </t>
  </si>
  <si>
    <t>71310</t>
  </si>
  <si>
    <r>
      <t xml:space="preserve">Proyectos y Programas de Inversión Diversos  </t>
    </r>
    <r>
      <rPr>
        <b/>
        <sz val="11"/>
        <rFont val="Arial"/>
        <family val="2"/>
      </rPr>
      <t>(PREINVERSION)</t>
    </r>
    <r>
      <rPr>
        <sz val="11"/>
        <rFont val="Arial"/>
        <family val="2"/>
      </rPr>
      <t xml:space="preserve"> </t>
    </r>
  </si>
  <si>
    <t>PREST.INT.</t>
  </si>
  <si>
    <t>Materiales de Oficina</t>
  </si>
  <si>
    <t xml:space="preserve">Cuentas por pagar de años anteriores </t>
  </si>
  <si>
    <t>Mantenimiento y Rep.de Vehiculos</t>
  </si>
  <si>
    <t>materiales electricos</t>
  </si>
  <si>
    <t xml:space="preserve">Alcalde Municipal  </t>
  </si>
  <si>
    <t>Auditor interno</t>
  </si>
  <si>
    <t>Por prestacion de servicios en el exterior</t>
  </si>
  <si>
    <t>Pasajes al Exterior</t>
  </si>
  <si>
    <t>61110</t>
  </si>
  <si>
    <t>61105</t>
  </si>
  <si>
    <t>Vehiculos de Transporte</t>
  </si>
  <si>
    <t xml:space="preserve">Gastos diversos </t>
  </si>
  <si>
    <t>A personas Naturales</t>
  </si>
  <si>
    <t>SERVICIOS MUNICIPALES INTERNOS Y EXTERNOS</t>
  </si>
  <si>
    <t xml:space="preserve">VACACIONES </t>
  </si>
  <si>
    <t>ANUALES</t>
  </si>
  <si>
    <t>SUB- TOTAL</t>
  </si>
  <si>
    <t>VACACIONES</t>
  </si>
  <si>
    <t>SUELDO</t>
  </si>
  <si>
    <t>OBLIGACIONES PATRONALES ANUAL</t>
  </si>
  <si>
    <t xml:space="preserve">GRAN  </t>
  </si>
  <si>
    <t>RESUMEN ANUAL</t>
  </si>
  <si>
    <t xml:space="preserve">DIRECCION SUPERIOR </t>
  </si>
  <si>
    <t>Salarios por jornal (planilla de trabajadores en calles y caminos vecinales)</t>
  </si>
  <si>
    <t>o Dietas Prom. a Percibir</t>
  </si>
  <si>
    <t>Total Sueldos Mensual Según Nº de Plazas</t>
  </si>
  <si>
    <t>Mobiliario</t>
  </si>
  <si>
    <t>Equipo informatico</t>
  </si>
  <si>
    <t>Bienes Muebles Diversos</t>
  </si>
  <si>
    <t>Maquinaria y equipo de Apoyo Institucional</t>
  </si>
  <si>
    <t>51301</t>
  </si>
  <si>
    <t>Horas extraordinarias</t>
  </si>
  <si>
    <t>Servicios Juridicos</t>
  </si>
  <si>
    <t>CUENTAS POR PAGAR DE AÑOS ANTERIORES</t>
  </si>
  <si>
    <t>61604</t>
  </si>
  <si>
    <t>Mantenimiento y Reparaciones de bienes muebles</t>
  </si>
  <si>
    <t xml:space="preserve">Arrendamiento de bienes muebles </t>
  </si>
  <si>
    <t>subtotal  61</t>
  </si>
  <si>
    <t>sub total</t>
  </si>
  <si>
    <t xml:space="preserve">Transferencias Corrientes al Sector Publico </t>
  </si>
  <si>
    <t>A Organismos sin Fines de Lucro</t>
  </si>
  <si>
    <t>Libros, textos, utiles de enseñanza y publicaciones</t>
  </si>
  <si>
    <t xml:space="preserve">Primas y Gastos de Seguros de Personas </t>
  </si>
  <si>
    <t>De vivienda y oficina</t>
  </si>
  <si>
    <t>Producto Farmaceutico y Medicinales</t>
  </si>
  <si>
    <t>54113</t>
  </si>
  <si>
    <t xml:space="preserve">Productos Químicos  </t>
  </si>
  <si>
    <t>Productos de Cuero y Caucho</t>
  </si>
  <si>
    <t xml:space="preserve">Productos Agropecuarios y Forestales </t>
  </si>
  <si>
    <t>Material e Instrumental de Laboratorio  y uso medico</t>
  </si>
  <si>
    <t>COD.</t>
  </si>
  <si>
    <t>Dietas Prom. a Percibir</t>
  </si>
  <si>
    <t>DENOMINACION</t>
  </si>
  <si>
    <t>OBJETIVO ESPECIFICO</t>
  </si>
  <si>
    <t>Deposito de desechos</t>
  </si>
  <si>
    <t>03</t>
  </si>
  <si>
    <t>Director del CAM</t>
  </si>
  <si>
    <t>120</t>
  </si>
  <si>
    <t>54602</t>
  </si>
  <si>
    <t>Deposito desechos</t>
  </si>
  <si>
    <t xml:space="preserve"> TOTAL  DE  GASTOS  DE FUNCIONAMIENTO</t>
  </si>
  <si>
    <t>TOTAL FUNCIONAMIENTO</t>
  </si>
  <si>
    <t>Por Recuperación de la Mora</t>
  </si>
  <si>
    <t>Por Levantamiento del Catastro</t>
  </si>
  <si>
    <t xml:space="preserve">Por aplicacion de actualizacion y Nuevos Impuestos,Tasas </t>
  </si>
  <si>
    <t>Otros ingresos diversos</t>
  </si>
  <si>
    <t>+</t>
  </si>
  <si>
    <t>%</t>
  </si>
  <si>
    <t>151</t>
  </si>
  <si>
    <t>Rentabilidad de Cuentas Bancaria</t>
  </si>
  <si>
    <t>15199</t>
  </si>
  <si>
    <t>Otras Rentabilidades Financieras</t>
  </si>
  <si>
    <t xml:space="preserve">Aseo Público  </t>
  </si>
  <si>
    <t xml:space="preserve">Aseo Público </t>
  </si>
  <si>
    <t>32201</t>
  </si>
  <si>
    <t>61201</t>
  </si>
  <si>
    <t>51999</t>
  </si>
  <si>
    <t>Remuneraciones Diversas</t>
  </si>
  <si>
    <t>54110</t>
  </si>
  <si>
    <t>MATERIALES DE DEFENSA Y SEGURIDAD PUBLICA</t>
  </si>
  <si>
    <t>Remuneraciones diversas</t>
  </si>
  <si>
    <t>MINERALES NO METALICOS Y PRODUCTOS DERIVADOS</t>
  </si>
  <si>
    <t>PRODUCTOS ALIMENTICIOS</t>
  </si>
  <si>
    <t>F.P 0201</t>
  </si>
  <si>
    <t>F.P 0202</t>
  </si>
  <si>
    <t>Asistente de presupuesto</t>
  </si>
  <si>
    <t>Transferencias corrientes del sector privado</t>
  </si>
  <si>
    <t>De empresa privada financiera</t>
  </si>
  <si>
    <t xml:space="preserve">TRANSFERENCIAS CORRIENTES               </t>
  </si>
  <si>
    <t>Transferencias Corrientes del Sector Público                         (Fondo de Apoyo Municipal)</t>
  </si>
  <si>
    <t>BECAS</t>
  </si>
  <si>
    <t>FONDO DE APOYO MUNICIPAL</t>
  </si>
  <si>
    <t>61499</t>
  </si>
  <si>
    <t>Derecho de propiedad intelectual</t>
  </si>
  <si>
    <t>No.</t>
  </si>
  <si>
    <t>NOMBRE DEL PROYECTO</t>
  </si>
  <si>
    <t>FUENTE DE FINANCIAMIENTO</t>
  </si>
  <si>
    <t>UBICACION GEOGRAFICA</t>
  </si>
  <si>
    <t>FECHA DE FINALIZACION</t>
  </si>
  <si>
    <t>CODIGO PRESUPUESTO G.O.E.S.</t>
  </si>
  <si>
    <t>MONTO                                                DEL                                          PROYECTO</t>
  </si>
  <si>
    <t>VARIAS</t>
  </si>
  <si>
    <t>PRODUCTOS TEXTILES Y VESTUARIO</t>
  </si>
  <si>
    <t>BIENES DE USO Y CONSUO DIVERSOS</t>
  </si>
  <si>
    <t>COMBUSTIBLES Y LUBRICANTES</t>
  </si>
  <si>
    <t>PRODUCTOS DE CUERO Y CAUCHO</t>
  </si>
  <si>
    <t>MINERALES  METALICOS Y PRODUCTOS DERIVADOS</t>
  </si>
  <si>
    <t>FAM</t>
  </si>
  <si>
    <t>31/12/2023</t>
  </si>
  <si>
    <t>31/12/202</t>
  </si>
  <si>
    <t>TOTAL FONDO DE APOYO MUNICIPAL……….</t>
  </si>
  <si>
    <t>Transferencias Corrientes del Sector Público (FODES 1.5% )</t>
  </si>
  <si>
    <t>Transferencias Corrientes del Sector Público (Fondo de Apoyo Municipal )</t>
  </si>
  <si>
    <t xml:space="preserve"> TOTAL  DE  GASTOS  DE INVERSION</t>
  </si>
  <si>
    <t>FODES 1.5% 2023</t>
  </si>
  <si>
    <t>TENTATIVO</t>
  </si>
  <si>
    <t>0.085</t>
  </si>
  <si>
    <t>0.0875</t>
  </si>
  <si>
    <t>productos alimenticios para personas</t>
  </si>
  <si>
    <t xml:space="preserve">derecho de propiedad intelectual </t>
  </si>
  <si>
    <t>BIENES DE USO Y CONSUMO DIVERSOS</t>
  </si>
  <si>
    <t>PRESTAMO</t>
  </si>
  <si>
    <t>PRESUPUESTO MUNICIPAL DEL SERVICIO DE LA DEUDA POR ESTRUCTURA PRESUPUESTARIA</t>
  </si>
  <si>
    <t>05</t>
  </si>
  <si>
    <t xml:space="preserve"> T O T A L   GASTOS</t>
  </si>
  <si>
    <t>INSUMOS BASICOS:</t>
  </si>
  <si>
    <t>1. ESTRUCTURA PRESUPUESTARIA APROBADA</t>
  </si>
  <si>
    <t>2. AMORTIZACION DE LA DEUDA PUBLICA MUNICIPAL</t>
  </si>
  <si>
    <t>Indicaciones para llenado de ANEXO 4.3</t>
  </si>
  <si>
    <r>
      <t>(1)</t>
    </r>
    <r>
      <rPr>
        <sz val="10"/>
        <color indexed="9"/>
        <rFont val="Trebuchet MS"/>
        <family val="2"/>
      </rPr>
      <t>: Se detallará el Área de Gestión donde se clasificará el egreso a realizar</t>
    </r>
  </si>
  <si>
    <r>
      <t>(2)</t>
    </r>
    <r>
      <rPr>
        <sz val="10"/>
        <color indexed="9"/>
        <rFont val="Trebuchet MS"/>
        <family val="2"/>
      </rPr>
      <t>: Registrará el código de la Unidad presupuestaria a la cual han sido asignados los montos presupuestarios</t>
    </r>
  </si>
  <si>
    <r>
      <t>(3)</t>
    </r>
    <r>
      <rPr>
        <sz val="10"/>
        <color indexed="9"/>
        <rFont val="Trebuchet MS"/>
        <family val="2"/>
      </rPr>
      <t>: Se detalla la Linea de Trabajo a la que se aplicarán los egresos</t>
    </r>
  </si>
  <si>
    <r>
      <t>(4)</t>
    </r>
    <r>
      <rPr>
        <sz val="10"/>
        <color indexed="9"/>
        <rFont val="Trebuchet MS"/>
        <family val="2"/>
      </rPr>
      <t>: Se detalla la Fuente de Financiamiento con la que se pagarán los desembolsos por Servicio de la Deuda</t>
    </r>
  </si>
  <si>
    <r>
      <t>(5)</t>
    </r>
    <r>
      <rPr>
        <sz val="10"/>
        <color indexed="9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</si>
  <si>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color indexed="9"/>
        <rFont val="Trebuchet MS"/>
        <family val="2"/>
      </rPr>
      <t>: Se detallará el objeto específico de gasto al que se asigne el egreso estimado</t>
    </r>
  </si>
  <si>
    <r>
      <t>(7)</t>
    </r>
    <r>
      <rPr>
        <sz val="10"/>
        <color indexed="9"/>
        <rFont val="Trebuchet MS"/>
        <family val="2"/>
      </rPr>
      <t>: Se escribe el nombre del objeto especifico de gasto a utilizar</t>
    </r>
  </si>
  <si>
    <r>
      <t>(8)</t>
    </r>
    <r>
      <rPr>
        <sz val="10"/>
        <color indexed="9"/>
        <rFont val="Trebuchet MS"/>
        <family val="2"/>
      </rPr>
      <t xml:space="preserve">: Incluye el monto asignado por especifico presupuestario de gastos de todos los elementos de la Estructura Presupuestaria </t>
    </r>
  </si>
  <si>
    <r>
      <t>(9)</t>
    </r>
    <r>
      <rPr>
        <sz val="10"/>
        <color indexed="9"/>
        <rFont val="Trebuchet MS"/>
        <family val="2"/>
      </rPr>
      <t xml:space="preserve">: Incluye la sumatoria de todos los especificos presupuestarios de gastos que integran lo asignado al Servicio de la Deuda </t>
    </r>
  </si>
  <si>
    <t>125</t>
  </si>
  <si>
    <t>FODES 1.5%</t>
  </si>
  <si>
    <t>AMORTIZACION</t>
  </si>
  <si>
    <t>F.F. 4</t>
  </si>
  <si>
    <t>F.R. 000</t>
  </si>
  <si>
    <t>1-0101-1-120</t>
  </si>
  <si>
    <t>1-0201-2-000</t>
  </si>
  <si>
    <t>1-0202-2-000</t>
  </si>
  <si>
    <t>5-0501-1-125</t>
  </si>
  <si>
    <t>61202</t>
  </si>
  <si>
    <t>Transportes, Fletes y Almacenamientos</t>
  </si>
  <si>
    <t>Multas y Costes Judiciales</t>
  </si>
  <si>
    <t>Edificios e Instalaciones</t>
  </si>
  <si>
    <t>Saldo Inicial en Bancos, Fondo de Apoyo Municipal</t>
  </si>
  <si>
    <t>Transferencia corrientes del sector publico ( FODES 1.5%)</t>
  </si>
  <si>
    <t>Transferencia corrientes del sector publico ( Fondo de Apoyo Municipal)</t>
  </si>
  <si>
    <t>(5) FODES 1.5%</t>
  </si>
  <si>
    <t>61109</t>
  </si>
  <si>
    <t>Maquinaria y equipo de produccion</t>
  </si>
  <si>
    <t>54199</t>
  </si>
  <si>
    <t>Saldo Inicial en Bancos, fondo de Apoyo Municipal</t>
  </si>
  <si>
    <t>Transferencias Corrientes del Sector Público                         (FODES 1.5% funcionamiento)</t>
  </si>
  <si>
    <t>Transferencias Corrientes del Sector Público                         (AMORTIZACION DE PRESTAMO)</t>
  </si>
  <si>
    <t>BECAS 2023</t>
  </si>
  <si>
    <t>DE SALUD Y SANEAMIENTO</t>
  </si>
  <si>
    <t>Saldo Inicial en Bancos FODES 1.5%</t>
  </si>
  <si>
    <t>5104</t>
  </si>
  <si>
    <t>51102</t>
  </si>
  <si>
    <t>Salarios por jornal</t>
  </si>
  <si>
    <t>Sueldos</t>
  </si>
  <si>
    <t>FUENTE O SUBFUENTE DE FINANCIAMIENTO: FODES 1.5% ( 01 01 direccion y Admon Superior)</t>
  </si>
  <si>
    <t>ANEXO 1: ESTRUCTURA PRESUPUESTARIA AÑO 2024</t>
  </si>
  <si>
    <t>AREA DE GESTION 1: CONDUCCION ADMINISTRATIVA</t>
  </si>
  <si>
    <t>Unid. Presup.</t>
  </si>
  <si>
    <t>Línea de  Trabajo</t>
  </si>
  <si>
    <t>CONCEPTO</t>
  </si>
  <si>
    <t>COMPOSICION</t>
  </si>
  <si>
    <t>DIRECCION Y ADMINISTRACION MUNICIPAL</t>
  </si>
  <si>
    <t>Dirección y Administracion Superior</t>
  </si>
  <si>
    <t>1-Concejo Municipal</t>
  </si>
  <si>
    <t>2-Sindicatura</t>
  </si>
  <si>
    <t>3-Secretaría Municipal</t>
  </si>
  <si>
    <t>4-Auditoria Interna</t>
  </si>
  <si>
    <t>0102</t>
  </si>
  <si>
    <t>Administración Financiera y Tributaria</t>
  </si>
  <si>
    <t>SERVICIOS MUNICIPALES</t>
  </si>
  <si>
    <t>Bienestar Social</t>
  </si>
  <si>
    <t>Servicios Internos</t>
  </si>
  <si>
    <t>0203</t>
  </si>
  <si>
    <t>Servicios Externos</t>
  </si>
  <si>
    <t>Donaciones Diversas</t>
  </si>
  <si>
    <t>DONACIONES DIVERSAS</t>
  </si>
  <si>
    <t>50</t>
  </si>
  <si>
    <t>SERVICIOS BASICOS</t>
  </si>
  <si>
    <t>5001</t>
  </si>
  <si>
    <t>Servicios de energia electrica</t>
  </si>
  <si>
    <t>FAM D.L. 477</t>
  </si>
  <si>
    <t>5004</t>
  </si>
  <si>
    <t>Servicios de Alumbrado publico</t>
  </si>
  <si>
    <t>AREA DE GESTION 3: DESARROLLO SOCIAL</t>
  </si>
  <si>
    <t>Línea Trab.</t>
  </si>
  <si>
    <t>INVERSION PARA EL DESARROLLO SOCIAL</t>
  </si>
  <si>
    <t>Infraestructura Social Inversión</t>
  </si>
  <si>
    <t>0302</t>
  </si>
  <si>
    <t>PRESTAMO INTERNO</t>
  </si>
  <si>
    <t>35</t>
  </si>
  <si>
    <t>PANDEMIA COVID-19</t>
  </si>
  <si>
    <t>3504</t>
  </si>
  <si>
    <t>BID-FMI</t>
  </si>
  <si>
    <t>5005</t>
  </si>
  <si>
    <t>Recoleccion de desechos solidos</t>
  </si>
  <si>
    <t>FAM F.L. 477</t>
  </si>
  <si>
    <t>51</t>
  </si>
  <si>
    <t>APOYO SOCIAL</t>
  </si>
  <si>
    <t>5101</t>
  </si>
  <si>
    <t>5102</t>
  </si>
  <si>
    <t>Proyectos de emprendedurismo</t>
  </si>
  <si>
    <t>Proyectos de Apoyo y atencion a la Juventud</t>
  </si>
  <si>
    <t>AREA DE GESTION 5: DEUDA PUBLICA</t>
  </si>
  <si>
    <t>FINANCIAMIENTO MUNICIPAL</t>
  </si>
  <si>
    <t>0501</t>
  </si>
  <si>
    <t>Amortizacion de la Deuda</t>
  </si>
  <si>
    <t>Servicio de la Deuda Publica Municipal DL-204</t>
  </si>
  <si>
    <t>Inicial       2024</t>
  </si>
  <si>
    <t>2024</t>
  </si>
  <si>
    <t>FORMULACIÓN DEL PRESUPUESTO MUNICIPAL DE INGRESOS 2024</t>
  </si>
  <si>
    <t xml:space="preserve">(5)FODES LIBRE DISPONIBILIDAD 1.5% </t>
  </si>
  <si>
    <t>1 DETALLE DE INGRESOS DEL PRESUPUESTO 2024</t>
  </si>
  <si>
    <t>Total de Ingresos Presupuestados                                       2024</t>
  </si>
  <si>
    <t>Sumario  de Ingresos Para el año 2024</t>
  </si>
  <si>
    <t>Sumario de Egresos para el año 2024</t>
  </si>
  <si>
    <t>FORMULACION DEL PRESUPUESTO MUNICIPAL DE EGRESOS 2024</t>
  </si>
  <si>
    <t>CONSOLIDADO FODES 1.5%, FONDO DE APOYO MUNICIPAL Y FONDOS PROPIOS</t>
  </si>
  <si>
    <t>FUENTE O SUBFUENTE DE FINANCIAMIENTO: FMI Y BID</t>
  </si>
  <si>
    <t>04</t>
  </si>
  <si>
    <t>109</t>
  </si>
  <si>
    <t xml:space="preserve">De Empresas Financieras </t>
  </si>
  <si>
    <t xml:space="preserve">De Empresas Financieras  </t>
  </si>
  <si>
    <t>AMORTIZACION DE CREDITOS CON LAS DIFERENTES INSTITUCIONES FINANCIERAS (PAGADO POR EL MINISTERIO DE HACIENDA)</t>
  </si>
  <si>
    <t>Listado de Proyectos de Inversión Municipal año 2024                                     (FONDOS PRESTAMO )</t>
  </si>
  <si>
    <t>Listado de Programas de Inversión Municipal año 2024                                         (FONDO DE APOYO MUNICIPAL)</t>
  </si>
  <si>
    <t>ACAJUTLA</t>
  </si>
  <si>
    <t>31/12/2024</t>
  </si>
  <si>
    <t>TOTAL FONDOS PRESTAMO ……….</t>
  </si>
  <si>
    <t>5</t>
  </si>
  <si>
    <t>54313</t>
  </si>
  <si>
    <t>Impresiones Publicaciones y reproducciones</t>
  </si>
  <si>
    <t>PRESUPUESTO MUNICIPAL DONACIONES DIVERSAS</t>
  </si>
  <si>
    <t>ILUMINACION DE PRINCIPALES CARRETERAS DEL MUNICIPIO DE ACAJUTLA, CARRETERA LITORAL Y CARRETERA DE ACAJUTLA HACIA SONSONATE MUNICIPIO DE ACAJUTLA, DEPARTAMENTO DE SONSONATE</t>
  </si>
  <si>
    <t>INTRODUCCION DE AGUA POTABLE EN COMUNIDAD SAN PEDRO EL CAÑAL, MUNICIPIO DE ACAJUTLA, DEPARTAMENTO DE SONSONATE</t>
  </si>
  <si>
    <t>REMODELACION DE LOS MERCADOS 1 Y 2 DEL MUNICIPIO DE ACAJUTLA, DEPARTAMENTO DE SONSONATE</t>
  </si>
  <si>
    <t>CONSTRUCCION DE MERCADO  DE METALIO, MUNICIPIO DE ACAJUTLA, DEPARTAMENTO  DE SONSONATE</t>
  </si>
  <si>
    <t>CONSTRUCCION DE TIANGUE RASTRO MUNICIPAL Y OFICINAS ADMINISTRATIVAS, MUNICIPIO DE ACAJUTLA, DEPARTAMENTO DE SONSONATE</t>
  </si>
  <si>
    <t>ASFALTADO DE CALLES PRINCIPALES EN COMUNIDAD LOS VIRTIENTES, MUNICIPIO DE ACAJUTLA, DEPARTAMENTO DE SONSONATE</t>
  </si>
  <si>
    <t>CONSTRUCCION DE CENTRO TURISTICO EN EL MUNICIPIO DE ACAJUTLA. DEPARTAMENTO DE SONSONATE</t>
  </si>
  <si>
    <t>CONSTRUCCION DE CORDON CUNETA PAVIMENTO ASFALTICO E ILUMINACION EN CALLE PLAYA METALIO MUNICIPIO DE ACAJUTLA</t>
  </si>
  <si>
    <t>INTRODUCCION DE SISTEMA DE AGUA POTABLE EN COLONIA ATALAYA 1, EN EL MUNICIPIO DE ACAJUTLA, DEPARTAMENTO DE SONSONATE</t>
  </si>
  <si>
    <t>AMPLIACION DE LA RED DE ALCANTARILLADO SANITARIO EN COMUNIDAD LINDA VISTA MUNICIPIO DE ACAJUTLA, DEPARTAMENTO DE SONSONATE</t>
  </si>
  <si>
    <t xml:space="preserve"> PAVIMENTACION  DE CALLE ALEDAÑA A LA MUNICIPALIDAD, CONTIGUO A CENTRO ESCOLAR LISANDRO LARIN ZEPEDA,MUNICIPIO DE ACAJUTLA, DEPARTAMENTO DE SONSONATE</t>
  </si>
  <si>
    <t>CONSTRUCCION DE CALLE DE CONCRETO CORDON CUNETA Y PUENTE PEATONAL EN COMUNIDAD EL GUIZCO, MUNICIPIO DE ACAJUTLA, DEPARTAMENTO DE SONSONATE</t>
  </si>
  <si>
    <t>CONSTRUCCION Y REPARACION DE CANALETAS EN CALLE AL RIO SENSUNAPAN BARRIO EL CAMPAMENTO , MUNICIPIO DE ACAJUTLA, DEPARTAMENTO DE SONSONATE</t>
  </si>
  <si>
    <t>CONSTRUCCION DE OBRAS DE PASO EN COLONIA NUEVA ACAJUTLA, DEPARTAMENTO DE SONSONATE</t>
  </si>
  <si>
    <t>ASFALTADO EN AVENIDA MIRAMAR FASE I, MUNICIPIO DE ACAJUTLA, DEPARTAMENTO DE SONSONATE</t>
  </si>
  <si>
    <t>CONSTRUCCION DE PARQUEO PARA EMPLEADOS DE LA ALCALDIA MUNICIPAL DE ACAJUTLA, DEPARTAMENTO DE SONSONATE</t>
  </si>
  <si>
    <t>CONSTRUCCION DE CORDON CUNETA Y ADOQUINADO EN PRINCIPALES CALLE DE  COLONIA ALVARADO, MUNICIPIO DE ACAJUTLA, DEPARTAMENTO DE SONSONATE</t>
  </si>
  <si>
    <t>CONSTRUCCION DE PARQUEO Y TERMINAL BUSES , MICROBUSES Y PICK UP EN EL MUNICIPIO DE ACAJUTLA, DEPARTAMENTO DE SONSONATE</t>
  </si>
  <si>
    <t xml:space="preserve"> CONSTRUCCION DE POZO SUBESTACION ELECTRICA Y TUBERIAS DE IMPELENCIA CASERÍO EL NANCE CANTON METALIO MUNICIPIO DE ACAJUTLA, DEPARTAMENTO DE SONSONATE</t>
  </si>
  <si>
    <t>OBRAS DE INFRAESTRUCTURAS DIVERSAS</t>
  </si>
  <si>
    <t>SUPERVISION DE INFRAESTRUCTURA (COSTO DE INVERSION)</t>
  </si>
  <si>
    <t xml:space="preserve">SUPERVISION DE INFRAESTRUCTURA </t>
  </si>
  <si>
    <t>COMPRA DE MAQUINARIA PESADA DE CONSTRUCCION Y CAMIONES COMPACTADORES DE RECOLECCION DE DESECHOS PARA EL MUNICIPIO DE ACAJUTLA, DEPARTAMENTO DE SONSONATE</t>
  </si>
  <si>
    <t>VEHICULOS DE TRANSPORTE</t>
  </si>
  <si>
    <t xml:space="preserve">       PRESTACIONES Y OBLIGACIONES PATRONALES  DEL PERSONAL PARA EL 2024</t>
  </si>
  <si>
    <t>GRAN TOTAL ANUAL                    2024</t>
  </si>
  <si>
    <t>ANUAL 2024</t>
  </si>
  <si>
    <t>Jefe de UCP</t>
  </si>
  <si>
    <t>Secretaria sindico Municipal</t>
  </si>
  <si>
    <t>Jefe de Asesoria Juridica</t>
  </si>
  <si>
    <t>Delegado contravencional</t>
  </si>
  <si>
    <t>Delegada de la Unidad de Proteccion de Animales de Compañía</t>
  </si>
  <si>
    <t>Encargada de Unidad de Mediacion</t>
  </si>
  <si>
    <t xml:space="preserve">Colaborador de Unidad de Mediciacion </t>
  </si>
  <si>
    <t>Sub Director del CAM</t>
  </si>
  <si>
    <t>Secretaria del CAM</t>
  </si>
  <si>
    <t>Motorista del CAM</t>
  </si>
  <si>
    <t>Agente I CAM</t>
  </si>
  <si>
    <t>Agente II CAM</t>
  </si>
  <si>
    <t>Agente III CAM</t>
  </si>
  <si>
    <t>Agente IV CAM</t>
  </si>
  <si>
    <t>Agente V CAM</t>
  </si>
  <si>
    <t>Agente VI CAM</t>
  </si>
  <si>
    <t>Jefe de Comunicaciones y relaciones Publicas</t>
  </si>
  <si>
    <t>Encargado de Unidad Ambiental</t>
  </si>
  <si>
    <t>Inspector de Unidad Ambiental</t>
  </si>
  <si>
    <t>Colaborador de Unidad Ambiental</t>
  </si>
  <si>
    <t>Encargado de Unidad de Mitigacion de Riesgos</t>
  </si>
  <si>
    <t>Motorista de Unidad Ambiental</t>
  </si>
  <si>
    <t>Encargado de Unidad de Gestion y Cooperacion</t>
  </si>
  <si>
    <t>Colaborador Unidad de Gestion y Cooperacion</t>
  </si>
  <si>
    <t>Gerencia General</t>
  </si>
  <si>
    <t>Encargada de Control de Combustible</t>
  </si>
  <si>
    <t>Encargado de Analisis Financiero</t>
  </si>
  <si>
    <t>Jefe de Unidad de Gestion del Talento Humano (UGTH)</t>
  </si>
  <si>
    <t>Encargada de Unidad de Atencion al Cliente</t>
  </si>
  <si>
    <t>supervisora de ordenanzas</t>
  </si>
  <si>
    <t>Recepcionista</t>
  </si>
  <si>
    <t>Ordenanza I</t>
  </si>
  <si>
    <t>Ordenanza II</t>
  </si>
  <si>
    <t>Ordenanza III</t>
  </si>
  <si>
    <t>Jefe de Unidad de Tecnologias de la Informacion y Comunicación</t>
  </si>
  <si>
    <t>Sub Jefe de Unidad de Tecnologias de la Informacion y Comunicación</t>
  </si>
  <si>
    <t>Encargado de Redes y Comunicaciones</t>
  </si>
  <si>
    <t>Videovigilancia y radiocomunicacion</t>
  </si>
  <si>
    <t>Encargado de Sistemas informaticos</t>
  </si>
  <si>
    <t>0102  Administracion financiera y tributaria</t>
  </si>
  <si>
    <t>Asistente UCP</t>
  </si>
  <si>
    <t>Encargado de proveeduria</t>
  </si>
  <si>
    <t>Colaborador de proveeduria</t>
  </si>
  <si>
    <t>Jefe UATM</t>
  </si>
  <si>
    <t>Encargado de Secc.R.C.T.</t>
  </si>
  <si>
    <t>Inspector de empresas</t>
  </si>
  <si>
    <t>Colaborador de RCT</t>
  </si>
  <si>
    <t>Encargada de Cuentas Corrientes</t>
  </si>
  <si>
    <t>Colaborador de cuentas corrientes I</t>
  </si>
  <si>
    <t>Colaborador de cuentas corrientes II</t>
  </si>
  <si>
    <t>Colaborador de cuentas corrientes III</t>
  </si>
  <si>
    <t>Colaborador de recuperacion de mora I</t>
  </si>
  <si>
    <t>Encargado de recuperacion de mora</t>
  </si>
  <si>
    <t>Colaborador de recuperacion de mora II</t>
  </si>
  <si>
    <t>Encargada de Fiscalizacion</t>
  </si>
  <si>
    <t>Notificador I</t>
  </si>
  <si>
    <t>Jefe de presupuesto</t>
  </si>
  <si>
    <t>Colaborador de presupuesto</t>
  </si>
  <si>
    <t>Jefe de Tesoreria</t>
  </si>
  <si>
    <t>Encargado de pagos</t>
  </si>
  <si>
    <t>Colector de Aduana</t>
  </si>
  <si>
    <t>Cajera</t>
  </si>
  <si>
    <t>Asistente I</t>
  </si>
  <si>
    <t>Colaborador de Tesoreria I</t>
  </si>
  <si>
    <t>Colaborador de Tesoreria II</t>
  </si>
  <si>
    <t>Colaborador de Tesoreria III</t>
  </si>
  <si>
    <t>Ordenanza de Tesoreria</t>
  </si>
  <si>
    <t>Jefe de Contabilidad</t>
  </si>
  <si>
    <t>Asistente de Contabilidad</t>
  </si>
  <si>
    <t>Colaborador de Inventarios</t>
  </si>
  <si>
    <t>0201 BIENESTAR SOCIAL</t>
  </si>
  <si>
    <t>Encargado de Bienestar Social y Prevencion de la violencia</t>
  </si>
  <si>
    <t>Asistente de  Bienestar Social y Prevencion de la violencia</t>
  </si>
  <si>
    <t>Encargada de Centro de Bienestar Infantil Metalio</t>
  </si>
  <si>
    <t>Maestra de Centro de Bienestar Infantil</t>
  </si>
  <si>
    <t>Ordenanza I Bienestar Social</t>
  </si>
  <si>
    <t>Jefe de Proyeccion Social</t>
  </si>
  <si>
    <t>Secretaria de proyeccion Social</t>
  </si>
  <si>
    <t>Promotor I</t>
  </si>
  <si>
    <t>Promotor II</t>
  </si>
  <si>
    <t>promotor III</t>
  </si>
  <si>
    <t>Encargada de Unidad de la Mujer y Genero</t>
  </si>
  <si>
    <t>Colaborador de la Unidad de la Mujer y Genero</t>
  </si>
  <si>
    <t xml:space="preserve">Encargada de la Unidad de la  Niñez y Adolescencia </t>
  </si>
  <si>
    <t>Jefe de Unidad Medica</t>
  </si>
  <si>
    <t>Sub Jefe de Unidad Medica</t>
  </si>
  <si>
    <t>Psicologo</t>
  </si>
  <si>
    <t>Secretaria de Unidad Medica</t>
  </si>
  <si>
    <t>Encargada de promocion en Salud</t>
  </si>
  <si>
    <t>Encargado de Unidad de Banda y Filarmonica Municipal</t>
  </si>
  <si>
    <t>Maestro de Musica</t>
  </si>
  <si>
    <t>Maestro de Danza</t>
  </si>
  <si>
    <t>Tec. Asistencia Turistica</t>
  </si>
  <si>
    <t>Encargado de Cultura</t>
  </si>
  <si>
    <t>Encargada de Unidad de Deportes</t>
  </si>
  <si>
    <t>Tecnico en Deportes</t>
  </si>
  <si>
    <t>Promotor en Deportes</t>
  </si>
  <si>
    <t>Encargado de Bolsa de Empleo</t>
  </si>
  <si>
    <t>0202 SERVICIOS MUNICIPALES INTERNOS</t>
  </si>
  <si>
    <t>Jefe de Desarrollo Urbano y Proyectos</t>
  </si>
  <si>
    <t>Sub Jefe de Desarrollo Urbano y Proyectos</t>
  </si>
  <si>
    <t>Asistente de Desarrollo Urbano y Proyectos</t>
  </si>
  <si>
    <t>Colaborador I de Desarrollo Urbano y Proyectos</t>
  </si>
  <si>
    <t>Encargado de  Desarrollo Urbano</t>
  </si>
  <si>
    <t>Colaborador de  Desarrollo Urbano</t>
  </si>
  <si>
    <t>Jefe del REF</t>
  </si>
  <si>
    <t>Sub Jefe REF</t>
  </si>
  <si>
    <t>Asistente REF</t>
  </si>
  <si>
    <t>Colaborador REF I</t>
  </si>
  <si>
    <t>Colaborador REF II</t>
  </si>
  <si>
    <t>Colaborador REF III</t>
  </si>
  <si>
    <t>Colaborador REF IV</t>
  </si>
  <si>
    <t>Jefe de Servicios Publicos</t>
  </si>
  <si>
    <t>0203 SERVICIOS MUNICIPALES EXTERNOS</t>
  </si>
  <si>
    <t>Sub Jefe de Servicios Publicos</t>
  </si>
  <si>
    <t>Asistente de Servicios Publicos</t>
  </si>
  <si>
    <t>Secretaria de Servicios Publicos</t>
  </si>
  <si>
    <t>Ordenanza de Servicios Publicos</t>
  </si>
  <si>
    <t>Encargado de Transporte</t>
  </si>
  <si>
    <t>Motorista de vehiculos I</t>
  </si>
  <si>
    <t>Motorista de vehiculos II</t>
  </si>
  <si>
    <t>Motorista de vehiculos III</t>
  </si>
  <si>
    <t>Motorista de Desechos I</t>
  </si>
  <si>
    <t>Motorista de Desechos II</t>
  </si>
  <si>
    <t>Motorista de Desechos III</t>
  </si>
  <si>
    <t>Motorista de Desechos IV</t>
  </si>
  <si>
    <t>Encargado de Aseo</t>
  </si>
  <si>
    <t>Peon de Aseo I</t>
  </si>
  <si>
    <t>Peon de Aseo II</t>
  </si>
  <si>
    <t>Peon de Aseo III</t>
  </si>
  <si>
    <t>Peon de Aseo IV</t>
  </si>
  <si>
    <t>Peon de Aseo V</t>
  </si>
  <si>
    <t>Encargado de Recoleccion Disposicion de Desechos</t>
  </si>
  <si>
    <t>Peon de Recoleccion Desechos I</t>
  </si>
  <si>
    <t>Peon de Recoleccion Desechos II</t>
  </si>
  <si>
    <t>Peon de Recoleccion Desechos III</t>
  </si>
  <si>
    <t>Peon de Recoleccion Desechos IV</t>
  </si>
  <si>
    <t>Peon de Recoleccion Desechos V</t>
  </si>
  <si>
    <t>Encargado de parque y espacios Publicos</t>
  </si>
  <si>
    <t>Encargado de Parque Botanico</t>
  </si>
  <si>
    <t>Encargado de parque Infantil</t>
  </si>
  <si>
    <t>Coordinador del Minipolideportivo</t>
  </si>
  <si>
    <t>Jardinero</t>
  </si>
  <si>
    <t>Peon de Aseo del parque botanico</t>
  </si>
  <si>
    <t>Peon de Aseo del Miniestadio</t>
  </si>
  <si>
    <t>Encargado de cancha  Obelisco</t>
  </si>
  <si>
    <t>Peon de Aseo del parque  metalio</t>
  </si>
  <si>
    <t>Encargado de electricistas</t>
  </si>
  <si>
    <t>Asistente</t>
  </si>
  <si>
    <t>Electricista I</t>
  </si>
  <si>
    <t>Colaborador de electricista</t>
  </si>
  <si>
    <t>Encargado de cementerio</t>
  </si>
  <si>
    <t>Custodio de Cementerio</t>
  </si>
  <si>
    <t>Encargado de mantenimiento General</t>
  </si>
  <si>
    <t>Bodeguero</t>
  </si>
  <si>
    <t>Pintor</t>
  </si>
  <si>
    <t>Mecanico</t>
  </si>
  <si>
    <t>Auxiliar de Mecanico</t>
  </si>
  <si>
    <t>Administrador de Mercados y Terminal</t>
  </si>
  <si>
    <t>Sub jefe de Mercados y Terminal</t>
  </si>
  <si>
    <t>Asistente de Mercados y Terminal</t>
  </si>
  <si>
    <t>Secretaria de Mercados y Terminal</t>
  </si>
  <si>
    <t>Ordenanzas de Mercados Municipales</t>
  </si>
  <si>
    <t>Inspector de Abasto</t>
  </si>
  <si>
    <t>Cobrador I</t>
  </si>
  <si>
    <t>Cobrador II</t>
  </si>
  <si>
    <t>Cobrador III</t>
  </si>
  <si>
    <t>Peon de  Saneamiento I</t>
  </si>
  <si>
    <t>Peon de  Saneamiento II</t>
  </si>
  <si>
    <t>Peon de  Saneamiento III</t>
  </si>
  <si>
    <t>Encargado de Plaza Artesanal</t>
  </si>
  <si>
    <t>Encargado de Plaza Cultural</t>
  </si>
  <si>
    <t>Peon de Aseo plaza cultural</t>
  </si>
  <si>
    <t>Regidor propietario</t>
  </si>
  <si>
    <t>Encargado de Seguridad Ocupacional</t>
  </si>
  <si>
    <t>Oficial de Informacion Publica</t>
  </si>
  <si>
    <t>Total Acceso a la Informacion</t>
  </si>
  <si>
    <t>Total Unidad de Gestion Documetal de Archivo</t>
  </si>
  <si>
    <t>Total Unidad de Tecnologias de la Informacion y Comunicación</t>
  </si>
  <si>
    <t>Total Concejo Municipal</t>
  </si>
  <si>
    <t>Total Secretaria Municipal</t>
  </si>
  <si>
    <t>Total Sindicatura Municipal</t>
  </si>
  <si>
    <t xml:space="preserve">Secretaria </t>
  </si>
  <si>
    <t>Colaborador</t>
  </si>
  <si>
    <t>Total Auditoria Interna</t>
  </si>
  <si>
    <t>Total Despacho Municipal</t>
  </si>
  <si>
    <t>Total Asesoria Juridica</t>
  </si>
  <si>
    <t xml:space="preserve">Colaborador </t>
  </si>
  <si>
    <t>Total Unidad Contravencional</t>
  </si>
  <si>
    <t xml:space="preserve">Subdelegada </t>
  </si>
  <si>
    <t>Colaborador I</t>
  </si>
  <si>
    <t>Colaborador II</t>
  </si>
  <si>
    <t>Secretaria</t>
  </si>
  <si>
    <t>Total Unidad de Mediacion</t>
  </si>
  <si>
    <t>Total CAM</t>
  </si>
  <si>
    <t>Total Comunicaciones y Relaciones Publicas</t>
  </si>
  <si>
    <t>Encargado de prensa</t>
  </si>
  <si>
    <t>Total Unidad Ambiental</t>
  </si>
  <si>
    <t>Total Unidad de Gestion y Cooperacion</t>
  </si>
  <si>
    <t>Total Gerencia General</t>
  </si>
  <si>
    <t>Total Unidad de Gestion del Talento Humano (UGTH)</t>
  </si>
  <si>
    <t>Total Atencion al Cliente</t>
  </si>
  <si>
    <t>Colaboradora UCP</t>
  </si>
  <si>
    <t>Total Unidad de Compras Publicas</t>
  </si>
  <si>
    <t>Total UATM</t>
  </si>
  <si>
    <t>Total Presupuesto</t>
  </si>
  <si>
    <t>Jefe UFI</t>
  </si>
  <si>
    <t>Total UFI</t>
  </si>
  <si>
    <t>Total Tesoreria</t>
  </si>
  <si>
    <t>Total Contabilidad</t>
  </si>
  <si>
    <t>Total Bienestar Social</t>
  </si>
  <si>
    <t>Total Proyeccion Social</t>
  </si>
  <si>
    <t>Total Unidad de la Niñez y Adolescencia</t>
  </si>
  <si>
    <t>Total Unidad de la Mujer y Genero</t>
  </si>
  <si>
    <t>Total Unidad Medica</t>
  </si>
  <si>
    <t>Total Unidad de Banda y Filarmonica Municipal</t>
  </si>
  <si>
    <t>Total Unidad de Reconstruccion y Tejido Social</t>
  </si>
  <si>
    <t>Encargado de Unidad de Turismo</t>
  </si>
  <si>
    <t>Total de la Unidad de Turismo</t>
  </si>
  <si>
    <t>Total Unidad de Cultura</t>
  </si>
  <si>
    <t xml:space="preserve">Asistente </t>
  </si>
  <si>
    <t>Total Unidad de Deportes</t>
  </si>
  <si>
    <t>Total Unidad de la Bolsa de Empleos</t>
  </si>
  <si>
    <t>Total Desarrollo Urbano y Proyectos</t>
  </si>
  <si>
    <t>Total REF</t>
  </si>
  <si>
    <t>Total Servicios Publicos Municipales</t>
  </si>
  <si>
    <t>Total Mercado y Terminal</t>
  </si>
  <si>
    <t>BIENESTAR SOCIAL</t>
  </si>
  <si>
    <t>SERVICIOS MUNICIPALES  INTERNOS</t>
  </si>
  <si>
    <t>SERVICIOS MUNICIPALES  EXTERNOS</t>
  </si>
  <si>
    <t>RESUMEN 0101 - 0102 - 0201 - 0202 - 0203</t>
  </si>
  <si>
    <t>ISSS+INSAFORP</t>
  </si>
  <si>
    <t>OBLIGACIONES PATRONALES VACACIONES</t>
  </si>
  <si>
    <t>Financieros</t>
  </si>
  <si>
    <t>11805</t>
  </si>
  <si>
    <t>Agropecuarios</t>
  </si>
  <si>
    <t>11806</t>
  </si>
  <si>
    <t>Bares y Restaurantes</t>
  </si>
  <si>
    <t>11809</t>
  </si>
  <si>
    <t>Estudios Fotograficos</t>
  </si>
  <si>
    <t>11810</t>
  </si>
  <si>
    <t>Hoteles, Moteles y Similares</t>
  </si>
  <si>
    <t>11812</t>
  </si>
  <si>
    <t>Maquinas Traganiquel</t>
  </si>
  <si>
    <t>11813</t>
  </si>
  <si>
    <t>Medicos Hospitalarios</t>
  </si>
  <si>
    <t>11814</t>
  </si>
  <si>
    <t>11816</t>
  </si>
  <si>
    <t>Transporte</t>
  </si>
  <si>
    <t>11817</t>
  </si>
  <si>
    <t>Vallas Publicitarias</t>
  </si>
  <si>
    <t>11899</t>
  </si>
  <si>
    <t>Impuestos Municipales Diversos</t>
  </si>
  <si>
    <t>Casetas Telefonicas</t>
  </si>
  <si>
    <t>Desechos</t>
  </si>
  <si>
    <t>14201</t>
  </si>
  <si>
    <t>Servicios Basicos</t>
  </si>
  <si>
    <t>143</t>
  </si>
  <si>
    <t>Venta de Desechos y Residuos</t>
  </si>
  <si>
    <t>14399</t>
  </si>
  <si>
    <t>De Bienes Diversos</t>
  </si>
  <si>
    <t>Multas por declaracion Extemporanea</t>
  </si>
  <si>
    <t>Multas al comercio</t>
  </si>
  <si>
    <t>VENTA DE ACTIVOS FIJOS</t>
  </si>
  <si>
    <t>Venta de Bienes Muebles</t>
  </si>
  <si>
    <t>Venta de Terrenos</t>
  </si>
  <si>
    <t>Multas por declaracion extemporanea</t>
  </si>
  <si>
    <t>322</t>
  </si>
  <si>
    <t>Cuentas por Cobrar de años Anteriores</t>
  </si>
  <si>
    <t>Saldo de Años Anteriores</t>
  </si>
  <si>
    <t>Saldo Inicial en Bancos  Fondos BID Y FMI</t>
  </si>
  <si>
    <t>11803</t>
  </si>
  <si>
    <t>Hoteles Moteles y Restaurantes</t>
  </si>
  <si>
    <t>Maquinas traganiquel</t>
  </si>
  <si>
    <t>Servicios Profesionales</t>
  </si>
  <si>
    <t>Vialidades</t>
  </si>
  <si>
    <t>(12) Fondos de emergencia/ BID Y FMI</t>
  </si>
  <si>
    <t>12110</t>
  </si>
  <si>
    <t>12112</t>
  </si>
  <si>
    <t>15310</t>
  </si>
  <si>
    <t>15313</t>
  </si>
  <si>
    <t xml:space="preserve"> SERVICIO DE LA DEUDA</t>
  </si>
  <si>
    <t>1620701</t>
  </si>
  <si>
    <t>1620703</t>
  </si>
  <si>
    <t>21201</t>
  </si>
  <si>
    <t>SERVICIO DE LA DEUDA</t>
  </si>
  <si>
    <t>FOND.EMERGENCIA/ BID Y FMI</t>
  </si>
  <si>
    <t>54205</t>
  </si>
  <si>
    <t>Saldo Inicial en Bancos Donaciones</t>
  </si>
  <si>
    <t>(10) Donaciones</t>
  </si>
  <si>
    <t>Donaciones</t>
  </si>
  <si>
    <t>FUENTE O SUBFUENTE DE FINANCIAMIENTO: Recursos Propios (0203 Servicios Municipales Externos )</t>
  </si>
  <si>
    <t>Por remuneraciones Permanentes ISSS/IPSFA</t>
  </si>
  <si>
    <t>FUENTE O SUBFUENTE DE FINANCIAMIENTO: Recursos Propios (0101 Direccion Superior)</t>
  </si>
  <si>
    <t>FUENTE O SUBFUENTE DE FINANCIAMIENTO: Recursos Propios (0102 Admon financiera y Tributaria)</t>
  </si>
  <si>
    <t>FUENTE O SUBFUENTE DE FINANCIAMIENTO: Recursos Propios (02 02 Servicios Municipales Internos)</t>
  </si>
  <si>
    <t>PAGO DE SERVICIOS BASICOS</t>
  </si>
  <si>
    <t>ENERGIA ELECTRICA</t>
  </si>
  <si>
    <t>ALUMBRADO PUBLICO</t>
  </si>
  <si>
    <t>PAGO DE AGUA POTABLE</t>
  </si>
  <si>
    <t>COMBUSTIBLE Y LUBRICANTES</t>
  </si>
  <si>
    <t>L.T. 0302</t>
  </si>
  <si>
    <t>INTRODUCCION DE ENERGIA ELECTRICA EN COMUNIDAD Y CASERÍO SANTA MARIA, MUNICIPIO DE ACAJUTLA, DEPARTAMENTO DE SONSONATE</t>
  </si>
  <si>
    <t>INTRODUCCION DEL SISTEMA DE AGUA POTABLE EN COMUNIDAD COLIMA, MUNICIPIO DE ACAJUTLA, DEPARTAMENTO DE SONSONATE</t>
  </si>
  <si>
    <t xml:space="preserve">INTRODUCCION DE AGUA POTABLE EN COMUNIDAD SAN LUIS CAMPANA, MUNICIPIO DE ACAJUTLA, DEPARTAMENTO DE SONSONATE, </t>
  </si>
  <si>
    <t>LLANTAS Y NEUMATICOS</t>
  </si>
  <si>
    <t>HERRAMIENTAS REPUESTOS Y ACCESORIOS</t>
  </si>
  <si>
    <t>54118</t>
  </si>
  <si>
    <t>De Salud y Saneamiento Ambiental</t>
  </si>
  <si>
    <t>Medico Veterianario</t>
  </si>
  <si>
    <t>Total Unidad de Proteccion de Animales de Compañía</t>
  </si>
  <si>
    <t>Total Unidad de Mitigacion de Riesgo</t>
  </si>
  <si>
    <t>54317</t>
  </si>
  <si>
    <t>Arrendamiento de bienes Inmuebles</t>
  </si>
  <si>
    <t>ok</t>
  </si>
  <si>
    <t>ok.</t>
  </si>
  <si>
    <t>Beneficios Adicionales (bono dia del empleado municipal $30)</t>
  </si>
  <si>
    <t>Beneficios Adicionales (bono diciembre $100)</t>
  </si>
  <si>
    <t>Por Remuneraciones Permanentes ISSS\IPSFA</t>
  </si>
  <si>
    <t>Beneficios Adicionales (vacaciones )</t>
  </si>
  <si>
    <t>Beneficios adicionales (vacaciones)</t>
  </si>
  <si>
    <t>Beneficios Adicionales (bono escolar)</t>
  </si>
  <si>
    <t xml:space="preserve">Saldo Inicial en Bancos PRESTAMO </t>
  </si>
  <si>
    <t>54203</t>
  </si>
  <si>
    <t>Servicios de Contabilidad y Auditoria (externa)</t>
  </si>
  <si>
    <t>Saldo Inicial en Bancos, CBI INSTITUTO CRECER JUNTOS</t>
  </si>
  <si>
    <t xml:space="preserve">productos alimenticios para personas </t>
  </si>
  <si>
    <t>INSTITUTO CRECER JUNTOS (CBI)</t>
  </si>
  <si>
    <t>CBI</t>
  </si>
  <si>
    <t xml:space="preserve">Saldo Inicial en Bancos Fondos de Emergencia/BID Y FMI </t>
  </si>
  <si>
    <t>Saldo Inicial en Bancos, Instituto Crecer Juntos (CBI)</t>
  </si>
  <si>
    <t>Saldo Inicial en Bancos incluyendo las Instituciones Financieras que aun no han desembolsado</t>
  </si>
  <si>
    <t>productos agropecuarios y forestales</t>
  </si>
  <si>
    <t>61403</t>
  </si>
  <si>
    <t>Jefe de Unidad de la Mujer y Genero</t>
  </si>
  <si>
    <t>Saldo Inicial en Bancos FONDOS LIBRE DISPONIBILIDAD</t>
  </si>
  <si>
    <t>54507</t>
  </si>
  <si>
    <t>Desarrollos informaticos</t>
  </si>
  <si>
    <t>Derechos de propiedad intelectual</t>
  </si>
  <si>
    <t>Rentabilidad de cuentas Bancarias</t>
  </si>
  <si>
    <t>COMPRA DE MATERIAL DE CONSTRUCCION PARA INFRAESTRUCTURA DE PERRERA MUNICIPAL, DEL MUNICIPIO DE ACAJUTLA DEPARTAMENTO DE SONAONATE</t>
  </si>
  <si>
    <t>CBI/CONVENIO CRECER JUNTOS</t>
  </si>
  <si>
    <t>1-0101-1-109</t>
  </si>
  <si>
    <t>3-35-04-1-109</t>
  </si>
  <si>
    <t>FONDOS EMERGENCIA BID Y FMI</t>
  </si>
  <si>
    <t>1-0101-5-000</t>
  </si>
  <si>
    <t>Mantenimiento y Reparacion de vehiculos</t>
  </si>
  <si>
    <t>Combustibles y lubricantes</t>
  </si>
  <si>
    <t>RECONSTRUCCION Y MEJORAMIENTO DE BOULEVARES Y ZONA PEATONAL MUNICIPIO DE ACAJUTLA</t>
  </si>
  <si>
    <t>CONSTRUCCION DE CENTRO DE BIENESTAR INFANTIL MUNICIPIO DE ACAJUTLA, DEPARTAMENTO DE SONSONATE</t>
  </si>
  <si>
    <t>CONFORMACION DE CALLES VECINALES EN 8 CANTONES DEL MUNICIPIO DE ACAJUTLA</t>
  </si>
  <si>
    <t>CONSTRUCCION DE PARQUEO SUBTERRANEO Y TERMINAL DE BUSES, MICROBUSES Y PICKUP DEL MUNICIPIO DE ACAJUTLA</t>
  </si>
  <si>
    <t>INTRODUCCION DE AGUA POTABLE DESDE CAMPANA HASTA KILO 5, MUNICIPIO DE ACAJUTLA</t>
  </si>
  <si>
    <t>CONSTRUCCION DE DISTRITO MUNICIPAL EN CASERÍO LOS COBANOS , CANTON PUNTA REMEDIOS, MUNICIPIO DE ACAJUTLA.</t>
  </si>
  <si>
    <t>REVITALIZACION Y CONSTRUCCION DE ZONAS RECREATIVAS DEL MUNICIPIO DE ACAJUTLA</t>
  </si>
  <si>
    <t>CONSTRUCCION DE ZONA RECREATIVA Y CASA COMUNAL EN CIUDADELA ROTARIA, CANTON EL SALAMO, MUNICIPIO DE ACAJUTLA</t>
  </si>
  <si>
    <t>INTRODUCCION DE AGUAS NEGRAS Y CONSTRUCCION DE CALLES DE CONCRETO HIDRAULICO EN 1 Y 9 CALLES EN COLONIA LOS LAURELES</t>
  </si>
  <si>
    <t>3-0302-4-000</t>
  </si>
  <si>
    <t>54301</t>
  </si>
  <si>
    <t>Mantenimiento y reparacion de bienes muebles</t>
  </si>
  <si>
    <t>Herramientas repuestos y accesorios</t>
  </si>
  <si>
    <t>54114</t>
  </si>
  <si>
    <t>54115</t>
  </si>
  <si>
    <t>54105</t>
  </si>
  <si>
    <t>Productos de papel y carton</t>
  </si>
  <si>
    <t>Operador de Equipo</t>
  </si>
  <si>
    <t>PRESUPUESTO DE PERSONAL  PERMANENTE  2024</t>
  </si>
  <si>
    <t>APOYO AL EMPRENDEDURISMO 2024</t>
  </si>
  <si>
    <t>Servicios de Telecomunicaciones(radios)</t>
  </si>
  <si>
    <t>MINERALES METALICOS Y PRODUCTOS DERIVADOS</t>
  </si>
  <si>
    <t>PRODUCTOS AGROPECUARIOS Y FORESTALES</t>
  </si>
  <si>
    <t>PRODUSTOS TEXTILES Y VESTUARIO</t>
  </si>
  <si>
    <t>PRODUCTOS QUIMICOS</t>
  </si>
  <si>
    <t>MATERIALES E INSTRUMENTAL DE LABORATORIOS Y USO MEDICO</t>
  </si>
  <si>
    <t>IMPRESIONES PUBLICACIONES Y REPRODUCCIONES</t>
  </si>
  <si>
    <t>SERVICIOS GENERALES Y ARRENDAMIENTOS DIVERSOS</t>
  </si>
  <si>
    <t>PRODUCTOS ALIMETICIOS PARA PERSONAS</t>
  </si>
  <si>
    <t>Materiales e instrumental de Laboratorio y uso Medico</t>
  </si>
  <si>
    <t>L.T 0102</t>
  </si>
  <si>
    <t>L.T. 0203</t>
  </si>
  <si>
    <t>PRESUPUESTO MUNICIPAL: ATENCION INTEGRAL DE NIÑAS Y NIÑOS EN LA PRIMERA INFANCIA EN CENTRO DE BIENESTAR INFANTIL, MUNICIPIO DE ACAJUTLA, DEPARTAMENTO DE SONSONATE (CBI/INSTITUTO CRECER JUNTOS)</t>
  </si>
  <si>
    <t>Materiales de oficina</t>
  </si>
  <si>
    <t>Bienes de uso y consumo diversos</t>
  </si>
  <si>
    <t>TOTAL GENERAL EMPLEADOS</t>
  </si>
  <si>
    <t>TOTAL GENERAL EMPLEADOS Y CONCEJO</t>
  </si>
  <si>
    <t>54503</t>
  </si>
  <si>
    <t>Desarrollos Informaticos</t>
  </si>
  <si>
    <t>Servicios Juridicos (recuperacion de mora y calificacion)</t>
  </si>
  <si>
    <t>54121</t>
  </si>
  <si>
    <t>Especies Municipales Diversas</t>
  </si>
  <si>
    <t>1-0102-1-120</t>
  </si>
  <si>
    <t>1-0103-1-120</t>
  </si>
  <si>
    <t xml:space="preserve">Arrendamiento de bienes inmuebles </t>
  </si>
  <si>
    <t>1-0101-2-000</t>
  </si>
  <si>
    <t>Derechos de propiedad Intelectual</t>
  </si>
  <si>
    <t>F.P 0101</t>
  </si>
  <si>
    <t>1-0102-2-000</t>
  </si>
  <si>
    <t>F.P 0102</t>
  </si>
  <si>
    <t>1-0203-2-000</t>
  </si>
  <si>
    <t>F.P 0203</t>
  </si>
  <si>
    <t>DONACIONES</t>
  </si>
  <si>
    <t>TRANSFERENCIAS DE CAPITAL</t>
  </si>
  <si>
    <t>Transferencias de capital del Sector Público</t>
  </si>
  <si>
    <t>Transferencias de Capital del Sector Público                         (INSTITUTO Crecer Juntos)</t>
  </si>
  <si>
    <t>22</t>
  </si>
  <si>
    <t>222</t>
  </si>
  <si>
    <t>Transferencias de Capital del Sector Público</t>
  </si>
  <si>
    <t>2223110</t>
  </si>
  <si>
    <t>Transf. de Capital del Sector Público(Instituto Crecer Juntos)</t>
  </si>
  <si>
    <t>$</t>
  </si>
  <si>
    <t>5002</t>
  </si>
  <si>
    <t>3-5001-1-216</t>
  </si>
  <si>
    <t>3-5004-1-216</t>
  </si>
  <si>
    <t>3-5005-1-216</t>
  </si>
  <si>
    <t>3-5101-1-216</t>
  </si>
  <si>
    <t>3-5102-1-216</t>
  </si>
  <si>
    <t>3-5104-1-216</t>
  </si>
  <si>
    <t>54307</t>
  </si>
  <si>
    <t>Servicios de Limpiezas y Fumigaciones</t>
  </si>
  <si>
    <t>Servicios de limpieza y Fumigaciones</t>
  </si>
  <si>
    <t>Encargado de Unidad de gestion Documental de Archivo</t>
  </si>
  <si>
    <t xml:space="preserve">Colaborador I </t>
  </si>
  <si>
    <t xml:space="preserve">Colaborador II </t>
  </si>
  <si>
    <t xml:space="preserve">Colaborador III </t>
  </si>
  <si>
    <t>Gestor de Compras UCP</t>
  </si>
  <si>
    <t>Asistente de UATM</t>
  </si>
  <si>
    <t>Colaborador de UATM</t>
  </si>
  <si>
    <t>Inspector de inmuebles I</t>
  </si>
  <si>
    <t xml:space="preserve">                                                                                            DISTRITO MUNICIPAL DE ACAJUTLA,  DEPARTAMENTO DE SONSONATE OESTE               AÑO    2024</t>
  </si>
  <si>
    <t>PRESUPUESTO MUNICIPAL MAYO - DICIEMBRE  2024</t>
  </si>
  <si>
    <t xml:space="preserve">                UNIDAD ORGANIZACIONAL</t>
  </si>
  <si>
    <t xml:space="preserve">                   UNIDAD ORGANIZACIONAL</t>
  </si>
  <si>
    <t xml:space="preserve">      UNIDAD PRESUPUESTARIA</t>
  </si>
  <si>
    <t>Regidor suplente</t>
  </si>
  <si>
    <t>54104</t>
  </si>
  <si>
    <t>Productos Textiles y Vestuario</t>
  </si>
  <si>
    <t>55603</t>
  </si>
  <si>
    <t>Comisiones y Gastos bancarios</t>
  </si>
  <si>
    <t>Mobiliario y Equipo</t>
  </si>
  <si>
    <t>Encargado de Unidad de Reconstruccion y Tejido Social</t>
  </si>
  <si>
    <t>Encargado de minipolideportivo de Metalio</t>
  </si>
  <si>
    <t>ISP</t>
  </si>
  <si>
    <t>DIRECCION  SUPERIOR (DIETAS)</t>
  </si>
  <si>
    <t xml:space="preserve">SALARIO  </t>
  </si>
  <si>
    <t>MANTENIMIENTO Y REPARACION DE VEHICULOS</t>
  </si>
  <si>
    <t>TRANSPORTE FLETES Y ALMACENAMIENTOS</t>
  </si>
  <si>
    <t>SERVICIOS GENERALES Y ARRENGAMIENTOS DIVERSOS (ARBITRAJE)</t>
  </si>
  <si>
    <t>54304</t>
  </si>
  <si>
    <t>54399</t>
  </si>
  <si>
    <t>Producto de papel y carton</t>
  </si>
  <si>
    <t>Maquinaria y equipo para apoyo institucional</t>
  </si>
  <si>
    <t xml:space="preserve">Impresiones Publicaciones y reproducciones </t>
  </si>
  <si>
    <t>indemnizaciones</t>
  </si>
  <si>
    <t>TRANSPORTES FLETES Y ALMACENAMIENTOS</t>
  </si>
  <si>
    <t>MANTENIMIENTO DE VEHICULOS</t>
  </si>
  <si>
    <t>PAGO Y MANTENIMIENTO DE ALUMBRADO PUBLICO</t>
  </si>
  <si>
    <t>MATERIALES ELECTRICOS</t>
  </si>
  <si>
    <t>54305</t>
  </si>
  <si>
    <t xml:space="preserve">Sub Total </t>
  </si>
  <si>
    <t>Productos Alimenticios para personas</t>
  </si>
  <si>
    <t>Servicios de publicidad</t>
  </si>
  <si>
    <t>Impresiones publicaciones y reproducciones</t>
  </si>
  <si>
    <t>Servicios generales y arrendamientos diversos</t>
  </si>
  <si>
    <t>A personas naturales</t>
  </si>
  <si>
    <t>A organismos sin fines de lucro</t>
  </si>
  <si>
    <t>Bienes de uso y consumo diversos(fondo circulante)</t>
  </si>
  <si>
    <t>Materiales e instrumental de laboratorio</t>
  </si>
  <si>
    <t>Mobiliario (mesa y sillas de conferencia y otros)</t>
  </si>
  <si>
    <t>Cuentas por cobrar de años anteriores (fodes 1.5% marzo y abril)</t>
  </si>
  <si>
    <t>Cuentas por cobrar de años anteriores (FAM febrero - abril)</t>
  </si>
  <si>
    <t>A ORGANISMOS SIN FINES DE LUCRO</t>
  </si>
  <si>
    <t>Subjefe UGTH</t>
  </si>
  <si>
    <t>Motorista</t>
  </si>
  <si>
    <t xml:space="preserve">Secretaría Municipal  </t>
  </si>
  <si>
    <t>Colaborador IV</t>
  </si>
  <si>
    <t>Digitador REF I</t>
  </si>
  <si>
    <t>Digitador REF II</t>
  </si>
  <si>
    <t>Peon de Recoleccion Desechos VI</t>
  </si>
  <si>
    <t>Peon de Aseo VI</t>
  </si>
  <si>
    <t>Colaborador UGTH I</t>
  </si>
  <si>
    <t>Colaborador UGTH II</t>
  </si>
  <si>
    <t>Notificador II</t>
  </si>
  <si>
    <t>Colaborador de Contabilidad I</t>
  </si>
  <si>
    <t>Colaborador de Contabilidad II</t>
  </si>
  <si>
    <t>Asistente de Gerencia</t>
  </si>
  <si>
    <t>Colaborador de cuentas corrientes IV</t>
  </si>
  <si>
    <t>Colaborador de cuentas corrientes V</t>
  </si>
  <si>
    <t>PROGRAMA DE BECAS 2024</t>
  </si>
  <si>
    <t>Colaborador de cartas de venta</t>
  </si>
  <si>
    <t>Colaborador UGTH III</t>
  </si>
  <si>
    <t>HERRAMIENTAS Y REPUESTOS  PRINCIPALES</t>
  </si>
  <si>
    <t>HERRAMIENTAS Y REPUESTOS PRINCIPALES</t>
  </si>
  <si>
    <t>61108</t>
  </si>
  <si>
    <t>Herramientas y repuestos principales</t>
  </si>
  <si>
    <t>7 MESES</t>
  </si>
  <si>
    <t>Asistente II</t>
  </si>
  <si>
    <t>I MES</t>
  </si>
  <si>
    <t>1 meses</t>
  </si>
  <si>
    <t>7 meses</t>
  </si>
  <si>
    <t>Secretaria I</t>
  </si>
  <si>
    <t>Secretaria II</t>
  </si>
  <si>
    <t>Encargado de Soporte Tecnico de equipo</t>
  </si>
  <si>
    <t xml:space="preserve">1 MES </t>
  </si>
  <si>
    <t>6 MESES</t>
  </si>
  <si>
    <t>4 MESES</t>
  </si>
  <si>
    <t>Jefe de Bienestar Social y Prevencion de la violencia</t>
  </si>
  <si>
    <t>Enfermera</t>
  </si>
  <si>
    <t>6  meses</t>
  </si>
  <si>
    <t>1 mes</t>
  </si>
  <si>
    <t>2 meses</t>
  </si>
  <si>
    <t>Oficial de Cumplimiento</t>
  </si>
  <si>
    <t>Total Oficialia de Cumplimiento</t>
  </si>
  <si>
    <t>5 meses</t>
  </si>
  <si>
    <t>TOTAL EMPLEADOS</t>
  </si>
  <si>
    <t>SUB-TOTAL (1 mes)</t>
  </si>
  <si>
    <t>SUB-TOTAL (2 meses)</t>
  </si>
  <si>
    <t>SUB-TOTAL(6 meses)</t>
  </si>
  <si>
    <t>SUB-TOTAL (5 meses)</t>
  </si>
  <si>
    <t>SUB-TOTAL (7 meses)</t>
  </si>
  <si>
    <t>SUB-TOTAL (8 meses)</t>
  </si>
  <si>
    <t>SUB TOTAL (1 mes)</t>
  </si>
  <si>
    <t>SUB TOTAL (7 meses)</t>
  </si>
  <si>
    <t>SUB TOTAL (8 meses)</t>
  </si>
  <si>
    <t>SUB TOTAL (4 meses)</t>
  </si>
  <si>
    <t>SUB TOTAL(2 MESES)</t>
  </si>
  <si>
    <t>SUB TOTAL (8 MESES)</t>
  </si>
  <si>
    <t>TOTAL LINEA 0101</t>
  </si>
  <si>
    <t>DIRECCION SUPERIOR (8 meses)</t>
  </si>
  <si>
    <t>DIRECCION SUPERIOR (7 mes)</t>
  </si>
  <si>
    <t>DIRECCION SUPERIOR (6 meses)</t>
  </si>
  <si>
    <t>DIRECCION SUPERIOR (5 meses)</t>
  </si>
  <si>
    <t>DIRECCION SUPERIOR (2meses)</t>
  </si>
  <si>
    <t>DIRECCION SUPERIOR (1 mes)</t>
  </si>
  <si>
    <t>ADMINISTRACION FINANCIERA Y TRIBUTARIA ( 8 MESES)</t>
  </si>
  <si>
    <t>ADMINISTRACION FINANCIERA Y TRIBUTARIA ( 7 MESES)</t>
  </si>
  <si>
    <t>ADMINISTRACION FINANCIERA Y TRIBUTARIA ( 1 MESES)</t>
  </si>
  <si>
    <t>TOTAL 0102</t>
  </si>
  <si>
    <t>SUB TOTAL (7 MESES)</t>
  </si>
  <si>
    <t>TOTAL 0201</t>
  </si>
  <si>
    <t>BIENESTAR SOCIAL (8 MESES)</t>
  </si>
  <si>
    <t>BIENESTAR SOCIAL (7 MESES)</t>
  </si>
  <si>
    <t>BIENESTAR SOCIAL (4 MESES)</t>
  </si>
  <si>
    <t>SERVICIOS MUNICIPALES  INTERNOS (8 MESES)</t>
  </si>
  <si>
    <t>SERVICIOS MUNICIPALES  INTERNOS (7 MESES)</t>
  </si>
  <si>
    <t>SERVICIOS MUNICIPALES  EXTERNOS (8 MESES)</t>
  </si>
  <si>
    <t>SERVICIOS MUNICIPALES  EXTERNOS (2 MESES)</t>
  </si>
  <si>
    <t>TOTAL 0202</t>
  </si>
  <si>
    <t>Cuentas por cobrar de años anteriores (fodes 1.5% (marzo y abril)</t>
  </si>
  <si>
    <t>Cuentas por cobrar de años anteriores (FAM febrero a abril)</t>
  </si>
  <si>
    <t>Rentabilidad de Cuentas Bancarias (fondos prestamo)</t>
  </si>
  <si>
    <t>TOTAL 0101</t>
  </si>
  <si>
    <t>Materiales metalicos y productos derivados</t>
  </si>
  <si>
    <t>54107</t>
  </si>
  <si>
    <t>Productos quimicos</t>
  </si>
  <si>
    <t>Transportes fletes y almacenamientos</t>
  </si>
  <si>
    <t>Servicios generales y almacenamientos diversos</t>
  </si>
  <si>
    <t>productos alimenticios para animales</t>
  </si>
  <si>
    <t>54102</t>
  </si>
  <si>
    <t>Productos Quimicos</t>
  </si>
  <si>
    <t>54108</t>
  </si>
  <si>
    <t>Productos Farmaceuticos y medicinales</t>
  </si>
  <si>
    <t>Bienes Muebles diversos</t>
  </si>
  <si>
    <t>mayo y junio</t>
  </si>
  <si>
    <t>Inspector de Unidad Ambiental (into)</t>
  </si>
  <si>
    <t>arreglar</t>
  </si>
  <si>
    <t>6 meses</t>
  </si>
  <si>
    <t>4 meses</t>
  </si>
  <si>
    <t>1mes</t>
  </si>
  <si>
    <t>1 MES ARREGLAR</t>
  </si>
  <si>
    <t>7 MESES ARREGLAR</t>
  </si>
  <si>
    <t>SUB TOTAL(6 MESES)</t>
  </si>
  <si>
    <t>TOTAL 0203</t>
  </si>
  <si>
    <t>SERVICIOS MUNICIPALES  EXTERNOS (6 MESES)</t>
  </si>
  <si>
    <t>SUB TOTAL (1 meses)</t>
  </si>
  <si>
    <t>BIENESTAR SOCIAL (1 MESES)</t>
  </si>
  <si>
    <t>55799</t>
  </si>
  <si>
    <t>gastos diversos (tarjetas de circulacion)</t>
  </si>
  <si>
    <t>55703</t>
  </si>
  <si>
    <t>Multas y Costas Judiciales</t>
  </si>
  <si>
    <t>Productos farmaceuticos y medicinales</t>
  </si>
  <si>
    <t>Equipo medico y de laboratorio</t>
  </si>
  <si>
    <t>61103</t>
  </si>
  <si>
    <t>Equipo Medico y de Laboratorio</t>
  </si>
  <si>
    <t>ALCALDIA MUNICIPAL DE SONSONATE OESTE</t>
  </si>
  <si>
    <t>ALCALDIA MUNICIPAL DE SONSONATE OESTE, DISTRITO DE ACAJUTLA</t>
  </si>
  <si>
    <t>ALCALDIA MUNICIPAL DE SONSONATE, DISTRITO DE ACAJUTLA      AÑO    2024</t>
  </si>
  <si>
    <t xml:space="preserve">                                                                                ALCALDIA MUNICIPAL DE SONSONATE, DISTRITO DE ACAJUTLA      AÑO    2024</t>
  </si>
  <si>
    <t xml:space="preserve">                             ALCALDIA MUNICIPAL DE SONSONATE OESTE, DISTRITO DE ACAJUTLA        AÑO    2024</t>
  </si>
  <si>
    <t xml:space="preserve">               ALCALDIA MUNICIPAL DE SONSONATE OESTE, DISTRITO DE ACAJUTLA      </t>
  </si>
  <si>
    <t>DISTRITO DE ACAJUTLA</t>
  </si>
  <si>
    <r>
      <t>ESTIMACION Y PROYECCION DE INGRESOS PARA EL PRESUPUESTO DEL AÑO 2024</t>
    </r>
    <r>
      <rPr>
        <sz val="14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indexed="8"/>
        <rFont val="Arial"/>
        <family val="2"/>
      </rPr>
      <t>ALCALDIA MUNICIPAL DE</t>
    </r>
    <r>
      <rPr>
        <sz val="14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>SONSONATE OESTE,</t>
    </r>
    <r>
      <rPr>
        <sz val="14"/>
        <color indexed="8"/>
        <rFont val="Arial"/>
        <family val="2"/>
      </rPr>
      <t xml:space="preserve">  </t>
    </r>
    <r>
      <rPr>
        <b/>
        <sz val="14"/>
        <color indexed="8"/>
        <rFont val="Arial"/>
        <family val="2"/>
      </rPr>
      <t xml:space="preserve">DISTRITO DE ACAJUTLA </t>
    </r>
  </si>
  <si>
    <t xml:space="preserve">ESTIMACION Y PROYECCION DE INGRESOS DE: FODES, FONDO DE APOYO MUNICIPAL E INSTITUTO CRECER JUNTOS, PARA EL PRESUPUESTO   DE MAYO A DICIEMBRE 2024                                                                                                                                                                                                                                                                     ALCALDIA MUNICIPAL DE SONSONATE OESTE, DISTRITO  DE ACAJUTLA  </t>
  </si>
  <si>
    <t>DISTRITO  DE ACAJUTLA</t>
  </si>
  <si>
    <t>ALCALDIA  MUNICIPAL DE SONSONATE OESTE, DISTRITO DE ACAJUTLA</t>
  </si>
  <si>
    <t>ALCALDIA MUNICIPAL DE SONSONATE  OESTE</t>
  </si>
  <si>
    <t>ALCALDIA MUNICIPAL DE SONSONATE OESTE, DISTRITO  DE ACAJUTLA</t>
  </si>
  <si>
    <t xml:space="preserve">DISTRITO DE ACAJUTLA </t>
  </si>
  <si>
    <t>ALCALDIA DE SONSONATE OESTE, DISTRITO DE ACAJUTLA</t>
  </si>
  <si>
    <t xml:space="preserve">                                       ALCALDIA MUNICIPAL DE SONSONATE, DISTRITO DE ACAJUTLA      AÑO    2024</t>
  </si>
  <si>
    <t>1 MES</t>
  </si>
  <si>
    <t>Ingresos en base a saldos a  abril 2024</t>
  </si>
  <si>
    <t>FUENTE O SUBFUENTE DE FINANCIAMIENTO: Recursos Propios (0201 Bienestar Social)</t>
  </si>
  <si>
    <t>Productos Alimenticios para animales</t>
  </si>
  <si>
    <t>Comisiones y gastos bancarios</t>
  </si>
  <si>
    <t>Equipo Informatico</t>
  </si>
  <si>
    <t>servicios de publicidad</t>
  </si>
  <si>
    <t>Gastos Diversos</t>
  </si>
  <si>
    <t>Apersonas Naturales</t>
  </si>
  <si>
    <t xml:space="preserve">                                                                                                                                                                        </t>
  </si>
  <si>
    <t>54316</t>
  </si>
  <si>
    <t>Bienes de Uso y consumo diversos</t>
  </si>
  <si>
    <t>Productos textiles y vestuario</t>
  </si>
  <si>
    <t>Productos alimenticios para personas</t>
  </si>
  <si>
    <t>Minerales no metalicos y productos derivados</t>
  </si>
  <si>
    <t>Minerales Metalicos y productos derivados</t>
  </si>
  <si>
    <t>Arrendamientos de bienes Muebles</t>
  </si>
  <si>
    <t>Herramientas Repuestos y Accesorios</t>
  </si>
  <si>
    <t>Transportes fletes y Almacenamientos</t>
  </si>
  <si>
    <t xml:space="preserve"> EMERGENCIAS PROVOCADAS POR FENOMENOS NATURALES, DISTRITO DE ACAJUTLA, DEPARTAMENTO DE SONSONATE OESTE.</t>
  </si>
  <si>
    <t>Productos alimenticios para animales</t>
  </si>
  <si>
    <t>Beneficios Adicionales (bono $300 )</t>
  </si>
  <si>
    <t>materiales metalicos y productos derivados</t>
  </si>
  <si>
    <t>APOYO A LA JUVENTUD EN DIFERENTES  RAMAS DEPORTIVAS, DISTRITO DE ACAJUTLA SONSONATE OESTE 2024</t>
  </si>
  <si>
    <t>RECOLECCION DE DESECHOS SOLIDOS DISTRITO DE ACAJUTLA SONSONATE OESTE 2024</t>
  </si>
  <si>
    <t>INGRESO 2024</t>
  </si>
  <si>
    <t>5-Oficilia de Cumplimiento</t>
  </si>
  <si>
    <t>6-Despacho Municipal</t>
  </si>
  <si>
    <t>7-Asesoría Juridica</t>
  </si>
  <si>
    <t xml:space="preserve">8-Unidad Contravencional </t>
  </si>
  <si>
    <t>9-Unidad de Mediación</t>
  </si>
  <si>
    <t>10-Cuerpo de Agentes Municipales (CAM)</t>
  </si>
  <si>
    <t>11-Comunicaciones y Relaciones Públicas</t>
  </si>
  <si>
    <t>12-Unidad de Proteccion de animales de compañía</t>
  </si>
  <si>
    <t>13-Unidad Ambiental</t>
  </si>
  <si>
    <t>14-Unidad de Gestión y Cooperación</t>
  </si>
  <si>
    <t>15-Unidad de Mitigcion de Riesgo</t>
  </si>
  <si>
    <t>16-Gerencia General</t>
  </si>
  <si>
    <t>17-Unidad de Gestión del Talento Humano (UGTH)</t>
  </si>
  <si>
    <t>18-Unidad de Atención al Cliente</t>
  </si>
  <si>
    <t>189-Unidad de Acceso a la Información Pública (UAIP)</t>
  </si>
  <si>
    <t>20-Unidad de Gestión Documental de Archivo</t>
  </si>
  <si>
    <t>21-Unidad de Tecnologías de Información y Comunicación</t>
  </si>
  <si>
    <t xml:space="preserve">22-Unidad de Compras Publicas (UCP) </t>
  </si>
  <si>
    <t>23-Unidad de Administración Tributaría Municipal (UATM)</t>
  </si>
  <si>
    <t>24-Unidad Financiera Institucional (UFI)</t>
  </si>
  <si>
    <t xml:space="preserve">25-Presupuesto </t>
  </si>
  <si>
    <t>26-Tesorería</t>
  </si>
  <si>
    <t>27-Contabilidad</t>
  </si>
  <si>
    <t>28-Unidad de Bienestar Social</t>
  </si>
  <si>
    <t>29-Proyección Social</t>
  </si>
  <si>
    <t>30-Unidad de la Mujer y Genero</t>
  </si>
  <si>
    <t>31-Unidad de la Niñez y Adolescencia</t>
  </si>
  <si>
    <t>32-Unidad Medica</t>
  </si>
  <si>
    <t>33-Unidad de Banda y Filarmónica Municipal</t>
  </si>
  <si>
    <t>34-Unidad de Reconstrucción y Tejido Social</t>
  </si>
  <si>
    <t>35-Unidad de Turismo</t>
  </si>
  <si>
    <t>36-Unidad de Cultura</t>
  </si>
  <si>
    <t>37-Unidad de Deportes</t>
  </si>
  <si>
    <t>38-Unidad de Bolsa de Empleo</t>
  </si>
  <si>
    <t>39-Desarrollo Urbano y Proyectos</t>
  </si>
  <si>
    <t>40-Registro del Estado Familiar (REF)</t>
  </si>
  <si>
    <t>41-Unidad Agropecuaria</t>
  </si>
  <si>
    <t>42-Servicios Públicos Municipales</t>
  </si>
  <si>
    <t>43-Mercados y Terminales</t>
  </si>
  <si>
    <t>Recuperación Económica (EMERGENCIAS PROVOCADAS POR FENOMENOS NATURALES, DISTRITO DE ACAJUTLA, DEPARTAMENTO DE SONSONATE OESTE.)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</si>
</sst>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-* #,##0.00_-;\-* #,##0.00_-;_-* &quot;-&quot;??_-;_-@_-"/>
    <numFmt numFmtId="164" formatCode="_-* #,##0.00\ _$_-;\-* #,##0.00\ _$_-;_-* &quot;-&quot;??\ _$_-;_-@_-"/>
    <numFmt numFmtId="165" formatCode="&quot;$ &quot;#,##0;[Red]&quot;-$ &quot;#,##0"/>
    <numFmt numFmtId="166" formatCode="_(&quot;$ &quot;* #,##0.00_);_(&quot;$ &quot;* \(#,##0.00\);_(&quot;$ &quot;* \-??_);_(@_)"/>
    <numFmt numFmtId="167" formatCode="_(\$* #,##0.00_);_(\$* \(#,##0.00\);_(\$* \-??_);_(@_)"/>
    <numFmt numFmtId="168" formatCode="000"/>
    <numFmt numFmtId="169" formatCode="_ &quot;$ &quot;* #,##0.00_ ;_ &quot;$ &quot;* \-#,##0.00_ ;_ &quot;$ &quot;* \-??_ ;_ @_ "/>
    <numFmt numFmtId="170" formatCode="_ * #,##0.00_ ;_ * \-#,##0.00_ ;_ * \-??_ ;_ @_ "/>
    <numFmt numFmtId="171" formatCode="_(* #,##0.00_);_(* \(#,##0.00\);_(* \-??_);_(@_)"/>
    <numFmt numFmtId="172" formatCode="_-\$* #,##0.00_-;&quot;-$&quot;* #,##0.00_-;_-\$* \-??_-;_-@_-"/>
    <numFmt numFmtId="173" formatCode="_ * #,##0_ ;_ * \-#,##0_ ;_ * \-_ ;_ @_ "/>
    <numFmt numFmtId="174" formatCode="00000"/>
    <numFmt numFmtId="175" formatCode="_(* #,##0_);_(* \(#,##0\);_(* \-_);_(@_)"/>
    <numFmt numFmtId="176" formatCode="_([$$-440A]* #,##0.00_);_([$$-440A]* \(#,##0.00\);_([$$-440A]* \-??_);_(@_)"/>
    <numFmt numFmtId="177" formatCode="_-* #,##0_-;\-* #,##0_-;_-* \-??_-;_-@_-"/>
    <numFmt numFmtId="178" formatCode="_-* #,##0.00_-;\-* #,##0.00_-;_-* \-??_-;_-@_-"/>
    <numFmt numFmtId="179" formatCode="_-[$€-2]* #,##0.00_-;\-[$€-2]* #,##0.00_-;_-[$€-2]* &quot;-&quot;??_-"/>
    <numFmt numFmtId="180" formatCode="_-&quot;¢&quot;* #,##0.00_-;\-&quot;¢&quot;* #,##0.00_-;_-&quot;¢&quot;* &quot;-&quot;??_-;_-@_-"/>
    <numFmt numFmtId="181" formatCode="_-[$$-440A]* #,##0.00_-;\-[$$-440A]* #,##0.00_-;_-[$$-440A]* &quot;-&quot;??_-;_-@_-"/>
    <numFmt numFmtId="182" formatCode="_ &quot;$ &quot;* #,##0_ ;_ &quot;$ &quot;* \-#,##0_ ;_ &quot;$ &quot;* \-_ ;_ @_ "/>
  </numFmts>
  <fonts count="9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rebuchet MS"/>
      <family val="2"/>
    </font>
    <font>
      <b/>
      <sz val="10"/>
      <color indexed="12"/>
      <name val="Trebuchet MS"/>
      <family val="2"/>
    </font>
    <font>
      <sz val="14"/>
      <name val="Trebuchet MS"/>
      <family val="2"/>
    </font>
    <font>
      <b/>
      <sz val="14"/>
      <name val="Trebuchet MS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Trebuchet MS"/>
      <family val="2"/>
    </font>
    <font>
      <b/>
      <sz val="11"/>
      <color indexed="9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56"/>
      <name val="Arial"/>
      <family val="2"/>
    </font>
    <font>
      <sz val="10"/>
      <color indexed="57"/>
      <name val="Trebuchet MS"/>
      <family val="2"/>
    </font>
    <font>
      <b/>
      <i/>
      <sz val="12"/>
      <name val="Arial"/>
      <family val="2"/>
    </font>
    <font>
      <b/>
      <vertAlign val="subscript"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name val="Trebuchet MS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name val="Trebuchet MS"/>
      <family val="2"/>
    </font>
    <font>
      <b/>
      <u/>
      <sz val="12"/>
      <name val="Trebuchet MS"/>
      <family val="2"/>
    </font>
    <font>
      <sz val="14"/>
      <color indexed="8"/>
      <name val="Arial"/>
      <family val="2"/>
    </font>
    <font>
      <b/>
      <u/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indexed="9"/>
      <name val="Arial"/>
      <family val="2"/>
    </font>
    <font>
      <b/>
      <sz val="10"/>
      <color indexed="10"/>
      <name val="Trebuchet MS"/>
      <family val="2"/>
    </font>
    <font>
      <b/>
      <sz val="10"/>
      <color indexed="57"/>
      <name val="Trebuchet MS"/>
      <family val="2"/>
    </font>
    <font>
      <sz val="12"/>
      <color indexed="9"/>
      <name val="Trebuchet MS"/>
      <family val="2"/>
    </font>
    <font>
      <sz val="10"/>
      <color indexed="9"/>
      <name val="Trebuchet MS"/>
      <family val="2"/>
    </font>
    <font>
      <b/>
      <sz val="10"/>
      <color indexed="9"/>
      <name val="Trebuchet MS"/>
      <family val="2"/>
    </font>
    <font>
      <b/>
      <sz val="12"/>
      <color indexed="9"/>
      <name val="Trebuchet MS"/>
      <family val="2"/>
    </font>
    <font>
      <b/>
      <sz val="12"/>
      <color indexed="9"/>
      <name val="Arial"/>
      <family val="2"/>
    </font>
    <font>
      <b/>
      <sz val="8.5"/>
      <name val="Arial"/>
      <family val="2"/>
    </font>
    <font>
      <b/>
      <sz val="13"/>
      <name val="Trebuchet MS"/>
      <family val="2"/>
    </font>
    <font>
      <sz val="16"/>
      <name val="Trebuchet MS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b/>
      <sz val="11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6">
    <fill>
      <patternFill patternType="none"/>
    </fill>
    <fill>
      <patternFill patternType="gray125"/>
    </fill>
    <fill>
      <patternFill patternType="solid">
        <fgColor indexed="31"/>
        <bgColor indexed="50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50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FF0000"/>
        <bgColor indexed="26"/>
      </patternFill>
    </fill>
    <fill>
      <patternFill patternType="solid">
        <fgColor theme="0"/>
        <bgColor indexed="50"/>
      </patternFill>
    </fill>
  </fills>
  <borders count="2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/>
      <top style="medium">
        <color indexed="8"/>
      </top>
      <bottom style="medium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medium">
        <color indexed="59"/>
      </right>
      <top style="medium">
        <color indexed="64"/>
      </top>
      <bottom/>
      <diagonal/>
    </border>
    <border>
      <left style="medium">
        <color indexed="59"/>
      </left>
      <right/>
      <top style="medium">
        <color indexed="64"/>
      </top>
      <bottom style="medium">
        <color indexed="59"/>
      </bottom>
      <diagonal/>
    </border>
    <border>
      <left style="medium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59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59"/>
      </bottom>
      <diagonal/>
    </border>
    <border>
      <left/>
      <right style="medium">
        <color indexed="59"/>
      </right>
      <top style="medium">
        <color indexed="64"/>
      </top>
      <bottom style="medium">
        <color indexed="59"/>
      </bottom>
      <diagonal/>
    </border>
    <border>
      <left/>
      <right style="medium">
        <color indexed="59"/>
      </right>
      <top style="medium">
        <color indexed="64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medium">
        <color indexed="59"/>
      </right>
      <top style="medium">
        <color indexed="64"/>
      </top>
      <bottom/>
      <diagonal/>
    </border>
    <border>
      <left style="medium">
        <color indexed="59"/>
      </left>
      <right style="medium">
        <color indexed="64"/>
      </right>
      <top style="medium">
        <color indexed="64"/>
      </top>
      <bottom/>
      <diagonal/>
    </border>
    <border>
      <left style="medium">
        <color indexed="59"/>
      </left>
      <right style="medium">
        <color indexed="64"/>
      </right>
      <top/>
      <bottom/>
      <diagonal/>
    </border>
    <border>
      <left style="medium">
        <color indexed="5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59"/>
      </right>
      <top style="medium">
        <color indexed="59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medium">
        <color indexed="59"/>
      </top>
      <bottom/>
      <diagonal/>
    </border>
    <border>
      <left style="thin">
        <color indexed="59"/>
      </left>
      <right style="medium">
        <color indexed="64"/>
      </right>
      <top style="medium">
        <color indexed="59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165" fontId="50" fillId="0" borderId="0" applyFill="0" applyBorder="0" applyAlignment="0" applyProtection="0"/>
    <xf numFmtId="179" fontId="50" fillId="0" borderId="0" applyFont="0" applyFill="0" applyBorder="0" applyAlignment="0" applyProtection="0"/>
    <xf numFmtId="0" fontId="8" fillId="3" borderId="0" applyNumberFormat="0" applyBorder="0" applyAlignment="0" applyProtection="0"/>
    <xf numFmtId="171" fontId="50" fillId="0" borderId="0" applyFill="0" applyBorder="0" applyAlignment="0" applyProtection="0"/>
    <xf numFmtId="43" fontId="50" fillId="0" borderId="0" applyFont="0" applyFill="0" applyBorder="0" applyAlignment="0" applyProtection="0"/>
    <xf numFmtId="166" fontId="50" fillId="0" borderId="0" applyFill="0" applyBorder="0" applyAlignment="0" applyProtection="0"/>
    <xf numFmtId="180" fontId="50" fillId="0" borderId="0" applyFont="0" applyFill="0" applyBorder="0" applyAlignment="0" applyProtection="0"/>
    <xf numFmtId="0" fontId="9" fillId="22" borderId="0" applyNumberFormat="0" applyBorder="0" applyAlignment="0" applyProtection="0"/>
    <xf numFmtId="0" fontId="50" fillId="0" borderId="0"/>
    <xf numFmtId="0" fontId="50" fillId="0" borderId="0"/>
    <xf numFmtId="0" fontId="50" fillId="23" borderId="4" applyNumberFormat="0" applyAlignment="0" applyProtection="0"/>
    <xf numFmtId="9" fontId="50" fillId="0" borderId="0" applyFill="0" applyBorder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</cellStyleXfs>
  <cellXfs count="1632">
    <xf numFmtId="0" fontId="0" fillId="0" borderId="0" xfId="0"/>
    <xf numFmtId="0" fontId="16" fillId="24" borderId="0" xfId="0" applyFont="1" applyFill="1" applyAlignment="1">
      <alignment horizontal="center"/>
    </xf>
    <xf numFmtId="0" fontId="16" fillId="24" borderId="0" xfId="0" applyFont="1" applyFill="1"/>
    <xf numFmtId="0" fontId="17" fillId="24" borderId="0" xfId="0" applyFont="1" applyFill="1"/>
    <xf numFmtId="0" fontId="0" fillId="24" borderId="0" xfId="0" applyFill="1"/>
    <xf numFmtId="49" fontId="21" fillId="24" borderId="9" xfId="0" applyNumberFormat="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left" vertical="center" wrapText="1"/>
    </xf>
    <xf numFmtId="166" fontId="21" fillId="24" borderId="10" xfId="35" applyFont="1" applyFill="1" applyBorder="1" applyAlignment="1" applyProtection="1">
      <alignment horizontal="center"/>
    </xf>
    <xf numFmtId="166" fontId="21" fillId="24" borderId="11" xfId="35" applyFont="1" applyFill="1" applyBorder="1" applyAlignment="1" applyProtection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/>
    </xf>
    <xf numFmtId="167" fontId="0" fillId="0" borderId="0" xfId="0" applyNumberFormat="1"/>
    <xf numFmtId="166" fontId="22" fillId="24" borderId="11" xfId="35" applyFont="1" applyFill="1" applyBorder="1" applyAlignment="1" applyProtection="1">
      <alignment horizontal="center"/>
    </xf>
    <xf numFmtId="0" fontId="21" fillId="24" borderId="9" xfId="0" applyFont="1" applyFill="1" applyBorder="1" applyAlignment="1">
      <alignment horizontal="center" vertical="center"/>
    </xf>
    <xf numFmtId="0" fontId="21" fillId="24" borderId="10" xfId="0" applyFont="1" applyFill="1" applyBorder="1"/>
    <xf numFmtId="167" fontId="21" fillId="24" borderId="10" xfId="0" applyNumberFormat="1" applyFont="1" applyFill="1" applyBorder="1"/>
    <xf numFmtId="166" fontId="21" fillId="0" borderId="11" xfId="35" applyFont="1" applyFill="1" applyBorder="1" applyAlignment="1" applyProtection="1">
      <alignment horizontal="center"/>
    </xf>
    <xf numFmtId="166" fontId="21" fillId="24" borderId="10" xfId="35" applyFont="1" applyFill="1" applyBorder="1" applyAlignment="1" applyProtection="1"/>
    <xf numFmtId="166" fontId="23" fillId="0" borderId="10" xfId="35" applyFont="1" applyFill="1" applyBorder="1" applyAlignment="1" applyProtection="1"/>
    <xf numFmtId="166" fontId="21" fillId="0" borderId="10" xfId="35" applyFont="1" applyFill="1" applyBorder="1" applyAlignment="1" applyProtection="1"/>
    <xf numFmtId="49" fontId="21" fillId="24" borderId="12" xfId="0" applyNumberFormat="1" applyFont="1" applyFill="1" applyBorder="1" applyAlignment="1">
      <alignment horizontal="center"/>
    </xf>
    <xf numFmtId="49" fontId="16" fillId="24" borderId="0" xfId="0" applyNumberFormat="1" applyFont="1" applyFill="1" applyAlignment="1">
      <alignment horizontal="center"/>
    </xf>
    <xf numFmtId="0" fontId="26" fillId="24" borderId="0" xfId="0" applyFont="1" applyFill="1" applyAlignment="1">
      <alignment vertical="center" wrapText="1"/>
    </xf>
    <xf numFmtId="167" fontId="16" fillId="24" borderId="0" xfId="0" applyNumberFormat="1" applyFont="1" applyFill="1"/>
    <xf numFmtId="167" fontId="27" fillId="24" borderId="0" xfId="0" applyNumberFormat="1" applyFont="1" applyFill="1"/>
    <xf numFmtId="167" fontId="17" fillId="24" borderId="0" xfId="0" applyNumberFormat="1" applyFont="1" applyFill="1"/>
    <xf numFmtId="49" fontId="28" fillId="24" borderId="0" xfId="0" applyNumberFormat="1" applyFont="1" applyFill="1" applyAlignment="1">
      <alignment horizontal="center"/>
    </xf>
    <xf numFmtId="166" fontId="17" fillId="24" borderId="0" xfId="0" applyNumberFormat="1" applyFont="1" applyFill="1"/>
    <xf numFmtId="172" fontId="33" fillId="24" borderId="10" xfId="35" applyNumberFormat="1" applyFont="1" applyFill="1" applyBorder="1" applyAlignment="1" applyProtection="1">
      <alignment horizontal="left" vertical="center"/>
    </xf>
    <xf numFmtId="169" fontId="32" fillId="24" borderId="10" xfId="33" applyNumberFormat="1" applyFont="1" applyFill="1" applyBorder="1" applyAlignment="1" applyProtection="1">
      <alignment horizontal="left" vertical="center"/>
    </xf>
    <xf numFmtId="168" fontId="32" fillId="24" borderId="10" xfId="0" applyNumberFormat="1" applyFont="1" applyFill="1" applyBorder="1" applyAlignment="1">
      <alignment horizontal="left" vertical="center" wrapText="1"/>
    </xf>
    <xf numFmtId="168" fontId="34" fillId="24" borderId="10" xfId="0" applyNumberFormat="1" applyFont="1" applyFill="1" applyBorder="1" applyAlignment="1">
      <alignment horizontal="left" vertical="center" wrapText="1"/>
    </xf>
    <xf numFmtId="169" fontId="34" fillId="24" borderId="10" xfId="33" applyNumberFormat="1" applyFont="1" applyFill="1" applyBorder="1" applyAlignment="1" applyProtection="1">
      <alignment horizontal="left" vertical="center"/>
    </xf>
    <xf numFmtId="168" fontId="32" fillId="24" borderId="10" xfId="0" applyNumberFormat="1" applyFont="1" applyFill="1" applyBorder="1" applyAlignment="1">
      <alignment horizontal="left" vertical="center"/>
    </xf>
    <xf numFmtId="168" fontId="34" fillId="24" borderId="10" xfId="0" applyNumberFormat="1" applyFont="1" applyFill="1" applyBorder="1" applyAlignment="1">
      <alignment horizontal="left" vertical="center"/>
    </xf>
    <xf numFmtId="173" fontId="32" fillId="24" borderId="10" xfId="0" applyNumberFormat="1" applyFont="1" applyFill="1" applyBorder="1" applyAlignment="1">
      <alignment horizontal="left" vertical="center"/>
    </xf>
    <xf numFmtId="173" fontId="34" fillId="24" borderId="10" xfId="0" applyNumberFormat="1" applyFont="1" applyFill="1" applyBorder="1" applyAlignment="1">
      <alignment horizontal="left" vertical="center"/>
    </xf>
    <xf numFmtId="172" fontId="35" fillId="24" borderId="10" xfId="35" applyNumberFormat="1" applyFont="1" applyFill="1" applyBorder="1" applyAlignment="1" applyProtection="1">
      <alignment horizontal="left" vertical="center"/>
    </xf>
    <xf numFmtId="168" fontId="34" fillId="24" borderId="0" xfId="0" applyNumberFormat="1" applyFont="1" applyFill="1" applyAlignment="1">
      <alignment horizontal="center" vertical="center"/>
    </xf>
    <xf numFmtId="168" fontId="34" fillId="24" borderId="0" xfId="0" applyNumberFormat="1" applyFont="1" applyFill="1" applyAlignment="1">
      <alignment vertical="center"/>
    </xf>
    <xf numFmtId="170" fontId="34" fillId="24" borderId="0" xfId="0" applyNumberFormat="1" applyFont="1" applyFill="1" applyAlignment="1">
      <alignment vertical="center"/>
    </xf>
    <xf numFmtId="49" fontId="20" fillId="0" borderId="9" xfId="33" applyNumberFormat="1" applyFont="1" applyFill="1" applyBorder="1" applyAlignment="1" applyProtection="1">
      <alignment horizontal="center" vertical="center" wrapText="1"/>
    </xf>
    <xf numFmtId="168" fontId="20" fillId="0" borderId="10" xfId="0" applyNumberFormat="1" applyFont="1" applyBorder="1" applyAlignment="1">
      <alignment horizontal="left" vertical="center" wrapText="1"/>
    </xf>
    <xf numFmtId="166" fontId="20" fillId="0" borderId="10" xfId="35" applyFont="1" applyFill="1" applyBorder="1" applyAlignment="1" applyProtection="1">
      <alignment horizontal="left" vertical="center" wrapText="1" indent="3"/>
    </xf>
    <xf numFmtId="166" fontId="20" fillId="0" borderId="11" xfId="35" applyFont="1" applyFill="1" applyBorder="1" applyAlignment="1" applyProtection="1">
      <alignment horizontal="left" vertical="center" wrapText="1" indent="3"/>
    </xf>
    <xf numFmtId="174" fontId="0" fillId="0" borderId="9" xfId="30" applyNumberFormat="1" applyFont="1" applyFill="1" applyBorder="1" applyAlignment="1" applyProtection="1">
      <alignment horizontal="center" vertical="center" wrapText="1"/>
    </xf>
    <xf numFmtId="168" fontId="0" fillId="0" borderId="10" xfId="0" applyNumberFormat="1" applyBorder="1" applyAlignment="1">
      <alignment horizontal="left" vertical="center" wrapText="1"/>
    </xf>
    <xf numFmtId="166" fontId="0" fillId="0" borderId="10" xfId="35" applyFont="1" applyFill="1" applyBorder="1" applyAlignment="1" applyProtection="1">
      <alignment vertical="center"/>
    </xf>
    <xf numFmtId="166" fontId="20" fillId="0" borderId="10" xfId="35" applyFont="1" applyFill="1" applyBorder="1" applyAlignment="1" applyProtection="1">
      <alignment vertical="center" wrapText="1"/>
    </xf>
    <xf numFmtId="166" fontId="20" fillId="0" borderId="11" xfId="35" applyFont="1" applyFill="1" applyBorder="1" applyAlignment="1" applyProtection="1">
      <alignment vertical="center" wrapText="1"/>
    </xf>
    <xf numFmtId="49" fontId="0" fillId="0" borderId="9" xfId="33" applyNumberFormat="1" applyFont="1" applyFill="1" applyBorder="1" applyAlignment="1" applyProtection="1">
      <alignment horizontal="center" vertical="center" wrapText="1"/>
    </xf>
    <xf numFmtId="166" fontId="20" fillId="0" borderId="10" xfId="35" applyFont="1" applyFill="1" applyBorder="1" applyAlignment="1" applyProtection="1">
      <alignment horizontal="left" vertical="center" wrapText="1" indent="2"/>
    </xf>
    <xf numFmtId="166" fontId="20" fillId="0" borderId="11" xfId="35" applyFont="1" applyFill="1" applyBorder="1" applyAlignment="1" applyProtection="1">
      <alignment horizontal="left" vertical="center" wrapText="1" indent="2"/>
    </xf>
    <xf numFmtId="0" fontId="20" fillId="0" borderId="9" xfId="33" applyNumberFormat="1" applyFont="1" applyFill="1" applyBorder="1" applyAlignment="1" applyProtection="1">
      <alignment horizontal="center" vertical="center" wrapText="1"/>
    </xf>
    <xf numFmtId="0" fontId="0" fillId="0" borderId="9" xfId="33" applyNumberFormat="1" applyFont="1" applyFill="1" applyBorder="1" applyAlignment="1" applyProtection="1">
      <alignment horizontal="center" vertical="center" wrapText="1"/>
    </xf>
    <xf numFmtId="168" fontId="39" fillId="0" borderId="10" xfId="0" applyNumberFormat="1" applyFont="1" applyBorder="1" applyAlignment="1">
      <alignment horizontal="left" vertical="center" wrapText="1"/>
    </xf>
    <xf numFmtId="168" fontId="0" fillId="0" borderId="10" xfId="0" applyNumberFormat="1" applyBorder="1" applyAlignment="1">
      <alignment horizontal="left" vertical="center"/>
    </xf>
    <xf numFmtId="1" fontId="20" fillId="0" borderId="9" xfId="33" applyNumberFormat="1" applyFont="1" applyFill="1" applyBorder="1" applyAlignment="1" applyProtection="1">
      <alignment horizontal="center" vertical="center" wrapText="1"/>
    </xf>
    <xf numFmtId="166" fontId="20" fillId="0" borderId="10" xfId="35" applyFont="1" applyFill="1" applyBorder="1" applyAlignment="1" applyProtection="1">
      <alignment horizontal="right" vertical="center" wrapText="1"/>
    </xf>
    <xf numFmtId="166" fontId="20" fillId="0" borderId="11" xfId="35" applyFont="1" applyFill="1" applyBorder="1" applyAlignment="1" applyProtection="1">
      <alignment horizontal="right" vertical="center" wrapText="1"/>
    </xf>
    <xf numFmtId="1" fontId="40" fillId="0" borderId="9" xfId="33" applyNumberFormat="1" applyFont="1" applyFill="1" applyBorder="1" applyAlignment="1" applyProtection="1">
      <alignment horizontal="center" vertical="center" wrapText="1"/>
    </xf>
    <xf numFmtId="168" fontId="40" fillId="0" borderId="10" xfId="0" applyNumberFormat="1" applyFont="1" applyBorder="1" applyAlignment="1">
      <alignment horizontal="left" vertical="center" wrapText="1"/>
    </xf>
    <xf numFmtId="1" fontId="0" fillId="0" borderId="9" xfId="33" applyNumberFormat="1" applyFont="1" applyFill="1" applyBorder="1" applyAlignment="1" applyProtection="1">
      <alignment horizontal="center" vertical="center" wrapText="1"/>
    </xf>
    <xf numFmtId="173" fontId="0" fillId="0" borderId="10" xfId="0" applyNumberFormat="1" applyBorder="1" applyAlignment="1">
      <alignment vertical="center" wrapText="1"/>
    </xf>
    <xf numFmtId="168" fontId="20" fillId="0" borderId="10" xfId="0" applyNumberFormat="1" applyFont="1" applyBorder="1" applyAlignment="1">
      <alignment vertical="center" wrapText="1"/>
    </xf>
    <xf numFmtId="168" fontId="40" fillId="0" borderId="10" xfId="0" applyNumberFormat="1" applyFont="1" applyBorder="1" applyAlignment="1">
      <alignment vertical="center" wrapText="1"/>
    </xf>
    <xf numFmtId="168" fontId="0" fillId="0" borderId="10" xfId="0" applyNumberFormat="1" applyBorder="1" applyAlignment="1">
      <alignment vertical="center" wrapText="1"/>
    </xf>
    <xf numFmtId="166" fontId="20" fillId="0" borderId="10" xfId="35" applyFont="1" applyFill="1" applyBorder="1" applyAlignment="1" applyProtection="1">
      <alignment vertical="center"/>
    </xf>
    <xf numFmtId="166" fontId="20" fillId="0" borderId="11" xfId="35" applyFont="1" applyFill="1" applyBorder="1" applyAlignment="1" applyProtection="1">
      <alignment vertical="center"/>
    </xf>
    <xf numFmtId="168" fontId="41" fillId="0" borderId="10" xfId="0" applyNumberFormat="1" applyFont="1" applyBorder="1" applyAlignment="1">
      <alignment vertical="center" wrapText="1"/>
    </xf>
    <xf numFmtId="166" fontId="0" fillId="0" borderId="10" xfId="35" applyFont="1" applyFill="1" applyBorder="1" applyAlignment="1" applyProtection="1">
      <alignment horizontal="left" vertical="center" wrapText="1" indent="2"/>
    </xf>
    <xf numFmtId="166" fontId="0" fillId="0" borderId="11" xfId="35" applyFont="1" applyFill="1" applyBorder="1" applyAlignment="1" applyProtection="1">
      <alignment vertical="center"/>
    </xf>
    <xf numFmtId="166" fontId="0" fillId="0" borderId="10" xfId="35" applyFont="1" applyFill="1" applyBorder="1" applyAlignment="1" applyProtection="1">
      <alignment vertical="center" wrapText="1"/>
    </xf>
    <xf numFmtId="166" fontId="0" fillId="0" borderId="11" xfId="35" applyFont="1" applyFill="1" applyBorder="1" applyAlignment="1" applyProtection="1">
      <alignment vertical="center" wrapText="1"/>
    </xf>
    <xf numFmtId="49" fontId="40" fillId="24" borderId="9" xfId="33" applyNumberFormat="1" applyFont="1" applyFill="1" applyBorder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45" fillId="24" borderId="0" xfId="0" applyFont="1" applyFill="1" applyAlignment="1">
      <alignment horizontal="center"/>
    </xf>
    <xf numFmtId="0" fontId="21" fillId="24" borderId="10" xfId="0" applyFont="1" applyFill="1" applyBorder="1" applyAlignment="1">
      <alignment horizontal="left"/>
    </xf>
    <xf numFmtId="0" fontId="21" fillId="24" borderId="0" xfId="0" applyFont="1" applyFill="1"/>
    <xf numFmtId="0" fontId="21" fillId="24" borderId="13" xfId="0" applyFont="1" applyFill="1" applyBorder="1"/>
    <xf numFmtId="166" fontId="0" fillId="24" borderId="14" xfId="35" applyFont="1" applyFill="1" applyBorder="1" applyAlignment="1" applyProtection="1">
      <alignment vertical="center"/>
    </xf>
    <xf numFmtId="166" fontId="0" fillId="24" borderId="10" xfId="35" applyFont="1" applyFill="1" applyBorder="1" applyAlignment="1" applyProtection="1">
      <alignment vertical="center"/>
    </xf>
    <xf numFmtId="166" fontId="0" fillId="24" borderId="15" xfId="35" applyFont="1" applyFill="1" applyBorder="1" applyAlignment="1" applyProtection="1">
      <alignment vertical="center"/>
    </xf>
    <xf numFmtId="177" fontId="0" fillId="24" borderId="16" xfId="33" applyNumberFormat="1" applyFont="1" applyFill="1" applyBorder="1" applyAlignment="1" applyProtection="1">
      <alignment horizontal="center" vertical="center" wrapText="1"/>
    </xf>
    <xf numFmtId="49" fontId="20" fillId="24" borderId="0" xfId="33" applyNumberFormat="1" applyFont="1" applyFill="1" applyBorder="1" applyAlignment="1" applyProtection="1">
      <alignment horizontal="center" vertical="center"/>
    </xf>
    <xf numFmtId="177" fontId="0" fillId="24" borderId="0" xfId="33" applyNumberFormat="1" applyFont="1" applyFill="1" applyBorder="1" applyAlignment="1" applyProtection="1">
      <alignment vertical="center"/>
    </xf>
    <xf numFmtId="49" fontId="0" fillId="24" borderId="0" xfId="33" applyNumberFormat="1" applyFont="1" applyFill="1" applyBorder="1" applyAlignment="1" applyProtection="1">
      <alignment horizontal="center" vertical="center"/>
    </xf>
    <xf numFmtId="166" fontId="0" fillId="24" borderId="0" xfId="35" applyFont="1" applyFill="1" applyBorder="1" applyAlignment="1" applyProtection="1">
      <alignment vertical="center"/>
    </xf>
    <xf numFmtId="166" fontId="20" fillId="24" borderId="0" xfId="35" applyFont="1" applyFill="1" applyBorder="1" applyAlignment="1" applyProtection="1">
      <alignment vertical="center"/>
    </xf>
    <xf numFmtId="166" fontId="50" fillId="0" borderId="10" xfId="35" applyFill="1" applyBorder="1" applyAlignment="1" applyProtection="1">
      <alignment vertical="center"/>
    </xf>
    <xf numFmtId="0" fontId="22" fillId="24" borderId="16" xfId="0" applyFont="1" applyFill="1" applyBorder="1"/>
    <xf numFmtId="0" fontId="21" fillId="25" borderId="17" xfId="0" applyFont="1" applyFill="1" applyBorder="1" applyAlignment="1">
      <alignment horizontal="center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/>
    </xf>
    <xf numFmtId="0" fontId="0" fillId="26" borderId="0" xfId="0" applyFill="1"/>
    <xf numFmtId="168" fontId="54" fillId="24" borderId="10" xfId="0" applyNumberFormat="1" applyFont="1" applyFill="1" applyBorder="1" applyAlignment="1">
      <alignment horizontal="left" vertical="center"/>
    </xf>
    <xf numFmtId="49" fontId="0" fillId="24" borderId="9" xfId="0" applyNumberFormat="1" applyFill="1" applyBorder="1" applyAlignment="1">
      <alignment horizontal="center" vertical="center"/>
    </xf>
    <xf numFmtId="168" fontId="40" fillId="24" borderId="10" xfId="0" applyNumberFormat="1" applyFont="1" applyFill="1" applyBorder="1" applyAlignment="1">
      <alignment horizontal="left" vertical="center"/>
    </xf>
    <xf numFmtId="49" fontId="0" fillId="24" borderId="0" xfId="39" applyNumberFormat="1" applyFont="1" applyFill="1" applyAlignment="1">
      <alignment horizontal="center" vertical="center" wrapText="1"/>
    </xf>
    <xf numFmtId="178" fontId="21" fillId="24" borderId="0" xfId="33" applyNumberFormat="1" applyFont="1" applyFill="1" applyBorder="1" applyAlignment="1" applyProtection="1">
      <alignment vertical="center"/>
    </xf>
    <xf numFmtId="166" fontId="0" fillId="24" borderId="18" xfId="35" applyFont="1" applyFill="1" applyBorder="1" applyAlignment="1" applyProtection="1">
      <alignment vertical="center"/>
    </xf>
    <xf numFmtId="167" fontId="42" fillId="24" borderId="18" xfId="35" applyNumberFormat="1" applyFont="1" applyFill="1" applyBorder="1" applyAlignment="1" applyProtection="1">
      <alignment horizontal="right"/>
    </xf>
    <xf numFmtId="167" fontId="21" fillId="0" borderId="18" xfId="0" applyNumberFormat="1" applyFont="1" applyBorder="1"/>
    <xf numFmtId="0" fontId="42" fillId="24" borderId="18" xfId="0" applyFont="1" applyFill="1" applyBorder="1" applyAlignment="1">
      <alignment horizontal="left" vertical="center" wrapText="1"/>
    </xf>
    <xf numFmtId="167" fontId="42" fillId="0" borderId="18" xfId="35" applyNumberFormat="1" applyFont="1" applyFill="1" applyBorder="1" applyAlignment="1" applyProtection="1">
      <alignment horizontal="right"/>
    </xf>
    <xf numFmtId="167" fontId="21" fillId="24" borderId="18" xfId="35" applyNumberFormat="1" applyFont="1" applyFill="1" applyBorder="1" applyAlignment="1" applyProtection="1">
      <alignment horizontal="right"/>
    </xf>
    <xf numFmtId="49" fontId="21" fillId="24" borderId="18" xfId="0" applyNumberFormat="1" applyFont="1" applyFill="1" applyBorder="1" applyAlignment="1">
      <alignment horizontal="center"/>
    </xf>
    <xf numFmtId="166" fontId="50" fillId="0" borderId="0" xfId="35"/>
    <xf numFmtId="43" fontId="0" fillId="0" borderId="0" xfId="0" applyNumberFormat="1"/>
    <xf numFmtId="166" fontId="50" fillId="24" borderId="16" xfId="35" applyFill="1" applyBorder="1" applyAlignment="1" applyProtection="1">
      <alignment horizontal="center" vertical="center" wrapText="1"/>
    </xf>
    <xf numFmtId="166" fontId="50" fillId="0" borderId="18" xfId="35" applyBorder="1" applyAlignment="1">
      <alignment horizontal="center" vertical="center"/>
    </xf>
    <xf numFmtId="166" fontId="50" fillId="0" borderId="0" xfId="35" applyFill="1" applyBorder="1" applyAlignment="1">
      <alignment horizontal="center" vertical="center"/>
    </xf>
    <xf numFmtId="166" fontId="0" fillId="24" borderId="13" xfId="35" applyFont="1" applyFill="1" applyBorder="1" applyAlignment="1" applyProtection="1">
      <alignment vertical="center"/>
    </xf>
    <xf numFmtId="175" fontId="20" fillId="27" borderId="19" xfId="33" applyNumberFormat="1" applyFont="1" applyFill="1" applyBorder="1" applyAlignment="1" applyProtection="1">
      <alignment horizontal="center" vertical="center"/>
    </xf>
    <xf numFmtId="166" fontId="50" fillId="24" borderId="20" xfId="35" applyFill="1" applyBorder="1" applyAlignment="1" applyProtection="1">
      <alignment horizontal="center" vertical="center" wrapText="1"/>
    </xf>
    <xf numFmtId="166" fontId="0" fillId="24" borderId="16" xfId="35" applyFont="1" applyFill="1" applyBorder="1" applyAlignment="1" applyProtection="1">
      <alignment vertical="center"/>
    </xf>
    <xf numFmtId="0" fontId="0" fillId="0" borderId="0" xfId="0" applyAlignment="1">
      <alignment horizontal="left" vertical="center"/>
    </xf>
    <xf numFmtId="3" fontId="50" fillId="0" borderId="18" xfId="33" applyNumberFormat="1" applyBorder="1" applyAlignment="1">
      <alignment horizontal="center" vertical="center" wrapText="1"/>
    </xf>
    <xf numFmtId="166" fontId="50" fillId="0" borderId="18" xfId="35" applyBorder="1" applyAlignment="1">
      <alignment horizontal="center" vertical="center" wrapText="1"/>
    </xf>
    <xf numFmtId="172" fontId="35" fillId="28" borderId="10" xfId="35" applyNumberFormat="1" applyFont="1" applyFill="1" applyBorder="1" applyAlignment="1" applyProtection="1">
      <alignment horizontal="left" vertical="center"/>
    </xf>
    <xf numFmtId="172" fontId="35" fillId="28" borderId="21" xfId="35" applyNumberFormat="1" applyFont="1" applyFill="1" applyBorder="1" applyAlignment="1" applyProtection="1">
      <alignment horizontal="left" vertical="center"/>
    </xf>
    <xf numFmtId="171" fontId="36" fillId="0" borderId="0" xfId="0" applyNumberFormat="1" applyFont="1" applyAlignment="1">
      <alignment horizontal="center" vertical="center"/>
    </xf>
    <xf numFmtId="170" fontId="32" fillId="24" borderId="10" xfId="33" applyNumberFormat="1" applyFont="1" applyFill="1" applyBorder="1" applyAlignment="1" applyProtection="1">
      <alignment horizontal="left" vertical="center"/>
    </xf>
    <xf numFmtId="170" fontId="34" fillId="24" borderId="10" xfId="33" applyNumberFormat="1" applyFont="1" applyFill="1" applyBorder="1" applyAlignment="1" applyProtection="1">
      <alignment horizontal="left" vertical="center"/>
    </xf>
    <xf numFmtId="9" fontId="34" fillId="24" borderId="10" xfId="41" applyFont="1" applyFill="1" applyBorder="1" applyAlignment="1" applyProtection="1">
      <alignment horizontal="center" vertical="center"/>
    </xf>
    <xf numFmtId="9" fontId="35" fillId="24" borderId="10" xfId="41" applyFont="1" applyFill="1" applyBorder="1" applyAlignment="1" applyProtection="1">
      <alignment horizontal="center" vertical="center"/>
    </xf>
    <xf numFmtId="169" fontId="34" fillId="24" borderId="21" xfId="33" applyNumberFormat="1" applyFont="1" applyFill="1" applyBorder="1" applyAlignment="1" applyProtection="1">
      <alignment horizontal="left" vertical="center"/>
    </xf>
    <xf numFmtId="170" fontId="34" fillId="24" borderId="21" xfId="33" applyNumberFormat="1" applyFont="1" applyFill="1" applyBorder="1" applyAlignment="1" applyProtection="1">
      <alignment horizontal="left" vertical="center"/>
    </xf>
    <xf numFmtId="166" fontId="21" fillId="29" borderId="10" xfId="35" applyFont="1" applyFill="1" applyBorder="1" applyAlignment="1" applyProtection="1">
      <alignment horizontal="center"/>
    </xf>
    <xf numFmtId="166" fontId="21" fillId="29" borderId="10" xfId="35" applyFont="1" applyFill="1" applyBorder="1" applyAlignment="1" applyProtection="1"/>
    <xf numFmtId="167" fontId="21" fillId="26" borderId="18" xfId="35" applyNumberFormat="1" applyFont="1" applyFill="1" applyBorder="1" applyAlignment="1" applyProtection="1">
      <alignment horizontal="right"/>
    </xf>
    <xf numFmtId="0" fontId="21" fillId="24" borderId="18" xfId="0" applyFont="1" applyFill="1" applyBorder="1" applyAlignment="1">
      <alignment horizontal="center"/>
    </xf>
    <xf numFmtId="0" fontId="21" fillId="24" borderId="18" xfId="0" applyFont="1" applyFill="1" applyBorder="1" applyAlignment="1">
      <alignment horizontal="center" vertical="center"/>
    </xf>
    <xf numFmtId="49" fontId="21" fillId="24" borderId="18" xfId="0" applyNumberFormat="1" applyFont="1" applyFill="1" applyBorder="1" applyAlignment="1">
      <alignment horizontal="center" vertical="center"/>
    </xf>
    <xf numFmtId="167" fontId="22" fillId="0" borderId="18" xfId="35" applyNumberFormat="1" applyFont="1" applyFill="1" applyBorder="1" applyAlignment="1" applyProtection="1">
      <alignment horizontal="right"/>
    </xf>
    <xf numFmtId="49" fontId="21" fillId="24" borderId="18" xfId="0" applyNumberFormat="1" applyFont="1" applyFill="1" applyBorder="1" applyAlignment="1">
      <alignment horizontal="left" wrapText="1"/>
    </xf>
    <xf numFmtId="49" fontId="21" fillId="24" borderId="18" xfId="0" applyNumberFormat="1" applyFont="1" applyFill="1" applyBorder="1" applyAlignment="1">
      <alignment horizontal="left"/>
    </xf>
    <xf numFmtId="49" fontId="21" fillId="24" borderId="18" xfId="0" applyNumberFormat="1" applyFont="1" applyFill="1" applyBorder="1" applyAlignment="1">
      <alignment wrapText="1"/>
    </xf>
    <xf numFmtId="0" fontId="19" fillId="24" borderId="23" xfId="0" applyFont="1" applyFill="1" applyBorder="1" applyAlignment="1">
      <alignment horizontal="left"/>
    </xf>
    <xf numFmtId="49" fontId="21" fillId="0" borderId="18" xfId="0" applyNumberFormat="1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167" fontId="21" fillId="26" borderId="24" xfId="35" applyNumberFormat="1" applyFont="1" applyFill="1" applyBorder="1" applyAlignment="1" applyProtection="1">
      <alignment horizontal="right"/>
    </xf>
    <xf numFmtId="0" fontId="19" fillId="24" borderId="25" xfId="0" applyFont="1" applyFill="1" applyBorder="1" applyAlignment="1">
      <alignment horizontal="left"/>
    </xf>
    <xf numFmtId="0" fontId="21" fillId="24" borderId="26" xfId="0" applyFont="1" applyFill="1" applyBorder="1" applyAlignment="1">
      <alignment horizontal="center"/>
    </xf>
    <xf numFmtId="167" fontId="21" fillId="28" borderId="24" xfId="35" applyNumberFormat="1" applyFont="1" applyFill="1" applyBorder="1" applyAlignment="1" applyProtection="1">
      <alignment horizontal="right"/>
    </xf>
    <xf numFmtId="0" fontId="0" fillId="0" borderId="18" xfId="0" applyBorder="1"/>
    <xf numFmtId="2" fontId="50" fillId="30" borderId="18" xfId="33" applyNumberFormat="1" applyFill="1" applyBorder="1" applyAlignment="1" applyProtection="1">
      <alignment horizontal="center" vertical="center" wrapText="1"/>
    </xf>
    <xf numFmtId="166" fontId="50" fillId="30" borderId="18" xfId="35" applyFill="1" applyBorder="1" applyAlignment="1" applyProtection="1">
      <alignment vertical="center"/>
    </xf>
    <xf numFmtId="175" fontId="20" fillId="27" borderId="18" xfId="33" applyNumberFormat="1" applyFont="1" applyFill="1" applyBorder="1" applyAlignment="1" applyProtection="1">
      <alignment horizontal="center" vertical="center"/>
    </xf>
    <xf numFmtId="49" fontId="20" fillId="27" borderId="18" xfId="33" applyNumberFormat="1" applyFont="1" applyFill="1" applyBorder="1" applyAlignment="1" applyProtection="1">
      <alignment horizontal="center" vertical="center"/>
    </xf>
    <xf numFmtId="49" fontId="20" fillId="27" borderId="18" xfId="33" applyNumberFormat="1" applyFont="1" applyFill="1" applyBorder="1" applyAlignment="1" applyProtection="1">
      <alignment horizontal="center" vertical="center" wrapText="1"/>
    </xf>
    <xf numFmtId="9" fontId="50" fillId="27" borderId="18" xfId="41" applyFill="1" applyBorder="1" applyAlignment="1" applyProtection="1">
      <alignment horizontal="center" vertical="center"/>
    </xf>
    <xf numFmtId="177" fontId="0" fillId="24" borderId="18" xfId="33" applyNumberFormat="1" applyFont="1" applyFill="1" applyBorder="1" applyAlignment="1" applyProtection="1">
      <alignment horizontal="center" vertical="center" wrapText="1"/>
    </xf>
    <xf numFmtId="166" fontId="50" fillId="24" borderId="18" xfId="35" applyFill="1" applyBorder="1" applyAlignment="1" applyProtection="1">
      <alignment horizontal="center" vertical="center" wrapText="1"/>
    </xf>
    <xf numFmtId="166" fontId="0" fillId="24" borderId="28" xfId="35" applyFont="1" applyFill="1" applyBorder="1" applyAlignment="1" applyProtection="1">
      <alignment vertical="center"/>
    </xf>
    <xf numFmtId="175" fontId="20" fillId="24" borderId="29" xfId="33" applyNumberFormat="1" applyFont="1" applyFill="1" applyBorder="1" applyAlignment="1" applyProtection="1">
      <alignment horizontal="right" vertical="center"/>
    </xf>
    <xf numFmtId="49" fontId="20" fillId="27" borderId="10" xfId="33" applyNumberFormat="1" applyFont="1" applyFill="1" applyBorder="1" applyAlignment="1" applyProtection="1">
      <alignment horizontal="center" vertical="center"/>
    </xf>
    <xf numFmtId="9" fontId="50" fillId="27" borderId="10" xfId="41" applyFill="1" applyBorder="1" applyAlignment="1" applyProtection="1">
      <alignment horizontal="center" vertical="center"/>
    </xf>
    <xf numFmtId="166" fontId="50" fillId="24" borderId="10" xfId="35" applyFill="1" applyBorder="1" applyAlignment="1" applyProtection="1">
      <alignment horizontal="center" vertical="center" wrapText="1"/>
    </xf>
    <xf numFmtId="166" fontId="50" fillId="28" borderId="10" xfId="35" applyFill="1" applyBorder="1" applyAlignment="1" applyProtection="1">
      <alignment vertical="center"/>
    </xf>
    <xf numFmtId="0" fontId="0" fillId="31" borderId="18" xfId="0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 wrapText="1"/>
    </xf>
    <xf numFmtId="168" fontId="20" fillId="27" borderId="9" xfId="0" applyNumberFormat="1" applyFont="1" applyFill="1" applyBorder="1" applyAlignment="1">
      <alignment horizontal="center" vertical="center" wrapText="1"/>
    </xf>
    <xf numFmtId="168" fontId="20" fillId="27" borderId="10" xfId="0" applyNumberFormat="1" applyFont="1" applyFill="1" applyBorder="1" applyAlignment="1">
      <alignment horizontal="center" vertical="center" wrapText="1"/>
    </xf>
    <xf numFmtId="175" fontId="20" fillId="27" borderId="10" xfId="0" applyNumberFormat="1" applyFont="1" applyFill="1" applyBorder="1" applyAlignment="1">
      <alignment horizontal="center" vertical="center" wrapText="1"/>
    </xf>
    <xf numFmtId="175" fontId="20" fillId="27" borderId="11" xfId="0" applyNumberFormat="1" applyFont="1" applyFill="1" applyBorder="1" applyAlignment="1">
      <alignment horizontal="center" vertical="center" wrapText="1"/>
    </xf>
    <xf numFmtId="49" fontId="20" fillId="32" borderId="9" xfId="33" applyNumberFormat="1" applyFont="1" applyFill="1" applyBorder="1" applyAlignment="1" applyProtection="1">
      <alignment horizontal="center" vertical="center" wrapText="1"/>
    </xf>
    <xf numFmtId="168" fontId="20" fillId="32" borderId="10" xfId="0" applyNumberFormat="1" applyFont="1" applyFill="1" applyBorder="1" applyAlignment="1">
      <alignment horizontal="left" vertical="center" wrapText="1"/>
    </xf>
    <xf numFmtId="166" fontId="20" fillId="32" borderId="10" xfId="35" applyFont="1" applyFill="1" applyBorder="1" applyAlignment="1" applyProtection="1">
      <alignment horizontal="left" vertical="center" wrapText="1"/>
    </xf>
    <xf numFmtId="166" fontId="20" fillId="32" borderId="11" xfId="35" applyFont="1" applyFill="1" applyBorder="1" applyAlignment="1" applyProtection="1">
      <alignment horizontal="left" vertical="center" wrapText="1"/>
    </xf>
    <xf numFmtId="49" fontId="20" fillId="33" borderId="9" xfId="33" applyNumberFormat="1" applyFont="1" applyFill="1" applyBorder="1" applyAlignment="1" applyProtection="1">
      <alignment horizontal="center" vertical="center" wrapText="1"/>
    </xf>
    <xf numFmtId="168" fontId="20" fillId="33" borderId="10" xfId="0" applyNumberFormat="1" applyFont="1" applyFill="1" applyBorder="1" applyAlignment="1">
      <alignment horizontal="left" vertical="center" wrapText="1"/>
    </xf>
    <xf numFmtId="166" fontId="20" fillId="33" borderId="10" xfId="35" applyFont="1" applyFill="1" applyBorder="1" applyAlignment="1" applyProtection="1">
      <alignment horizontal="left" vertical="center" wrapText="1" indent="1"/>
    </xf>
    <xf numFmtId="166" fontId="20" fillId="33" borderId="11" xfId="35" applyFont="1" applyFill="1" applyBorder="1" applyAlignment="1" applyProtection="1">
      <alignment horizontal="left" vertical="center" wrapText="1" indent="1"/>
    </xf>
    <xf numFmtId="0" fontId="20" fillId="33" borderId="9" xfId="33" applyNumberFormat="1" applyFont="1" applyFill="1" applyBorder="1" applyAlignment="1" applyProtection="1">
      <alignment horizontal="center" vertical="center" wrapText="1"/>
    </xf>
    <xf numFmtId="1" fontId="20" fillId="33" borderId="9" xfId="33" applyNumberFormat="1" applyFont="1" applyFill="1" applyBorder="1" applyAlignment="1" applyProtection="1">
      <alignment horizontal="center" vertical="center" wrapText="1"/>
    </xf>
    <xf numFmtId="166" fontId="20" fillId="33" borderId="10" xfId="35" applyFont="1" applyFill="1" applyBorder="1" applyAlignment="1" applyProtection="1">
      <alignment horizontal="right" vertical="center" wrapText="1"/>
    </xf>
    <xf numFmtId="166" fontId="20" fillId="33" borderId="11" xfId="35" applyFont="1" applyFill="1" applyBorder="1" applyAlignment="1" applyProtection="1">
      <alignment horizontal="right" vertical="center" wrapText="1"/>
    </xf>
    <xf numFmtId="168" fontId="20" fillId="33" borderId="10" xfId="0" applyNumberFormat="1" applyFont="1" applyFill="1" applyBorder="1" applyAlignment="1">
      <alignment vertical="center" wrapText="1"/>
    </xf>
    <xf numFmtId="166" fontId="22" fillId="33" borderId="30" xfId="35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8" fontId="31" fillId="34" borderId="18" xfId="0" applyNumberFormat="1" applyFont="1" applyFill="1" applyBorder="1" applyAlignment="1">
      <alignment vertical="center" wrapText="1"/>
    </xf>
    <xf numFmtId="168" fontId="32" fillId="35" borderId="18" xfId="0" applyNumberFormat="1" applyFont="1" applyFill="1" applyBorder="1" applyAlignment="1">
      <alignment horizontal="left" vertical="center" wrapText="1"/>
    </xf>
    <xf numFmtId="168" fontId="32" fillId="35" borderId="18" xfId="0" applyNumberFormat="1" applyFont="1" applyFill="1" applyBorder="1" applyAlignment="1">
      <alignment horizontal="center" vertical="center" wrapText="1"/>
    </xf>
    <xf numFmtId="49" fontId="32" fillId="36" borderId="18" xfId="33" applyNumberFormat="1" applyFont="1" applyFill="1" applyBorder="1" applyAlignment="1" applyProtection="1">
      <alignment horizontal="left"/>
    </xf>
    <xf numFmtId="168" fontId="32" fillId="36" borderId="18" xfId="0" applyNumberFormat="1" applyFont="1" applyFill="1" applyBorder="1" applyAlignment="1">
      <alignment horizontal="center" vertical="center" wrapText="1"/>
    </xf>
    <xf numFmtId="172" fontId="33" fillId="36" borderId="18" xfId="35" applyNumberFormat="1" applyFont="1" applyFill="1" applyBorder="1" applyAlignment="1" applyProtection="1">
      <alignment horizontal="left" vertical="center"/>
    </xf>
    <xf numFmtId="0" fontId="32" fillId="37" borderId="18" xfId="33" applyNumberFormat="1" applyFont="1" applyFill="1" applyBorder="1" applyAlignment="1" applyProtection="1">
      <alignment horizontal="left"/>
    </xf>
    <xf numFmtId="168" fontId="32" fillId="37" borderId="18" xfId="0" applyNumberFormat="1" applyFont="1" applyFill="1" applyBorder="1" applyAlignment="1">
      <alignment horizontal="left" vertical="center" wrapText="1"/>
    </xf>
    <xf numFmtId="169" fontId="32" fillId="37" borderId="18" xfId="33" applyNumberFormat="1" applyFont="1" applyFill="1" applyBorder="1" applyAlignment="1" applyProtection="1">
      <alignment horizontal="left" vertical="center"/>
    </xf>
    <xf numFmtId="0" fontId="32" fillId="29" borderId="18" xfId="33" applyNumberFormat="1" applyFont="1" applyFill="1" applyBorder="1" applyAlignment="1" applyProtection="1">
      <alignment horizontal="left"/>
    </xf>
    <xf numFmtId="168" fontId="32" fillId="29" borderId="18" xfId="0" applyNumberFormat="1" applyFont="1" applyFill="1" applyBorder="1" applyAlignment="1">
      <alignment horizontal="left" vertical="center" wrapText="1"/>
    </xf>
    <xf numFmtId="166" fontId="32" fillId="29" borderId="18" xfId="35" applyFont="1" applyFill="1" applyBorder="1" applyAlignment="1" applyProtection="1">
      <alignment horizontal="left" vertical="center"/>
    </xf>
    <xf numFmtId="0" fontId="34" fillId="24" borderId="18" xfId="33" applyNumberFormat="1" applyFont="1" applyFill="1" applyBorder="1" applyAlignment="1" applyProtection="1">
      <alignment horizontal="left"/>
    </xf>
    <xf numFmtId="168" fontId="34" fillId="24" borderId="18" xfId="0" applyNumberFormat="1" applyFont="1" applyFill="1" applyBorder="1" applyAlignment="1">
      <alignment horizontal="left" vertical="center" wrapText="1"/>
    </xf>
    <xf numFmtId="166" fontId="34" fillId="24" borderId="18" xfId="35" applyFont="1" applyFill="1" applyBorder="1" applyAlignment="1" applyProtection="1">
      <alignment horizontal="left" vertical="center"/>
    </xf>
    <xf numFmtId="0" fontId="18" fillId="24" borderId="0" xfId="0" applyFont="1" applyFill="1"/>
    <xf numFmtId="0" fontId="42" fillId="24" borderId="18" xfId="0" applyFont="1" applyFill="1" applyBorder="1" applyAlignment="1">
      <alignment horizontal="left" vertical="center"/>
    </xf>
    <xf numFmtId="49" fontId="21" fillId="0" borderId="18" xfId="0" applyNumberFormat="1" applyFont="1" applyBorder="1" applyAlignment="1">
      <alignment horizontal="center" vertical="center" wrapText="1"/>
    </xf>
    <xf numFmtId="167" fontId="42" fillId="28" borderId="18" xfId="35" applyNumberFormat="1" applyFont="1" applyFill="1" applyBorder="1" applyAlignment="1" applyProtection="1">
      <alignment horizontal="right"/>
    </xf>
    <xf numFmtId="0" fontId="43" fillId="38" borderId="18" xfId="0" applyFont="1" applyFill="1" applyBorder="1" applyAlignment="1">
      <alignment horizontal="left" vertical="center"/>
    </xf>
    <xf numFmtId="167" fontId="43" fillId="38" borderId="18" xfId="35" applyNumberFormat="1" applyFont="1" applyFill="1" applyBorder="1" applyAlignment="1" applyProtection="1">
      <alignment horizontal="right"/>
    </xf>
    <xf numFmtId="0" fontId="43" fillId="38" borderId="18" xfId="0" applyFont="1" applyFill="1" applyBorder="1" applyAlignment="1">
      <alignment horizontal="left" vertical="center" wrapText="1"/>
    </xf>
    <xf numFmtId="0" fontId="22" fillId="0" borderId="23" xfId="0" applyFont="1" applyBorder="1" applyAlignment="1">
      <alignment horizontal="center"/>
    </xf>
    <xf numFmtId="0" fontId="41" fillId="0" borderId="18" xfId="0" applyFont="1" applyBorder="1" applyAlignment="1">
      <alignment horizontal="center" vertical="center" wrapText="1"/>
    </xf>
    <xf numFmtId="0" fontId="22" fillId="39" borderId="18" xfId="0" applyFont="1" applyFill="1" applyBorder="1" applyAlignment="1">
      <alignment vertical="center" wrapText="1"/>
    </xf>
    <xf numFmtId="167" fontId="22" fillId="40" borderId="18" xfId="35" applyNumberFormat="1" applyFont="1" applyFill="1" applyBorder="1" applyAlignment="1" applyProtection="1">
      <alignment horizontal="right" vertical="center" wrapText="1"/>
    </xf>
    <xf numFmtId="167" fontId="22" fillId="33" borderId="18" xfId="0" applyNumberFormat="1" applyFont="1" applyFill="1" applyBorder="1"/>
    <xf numFmtId="167" fontId="43" fillId="33" borderId="18" xfId="35" applyNumberFormat="1" applyFont="1" applyFill="1" applyBorder="1" applyAlignment="1" applyProtection="1">
      <alignment horizontal="right"/>
    </xf>
    <xf numFmtId="0" fontId="22" fillId="0" borderId="18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26" fillId="41" borderId="18" xfId="0" applyFont="1" applyFill="1" applyBorder="1" applyAlignment="1">
      <alignment horizontal="center" vertical="center" textRotation="90" wrapText="1"/>
    </xf>
    <xf numFmtId="49" fontId="21" fillId="28" borderId="18" xfId="0" applyNumberFormat="1" applyFont="1" applyFill="1" applyBorder="1" applyAlignment="1">
      <alignment horizontal="center"/>
    </xf>
    <xf numFmtId="49" fontId="21" fillId="28" borderId="18" xfId="0" applyNumberFormat="1" applyFont="1" applyFill="1" applyBorder="1" applyAlignment="1">
      <alignment horizontal="left" wrapText="1"/>
    </xf>
    <xf numFmtId="167" fontId="22" fillId="38" borderId="18" xfId="35" applyNumberFormat="1" applyFont="1" applyFill="1" applyBorder="1" applyAlignment="1" applyProtection="1">
      <alignment horizontal="right" vertical="center"/>
    </xf>
    <xf numFmtId="0" fontId="16" fillId="24" borderId="0" xfId="0" applyFont="1" applyFill="1" applyAlignment="1">
      <alignment wrapText="1"/>
    </xf>
    <xf numFmtId="0" fontId="51" fillId="41" borderId="18" xfId="0" applyFont="1" applyFill="1" applyBorder="1" applyAlignment="1">
      <alignment horizontal="center" vertical="center" textRotation="90" wrapText="1"/>
    </xf>
    <xf numFmtId="0" fontId="22" fillId="24" borderId="31" xfId="0" applyFont="1" applyFill="1" applyBorder="1" applyAlignment="1">
      <alignment horizontal="center"/>
    </xf>
    <xf numFmtId="0" fontId="22" fillId="24" borderId="23" xfId="0" applyFont="1" applyFill="1" applyBorder="1" applyAlignment="1">
      <alignment horizontal="center"/>
    </xf>
    <xf numFmtId="0" fontId="22" fillId="24" borderId="23" xfId="0" applyFont="1" applyFill="1" applyBorder="1" applyAlignment="1">
      <alignment horizontal="center" wrapText="1"/>
    </xf>
    <xf numFmtId="0" fontId="22" fillId="24" borderId="32" xfId="0" applyFont="1" applyFill="1" applyBorder="1" applyAlignment="1">
      <alignment horizontal="center"/>
    </xf>
    <xf numFmtId="0" fontId="26" fillId="41" borderId="26" xfId="0" applyFont="1" applyFill="1" applyBorder="1" applyAlignment="1">
      <alignment horizontal="center" vertical="center" textRotation="90" wrapText="1"/>
    </xf>
    <xf numFmtId="167" fontId="22" fillId="26" borderId="33" xfId="35" applyNumberFormat="1" applyFont="1" applyFill="1" applyBorder="1" applyAlignment="1" applyProtection="1">
      <alignment horizontal="right" vertical="center"/>
    </xf>
    <xf numFmtId="166" fontId="21" fillId="28" borderId="10" xfId="35" applyFont="1" applyFill="1" applyBorder="1" applyAlignment="1" applyProtection="1">
      <alignment horizontal="center"/>
    </xf>
    <xf numFmtId="168" fontId="32" fillId="42" borderId="10" xfId="0" applyNumberFormat="1" applyFont="1" applyFill="1" applyBorder="1" applyAlignment="1">
      <alignment horizontal="left" vertical="center" wrapText="1"/>
    </xf>
    <xf numFmtId="169" fontId="32" fillId="42" borderId="10" xfId="33" applyNumberFormat="1" applyFont="1" applyFill="1" applyBorder="1" applyAlignment="1" applyProtection="1">
      <alignment horizontal="left" vertical="center"/>
    </xf>
    <xf numFmtId="49" fontId="33" fillId="26" borderId="18" xfId="33" applyNumberFormat="1" applyFont="1" applyFill="1" applyBorder="1" applyAlignment="1" applyProtection="1">
      <alignment horizontal="center" vertical="center"/>
    </xf>
    <xf numFmtId="177" fontId="33" fillId="26" borderId="18" xfId="33" applyNumberFormat="1" applyFont="1" applyFill="1" applyBorder="1" applyAlignment="1" applyProtection="1">
      <alignment vertical="center"/>
    </xf>
    <xf numFmtId="171" fontId="33" fillId="26" borderId="18" xfId="33" applyFont="1" applyFill="1" applyBorder="1" applyAlignment="1" applyProtection="1">
      <alignment horizontal="center" vertical="center"/>
    </xf>
    <xf numFmtId="0" fontId="0" fillId="26" borderId="18" xfId="0" applyFill="1" applyBorder="1"/>
    <xf numFmtId="2" fontId="50" fillId="26" borderId="18" xfId="33" applyNumberFormat="1" applyFill="1" applyBorder="1" applyAlignment="1" applyProtection="1">
      <alignment horizontal="center" vertical="center" wrapText="1"/>
    </xf>
    <xf numFmtId="166" fontId="50" fillId="26" borderId="18" xfId="35" applyFill="1" applyBorder="1" applyAlignment="1" applyProtection="1">
      <alignment vertical="center"/>
    </xf>
    <xf numFmtId="166" fontId="50" fillId="26" borderId="18" xfId="35" applyFill="1" applyBorder="1" applyAlignment="1" applyProtection="1">
      <alignment horizontal="center" vertical="center" wrapText="1"/>
    </xf>
    <xf numFmtId="2" fontId="50" fillId="28" borderId="18" xfId="33" applyNumberFormat="1" applyFill="1" applyBorder="1" applyAlignment="1" applyProtection="1">
      <alignment horizontal="center" vertical="center" wrapText="1"/>
    </xf>
    <xf numFmtId="166" fontId="50" fillId="28" borderId="18" xfId="35" applyFill="1" applyBorder="1" applyAlignment="1" applyProtection="1">
      <alignment vertical="center"/>
    </xf>
    <xf numFmtId="168" fontId="0" fillId="26" borderId="0" xfId="0" applyNumberFormat="1" applyFill="1" applyAlignment="1">
      <alignment horizontal="center" vertical="center"/>
    </xf>
    <xf numFmtId="168" fontId="0" fillId="26" borderId="0" xfId="0" applyNumberFormat="1" applyFill="1" applyAlignment="1">
      <alignment vertical="center"/>
    </xf>
    <xf numFmtId="171" fontId="20" fillId="26" borderId="0" xfId="0" applyNumberFormat="1" applyFont="1" applyFill="1" applyAlignment="1">
      <alignment horizontal="center" vertical="center"/>
    </xf>
    <xf numFmtId="167" fontId="20" fillId="26" borderId="0" xfId="0" applyNumberFormat="1" applyFont="1" applyFill="1" applyAlignment="1">
      <alignment horizontal="center" vertical="center"/>
    </xf>
    <xf numFmtId="168" fontId="0" fillId="26" borderId="0" xfId="0" applyNumberFormat="1" applyFill="1" applyAlignment="1">
      <alignment horizontal="left" vertical="center" indent="2"/>
    </xf>
    <xf numFmtId="171" fontId="0" fillId="26" borderId="0" xfId="0" applyNumberFormat="1" applyFill="1" applyAlignment="1">
      <alignment vertical="center"/>
    </xf>
    <xf numFmtId="172" fontId="49" fillId="26" borderId="0" xfId="35" applyNumberFormat="1" applyFont="1" applyFill="1" applyBorder="1" applyAlignment="1" applyProtection="1">
      <alignment vertical="center"/>
    </xf>
    <xf numFmtId="172" fontId="35" fillId="26" borderId="0" xfId="35" applyNumberFormat="1" applyFont="1" applyFill="1" applyBorder="1" applyAlignment="1" applyProtection="1">
      <alignment vertical="center"/>
    </xf>
    <xf numFmtId="168" fontId="35" fillId="26" borderId="0" xfId="0" applyNumberFormat="1" applyFont="1" applyFill="1" applyAlignment="1">
      <alignment vertical="center"/>
    </xf>
    <xf numFmtId="9" fontId="50" fillId="26" borderId="0" xfId="41" applyFill="1" applyBorder="1" applyAlignment="1" applyProtection="1">
      <alignment vertical="center"/>
    </xf>
    <xf numFmtId="172" fontId="50" fillId="26" borderId="0" xfId="35" applyNumberFormat="1" applyFill="1" applyBorder="1" applyAlignment="1" applyProtection="1">
      <alignment vertical="center"/>
    </xf>
    <xf numFmtId="171" fontId="39" fillId="26" borderId="0" xfId="0" applyNumberFormat="1" applyFont="1" applyFill="1" applyAlignment="1">
      <alignment vertical="center"/>
    </xf>
    <xf numFmtId="171" fontId="35" fillId="26" borderId="0" xfId="0" applyNumberFormat="1" applyFont="1" applyFill="1" applyAlignment="1">
      <alignment vertical="center"/>
    </xf>
    <xf numFmtId="177" fontId="20" fillId="26" borderId="34" xfId="33" applyNumberFormat="1" applyFont="1" applyFill="1" applyBorder="1" applyAlignment="1" applyProtection="1">
      <alignment horizontal="center" vertical="center" wrapText="1"/>
    </xf>
    <xf numFmtId="2" fontId="50" fillId="26" borderId="34" xfId="33" applyNumberFormat="1" applyFill="1" applyBorder="1" applyAlignment="1" applyProtection="1">
      <alignment horizontal="center" vertical="center" wrapText="1"/>
    </xf>
    <xf numFmtId="171" fontId="33" fillId="26" borderId="24" xfId="33" applyFont="1" applyFill="1" applyBorder="1" applyAlignment="1" applyProtection="1">
      <alignment horizontal="center" vertical="center"/>
    </xf>
    <xf numFmtId="49" fontId="33" fillId="26" borderId="24" xfId="33" applyNumberFormat="1" applyFont="1" applyFill="1" applyBorder="1" applyAlignment="1" applyProtection="1">
      <alignment horizontal="center" vertical="center"/>
    </xf>
    <xf numFmtId="0" fontId="0" fillId="26" borderId="24" xfId="0" applyFill="1" applyBorder="1"/>
    <xf numFmtId="49" fontId="48" fillId="26" borderId="26" xfId="33" applyNumberFormat="1" applyFont="1" applyFill="1" applyBorder="1" applyAlignment="1" applyProtection="1">
      <alignment vertical="center"/>
    </xf>
    <xf numFmtId="166" fontId="50" fillId="26" borderId="24" xfId="35" applyFill="1" applyBorder="1" applyAlignment="1" applyProtection="1">
      <alignment horizontal="center" vertical="center" wrapText="1"/>
    </xf>
    <xf numFmtId="168" fontId="32" fillId="24" borderId="10" xfId="0" applyNumberFormat="1" applyFont="1" applyFill="1" applyBorder="1" applyAlignment="1">
      <alignment horizontal="center" vertical="center" wrapText="1"/>
    </xf>
    <xf numFmtId="182" fontId="32" fillId="24" borderId="10" xfId="33" applyNumberFormat="1" applyFont="1" applyFill="1" applyBorder="1" applyAlignment="1" applyProtection="1">
      <alignment horizontal="center" vertical="center"/>
    </xf>
    <xf numFmtId="166" fontId="33" fillId="24" borderId="10" xfId="35" applyFont="1" applyFill="1" applyBorder="1" applyAlignment="1" applyProtection="1">
      <alignment horizontal="left" vertical="center"/>
    </xf>
    <xf numFmtId="182" fontId="34" fillId="24" borderId="10" xfId="33" applyNumberFormat="1" applyFont="1" applyFill="1" applyBorder="1" applyAlignment="1" applyProtection="1">
      <alignment horizontal="center" vertical="center"/>
    </xf>
    <xf numFmtId="166" fontId="32" fillId="24" borderId="10" xfId="35" applyFont="1" applyFill="1" applyBorder="1" applyAlignment="1" applyProtection="1">
      <alignment horizontal="left" vertical="center"/>
    </xf>
    <xf numFmtId="173" fontId="32" fillId="24" borderId="10" xfId="33" applyNumberFormat="1" applyFont="1" applyFill="1" applyBorder="1" applyAlignment="1" applyProtection="1">
      <alignment horizontal="center" vertical="center"/>
    </xf>
    <xf numFmtId="170" fontId="34" fillId="24" borderId="10" xfId="33" applyNumberFormat="1" applyFont="1" applyFill="1" applyBorder="1" applyAlignment="1" applyProtection="1">
      <alignment horizontal="center" vertical="center"/>
    </xf>
    <xf numFmtId="166" fontId="34" fillId="24" borderId="10" xfId="35" applyFont="1" applyFill="1" applyBorder="1" applyAlignment="1" applyProtection="1">
      <alignment horizontal="left" vertical="center"/>
    </xf>
    <xf numFmtId="170" fontId="32" fillId="24" borderId="10" xfId="33" applyNumberFormat="1" applyFont="1" applyFill="1" applyBorder="1" applyAlignment="1" applyProtection="1">
      <alignment horizontal="center" vertical="center"/>
    </xf>
    <xf numFmtId="9" fontId="35" fillId="24" borderId="10" xfId="41" applyFont="1" applyFill="1" applyBorder="1" applyAlignment="1" applyProtection="1">
      <alignment horizontal="left" vertical="center"/>
    </xf>
    <xf numFmtId="173" fontId="34" fillId="24" borderId="10" xfId="33" applyNumberFormat="1" applyFont="1" applyFill="1" applyBorder="1" applyAlignment="1" applyProtection="1">
      <alignment horizontal="center" vertical="center"/>
    </xf>
    <xf numFmtId="173" fontId="32" fillId="0" borderId="10" xfId="33" applyNumberFormat="1" applyFont="1" applyFill="1" applyBorder="1" applyAlignment="1" applyProtection="1">
      <alignment horizontal="center" vertical="center"/>
    </xf>
    <xf numFmtId="169" fontId="32" fillId="24" borderId="10" xfId="33" applyNumberFormat="1" applyFont="1" applyFill="1" applyBorder="1" applyAlignment="1" applyProtection="1">
      <alignment horizontal="center" vertical="center"/>
    </xf>
    <xf numFmtId="171" fontId="34" fillId="24" borderId="10" xfId="33" applyFont="1" applyFill="1" applyBorder="1" applyAlignment="1" applyProtection="1">
      <alignment horizontal="center" vertical="center"/>
    </xf>
    <xf numFmtId="182" fontId="34" fillId="24" borderId="21" xfId="33" applyNumberFormat="1" applyFont="1" applyFill="1" applyBorder="1" applyAlignment="1" applyProtection="1">
      <alignment horizontal="center" vertical="center"/>
    </xf>
    <xf numFmtId="166" fontId="34" fillId="24" borderId="21" xfId="35" applyFont="1" applyFill="1" applyBorder="1" applyAlignment="1" applyProtection="1">
      <alignment horizontal="left" vertical="center"/>
    </xf>
    <xf numFmtId="169" fontId="34" fillId="24" borderId="0" xfId="0" applyNumberFormat="1" applyFont="1" applyFill="1" applyAlignment="1">
      <alignment vertical="center"/>
    </xf>
    <xf numFmtId="170" fontId="32" fillId="24" borderId="0" xfId="0" applyNumberFormat="1" applyFont="1" applyFill="1" applyAlignment="1">
      <alignment vertical="center"/>
    </xf>
    <xf numFmtId="168" fontId="32" fillId="44" borderId="35" xfId="0" applyNumberFormat="1" applyFont="1" applyFill="1" applyBorder="1" applyAlignment="1">
      <alignment horizontal="center" vertical="center" wrapText="1"/>
    </xf>
    <xf numFmtId="169" fontId="32" fillId="44" borderId="36" xfId="0" applyNumberFormat="1" applyFont="1" applyFill="1" applyBorder="1" applyAlignment="1">
      <alignment horizontal="center" vertical="center" wrapText="1"/>
    </xf>
    <xf numFmtId="168" fontId="32" fillId="44" borderId="17" xfId="0" applyNumberFormat="1" applyFont="1" applyFill="1" applyBorder="1" applyAlignment="1">
      <alignment horizontal="left"/>
    </xf>
    <xf numFmtId="169" fontId="32" fillId="44" borderId="10" xfId="0" applyNumberFormat="1" applyFont="1" applyFill="1" applyBorder="1" applyAlignment="1">
      <alignment horizontal="left"/>
    </xf>
    <xf numFmtId="168" fontId="32" fillId="44" borderId="10" xfId="0" applyNumberFormat="1" applyFont="1" applyFill="1" applyBorder="1" applyAlignment="1">
      <alignment horizontal="center" vertical="center"/>
    </xf>
    <xf numFmtId="170" fontId="32" fillId="44" borderId="10" xfId="0" applyNumberFormat="1" applyFont="1" applyFill="1" applyBorder="1" applyAlignment="1">
      <alignment horizontal="left"/>
    </xf>
    <xf numFmtId="168" fontId="32" fillId="44" borderId="10" xfId="0" applyNumberFormat="1" applyFont="1" applyFill="1" applyBorder="1" applyAlignment="1">
      <alignment horizontal="center"/>
    </xf>
    <xf numFmtId="166" fontId="32" fillId="44" borderId="10" xfId="35" applyFont="1" applyFill="1" applyBorder="1" applyAlignment="1" applyProtection="1">
      <alignment horizontal="left"/>
    </xf>
    <xf numFmtId="182" fontId="34" fillId="42" borderId="10" xfId="33" applyNumberFormat="1" applyFont="1" applyFill="1" applyBorder="1" applyAlignment="1" applyProtection="1">
      <alignment horizontal="center" vertical="center"/>
    </xf>
    <xf numFmtId="170" fontId="34" fillId="42" borderId="10" xfId="33" applyNumberFormat="1" applyFont="1" applyFill="1" applyBorder="1" applyAlignment="1" applyProtection="1">
      <alignment horizontal="left" vertical="center"/>
    </xf>
    <xf numFmtId="166" fontId="32" fillId="42" borderId="10" xfId="35" applyFont="1" applyFill="1" applyBorder="1" applyAlignment="1" applyProtection="1">
      <alignment horizontal="left" vertical="center"/>
    </xf>
    <xf numFmtId="182" fontId="32" fillId="42" borderId="10" xfId="33" applyNumberFormat="1" applyFont="1" applyFill="1" applyBorder="1" applyAlignment="1" applyProtection="1">
      <alignment horizontal="center" vertical="center"/>
    </xf>
    <xf numFmtId="168" fontId="32" fillId="42" borderId="10" xfId="0" applyNumberFormat="1" applyFont="1" applyFill="1" applyBorder="1" applyAlignment="1">
      <alignment horizontal="left" vertical="center"/>
    </xf>
    <xf numFmtId="170" fontId="32" fillId="42" borderId="10" xfId="33" applyNumberFormat="1" applyFont="1" applyFill="1" applyBorder="1" applyAlignment="1" applyProtection="1">
      <alignment horizontal="left" vertical="center"/>
    </xf>
    <xf numFmtId="170" fontId="32" fillId="42" borderId="10" xfId="33" applyNumberFormat="1" applyFont="1" applyFill="1" applyBorder="1" applyAlignment="1" applyProtection="1">
      <alignment horizontal="center" vertical="center"/>
    </xf>
    <xf numFmtId="173" fontId="34" fillId="42" borderId="10" xfId="33" applyNumberFormat="1" applyFont="1" applyFill="1" applyBorder="1" applyAlignment="1" applyProtection="1">
      <alignment horizontal="center" vertical="center"/>
    </xf>
    <xf numFmtId="173" fontId="32" fillId="42" borderId="10" xfId="33" applyNumberFormat="1" applyFont="1" applyFill="1" applyBorder="1" applyAlignment="1" applyProtection="1">
      <alignment horizontal="center" vertical="center"/>
    </xf>
    <xf numFmtId="172" fontId="33" fillId="42" borderId="10" xfId="35" applyNumberFormat="1" applyFont="1" applyFill="1" applyBorder="1" applyAlignment="1" applyProtection="1">
      <alignment horizontal="left" vertical="center"/>
    </xf>
    <xf numFmtId="166" fontId="33" fillId="42" borderId="10" xfId="35" applyFont="1" applyFill="1" applyBorder="1" applyAlignment="1" applyProtection="1">
      <alignment horizontal="left" vertical="center"/>
    </xf>
    <xf numFmtId="0" fontId="21" fillId="24" borderId="10" xfId="0" applyFont="1" applyFill="1" applyBorder="1" applyAlignment="1">
      <alignment horizontal="left" wrapText="1"/>
    </xf>
    <xf numFmtId="0" fontId="21" fillId="24" borderId="13" xfId="0" applyFont="1" applyFill="1" applyBorder="1" applyAlignment="1">
      <alignment horizontal="left"/>
    </xf>
    <xf numFmtId="166" fontId="21" fillId="29" borderId="17" xfId="35" applyFont="1" applyFill="1" applyBorder="1" applyAlignment="1" applyProtection="1"/>
    <xf numFmtId="166" fontId="21" fillId="24" borderId="17" xfId="35" applyFont="1" applyFill="1" applyBorder="1" applyAlignment="1" applyProtection="1"/>
    <xf numFmtId="166" fontId="23" fillId="0" borderId="17" xfId="35" applyFont="1" applyFill="1" applyBorder="1" applyAlignment="1" applyProtection="1"/>
    <xf numFmtId="166" fontId="21" fillId="24" borderId="38" xfId="35" applyFont="1" applyFill="1" applyBorder="1" applyAlignment="1" applyProtection="1">
      <alignment horizontal="center"/>
    </xf>
    <xf numFmtId="166" fontId="21" fillId="29" borderId="18" xfId="35" applyFont="1" applyFill="1" applyBorder="1" applyAlignment="1" applyProtection="1"/>
    <xf numFmtId="177" fontId="20" fillId="26" borderId="18" xfId="33" applyNumberFormat="1" applyFont="1" applyFill="1" applyBorder="1" applyAlignment="1" applyProtection="1">
      <alignment horizontal="center" vertical="center" wrapText="1"/>
    </xf>
    <xf numFmtId="166" fontId="0" fillId="0" borderId="39" xfId="35" applyFont="1" applyFill="1" applyBorder="1" applyAlignment="1" applyProtection="1">
      <alignment vertical="center"/>
    </xf>
    <xf numFmtId="166" fontId="0" fillId="0" borderId="40" xfId="35" applyFont="1" applyFill="1" applyBorder="1" applyAlignment="1" applyProtection="1">
      <alignment vertical="center"/>
    </xf>
    <xf numFmtId="9" fontId="16" fillId="24" borderId="0" xfId="0" applyNumberFormat="1" applyFont="1" applyFill="1" applyAlignment="1">
      <alignment horizontal="center" wrapText="1"/>
    </xf>
    <xf numFmtId="0" fontId="24" fillId="0" borderId="41" xfId="0" applyFont="1" applyBorder="1" applyAlignment="1">
      <alignment vertical="center" wrapText="1"/>
    </xf>
    <xf numFmtId="166" fontId="22" fillId="24" borderId="40" xfId="35" applyFont="1" applyFill="1" applyBorder="1" applyAlignment="1" applyProtection="1">
      <alignment horizontal="center"/>
    </xf>
    <xf numFmtId="0" fontId="22" fillId="0" borderId="42" xfId="0" applyFont="1" applyBorder="1" applyAlignment="1">
      <alignment vertical="center" wrapText="1"/>
    </xf>
    <xf numFmtId="166" fontId="22" fillId="46" borderId="43" xfId="35" applyFont="1" applyFill="1" applyBorder="1" applyAlignment="1" applyProtection="1">
      <alignment vertical="center" wrapText="1"/>
    </xf>
    <xf numFmtId="166" fontId="22" fillId="26" borderId="43" xfId="35" applyFont="1" applyFill="1" applyBorder="1" applyAlignment="1" applyProtection="1">
      <alignment vertical="center" wrapText="1"/>
    </xf>
    <xf numFmtId="166" fontId="22" fillId="0" borderId="44" xfId="35" applyFont="1" applyFill="1" applyBorder="1" applyAlignment="1" applyProtection="1">
      <alignment vertical="center" wrapText="1"/>
    </xf>
    <xf numFmtId="2" fontId="50" fillId="26" borderId="28" xfId="33" applyNumberFormat="1" applyFill="1" applyBorder="1" applyAlignment="1" applyProtection="1">
      <alignment horizontal="center" vertical="center" wrapText="1"/>
    </xf>
    <xf numFmtId="166" fontId="50" fillId="26" borderId="34" xfId="35" applyFill="1" applyBorder="1" applyAlignment="1" applyProtection="1">
      <alignment vertical="center"/>
    </xf>
    <xf numFmtId="166" fontId="50" fillId="26" borderId="28" xfId="35" applyFill="1" applyBorder="1" applyAlignment="1" applyProtection="1">
      <alignment vertical="center"/>
    </xf>
    <xf numFmtId="166" fontId="50" fillId="26" borderId="45" xfId="35" applyFill="1" applyBorder="1" applyAlignment="1" applyProtection="1">
      <alignment horizontal="center" vertical="center" wrapText="1"/>
    </xf>
    <xf numFmtId="177" fontId="20" fillId="26" borderId="46" xfId="33" applyNumberFormat="1" applyFont="1" applyFill="1" applyBorder="1" applyAlignment="1" applyProtection="1">
      <alignment horizontal="center" vertical="center" wrapText="1"/>
    </xf>
    <xf numFmtId="2" fontId="20" fillId="26" borderId="47" xfId="33" applyNumberFormat="1" applyFont="1" applyFill="1" applyBorder="1" applyAlignment="1" applyProtection="1">
      <alignment horizontal="center" vertical="center" wrapText="1"/>
    </xf>
    <xf numFmtId="2" fontId="20" fillId="26" borderId="48" xfId="33" applyNumberFormat="1" applyFont="1" applyFill="1" applyBorder="1" applyAlignment="1" applyProtection="1">
      <alignment horizontal="center" vertical="center" wrapText="1"/>
    </xf>
    <xf numFmtId="1" fontId="0" fillId="0" borderId="49" xfId="0" applyNumberFormat="1" applyBorder="1" applyAlignment="1">
      <alignment horizontal="center" vertical="center" wrapText="1"/>
    </xf>
    <xf numFmtId="0" fontId="16" fillId="47" borderId="0" xfId="0" applyFont="1" applyFill="1" applyAlignment="1">
      <alignment wrapText="1"/>
    </xf>
    <xf numFmtId="0" fontId="17" fillId="47" borderId="0" xfId="0" applyFont="1" applyFill="1"/>
    <xf numFmtId="167" fontId="17" fillId="47" borderId="0" xfId="0" applyNumberFormat="1" applyFont="1" applyFill="1"/>
    <xf numFmtId="166" fontId="0" fillId="24" borderId="50" xfId="35" applyFont="1" applyFill="1" applyBorder="1" applyAlignment="1" applyProtection="1">
      <alignment vertical="center"/>
    </xf>
    <xf numFmtId="177" fontId="20" fillId="48" borderId="18" xfId="33" applyNumberFormat="1" applyFont="1" applyFill="1" applyBorder="1" applyAlignment="1" applyProtection="1">
      <alignment vertical="center" wrapText="1"/>
    </xf>
    <xf numFmtId="49" fontId="20" fillId="24" borderId="51" xfId="33" applyNumberFormat="1" applyFont="1" applyFill="1" applyBorder="1" applyAlignment="1" applyProtection="1">
      <alignment horizontal="center" vertical="center" wrapText="1"/>
    </xf>
    <xf numFmtId="177" fontId="20" fillId="26" borderId="52" xfId="33" applyNumberFormat="1" applyFont="1" applyFill="1" applyBorder="1" applyAlignment="1" applyProtection="1">
      <alignment horizontal="center" vertical="center" wrapText="1"/>
    </xf>
    <xf numFmtId="49" fontId="20" fillId="24" borderId="53" xfId="33" applyNumberFormat="1" applyFont="1" applyFill="1" applyBorder="1" applyAlignment="1" applyProtection="1">
      <alignment horizontal="center" vertical="center"/>
    </xf>
    <xf numFmtId="168" fontId="43" fillId="34" borderId="54" xfId="39" applyNumberFormat="1" applyFont="1" applyFill="1" applyBorder="1" applyAlignment="1">
      <alignment vertical="center"/>
    </xf>
    <xf numFmtId="168" fontId="43" fillId="34" borderId="55" xfId="39" applyNumberFormat="1" applyFont="1" applyFill="1" applyBorder="1" applyAlignment="1">
      <alignment vertical="center"/>
    </xf>
    <xf numFmtId="49" fontId="50" fillId="49" borderId="10" xfId="39" applyNumberFormat="1" applyFill="1" applyBorder="1" applyAlignment="1">
      <alignment horizontal="center" vertical="center" wrapText="1"/>
    </xf>
    <xf numFmtId="0" fontId="20" fillId="49" borderId="10" xfId="39" applyFont="1" applyFill="1" applyBorder="1" applyAlignment="1">
      <alignment horizontal="center" vertical="center" wrapText="1"/>
    </xf>
    <xf numFmtId="0" fontId="78" fillId="26" borderId="18" xfId="0" applyFont="1" applyFill="1" applyBorder="1" applyAlignment="1">
      <alignment horizontal="left" wrapText="1"/>
    </xf>
    <xf numFmtId="0" fontId="50" fillId="26" borderId="10" xfId="39" applyFill="1" applyBorder="1" applyAlignment="1">
      <alignment horizontal="center" vertical="center" wrapText="1"/>
    </xf>
    <xf numFmtId="49" fontId="50" fillId="26" borderId="10" xfId="39" applyNumberFormat="1" applyFill="1" applyBorder="1" applyAlignment="1">
      <alignment horizontal="center" vertical="center" wrapText="1"/>
    </xf>
    <xf numFmtId="166" fontId="50" fillId="26" borderId="10" xfId="35" applyFill="1" applyBorder="1" applyAlignment="1" applyProtection="1">
      <alignment vertical="center"/>
    </xf>
    <xf numFmtId="0" fontId="79" fillId="0" borderId="0" xfId="0" applyFont="1"/>
    <xf numFmtId="0" fontId="20" fillId="26" borderId="10" xfId="39" applyFont="1" applyFill="1" applyBorder="1" applyAlignment="1">
      <alignment horizontal="center" vertical="center" wrapText="1"/>
    </xf>
    <xf numFmtId="0" fontId="80" fillId="26" borderId="0" xfId="0" applyFont="1" applyFill="1"/>
    <xf numFmtId="166" fontId="80" fillId="26" borderId="0" xfId="0" applyNumberFormat="1" applyFont="1" applyFill="1"/>
    <xf numFmtId="164" fontId="80" fillId="26" borderId="0" xfId="0" applyNumberFormat="1" applyFont="1" applyFill="1"/>
    <xf numFmtId="166" fontId="81" fillId="26" borderId="0" xfId="0" applyNumberFormat="1" applyFont="1" applyFill="1"/>
    <xf numFmtId="166" fontId="0" fillId="0" borderId="0" xfId="35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181" fontId="0" fillId="0" borderId="0" xfId="0" applyNumberFormat="1"/>
    <xf numFmtId="0" fontId="0" fillId="50" borderId="0" xfId="0" applyFill="1"/>
    <xf numFmtId="177" fontId="50" fillId="26" borderId="18" xfId="33" applyNumberFormat="1" applyFill="1" applyBorder="1" applyAlignment="1" applyProtection="1">
      <alignment horizontal="left" vertical="center" wrapText="1"/>
    </xf>
    <xf numFmtId="177" fontId="33" fillId="26" borderId="18" xfId="33" applyNumberFormat="1" applyFont="1" applyFill="1" applyBorder="1" applyAlignment="1" applyProtection="1">
      <alignment horizontal="center" vertical="center" wrapText="1"/>
    </xf>
    <xf numFmtId="177" fontId="48" fillId="26" borderId="18" xfId="33" applyNumberFormat="1" applyFont="1" applyFill="1" applyBorder="1" applyAlignment="1" applyProtection="1">
      <alignment horizontal="center" vertical="center" wrapText="1"/>
    </xf>
    <xf numFmtId="49" fontId="48" fillId="26" borderId="26" xfId="33" applyNumberFormat="1" applyFont="1" applyFill="1" applyBorder="1" applyAlignment="1" applyProtection="1">
      <alignment horizontal="center" vertical="center"/>
    </xf>
    <xf numFmtId="177" fontId="20" fillId="48" borderId="18" xfId="33" applyNumberFormat="1" applyFont="1" applyFill="1" applyBorder="1" applyAlignment="1" applyProtection="1">
      <alignment horizontal="center" vertical="center" wrapText="1"/>
    </xf>
    <xf numFmtId="171" fontId="50" fillId="48" borderId="18" xfId="33" applyFill="1" applyBorder="1" applyAlignment="1" applyProtection="1">
      <alignment horizontal="center" vertical="center" wrapText="1"/>
    </xf>
    <xf numFmtId="166" fontId="50" fillId="48" borderId="18" xfId="35" applyFill="1" applyBorder="1" applyAlignment="1" applyProtection="1">
      <alignment horizontal="center" vertical="center" wrapText="1"/>
    </xf>
    <xf numFmtId="49" fontId="20" fillId="24" borderId="57" xfId="33" applyNumberFormat="1" applyFont="1" applyFill="1" applyBorder="1" applyAlignment="1" applyProtection="1">
      <alignment horizontal="center" vertical="center"/>
    </xf>
    <xf numFmtId="49" fontId="20" fillId="24" borderId="58" xfId="33" applyNumberFormat="1" applyFont="1" applyFill="1" applyBorder="1" applyAlignment="1" applyProtection="1">
      <alignment horizontal="center" vertical="center"/>
    </xf>
    <xf numFmtId="0" fontId="20" fillId="51" borderId="59" xfId="0" applyFont="1" applyFill="1" applyBorder="1" applyAlignment="1">
      <alignment horizontal="center" vertical="center"/>
    </xf>
    <xf numFmtId="49" fontId="20" fillId="24" borderId="46" xfId="33" applyNumberFormat="1" applyFont="1" applyFill="1" applyBorder="1" applyAlignment="1" applyProtection="1">
      <alignment horizontal="center" vertical="center"/>
    </xf>
    <xf numFmtId="171" fontId="50" fillId="37" borderId="48" xfId="33" applyFill="1" applyBorder="1" applyAlignment="1" applyProtection="1">
      <alignment horizontal="center" vertical="center"/>
    </xf>
    <xf numFmtId="166" fontId="20" fillId="37" borderId="48" xfId="35" applyFont="1" applyFill="1" applyBorder="1" applyAlignment="1" applyProtection="1">
      <alignment horizontal="center" vertical="center"/>
    </xf>
    <xf numFmtId="177" fontId="0" fillId="24" borderId="10" xfId="33" applyNumberFormat="1" applyFont="1" applyFill="1" applyBorder="1" applyAlignment="1" applyProtection="1">
      <alignment vertical="center" wrapText="1"/>
    </xf>
    <xf numFmtId="167" fontId="42" fillId="26" borderId="18" xfId="35" applyNumberFormat="1" applyFont="1" applyFill="1" applyBorder="1" applyAlignment="1" applyProtection="1">
      <alignment horizontal="right"/>
    </xf>
    <xf numFmtId="0" fontId="0" fillId="0" borderId="18" xfId="0" applyBorder="1" applyAlignment="1">
      <alignment horizontal="left"/>
    </xf>
    <xf numFmtId="166" fontId="0" fillId="0" borderId="18" xfId="0" applyNumberFormat="1" applyBorder="1"/>
    <xf numFmtId="0" fontId="30" fillId="24" borderId="0" xfId="0" applyFont="1" applyFill="1"/>
    <xf numFmtId="0" fontId="30" fillId="24" borderId="0" xfId="0" applyFont="1" applyFill="1" applyAlignment="1">
      <alignment horizontal="center"/>
    </xf>
    <xf numFmtId="49" fontId="45" fillId="24" borderId="0" xfId="0" applyNumberFormat="1" applyFont="1" applyFill="1" applyAlignment="1">
      <alignment horizontal="center"/>
    </xf>
    <xf numFmtId="0" fontId="71" fillId="24" borderId="0" xfId="0" applyFont="1" applyFill="1"/>
    <xf numFmtId="0" fontId="72" fillId="24" borderId="0" xfId="0" applyFont="1" applyFill="1"/>
    <xf numFmtId="0" fontId="67" fillId="0" borderId="0" xfId="0" applyFont="1"/>
    <xf numFmtId="49" fontId="71" fillId="24" borderId="0" xfId="0" applyNumberFormat="1" applyFont="1" applyFill="1" applyAlignment="1">
      <alignment horizontal="center"/>
    </xf>
    <xf numFmtId="0" fontId="73" fillId="24" borderId="0" xfId="0" applyFont="1" applyFill="1" applyAlignment="1">
      <alignment horizontal="left"/>
    </xf>
    <xf numFmtId="0" fontId="74" fillId="0" borderId="0" xfId="0" applyFont="1" applyAlignment="1">
      <alignment horizontal="center"/>
    </xf>
    <xf numFmtId="49" fontId="72" fillId="24" borderId="0" xfId="0" applyNumberFormat="1" applyFont="1" applyFill="1" applyAlignment="1">
      <alignment horizontal="left"/>
    </xf>
    <xf numFmtId="0" fontId="71" fillId="24" borderId="0" xfId="0" applyFont="1" applyFill="1" applyAlignment="1">
      <alignment horizontal="left"/>
    </xf>
    <xf numFmtId="0" fontId="72" fillId="24" borderId="0" xfId="0" applyFont="1" applyFill="1" applyAlignment="1">
      <alignment horizontal="left"/>
    </xf>
    <xf numFmtId="49" fontId="16" fillId="24" borderId="0" xfId="0" applyNumberFormat="1" applyFont="1" applyFill="1" applyAlignment="1">
      <alignment horizontal="left"/>
    </xf>
    <xf numFmtId="0" fontId="50" fillId="26" borderId="17" xfId="39" applyFill="1" applyBorder="1" applyAlignment="1">
      <alignment horizontal="center" vertical="center" wrapText="1"/>
    </xf>
    <xf numFmtId="49" fontId="50" fillId="26" borderId="17" xfId="39" applyNumberFormat="1" applyFill="1" applyBorder="1" applyAlignment="1">
      <alignment horizontal="center" vertical="center" wrapText="1"/>
    </xf>
    <xf numFmtId="167" fontId="42" fillId="24" borderId="34" xfId="35" applyNumberFormat="1" applyFont="1" applyFill="1" applyBorder="1" applyAlignment="1" applyProtection="1">
      <alignment horizontal="right"/>
    </xf>
    <xf numFmtId="167" fontId="42" fillId="24" borderId="28" xfId="35" applyNumberFormat="1" applyFont="1" applyFill="1" applyBorder="1" applyAlignment="1" applyProtection="1">
      <alignment horizontal="right"/>
    </xf>
    <xf numFmtId="167" fontId="42" fillId="24" borderId="60" xfId="35" applyNumberFormat="1" applyFont="1" applyFill="1" applyBorder="1" applyAlignment="1" applyProtection="1">
      <alignment horizontal="center"/>
    </xf>
    <xf numFmtId="167" fontId="42" fillId="24" borderId="61" xfId="35" applyNumberFormat="1" applyFont="1" applyFill="1" applyBorder="1" applyAlignment="1" applyProtection="1">
      <alignment horizontal="center"/>
    </xf>
    <xf numFmtId="167" fontId="42" fillId="24" borderId="49" xfId="35" applyNumberFormat="1" applyFont="1" applyFill="1" applyBorder="1" applyAlignment="1" applyProtection="1">
      <alignment horizontal="center"/>
    </xf>
    <xf numFmtId="167" fontId="42" fillId="24" borderId="51" xfId="35" applyNumberFormat="1" applyFont="1" applyFill="1" applyBorder="1" applyAlignment="1" applyProtection="1">
      <alignment horizontal="right"/>
    </xf>
    <xf numFmtId="167" fontId="43" fillId="38" borderId="28" xfId="35" applyNumberFormat="1" applyFont="1" applyFill="1" applyBorder="1" applyAlignment="1" applyProtection="1">
      <alignment horizontal="right"/>
    </xf>
    <xf numFmtId="167" fontId="43" fillId="38" borderId="51" xfId="35" applyNumberFormat="1" applyFont="1" applyFill="1" applyBorder="1" applyAlignment="1" applyProtection="1">
      <alignment horizontal="right"/>
    </xf>
    <xf numFmtId="167" fontId="42" fillId="28" borderId="28" xfId="35" applyNumberFormat="1" applyFont="1" applyFill="1" applyBorder="1" applyAlignment="1" applyProtection="1">
      <alignment horizontal="right"/>
    </xf>
    <xf numFmtId="167" fontId="43" fillId="38" borderId="34" xfId="35" applyNumberFormat="1" applyFont="1" applyFill="1" applyBorder="1" applyAlignment="1" applyProtection="1">
      <alignment horizontal="right"/>
    </xf>
    <xf numFmtId="0" fontId="50" fillId="34" borderId="62" xfId="39" applyFill="1" applyBorder="1" applyAlignment="1">
      <alignment horizontal="center" vertical="center"/>
    </xf>
    <xf numFmtId="0" fontId="20" fillId="26" borderId="63" xfId="39" applyFont="1" applyFill="1" applyBorder="1" applyAlignment="1">
      <alignment horizontal="center" vertical="center"/>
    </xf>
    <xf numFmtId="0" fontId="20" fillId="26" borderId="64" xfId="39" applyFont="1" applyFill="1" applyBorder="1" applyAlignment="1">
      <alignment horizontal="center" vertical="center"/>
    </xf>
    <xf numFmtId="0" fontId="78" fillId="26" borderId="26" xfId="0" applyFont="1" applyFill="1" applyBorder="1" applyAlignment="1">
      <alignment horizontal="left" wrapText="1"/>
    </xf>
    <xf numFmtId="49" fontId="0" fillId="0" borderId="65" xfId="39" applyNumberFormat="1" applyFont="1" applyBorder="1" applyAlignment="1">
      <alignment vertical="center"/>
    </xf>
    <xf numFmtId="0" fontId="50" fillId="34" borderId="62" xfId="39" applyFill="1" applyBorder="1" applyAlignment="1">
      <alignment vertical="center"/>
    </xf>
    <xf numFmtId="0" fontId="78" fillId="26" borderId="60" xfId="0" applyFont="1" applyFill="1" applyBorder="1" applyAlignment="1">
      <alignment horizontal="left" wrapText="1"/>
    </xf>
    <xf numFmtId="0" fontId="20" fillId="49" borderId="20" xfId="33" applyNumberFormat="1" applyFont="1" applyFill="1" applyBorder="1" applyAlignment="1" applyProtection="1">
      <alignment horizontal="left" vertical="center" wrapText="1"/>
    </xf>
    <xf numFmtId="0" fontId="20" fillId="26" borderId="20" xfId="33" applyNumberFormat="1" applyFont="1" applyFill="1" applyBorder="1" applyAlignment="1" applyProtection="1">
      <alignment horizontal="left" vertical="center" wrapText="1"/>
    </xf>
    <xf numFmtId="0" fontId="50" fillId="49" borderId="16" xfId="39" applyFill="1" applyBorder="1" applyAlignment="1">
      <alignment horizontal="center" vertical="center" wrapText="1"/>
    </xf>
    <xf numFmtId="0" fontId="50" fillId="26" borderId="16" xfId="39" applyFill="1" applyBorder="1" applyAlignment="1">
      <alignment horizontal="center" vertical="center" wrapText="1"/>
    </xf>
    <xf numFmtId="0" fontId="20" fillId="49" borderId="18" xfId="33" applyNumberFormat="1" applyFont="1" applyFill="1" applyBorder="1" applyAlignment="1" applyProtection="1">
      <alignment horizontal="left" vertical="center" wrapText="1"/>
    </xf>
    <xf numFmtId="0" fontId="20" fillId="26" borderId="18" xfId="33" applyNumberFormat="1" applyFont="1" applyFill="1" applyBorder="1" applyAlignment="1" applyProtection="1">
      <alignment horizontal="left" vertical="center" wrapText="1"/>
    </xf>
    <xf numFmtId="166" fontId="20" fillId="0" borderId="18" xfId="0" applyNumberFormat="1" applyFont="1" applyBorder="1"/>
    <xf numFmtId="0" fontId="41" fillId="26" borderId="18" xfId="0" applyFont="1" applyFill="1" applyBorder="1" applyAlignment="1">
      <alignment horizontal="center" vertical="center" wrapText="1"/>
    </xf>
    <xf numFmtId="0" fontId="16" fillId="28" borderId="0" xfId="0" applyFont="1" applyFill="1"/>
    <xf numFmtId="167" fontId="43" fillId="52" borderId="18" xfId="35" applyNumberFormat="1" applyFont="1" applyFill="1" applyBorder="1" applyAlignment="1" applyProtection="1">
      <alignment horizontal="right"/>
    </xf>
    <xf numFmtId="0" fontId="43" fillId="52" borderId="18" xfId="0" applyFont="1" applyFill="1" applyBorder="1" applyAlignment="1">
      <alignment horizontal="left" vertical="center" wrapText="1"/>
    </xf>
    <xf numFmtId="0" fontId="42" fillId="52" borderId="18" xfId="0" applyFont="1" applyFill="1" applyBorder="1" applyAlignment="1">
      <alignment horizontal="left" vertical="center" wrapText="1"/>
    </xf>
    <xf numFmtId="0" fontId="43" fillId="52" borderId="18" xfId="0" applyFont="1" applyFill="1" applyBorder="1" applyAlignment="1">
      <alignment horizontal="left" vertical="center"/>
    </xf>
    <xf numFmtId="166" fontId="21" fillId="24" borderId="18" xfId="35" applyFont="1" applyFill="1" applyBorder="1" applyAlignment="1" applyProtection="1">
      <alignment horizontal="center"/>
    </xf>
    <xf numFmtId="177" fontId="33" fillId="26" borderId="18" xfId="33" applyNumberFormat="1" applyFont="1" applyFill="1" applyBorder="1" applyAlignment="1" applyProtection="1">
      <alignment horizontal="center" vertical="center"/>
    </xf>
    <xf numFmtId="166" fontId="0" fillId="24" borderId="67" xfId="35" applyFont="1" applyFill="1" applyBorder="1" applyAlignment="1" applyProtection="1">
      <alignment vertical="center"/>
    </xf>
    <xf numFmtId="166" fontId="20" fillId="48" borderId="59" xfId="35" applyFont="1" applyFill="1" applyBorder="1" applyAlignment="1" applyProtection="1">
      <alignment vertical="center"/>
    </xf>
    <xf numFmtId="0" fontId="0" fillId="0" borderId="18" xfId="0" applyBorder="1" applyAlignment="1">
      <alignment vertical="center" wrapText="1"/>
    </xf>
    <xf numFmtId="0" fontId="22" fillId="26" borderId="23" xfId="0" applyFont="1" applyFill="1" applyBorder="1" applyAlignment="1">
      <alignment horizontal="center"/>
    </xf>
    <xf numFmtId="167" fontId="21" fillId="26" borderId="18" xfId="0" applyNumberFormat="1" applyFont="1" applyFill="1" applyBorder="1"/>
    <xf numFmtId="43" fontId="0" fillId="26" borderId="0" xfId="0" applyNumberFormat="1" applyFill="1"/>
    <xf numFmtId="0" fontId="82" fillId="26" borderId="18" xfId="0" applyFont="1" applyFill="1" applyBorder="1" applyAlignment="1">
      <alignment wrapText="1"/>
    </xf>
    <xf numFmtId="0" fontId="0" fillId="0" borderId="18" xfId="0" applyBorder="1" applyAlignment="1">
      <alignment horizontal="left" wrapText="1"/>
    </xf>
    <xf numFmtId="0" fontId="78" fillId="26" borderId="68" xfId="0" applyFont="1" applyFill="1" applyBorder="1" applyAlignment="1">
      <alignment horizontal="left" wrapText="1"/>
    </xf>
    <xf numFmtId="0" fontId="78" fillId="26" borderId="34" xfId="0" applyFont="1" applyFill="1" applyBorder="1" applyAlignment="1">
      <alignment horizontal="left" wrapText="1"/>
    </xf>
    <xf numFmtId="0" fontId="50" fillId="26" borderId="21" xfId="39" applyFill="1" applyBorder="1" applyAlignment="1">
      <alignment horizontal="center" vertical="center" wrapText="1"/>
    </xf>
    <xf numFmtId="49" fontId="50" fillId="26" borderId="21" xfId="39" applyNumberFormat="1" applyFill="1" applyBorder="1" applyAlignment="1">
      <alignment horizontal="center" vertical="center" wrapText="1"/>
    </xf>
    <xf numFmtId="0" fontId="50" fillId="26" borderId="18" xfId="39" applyFill="1" applyBorder="1" applyAlignment="1">
      <alignment horizontal="center" vertical="center" wrapText="1"/>
    </xf>
    <xf numFmtId="49" fontId="50" fillId="26" borderId="18" xfId="39" applyNumberFormat="1" applyFill="1" applyBorder="1" applyAlignment="1">
      <alignment horizontal="center" vertical="center" wrapText="1"/>
    </xf>
    <xf numFmtId="0" fontId="19" fillId="28" borderId="69" xfId="0" applyFont="1" applyFill="1" applyBorder="1" applyAlignment="1">
      <alignment horizontal="left"/>
    </xf>
    <xf numFmtId="167" fontId="22" fillId="28" borderId="24" xfId="35" applyNumberFormat="1" applyFont="1" applyFill="1" applyBorder="1" applyAlignment="1" applyProtection="1">
      <alignment horizontal="right"/>
    </xf>
    <xf numFmtId="0" fontId="17" fillId="28" borderId="0" xfId="0" applyFont="1" applyFill="1"/>
    <xf numFmtId="168" fontId="34" fillId="28" borderId="10" xfId="0" applyNumberFormat="1" applyFont="1" applyFill="1" applyBorder="1" applyAlignment="1">
      <alignment horizontal="left" vertical="center" wrapText="1"/>
    </xf>
    <xf numFmtId="169" fontId="34" fillId="28" borderId="10" xfId="33" applyNumberFormat="1" applyFont="1" applyFill="1" applyBorder="1" applyAlignment="1" applyProtection="1">
      <alignment horizontal="left" vertical="center"/>
    </xf>
    <xf numFmtId="173" fontId="34" fillId="28" borderId="10" xfId="33" applyNumberFormat="1" applyFont="1" applyFill="1" applyBorder="1" applyAlignment="1" applyProtection="1">
      <alignment horizontal="center" vertical="center"/>
    </xf>
    <xf numFmtId="169" fontId="32" fillId="28" borderId="10" xfId="33" applyNumberFormat="1" applyFont="1" applyFill="1" applyBorder="1" applyAlignment="1" applyProtection="1">
      <alignment horizontal="left" vertical="center"/>
    </xf>
    <xf numFmtId="170" fontId="34" fillId="28" borderId="10" xfId="33" applyNumberFormat="1" applyFont="1" applyFill="1" applyBorder="1" applyAlignment="1" applyProtection="1">
      <alignment horizontal="left" vertical="center"/>
    </xf>
    <xf numFmtId="182" fontId="34" fillId="28" borderId="10" xfId="33" applyNumberFormat="1" applyFont="1" applyFill="1" applyBorder="1" applyAlignment="1" applyProtection="1">
      <alignment horizontal="center" vertical="center"/>
    </xf>
    <xf numFmtId="166" fontId="34" fillId="28" borderId="10" xfId="35" applyFont="1" applyFill="1" applyBorder="1" applyAlignment="1" applyProtection="1">
      <alignment horizontal="left" vertical="center"/>
    </xf>
    <xf numFmtId="49" fontId="48" fillId="26" borderId="68" xfId="33" applyNumberFormat="1" applyFont="1" applyFill="1" applyBorder="1" applyAlignment="1" applyProtection="1">
      <alignment vertical="center"/>
    </xf>
    <xf numFmtId="49" fontId="48" fillId="26" borderId="70" xfId="33" applyNumberFormat="1" applyFont="1" applyFill="1" applyBorder="1" applyAlignment="1" applyProtection="1">
      <alignment vertical="center"/>
    </xf>
    <xf numFmtId="49" fontId="48" fillId="26" borderId="62" xfId="33" applyNumberFormat="1" applyFont="1" applyFill="1" applyBorder="1" applyAlignment="1" applyProtection="1">
      <alignment vertical="center"/>
    </xf>
    <xf numFmtId="175" fontId="20" fillId="27" borderId="10" xfId="33" applyNumberFormat="1" applyFont="1" applyFill="1" applyBorder="1" applyAlignment="1" applyProtection="1">
      <alignment horizontal="center" vertical="center"/>
    </xf>
    <xf numFmtId="0" fontId="18" fillId="24" borderId="62" xfId="0" applyFont="1" applyFill="1" applyBorder="1" applyAlignment="1">
      <alignment horizontal="center"/>
    </xf>
    <xf numFmtId="0" fontId="18" fillId="24" borderId="66" xfId="0" applyFont="1" applyFill="1" applyBorder="1" applyAlignment="1">
      <alignment horizontal="center"/>
    </xf>
    <xf numFmtId="49" fontId="20" fillId="24" borderId="64" xfId="33" applyNumberFormat="1" applyFont="1" applyFill="1" applyBorder="1" applyAlignment="1" applyProtection="1">
      <alignment horizontal="center" vertical="center"/>
    </xf>
    <xf numFmtId="166" fontId="0" fillId="24" borderId="71" xfId="35" applyFont="1" applyFill="1" applyBorder="1" applyAlignment="1" applyProtection="1">
      <alignment vertical="center"/>
    </xf>
    <xf numFmtId="1" fontId="50" fillId="48" borderId="72" xfId="33" applyNumberFormat="1" applyFill="1" applyBorder="1" applyAlignment="1" applyProtection="1">
      <alignment vertical="center"/>
    </xf>
    <xf numFmtId="166" fontId="20" fillId="51" borderId="72" xfId="35" applyFont="1" applyFill="1" applyBorder="1" applyAlignment="1">
      <alignment vertical="center"/>
    </xf>
    <xf numFmtId="175" fontId="20" fillId="27" borderId="73" xfId="33" applyNumberFormat="1" applyFont="1" applyFill="1" applyBorder="1" applyAlignment="1" applyProtection="1">
      <alignment horizontal="center" vertical="center"/>
    </xf>
    <xf numFmtId="49" fontId="0" fillId="0" borderId="26" xfId="0" applyNumberFormat="1" applyBorder="1" applyAlignment="1">
      <alignment vertical="center"/>
    </xf>
    <xf numFmtId="166" fontId="50" fillId="0" borderId="24" xfId="35" applyBorder="1" applyAlignment="1">
      <alignment horizontal="center" vertical="center" wrapText="1"/>
    </xf>
    <xf numFmtId="49" fontId="0" fillId="0" borderId="74" xfId="0" applyNumberFormat="1" applyBorder="1" applyAlignment="1">
      <alignment vertical="center"/>
    </xf>
    <xf numFmtId="175" fontId="20" fillId="27" borderId="75" xfId="33" applyNumberFormat="1" applyFont="1" applyFill="1" applyBorder="1" applyAlignment="1" applyProtection="1">
      <alignment horizontal="center" vertical="center" wrapText="1"/>
    </xf>
    <xf numFmtId="175" fontId="20" fillId="27" borderId="24" xfId="33" applyNumberFormat="1" applyFont="1" applyFill="1" applyBorder="1" applyAlignment="1" applyProtection="1">
      <alignment horizontal="center" vertical="center" wrapText="1"/>
    </xf>
    <xf numFmtId="0" fontId="20" fillId="31" borderId="24" xfId="0" applyFont="1" applyFill="1" applyBorder="1" applyAlignment="1">
      <alignment horizontal="center" vertical="center"/>
    </xf>
    <xf numFmtId="49" fontId="0" fillId="0" borderId="26" xfId="0" applyNumberFormat="1" applyBorder="1" applyAlignment="1">
      <alignment horizontal="left" vertical="center"/>
    </xf>
    <xf numFmtId="0" fontId="21" fillId="54" borderId="50" xfId="0" applyFont="1" applyFill="1" applyBorder="1"/>
    <xf numFmtId="0" fontId="22" fillId="54" borderId="76" xfId="0" applyFont="1" applyFill="1" applyBorder="1" applyAlignment="1">
      <alignment horizontal="center"/>
    </xf>
    <xf numFmtId="0" fontId="20" fillId="40" borderId="77" xfId="0" applyFont="1" applyFill="1" applyBorder="1" applyAlignment="1">
      <alignment horizontal="center" vertical="center" wrapText="1"/>
    </xf>
    <xf numFmtId="0" fontId="21" fillId="28" borderId="26" xfId="0" applyFont="1" applyFill="1" applyBorder="1" applyAlignment="1">
      <alignment horizontal="center"/>
    </xf>
    <xf numFmtId="167" fontId="22" fillId="38" borderId="24" xfId="35" applyNumberFormat="1" applyFont="1" applyFill="1" applyBorder="1" applyAlignment="1" applyProtection="1">
      <alignment horizontal="right"/>
    </xf>
    <xf numFmtId="167" fontId="21" fillId="0" borderId="24" xfId="35" applyNumberFormat="1" applyFont="1" applyFill="1" applyBorder="1" applyAlignment="1" applyProtection="1">
      <alignment horizontal="right"/>
    </xf>
    <xf numFmtId="167" fontId="46" fillId="26" borderId="33" xfId="0" applyNumberFormat="1" applyFont="1" applyFill="1" applyBorder="1" applyAlignment="1">
      <alignment horizontal="center"/>
    </xf>
    <xf numFmtId="49" fontId="21" fillId="24" borderId="26" xfId="0" applyNumberFormat="1" applyFont="1" applyFill="1" applyBorder="1" applyAlignment="1">
      <alignment horizontal="center"/>
    </xf>
    <xf numFmtId="167" fontId="42" fillId="24" borderId="24" xfId="35" applyNumberFormat="1" applyFont="1" applyFill="1" applyBorder="1" applyAlignment="1" applyProtection="1">
      <alignment horizontal="right"/>
    </xf>
    <xf numFmtId="0" fontId="21" fillId="0" borderId="26" xfId="0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0" fontId="22" fillId="33" borderId="26" xfId="0" applyFont="1" applyFill="1" applyBorder="1" applyAlignment="1">
      <alignment horizontal="center" vertical="center" wrapText="1"/>
    </xf>
    <xf numFmtId="167" fontId="43" fillId="38" borderId="24" xfId="35" applyNumberFormat="1" applyFont="1" applyFill="1" applyBorder="1" applyAlignment="1" applyProtection="1">
      <alignment horizontal="right"/>
    </xf>
    <xf numFmtId="0" fontId="21" fillId="33" borderId="26" xfId="0" applyFont="1" applyFill="1" applyBorder="1" applyAlignment="1">
      <alignment horizontal="center" vertical="center" wrapText="1"/>
    </xf>
    <xf numFmtId="0" fontId="21" fillId="55" borderId="26" xfId="0" applyFont="1" applyFill="1" applyBorder="1" applyAlignment="1">
      <alignment horizontal="center" vertical="center" wrapText="1"/>
    </xf>
    <xf numFmtId="49" fontId="21" fillId="24" borderId="26" xfId="0" applyNumberFormat="1" applyFont="1" applyFill="1" applyBorder="1" applyAlignment="1">
      <alignment horizontal="center" vertical="center"/>
    </xf>
    <xf numFmtId="49" fontId="21" fillId="52" borderId="26" xfId="0" applyNumberFormat="1" applyFont="1" applyFill="1" applyBorder="1" applyAlignment="1">
      <alignment horizontal="center" vertical="center"/>
    </xf>
    <xf numFmtId="49" fontId="21" fillId="52" borderId="26" xfId="0" applyNumberFormat="1" applyFont="1" applyFill="1" applyBorder="1" applyAlignment="1">
      <alignment horizontal="center"/>
    </xf>
    <xf numFmtId="0" fontId="22" fillId="0" borderId="58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167" fontId="20" fillId="26" borderId="59" xfId="35" applyNumberFormat="1" applyFont="1" applyFill="1" applyBorder="1" applyAlignment="1" applyProtection="1">
      <alignment horizontal="right" vertical="center" wrapText="1"/>
    </xf>
    <xf numFmtId="167" fontId="44" fillId="40" borderId="33" xfId="35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83" fillId="0" borderId="0" xfId="0" applyFont="1"/>
    <xf numFmtId="0" fontId="75" fillId="0" borderId="18" xfId="0" applyFont="1" applyBorder="1" applyAlignment="1">
      <alignment horizontal="center" wrapText="1"/>
    </xf>
    <xf numFmtId="0" fontId="75" fillId="0" borderId="18" xfId="0" applyFont="1" applyBorder="1" applyAlignment="1">
      <alignment horizontal="center"/>
    </xf>
    <xf numFmtId="49" fontId="84" fillId="0" borderId="18" xfId="0" applyNumberFormat="1" applyFont="1" applyBorder="1" applyAlignment="1">
      <alignment horizontal="center"/>
    </xf>
    <xf numFmtId="0" fontId="84" fillId="0" borderId="18" xfId="0" applyFont="1" applyBorder="1"/>
    <xf numFmtId="0" fontId="84" fillId="0" borderId="18" xfId="0" applyFont="1" applyBorder="1" applyAlignment="1">
      <alignment wrapText="1"/>
    </xf>
    <xf numFmtId="49" fontId="84" fillId="26" borderId="18" xfId="0" applyNumberFormat="1" applyFont="1" applyFill="1" applyBorder="1" applyAlignment="1">
      <alignment horizontal="center"/>
    </xf>
    <xf numFmtId="0" fontId="84" fillId="26" borderId="18" xfId="0" applyFont="1" applyFill="1" applyBorder="1"/>
    <xf numFmtId="49" fontId="75" fillId="0" borderId="0" xfId="0" applyNumberFormat="1" applyFont="1"/>
    <xf numFmtId="49" fontId="84" fillId="0" borderId="0" xfId="0" applyNumberFormat="1" applyFont="1"/>
    <xf numFmtId="0" fontId="84" fillId="0" borderId="0" xfId="0" applyFont="1"/>
    <xf numFmtId="49" fontId="84" fillId="0" borderId="18" xfId="0" applyNumberFormat="1" applyFont="1" applyBorder="1" applyAlignment="1">
      <alignment horizontal="center" wrapText="1"/>
    </xf>
    <xf numFmtId="166" fontId="50" fillId="26" borderId="39" xfId="35" applyFill="1" applyBorder="1" applyAlignment="1" applyProtection="1">
      <alignment vertical="center"/>
    </xf>
    <xf numFmtId="0" fontId="26" fillId="34" borderId="42" xfId="0" applyFont="1" applyFill="1" applyBorder="1" applyAlignment="1">
      <alignment horizontal="center" vertical="center" textRotation="90" wrapText="1"/>
    </xf>
    <xf numFmtId="0" fontId="26" fillId="34" borderId="43" xfId="0" applyFont="1" applyFill="1" applyBorder="1" applyAlignment="1">
      <alignment horizontal="center" vertical="center" textRotation="90" wrapText="1"/>
    </xf>
    <xf numFmtId="0" fontId="26" fillId="34" borderId="78" xfId="0" applyFont="1" applyFill="1" applyBorder="1" applyAlignment="1">
      <alignment horizontal="center" vertical="center" textRotation="90" wrapText="1"/>
    </xf>
    <xf numFmtId="49" fontId="21" fillId="28" borderId="17" xfId="0" applyNumberFormat="1" applyFont="1" applyFill="1" applyBorder="1" applyAlignment="1">
      <alignment horizontal="center"/>
    </xf>
    <xf numFmtId="0" fontId="21" fillId="28" borderId="79" xfId="0" applyFont="1" applyFill="1" applyBorder="1" applyAlignment="1">
      <alignment horizontal="left" wrapText="1"/>
    </xf>
    <xf numFmtId="49" fontId="21" fillId="28" borderId="10" xfId="0" applyNumberFormat="1" applyFont="1" applyFill="1" applyBorder="1" applyAlignment="1">
      <alignment horizontal="center"/>
    </xf>
    <xf numFmtId="49" fontId="21" fillId="28" borderId="36" xfId="0" applyNumberFormat="1" applyFont="1" applyFill="1" applyBorder="1" applyAlignment="1">
      <alignment horizontal="center"/>
    </xf>
    <xf numFmtId="0" fontId="21" fillId="28" borderId="21" xfId="0" applyFont="1" applyFill="1" applyBorder="1" applyAlignment="1">
      <alignment horizontal="left" wrapText="1"/>
    </xf>
    <xf numFmtId="0" fontId="26" fillId="56" borderId="81" xfId="0" applyFont="1" applyFill="1" applyBorder="1" applyAlignment="1">
      <alignment horizontal="center" vertical="center" textRotation="90" wrapText="1"/>
    </xf>
    <xf numFmtId="0" fontId="26" fillId="56" borderId="82" xfId="0" applyFont="1" applyFill="1" applyBorder="1" applyAlignment="1">
      <alignment horizontal="center" vertical="center" textRotation="90" wrapText="1"/>
    </xf>
    <xf numFmtId="0" fontId="26" fillId="56" borderId="83" xfId="0" applyFont="1" applyFill="1" applyBorder="1" applyAlignment="1" applyProtection="1">
      <alignment horizontal="center" vertical="center" textRotation="90" wrapText="1"/>
      <protection locked="0" hidden="1"/>
    </xf>
    <xf numFmtId="0" fontId="50" fillId="49" borderId="10" xfId="39" applyFill="1" applyBorder="1" applyAlignment="1">
      <alignment horizontal="center" vertical="center" wrapText="1"/>
    </xf>
    <xf numFmtId="166" fontId="34" fillId="28" borderId="18" xfId="35" applyFont="1" applyFill="1" applyBorder="1" applyAlignment="1" applyProtection="1">
      <alignment horizontal="left" vertical="center"/>
    </xf>
    <xf numFmtId="177" fontId="22" fillId="26" borderId="18" xfId="33" applyNumberFormat="1" applyFont="1" applyFill="1" applyBorder="1" applyAlignment="1" applyProtection="1">
      <alignment horizontal="center" vertical="center" wrapText="1"/>
    </xf>
    <xf numFmtId="49" fontId="48" fillId="26" borderId="84" xfId="33" applyNumberFormat="1" applyFont="1" applyFill="1" applyBorder="1" applyAlignment="1" applyProtection="1">
      <alignment vertical="center"/>
    </xf>
    <xf numFmtId="49" fontId="22" fillId="26" borderId="26" xfId="33" applyNumberFormat="1" applyFont="1" applyFill="1" applyBorder="1" applyAlignment="1" applyProtection="1">
      <alignment horizontal="center" vertical="center"/>
    </xf>
    <xf numFmtId="177" fontId="50" fillId="26" borderId="34" xfId="33" applyNumberFormat="1" applyFill="1" applyBorder="1" applyAlignment="1" applyProtection="1">
      <alignment horizontal="left" vertical="center" wrapText="1"/>
    </xf>
    <xf numFmtId="177" fontId="50" fillId="26" borderId="28" xfId="33" applyNumberFormat="1" applyFill="1" applyBorder="1" applyAlignment="1" applyProtection="1">
      <alignment horizontal="left" vertical="center" wrapText="1"/>
    </xf>
    <xf numFmtId="49" fontId="48" fillId="26" borderId="74" xfId="33" applyNumberFormat="1" applyFont="1" applyFill="1" applyBorder="1" applyAlignment="1" applyProtection="1">
      <alignment vertical="center"/>
    </xf>
    <xf numFmtId="49" fontId="20" fillId="24" borderId="70" xfId="33" applyNumberFormat="1" applyFont="1" applyFill="1" applyBorder="1" applyAlignment="1" applyProtection="1">
      <alignment horizontal="center" vertical="center"/>
    </xf>
    <xf numFmtId="175" fontId="20" fillId="27" borderId="10" xfId="33" applyNumberFormat="1" applyFont="1" applyFill="1" applyBorder="1" applyAlignment="1" applyProtection="1">
      <alignment horizontal="center" vertical="center" wrapText="1"/>
    </xf>
    <xf numFmtId="177" fontId="20" fillId="26" borderId="52" xfId="33" applyNumberFormat="1" applyFont="1" applyFill="1" applyBorder="1" applyAlignment="1" applyProtection="1">
      <alignment vertical="center" wrapText="1"/>
    </xf>
    <xf numFmtId="177" fontId="20" fillId="26" borderId="48" xfId="33" applyNumberFormat="1" applyFont="1" applyFill="1" applyBorder="1" applyAlignment="1" applyProtection="1">
      <alignment vertical="center" wrapText="1"/>
    </xf>
    <xf numFmtId="166" fontId="20" fillId="26" borderId="48" xfId="35" applyFont="1" applyFill="1" applyBorder="1" applyAlignment="1" applyProtection="1">
      <alignment vertical="center"/>
    </xf>
    <xf numFmtId="177" fontId="20" fillId="26" borderId="48" xfId="33" applyNumberFormat="1" applyFont="1" applyFill="1" applyBorder="1" applyAlignment="1" applyProtection="1">
      <alignment horizontal="left" vertical="center" wrapText="1"/>
    </xf>
    <xf numFmtId="166" fontId="0" fillId="24" borderId="16" xfId="35" applyFont="1" applyFill="1" applyBorder="1" applyAlignment="1" applyProtection="1">
      <alignment horizontal="center" vertical="center" wrapText="1"/>
    </xf>
    <xf numFmtId="166" fontId="50" fillId="0" borderId="60" xfId="35" applyBorder="1" applyAlignment="1">
      <alignment horizontal="center" vertical="center" wrapText="1"/>
    </xf>
    <xf numFmtId="166" fontId="0" fillId="0" borderId="18" xfId="35" applyFont="1" applyBorder="1" applyAlignment="1">
      <alignment horizontal="center" vertical="center" wrapText="1"/>
    </xf>
    <xf numFmtId="0" fontId="20" fillId="57" borderId="77" xfId="0" applyFont="1" applyFill="1" applyBorder="1" applyAlignment="1">
      <alignment horizontal="center"/>
    </xf>
    <xf numFmtId="166" fontId="21" fillId="29" borderId="17" xfId="35" applyFont="1" applyFill="1" applyBorder="1" applyAlignment="1" applyProtection="1">
      <alignment horizontal="center"/>
    </xf>
    <xf numFmtId="166" fontId="22" fillId="29" borderId="77" xfId="35" applyFont="1" applyFill="1" applyBorder="1" applyAlignment="1" applyProtection="1">
      <alignment horizontal="center" wrapText="1"/>
    </xf>
    <xf numFmtId="166" fontId="21" fillId="24" borderId="17" xfId="35" applyFont="1" applyFill="1" applyBorder="1" applyAlignment="1" applyProtection="1">
      <alignment horizontal="center"/>
    </xf>
    <xf numFmtId="0" fontId="21" fillId="24" borderId="17" xfId="0" applyFont="1" applyFill="1" applyBorder="1" applyAlignment="1">
      <alignment horizontal="left" vertical="center" wrapText="1"/>
    </xf>
    <xf numFmtId="166" fontId="22" fillId="46" borderId="17" xfId="35" applyFont="1" applyFill="1" applyBorder="1" applyAlignment="1" applyProtection="1">
      <alignment horizontal="center"/>
    </xf>
    <xf numFmtId="166" fontId="22" fillId="46" borderId="10" xfId="35" applyFont="1" applyFill="1" applyBorder="1" applyAlignment="1" applyProtection="1">
      <alignment horizontal="center"/>
    </xf>
    <xf numFmtId="166" fontId="22" fillId="46" borderId="18" xfId="35" applyFont="1" applyFill="1" applyBorder="1" applyAlignment="1" applyProtection="1">
      <alignment horizontal="center"/>
    </xf>
    <xf numFmtId="0" fontId="20" fillId="57" borderId="83" xfId="0" applyFont="1" applyFill="1" applyBorder="1"/>
    <xf numFmtId="166" fontId="22" fillId="24" borderId="85" xfId="35" applyFont="1" applyFill="1" applyBorder="1" applyAlignment="1" applyProtection="1">
      <alignment horizontal="center"/>
    </xf>
    <xf numFmtId="49" fontId="21" fillId="24" borderId="12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left" vertical="center" wrapText="1"/>
    </xf>
    <xf numFmtId="166" fontId="21" fillId="29" borderId="21" xfId="35" applyFont="1" applyFill="1" applyBorder="1" applyAlignment="1" applyProtection="1">
      <alignment horizontal="center"/>
    </xf>
    <xf numFmtId="166" fontId="22" fillId="46" borderId="21" xfId="35" applyFont="1" applyFill="1" applyBorder="1" applyAlignment="1" applyProtection="1">
      <alignment horizontal="center"/>
    </xf>
    <xf numFmtId="166" fontId="21" fillId="28" borderId="21" xfId="35" applyFont="1" applyFill="1" applyBorder="1" applyAlignment="1" applyProtection="1">
      <alignment horizontal="center"/>
    </xf>
    <xf numFmtId="0" fontId="21" fillId="24" borderId="21" xfId="0" applyFont="1" applyFill="1" applyBorder="1"/>
    <xf numFmtId="167" fontId="21" fillId="24" borderId="21" xfId="0" applyNumberFormat="1" applyFont="1" applyFill="1" applyBorder="1"/>
    <xf numFmtId="166" fontId="21" fillId="24" borderId="10" xfId="0" applyNumberFormat="1" applyFont="1" applyFill="1" applyBorder="1"/>
    <xf numFmtId="0" fontId="30" fillId="24" borderId="77" xfId="0" applyFont="1" applyFill="1" applyBorder="1" applyAlignment="1">
      <alignment horizontal="center"/>
    </xf>
    <xf numFmtId="0" fontId="30" fillId="24" borderId="81" xfId="0" applyFont="1" applyFill="1" applyBorder="1" applyAlignment="1">
      <alignment horizontal="center"/>
    </xf>
    <xf numFmtId="167" fontId="30" fillId="24" borderId="18" xfId="0" applyNumberFormat="1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166" fontId="0" fillId="0" borderId="18" xfId="0" applyNumberFormat="1" applyBorder="1" applyAlignment="1">
      <alignment horizontal="left"/>
    </xf>
    <xf numFmtId="43" fontId="0" fillId="0" borderId="18" xfId="0" applyNumberFormat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4" fontId="20" fillId="0" borderId="0" xfId="0" applyNumberFormat="1" applyFont="1"/>
    <xf numFmtId="49" fontId="21" fillId="0" borderId="18" xfId="0" applyNumberFormat="1" applyFont="1" applyBorder="1" applyAlignment="1">
      <alignment horizontal="center" wrapText="1"/>
    </xf>
    <xf numFmtId="0" fontId="20" fillId="49" borderId="76" xfId="33" applyNumberFormat="1" applyFont="1" applyFill="1" applyBorder="1" applyAlignment="1" applyProtection="1">
      <alignment horizontal="left" vertical="center" wrapText="1"/>
    </xf>
    <xf numFmtId="0" fontId="0" fillId="58" borderId="0" xfId="0" applyFill="1"/>
    <xf numFmtId="166" fontId="20" fillId="48" borderId="18" xfId="35" applyFont="1" applyFill="1" applyBorder="1" applyAlignment="1" applyProtection="1">
      <alignment horizontal="center" vertical="center" wrapText="1"/>
    </xf>
    <xf numFmtId="168" fontId="34" fillId="28" borderId="10" xfId="0" applyNumberFormat="1" applyFont="1" applyFill="1" applyBorder="1" applyAlignment="1">
      <alignment horizontal="left" vertical="center"/>
    </xf>
    <xf numFmtId="0" fontId="21" fillId="24" borderId="16" xfId="0" applyFont="1" applyFill="1" applyBorder="1" applyAlignment="1">
      <alignment horizontal="center"/>
    </xf>
    <xf numFmtId="166" fontId="22" fillId="29" borderId="86" xfId="35" applyFont="1" applyFill="1" applyBorder="1" applyAlignment="1" applyProtection="1">
      <alignment horizontal="center" wrapText="1"/>
    </xf>
    <xf numFmtId="166" fontId="21" fillId="29" borderId="60" xfId="35" applyFont="1" applyFill="1" applyBorder="1" applyAlignment="1" applyProtection="1"/>
    <xf numFmtId="166" fontId="21" fillId="29" borderId="50" xfId="35" applyFont="1" applyFill="1" applyBorder="1" applyAlignment="1" applyProtection="1"/>
    <xf numFmtId="166" fontId="21" fillId="29" borderId="13" xfId="35" applyFont="1" applyFill="1" applyBorder="1" applyAlignment="1" applyProtection="1"/>
    <xf numFmtId="166" fontId="50" fillId="28" borderId="10" xfId="35" applyFill="1" applyBorder="1" applyAlignment="1" applyProtection="1">
      <alignment horizontal="center" vertical="center" wrapText="1"/>
    </xf>
    <xf numFmtId="0" fontId="84" fillId="26" borderId="18" xfId="0" applyFont="1" applyFill="1" applyBorder="1" applyAlignment="1">
      <alignment wrapText="1"/>
    </xf>
    <xf numFmtId="0" fontId="85" fillId="26" borderId="18" xfId="0" applyFont="1" applyFill="1" applyBorder="1"/>
    <xf numFmtId="0" fontId="84" fillId="26" borderId="18" xfId="0" applyFont="1" applyFill="1" applyBorder="1" applyAlignment="1">
      <alignment horizontal="center"/>
    </xf>
    <xf numFmtId="167" fontId="43" fillId="38" borderId="49" xfId="35" applyNumberFormat="1" applyFont="1" applyFill="1" applyBorder="1" applyAlignment="1" applyProtection="1">
      <alignment horizontal="center"/>
    </xf>
    <xf numFmtId="0" fontId="20" fillId="0" borderId="18" xfId="0" applyFont="1" applyBorder="1" applyAlignment="1">
      <alignment horizontal="center"/>
    </xf>
    <xf numFmtId="167" fontId="42" fillId="24" borderId="87" xfId="35" applyNumberFormat="1" applyFont="1" applyFill="1" applyBorder="1" applyAlignment="1" applyProtection="1">
      <alignment horizontal="center"/>
    </xf>
    <xf numFmtId="167" fontId="42" fillId="24" borderId="32" xfId="35" applyNumberFormat="1" applyFont="1" applyFill="1" applyBorder="1" applyAlignment="1" applyProtection="1">
      <alignment horizontal="center"/>
    </xf>
    <xf numFmtId="167" fontId="42" fillId="24" borderId="27" xfId="35" applyNumberFormat="1" applyFont="1" applyFill="1" applyBorder="1" applyAlignment="1" applyProtection="1">
      <alignment horizontal="center"/>
    </xf>
    <xf numFmtId="167" fontId="42" fillId="24" borderId="60" xfId="35" applyNumberFormat="1" applyFont="1" applyFill="1" applyBorder="1" applyAlignment="1" applyProtection="1">
      <alignment horizontal="right"/>
    </xf>
    <xf numFmtId="167" fontId="42" fillId="0" borderId="60" xfId="35" applyNumberFormat="1" applyFont="1" applyFill="1" applyBorder="1" applyAlignment="1" applyProtection="1">
      <alignment horizontal="right"/>
    </xf>
    <xf numFmtId="0" fontId="20" fillId="49" borderId="21" xfId="39" applyFont="1" applyFill="1" applyBorder="1" applyAlignment="1">
      <alignment horizontal="center" vertical="center"/>
    </xf>
    <xf numFmtId="0" fontId="20" fillId="49" borderId="88" xfId="33" applyNumberFormat="1" applyFont="1" applyFill="1" applyBorder="1" applyAlignment="1" applyProtection="1">
      <alignment horizontal="left" vertical="center" wrapText="1"/>
    </xf>
    <xf numFmtId="0" fontId="50" fillId="49" borderId="39" xfId="39" applyFill="1" applyBorder="1" applyAlignment="1">
      <alignment horizontal="center" vertical="center" wrapText="1"/>
    </xf>
    <xf numFmtId="0" fontId="50" fillId="49" borderId="21" xfId="39" applyFill="1" applyBorder="1" applyAlignment="1">
      <alignment horizontal="center" vertical="center" wrapText="1"/>
    </xf>
    <xf numFmtId="49" fontId="50" fillId="49" borderId="21" xfId="39" applyNumberFormat="1" applyFill="1" applyBorder="1" applyAlignment="1">
      <alignment horizontal="center" vertical="center" wrapText="1"/>
    </xf>
    <xf numFmtId="0" fontId="20" fillId="49" borderId="21" xfId="39" applyFont="1" applyFill="1" applyBorder="1" applyAlignment="1">
      <alignment horizontal="center" vertical="center" wrapText="1"/>
    </xf>
    <xf numFmtId="49" fontId="21" fillId="28" borderId="18" xfId="0" applyNumberFormat="1" applyFont="1" applyFill="1" applyBorder="1" applyAlignment="1">
      <alignment horizontal="left"/>
    </xf>
    <xf numFmtId="0" fontId="50" fillId="26" borderId="18" xfId="33" applyNumberFormat="1" applyFill="1" applyBorder="1" applyAlignment="1" applyProtection="1">
      <alignment horizontal="left" vertical="center" wrapText="1"/>
    </xf>
    <xf numFmtId="0" fontId="50" fillId="26" borderId="18" xfId="33" applyNumberFormat="1" applyFill="1" applyBorder="1" applyAlignment="1" applyProtection="1">
      <alignment horizontal="center" vertical="center" wrapText="1"/>
    </xf>
    <xf numFmtId="0" fontId="86" fillId="26" borderId="28" xfId="0" applyFont="1" applyFill="1" applyBorder="1" applyAlignment="1">
      <alignment horizontal="left" wrapText="1"/>
    </xf>
    <xf numFmtId="0" fontId="50" fillId="26" borderId="38" xfId="39" applyFill="1" applyBorder="1" applyAlignment="1">
      <alignment horizontal="center" vertical="center" wrapText="1"/>
    </xf>
    <xf numFmtId="0" fontId="50" fillId="26" borderId="20" xfId="33" applyNumberFormat="1" applyFill="1" applyBorder="1" applyAlignment="1" applyProtection="1">
      <alignment horizontal="left" vertical="center" wrapText="1"/>
    </xf>
    <xf numFmtId="43" fontId="20" fillId="0" borderId="18" xfId="0" applyNumberFormat="1" applyFont="1" applyBorder="1" applyAlignment="1">
      <alignment horizontal="left"/>
    </xf>
    <xf numFmtId="167" fontId="87" fillId="26" borderId="33" xfId="0" applyNumberFormat="1" applyFont="1" applyFill="1" applyBorder="1" applyAlignment="1">
      <alignment horizontal="center"/>
    </xf>
    <xf numFmtId="0" fontId="21" fillId="28" borderId="18" xfId="0" applyFont="1" applyFill="1" applyBorder="1" applyAlignment="1">
      <alignment horizontal="left" wrapText="1"/>
    </xf>
    <xf numFmtId="166" fontId="21" fillId="28" borderId="24" xfId="35" applyFont="1" applyFill="1" applyBorder="1" applyAlignment="1" applyProtection="1">
      <alignment horizontal="center"/>
    </xf>
    <xf numFmtId="0" fontId="21" fillId="28" borderId="84" xfId="0" applyFont="1" applyFill="1" applyBorder="1" applyAlignment="1">
      <alignment horizontal="center"/>
    </xf>
    <xf numFmtId="49" fontId="21" fillId="28" borderId="28" xfId="0" applyNumberFormat="1" applyFont="1" applyFill="1" applyBorder="1" applyAlignment="1">
      <alignment horizontal="center"/>
    </xf>
    <xf numFmtId="49" fontId="84" fillId="59" borderId="18" xfId="0" applyNumberFormat="1" applyFont="1" applyFill="1" applyBorder="1" applyAlignment="1">
      <alignment horizontal="center"/>
    </xf>
    <xf numFmtId="0" fontId="85" fillId="59" borderId="18" xfId="0" applyFont="1" applyFill="1" applyBorder="1"/>
    <xf numFmtId="49" fontId="84" fillId="60" borderId="18" xfId="0" applyNumberFormat="1" applyFont="1" applyFill="1" applyBorder="1" applyAlignment="1">
      <alignment horizontal="center"/>
    </xf>
    <xf numFmtId="0" fontId="84" fillId="60" borderId="18" xfId="0" applyFont="1" applyFill="1" applyBorder="1" applyAlignment="1">
      <alignment horizontal="center"/>
    </xf>
    <xf numFmtId="0" fontId="84" fillId="59" borderId="18" xfId="0" applyFont="1" applyFill="1" applyBorder="1"/>
    <xf numFmtId="49" fontId="84" fillId="59" borderId="18" xfId="0" applyNumberFormat="1" applyFont="1" applyFill="1" applyBorder="1" applyAlignment="1">
      <alignment horizontal="center" wrapText="1"/>
    </xf>
    <xf numFmtId="177" fontId="20" fillId="59" borderId="28" xfId="33" applyNumberFormat="1" applyFont="1" applyFill="1" applyBorder="1" applyAlignment="1" applyProtection="1">
      <alignment horizontal="left" vertical="center" wrapText="1"/>
    </xf>
    <xf numFmtId="2" fontId="20" fillId="59" borderId="28" xfId="33" applyNumberFormat="1" applyFont="1" applyFill="1" applyBorder="1" applyAlignment="1" applyProtection="1">
      <alignment horizontal="center" vertical="center" wrapText="1"/>
    </xf>
    <xf numFmtId="166" fontId="20" fillId="59" borderId="28" xfId="35" applyFont="1" applyFill="1" applyBorder="1" applyAlignment="1" applyProtection="1">
      <alignment vertical="center"/>
    </xf>
    <xf numFmtId="177" fontId="20" fillId="59" borderId="34" xfId="33" applyNumberFormat="1" applyFont="1" applyFill="1" applyBorder="1" applyAlignment="1" applyProtection="1">
      <alignment horizontal="left" vertical="center" wrapText="1"/>
    </xf>
    <xf numFmtId="2" fontId="20" fillId="59" borderId="18" xfId="33" applyNumberFormat="1" applyFont="1" applyFill="1" applyBorder="1" applyAlignment="1" applyProtection="1">
      <alignment horizontal="center" vertical="center" wrapText="1"/>
    </xf>
    <xf numFmtId="166" fontId="20" fillId="59" borderId="18" xfId="35" applyFont="1" applyFill="1" applyBorder="1" applyAlignment="1" applyProtection="1">
      <alignment vertical="center"/>
    </xf>
    <xf numFmtId="177" fontId="20" fillId="59" borderId="18" xfId="33" applyNumberFormat="1" applyFont="1" applyFill="1" applyBorder="1" applyAlignment="1" applyProtection="1">
      <alignment horizontal="left" vertical="center" wrapText="1"/>
    </xf>
    <xf numFmtId="2" fontId="41" fillId="60" borderId="28" xfId="33" applyNumberFormat="1" applyFont="1" applyFill="1" applyBorder="1" applyAlignment="1" applyProtection="1">
      <alignment vertical="center"/>
    </xf>
    <xf numFmtId="177" fontId="41" fillId="60" borderId="28" xfId="33" applyNumberFormat="1" applyFont="1" applyFill="1" applyBorder="1" applyAlignment="1" applyProtection="1">
      <alignment vertical="center"/>
    </xf>
    <xf numFmtId="177" fontId="41" fillId="60" borderId="45" xfId="33" applyNumberFormat="1" applyFont="1" applyFill="1" applyBorder="1" applyAlignment="1" applyProtection="1">
      <alignment vertical="center"/>
    </xf>
    <xf numFmtId="2" fontId="20" fillId="61" borderId="18" xfId="33" applyNumberFormat="1" applyFont="1" applyFill="1" applyBorder="1" applyAlignment="1" applyProtection="1">
      <alignment horizontal="center" vertical="center" wrapText="1"/>
    </xf>
    <xf numFmtId="166" fontId="20" fillId="61" borderId="18" xfId="35" applyFont="1" applyFill="1" applyBorder="1" applyAlignment="1" applyProtection="1">
      <alignment vertical="center"/>
    </xf>
    <xf numFmtId="177" fontId="20" fillId="62" borderId="18" xfId="33" applyNumberFormat="1" applyFont="1" applyFill="1" applyBorder="1" applyAlignment="1" applyProtection="1">
      <alignment horizontal="left" vertical="center" wrapText="1"/>
    </xf>
    <xf numFmtId="2" fontId="20" fillId="62" borderId="18" xfId="33" applyNumberFormat="1" applyFont="1" applyFill="1" applyBorder="1" applyAlignment="1" applyProtection="1">
      <alignment horizontal="center" vertical="center" wrapText="1"/>
    </xf>
    <xf numFmtId="166" fontId="20" fillId="62" borderId="18" xfId="35" applyFont="1" applyFill="1" applyBorder="1" applyAlignment="1" applyProtection="1">
      <alignment vertical="center"/>
    </xf>
    <xf numFmtId="166" fontId="20" fillId="26" borderId="47" xfId="35" applyFont="1" applyFill="1" applyBorder="1" applyAlignment="1" applyProtection="1">
      <alignment horizontal="center" vertical="center" wrapText="1"/>
    </xf>
    <xf numFmtId="49" fontId="21" fillId="28" borderId="28" xfId="0" applyNumberFormat="1" applyFont="1" applyFill="1" applyBorder="1" applyAlignment="1">
      <alignment horizontal="left" wrapText="1"/>
    </xf>
    <xf numFmtId="167" fontId="42" fillId="24" borderId="18" xfId="35" applyNumberFormat="1" applyFont="1" applyFill="1" applyBorder="1" applyAlignment="1" applyProtection="1">
      <alignment horizontal="center"/>
    </xf>
    <xf numFmtId="0" fontId="16" fillId="24" borderId="81" xfId="0" applyFont="1" applyFill="1" applyBorder="1" applyAlignment="1">
      <alignment horizontal="center"/>
    </xf>
    <xf numFmtId="0" fontId="16" fillId="24" borderId="82" xfId="0" applyFont="1" applyFill="1" applyBorder="1" applyAlignment="1">
      <alignment horizontal="center"/>
    </xf>
    <xf numFmtId="0" fontId="16" fillId="24" borderId="83" xfId="0" applyFont="1" applyFill="1" applyBorder="1" applyAlignment="1">
      <alignment horizontal="center"/>
    </xf>
    <xf numFmtId="0" fontId="41" fillId="0" borderId="77" xfId="0" applyFont="1" applyBorder="1" applyAlignment="1">
      <alignment horizontal="center" vertical="center" wrapText="1"/>
    </xf>
    <xf numFmtId="0" fontId="16" fillId="24" borderId="77" xfId="0" applyFont="1" applyFill="1" applyBorder="1" applyAlignment="1">
      <alignment horizontal="center" wrapText="1"/>
    </xf>
    <xf numFmtId="9" fontId="16" fillId="28" borderId="77" xfId="0" applyNumberFormat="1" applyFont="1" applyFill="1" applyBorder="1" applyAlignment="1">
      <alignment horizontal="center"/>
    </xf>
    <xf numFmtId="0" fontId="16" fillId="24" borderId="77" xfId="0" applyFont="1" applyFill="1" applyBorder="1" applyAlignment="1">
      <alignment horizontal="center"/>
    </xf>
    <xf numFmtId="167" fontId="37" fillId="0" borderId="77" xfId="0" applyNumberFormat="1" applyFont="1" applyBorder="1" applyAlignment="1">
      <alignment horizontal="center"/>
    </xf>
    <xf numFmtId="0" fontId="20" fillId="60" borderId="64" xfId="39" applyFont="1" applyFill="1" applyBorder="1" applyAlignment="1">
      <alignment horizontal="center" vertical="center"/>
    </xf>
    <xf numFmtId="0" fontId="50" fillId="60" borderId="10" xfId="39" applyFill="1" applyBorder="1" applyAlignment="1">
      <alignment horizontal="center" vertical="center" wrapText="1"/>
    </xf>
    <xf numFmtId="0" fontId="50" fillId="60" borderId="17" xfId="39" applyFill="1" applyBorder="1" applyAlignment="1">
      <alignment horizontal="center" vertical="center" wrapText="1"/>
    </xf>
    <xf numFmtId="49" fontId="50" fillId="60" borderId="17" xfId="39" applyNumberFormat="1" applyFill="1" applyBorder="1" applyAlignment="1">
      <alignment horizontal="center" vertical="center" wrapText="1"/>
    </xf>
    <xf numFmtId="0" fontId="20" fillId="60" borderId="10" xfId="39" applyFont="1" applyFill="1" applyBorder="1" applyAlignment="1">
      <alignment horizontal="center" vertical="center" wrapText="1"/>
    </xf>
    <xf numFmtId="0" fontId="50" fillId="60" borderId="10" xfId="39" applyFill="1" applyBorder="1" applyAlignment="1">
      <alignment horizontal="left" vertical="center" wrapText="1"/>
    </xf>
    <xf numFmtId="0" fontId="82" fillId="60" borderId="18" xfId="0" applyFont="1" applyFill="1" applyBorder="1" applyAlignment="1">
      <alignment wrapText="1"/>
    </xf>
    <xf numFmtId="0" fontId="20" fillId="60" borderId="18" xfId="39" applyFont="1" applyFill="1" applyBorder="1" applyAlignment="1">
      <alignment horizontal="center" vertical="center" wrapText="1"/>
    </xf>
    <xf numFmtId="0" fontId="20" fillId="60" borderId="34" xfId="39" applyFont="1" applyFill="1" applyBorder="1" applyAlignment="1">
      <alignment horizontal="center" vertical="center" wrapText="1"/>
    </xf>
    <xf numFmtId="0" fontId="20" fillId="60" borderId="63" xfId="39" applyFont="1" applyFill="1" applyBorder="1" applyAlignment="1">
      <alignment horizontal="center" vertical="center"/>
    </xf>
    <xf numFmtId="0" fontId="50" fillId="60" borderId="17" xfId="39" applyFill="1" applyBorder="1" applyAlignment="1">
      <alignment horizontal="left" vertical="center" wrapText="1"/>
    </xf>
    <xf numFmtId="0" fontId="20" fillId="60" borderId="17" xfId="39" applyFont="1" applyFill="1" applyBorder="1" applyAlignment="1">
      <alignment horizontal="center" vertical="center" wrapText="1"/>
    </xf>
    <xf numFmtId="0" fontId="78" fillId="26" borderId="28" xfId="0" applyFont="1" applyFill="1" applyBorder="1" applyAlignment="1">
      <alignment horizontal="left" wrapText="1"/>
    </xf>
    <xf numFmtId="166" fontId="0" fillId="0" borderId="28" xfId="0" applyNumberFormat="1" applyBorder="1"/>
    <xf numFmtId="168" fontId="41" fillId="0" borderId="10" xfId="0" applyNumberFormat="1" applyFont="1" applyBorder="1" applyAlignment="1">
      <alignment horizontal="left" vertical="center" wrapText="1"/>
    </xf>
    <xf numFmtId="49" fontId="20" fillId="55" borderId="9" xfId="33" applyNumberFormat="1" applyFont="1" applyFill="1" applyBorder="1" applyAlignment="1" applyProtection="1">
      <alignment horizontal="center" vertical="center" wrapText="1"/>
    </xf>
    <xf numFmtId="168" fontId="20" fillId="55" borderId="10" xfId="0" applyNumberFormat="1" applyFont="1" applyFill="1" applyBorder="1" applyAlignment="1">
      <alignment horizontal="left" vertical="center" wrapText="1"/>
    </xf>
    <xf numFmtId="166" fontId="20" fillId="55" borderId="10" xfId="35" applyFont="1" applyFill="1" applyBorder="1" applyAlignment="1" applyProtection="1">
      <alignment horizontal="left" vertical="center" wrapText="1" indent="1"/>
    </xf>
    <xf numFmtId="166" fontId="20" fillId="55" borderId="11" xfId="35" applyFont="1" applyFill="1" applyBorder="1" applyAlignment="1" applyProtection="1">
      <alignment horizontal="left" vertical="center" wrapText="1" indent="1"/>
    </xf>
    <xf numFmtId="0" fontId="20" fillId="26" borderId="21" xfId="39" applyFont="1" applyFill="1" applyBorder="1" applyAlignment="1">
      <alignment horizontal="center" vertical="center"/>
    </xf>
    <xf numFmtId="0" fontId="20" fillId="60" borderId="89" xfId="39" applyFont="1" applyFill="1" applyBorder="1" applyAlignment="1">
      <alignment horizontal="center" vertical="center"/>
    </xf>
    <xf numFmtId="0" fontId="82" fillId="60" borderId="34" xfId="0" applyFont="1" applyFill="1" applyBorder="1" applyAlignment="1">
      <alignment wrapText="1"/>
    </xf>
    <xf numFmtId="0" fontId="50" fillId="60" borderId="21" xfId="39" applyFill="1" applyBorder="1" applyAlignment="1">
      <alignment horizontal="center" vertical="center" wrapText="1"/>
    </xf>
    <xf numFmtId="0" fontId="50" fillId="60" borderId="79" xfId="39" applyFill="1" applyBorder="1" applyAlignment="1">
      <alignment horizontal="center" vertical="center" wrapText="1"/>
    </xf>
    <xf numFmtId="49" fontId="50" fillId="60" borderId="88" xfId="39" applyNumberFormat="1" applyFill="1" applyBorder="1" applyAlignment="1">
      <alignment horizontal="center" vertical="center" wrapText="1"/>
    </xf>
    <xf numFmtId="0" fontId="88" fillId="60" borderId="28" xfId="0" applyFont="1" applyFill="1" applyBorder="1" applyAlignment="1">
      <alignment wrapText="1"/>
    </xf>
    <xf numFmtId="49" fontId="50" fillId="60" borderId="18" xfId="39" applyNumberFormat="1" applyFill="1" applyBorder="1" applyAlignment="1">
      <alignment horizontal="center" vertical="center" wrapText="1"/>
    </xf>
    <xf numFmtId="0" fontId="50" fillId="60" borderId="18" xfId="39" applyFill="1" applyBorder="1" applyAlignment="1">
      <alignment horizontal="center" vertical="center" wrapText="1"/>
    </xf>
    <xf numFmtId="49" fontId="84" fillId="0" borderId="34" xfId="0" applyNumberFormat="1" applyFont="1" applyBorder="1" applyAlignment="1">
      <alignment horizontal="center"/>
    </xf>
    <xf numFmtId="49" fontId="84" fillId="59" borderId="34" xfId="0" applyNumberFormat="1" applyFont="1" applyFill="1" applyBorder="1" applyAlignment="1">
      <alignment horizontal="center"/>
    </xf>
    <xf numFmtId="0" fontId="84" fillId="59" borderId="34" xfId="0" applyFont="1" applyFill="1" applyBorder="1"/>
    <xf numFmtId="0" fontId="84" fillId="0" borderId="34" xfId="0" applyFont="1" applyBorder="1" applyAlignment="1">
      <alignment wrapText="1"/>
    </xf>
    <xf numFmtId="0" fontId="75" fillId="0" borderId="28" xfId="0" applyFont="1" applyBorder="1" applyAlignment="1">
      <alignment horizontal="center" wrapText="1"/>
    </xf>
    <xf numFmtId="0" fontId="75" fillId="0" borderId="28" xfId="0" applyFont="1" applyBorder="1" applyAlignment="1">
      <alignment horizontal="center"/>
    </xf>
    <xf numFmtId="0" fontId="85" fillId="60" borderId="18" xfId="0" applyFont="1" applyFill="1" applyBorder="1" applyAlignment="1">
      <alignment vertical="center"/>
    </xf>
    <xf numFmtId="49" fontId="85" fillId="60" borderId="18" xfId="0" applyNumberFormat="1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/>
    </xf>
    <xf numFmtId="0" fontId="22" fillId="24" borderId="69" xfId="0" applyFont="1" applyFill="1" applyBorder="1" applyAlignment="1">
      <alignment horizontal="center"/>
    </xf>
    <xf numFmtId="0" fontId="51" fillId="41" borderId="26" xfId="0" applyFont="1" applyFill="1" applyBorder="1" applyAlignment="1">
      <alignment horizontal="center" vertical="center" textRotation="90" wrapText="1"/>
    </xf>
    <xf numFmtId="0" fontId="21" fillId="24" borderId="26" xfId="0" applyFont="1" applyFill="1" applyBorder="1" applyAlignment="1">
      <alignment horizontal="center" vertical="center"/>
    </xf>
    <xf numFmtId="167" fontId="22" fillId="38" borderId="24" xfId="35" applyNumberFormat="1" applyFont="1" applyFill="1" applyBorder="1" applyAlignment="1" applyProtection="1">
      <alignment horizontal="right" vertical="center"/>
    </xf>
    <xf numFmtId="167" fontId="22" fillId="33" borderId="24" xfId="35" applyNumberFormat="1" applyFont="1" applyFill="1" applyBorder="1" applyAlignment="1" applyProtection="1">
      <alignment horizontal="right"/>
    </xf>
    <xf numFmtId="167" fontId="22" fillId="0" borderId="33" xfId="35" applyNumberFormat="1" applyFont="1" applyFill="1" applyBorder="1" applyAlignment="1" applyProtection="1">
      <alignment horizontal="right"/>
    </xf>
    <xf numFmtId="167" fontId="22" fillId="38" borderId="90" xfId="35" applyNumberFormat="1" applyFont="1" applyFill="1" applyBorder="1" applyAlignment="1" applyProtection="1">
      <alignment horizontal="right" vertical="center"/>
    </xf>
    <xf numFmtId="167" fontId="21" fillId="26" borderId="45" xfId="35" applyNumberFormat="1" applyFont="1" applyFill="1" applyBorder="1" applyAlignment="1" applyProtection="1">
      <alignment horizontal="right"/>
    </xf>
    <xf numFmtId="0" fontId="28" fillId="24" borderId="62" xfId="0" applyFont="1" applyFill="1" applyBorder="1" applyAlignment="1">
      <alignment horizontal="center"/>
    </xf>
    <xf numFmtId="0" fontId="17" fillId="24" borderId="66" xfId="0" applyFont="1" applyFill="1" applyBorder="1"/>
    <xf numFmtId="0" fontId="28" fillId="24" borderId="91" xfId="0" applyFont="1" applyFill="1" applyBorder="1" applyAlignment="1">
      <alignment horizontal="center"/>
    </xf>
    <xf numFmtId="0" fontId="28" fillId="24" borderId="92" xfId="0" applyFont="1" applyFill="1" applyBorder="1" applyAlignment="1">
      <alignment horizontal="center"/>
    </xf>
    <xf numFmtId="0" fontId="45" fillId="24" borderId="92" xfId="0" applyFont="1" applyFill="1" applyBorder="1" applyAlignment="1">
      <alignment horizontal="center"/>
    </xf>
    <xf numFmtId="0" fontId="16" fillId="24" borderId="92" xfId="0" applyFont="1" applyFill="1" applyBorder="1" applyAlignment="1">
      <alignment horizontal="center"/>
    </xf>
    <xf numFmtId="0" fontId="16" fillId="24" borderId="92" xfId="0" applyFont="1" applyFill="1" applyBorder="1" applyAlignment="1">
      <alignment wrapText="1"/>
    </xf>
    <xf numFmtId="0" fontId="17" fillId="24" borderId="93" xfId="0" applyFont="1" applyFill="1" applyBorder="1"/>
    <xf numFmtId="167" fontId="22" fillId="0" borderId="94" xfId="35" applyNumberFormat="1" applyFont="1" applyFill="1" applyBorder="1" applyAlignment="1" applyProtection="1">
      <alignment horizontal="right"/>
    </xf>
    <xf numFmtId="0" fontId="25" fillId="34" borderId="66" xfId="39" applyFont="1" applyFill="1" applyBorder="1" applyAlignment="1">
      <alignment horizontal="right" vertical="center"/>
    </xf>
    <xf numFmtId="166" fontId="20" fillId="60" borderId="95" xfId="35" applyFont="1" applyFill="1" applyBorder="1" applyAlignment="1" applyProtection="1">
      <alignment vertical="center"/>
    </xf>
    <xf numFmtId="166" fontId="50" fillId="26" borderId="71" xfId="35" applyFill="1" applyBorder="1" applyAlignment="1" applyProtection="1">
      <alignment vertical="center"/>
    </xf>
    <xf numFmtId="166" fontId="20" fillId="60" borderId="71" xfId="35" applyFont="1" applyFill="1" applyBorder="1" applyAlignment="1" applyProtection="1">
      <alignment vertical="center"/>
    </xf>
    <xf numFmtId="166" fontId="50" fillId="26" borderId="96" xfId="35" applyFill="1" applyBorder="1" applyAlignment="1" applyProtection="1">
      <alignment vertical="center"/>
    </xf>
    <xf numFmtId="166" fontId="50" fillId="26" borderId="24" xfId="35" applyFill="1" applyBorder="1" applyAlignment="1" applyProtection="1">
      <alignment vertical="center"/>
    </xf>
    <xf numFmtId="166" fontId="20" fillId="60" borderId="67" xfId="35" applyFont="1" applyFill="1" applyBorder="1" applyAlignment="1" applyProtection="1">
      <alignment vertical="center"/>
    </xf>
    <xf numFmtId="166" fontId="50" fillId="60" borderId="24" xfId="35" applyFill="1" applyBorder="1" applyAlignment="1" applyProtection="1">
      <alignment vertical="center"/>
    </xf>
    <xf numFmtId="166" fontId="50" fillId="60" borderId="90" xfId="35" applyFill="1" applyBorder="1" applyAlignment="1" applyProtection="1">
      <alignment vertical="center"/>
    </xf>
    <xf numFmtId="166" fontId="20" fillId="60" borderId="97" xfId="35" applyFont="1" applyFill="1" applyBorder="1" applyAlignment="1" applyProtection="1">
      <alignment vertical="center"/>
    </xf>
    <xf numFmtId="0" fontId="20" fillId="60" borderId="98" xfId="39" applyFont="1" applyFill="1" applyBorder="1" applyAlignment="1">
      <alignment horizontal="center" vertical="center"/>
    </xf>
    <xf numFmtId="49" fontId="50" fillId="60" borderId="79" xfId="39" applyNumberFormat="1" applyFill="1" applyBorder="1" applyAlignment="1">
      <alignment horizontal="center" vertical="center" wrapText="1"/>
    </xf>
    <xf numFmtId="0" fontId="20" fillId="60" borderId="21" xfId="39" applyFont="1" applyFill="1" applyBorder="1" applyAlignment="1">
      <alignment horizontal="center" vertical="center" wrapText="1"/>
    </xf>
    <xf numFmtId="166" fontId="20" fillId="60" borderId="99" xfId="35" applyFont="1" applyFill="1" applyBorder="1" applyAlignment="1" applyProtection="1">
      <alignment vertical="center"/>
    </xf>
    <xf numFmtId="0" fontId="82" fillId="60" borderId="28" xfId="0" applyFont="1" applyFill="1" applyBorder="1" applyAlignment="1">
      <alignment wrapText="1"/>
    </xf>
    <xf numFmtId="166" fontId="50" fillId="60" borderId="97" xfId="35" applyFill="1" applyBorder="1" applyAlignment="1" applyProtection="1">
      <alignment vertical="center"/>
    </xf>
    <xf numFmtId="0" fontId="21" fillId="28" borderId="57" xfId="0" applyFont="1" applyFill="1" applyBorder="1" applyAlignment="1">
      <alignment horizontal="center"/>
    </xf>
    <xf numFmtId="49" fontId="21" fillId="28" borderId="73" xfId="0" applyNumberFormat="1" applyFont="1" applyFill="1" applyBorder="1" applyAlignment="1">
      <alignment horizontal="center"/>
    </xf>
    <xf numFmtId="0" fontId="21" fillId="28" borderId="73" xfId="0" applyFont="1" applyFill="1" applyBorder="1" applyAlignment="1">
      <alignment horizontal="left" wrapText="1"/>
    </xf>
    <xf numFmtId="166" fontId="21" fillId="28" borderId="75" xfId="35" applyFont="1" applyFill="1" applyBorder="1" applyAlignment="1" applyProtection="1">
      <alignment horizontal="center"/>
    </xf>
    <xf numFmtId="175" fontId="20" fillId="27" borderId="100" xfId="33" applyNumberFormat="1" applyFont="1" applyFill="1" applyBorder="1" applyAlignment="1" applyProtection="1">
      <alignment horizontal="center" vertical="center"/>
    </xf>
    <xf numFmtId="2" fontId="50" fillId="28" borderId="28" xfId="33" applyNumberFormat="1" applyFill="1" applyBorder="1" applyAlignment="1" applyProtection="1">
      <alignment horizontal="center" vertical="center" wrapText="1"/>
    </xf>
    <xf numFmtId="166" fontId="50" fillId="28" borderId="28" xfId="35" applyFill="1" applyBorder="1" applyAlignment="1" applyProtection="1">
      <alignment vertical="center"/>
    </xf>
    <xf numFmtId="49" fontId="48" fillId="26" borderId="57" xfId="33" applyNumberFormat="1" applyFont="1" applyFill="1" applyBorder="1" applyAlignment="1" applyProtection="1">
      <alignment vertical="center"/>
    </xf>
    <xf numFmtId="0" fontId="0" fillId="60" borderId="73" xfId="0" applyFill="1" applyBorder="1"/>
    <xf numFmtId="0" fontId="0" fillId="60" borderId="75" xfId="0" applyFill="1" applyBorder="1"/>
    <xf numFmtId="2" fontId="50" fillId="28" borderId="59" xfId="33" applyNumberFormat="1" applyFill="1" applyBorder="1" applyAlignment="1" applyProtection="1">
      <alignment horizontal="center" vertical="center" wrapText="1"/>
    </xf>
    <xf numFmtId="166" fontId="50" fillId="28" borderId="59" xfId="35" applyFill="1" applyBorder="1" applyAlignment="1" applyProtection="1">
      <alignment vertical="center"/>
    </xf>
    <xf numFmtId="166" fontId="50" fillId="26" borderId="59" xfId="35" applyFill="1" applyBorder="1" applyAlignment="1" applyProtection="1">
      <alignment vertical="center"/>
    </xf>
    <xf numFmtId="177" fontId="0" fillId="24" borderId="38" xfId="33" applyNumberFormat="1" applyFont="1" applyFill="1" applyBorder="1" applyAlignment="1" applyProtection="1">
      <alignment horizontal="center" vertical="center" wrapText="1"/>
    </xf>
    <xf numFmtId="175" fontId="20" fillId="27" borderId="101" xfId="33" applyNumberFormat="1" applyFont="1" applyFill="1" applyBorder="1" applyAlignment="1" applyProtection="1">
      <alignment horizontal="center" vertical="center"/>
    </xf>
    <xf numFmtId="175" fontId="20" fillId="27" borderId="102" xfId="33" applyNumberFormat="1" applyFont="1" applyFill="1" applyBorder="1" applyAlignment="1" applyProtection="1">
      <alignment horizontal="center" vertical="center"/>
    </xf>
    <xf numFmtId="49" fontId="20" fillId="27" borderId="103" xfId="33" applyNumberFormat="1" applyFont="1" applyFill="1" applyBorder="1" applyAlignment="1" applyProtection="1">
      <alignment horizontal="center" vertical="center"/>
    </xf>
    <xf numFmtId="49" fontId="20" fillId="27" borderId="103" xfId="33" applyNumberFormat="1" applyFont="1" applyFill="1" applyBorder="1" applyAlignment="1" applyProtection="1">
      <alignment horizontal="center" vertical="center" wrapText="1"/>
    </xf>
    <xf numFmtId="175" fontId="20" fillId="27" borderId="103" xfId="33" applyNumberFormat="1" applyFont="1" applyFill="1" applyBorder="1" applyAlignment="1" applyProtection="1">
      <alignment horizontal="center" vertical="center"/>
    </xf>
    <xf numFmtId="9" fontId="20" fillId="27" borderId="104" xfId="41" applyFont="1" applyFill="1" applyBorder="1" applyAlignment="1" applyProtection="1">
      <alignment horizontal="center" vertical="center"/>
    </xf>
    <xf numFmtId="177" fontId="20" fillId="27" borderId="105" xfId="33" applyNumberFormat="1" applyFont="1" applyFill="1" applyBorder="1" applyAlignment="1" applyProtection="1">
      <alignment horizontal="center" wrapText="1"/>
    </xf>
    <xf numFmtId="177" fontId="20" fillId="27" borderId="77" xfId="33" applyNumberFormat="1" applyFont="1" applyFill="1" applyBorder="1" applyAlignment="1" applyProtection="1">
      <alignment horizontal="center" wrapText="1"/>
    </xf>
    <xf numFmtId="49" fontId="20" fillId="24" borderId="107" xfId="33" applyNumberFormat="1" applyFont="1" applyFill="1" applyBorder="1" applyAlignment="1" applyProtection="1">
      <alignment horizontal="center" vertical="center"/>
    </xf>
    <xf numFmtId="49" fontId="20" fillId="24" borderId="77" xfId="33" applyNumberFormat="1" applyFont="1" applyFill="1" applyBorder="1" applyAlignment="1" applyProtection="1">
      <alignment horizontal="center" vertical="center"/>
    </xf>
    <xf numFmtId="177" fontId="20" fillId="27" borderId="77" xfId="33" applyNumberFormat="1" applyFont="1" applyFill="1" applyBorder="1" applyAlignment="1" applyProtection="1">
      <alignment horizontal="left" wrapText="1"/>
    </xf>
    <xf numFmtId="166" fontId="0" fillId="24" borderId="38" xfId="35" applyFont="1" applyFill="1" applyBorder="1" applyAlignment="1" applyProtection="1">
      <alignment horizontal="center" vertical="center" wrapText="1"/>
    </xf>
    <xf numFmtId="166" fontId="50" fillId="24" borderId="76" xfId="35" applyFill="1" applyBorder="1" applyAlignment="1" applyProtection="1">
      <alignment horizontal="center" vertical="center" wrapText="1"/>
    </xf>
    <xf numFmtId="166" fontId="0" fillId="24" borderId="38" xfId="35" applyFont="1" applyFill="1" applyBorder="1" applyAlignment="1" applyProtection="1">
      <alignment vertical="center"/>
    </xf>
    <xf numFmtId="166" fontId="0" fillId="24" borderId="17" xfId="35" applyFont="1" applyFill="1" applyBorder="1" applyAlignment="1" applyProtection="1">
      <alignment vertical="center"/>
    </xf>
    <xf numFmtId="166" fontId="0" fillId="24" borderId="97" xfId="35" applyFont="1" applyFill="1" applyBorder="1" applyAlignment="1" applyProtection="1">
      <alignment vertical="center"/>
    </xf>
    <xf numFmtId="49" fontId="20" fillId="24" borderId="108" xfId="33" applyNumberFormat="1" applyFont="1" applyFill="1" applyBorder="1" applyAlignment="1" applyProtection="1">
      <alignment horizontal="center" vertical="center"/>
    </xf>
    <xf numFmtId="177" fontId="43" fillId="24" borderId="91" xfId="33" applyNumberFormat="1" applyFont="1" applyFill="1" applyBorder="1" applyAlignment="1" applyProtection="1">
      <alignment vertical="center"/>
    </xf>
    <xf numFmtId="49" fontId="20" fillId="24" borderId="86" xfId="33" applyNumberFormat="1" applyFont="1" applyFill="1" applyBorder="1" applyAlignment="1" applyProtection="1">
      <alignment horizontal="center" vertical="center"/>
    </xf>
    <xf numFmtId="177" fontId="0" fillId="24" borderId="109" xfId="33" applyNumberFormat="1" applyFont="1" applyFill="1" applyBorder="1" applyAlignment="1" applyProtection="1">
      <alignment horizontal="center" vertical="center" wrapText="1"/>
    </xf>
    <xf numFmtId="166" fontId="0" fillId="24" borderId="109" xfId="35" applyFont="1" applyFill="1" applyBorder="1" applyAlignment="1" applyProtection="1">
      <alignment horizontal="center" vertical="center" wrapText="1"/>
    </xf>
    <xf numFmtId="166" fontId="50" fillId="24" borderId="110" xfId="35" applyFill="1" applyBorder="1" applyAlignment="1" applyProtection="1">
      <alignment horizontal="center" vertical="center" wrapText="1"/>
    </xf>
    <xf numFmtId="166" fontId="0" fillId="24" borderId="59" xfId="35" applyFont="1" applyFill="1" applyBorder="1" applyAlignment="1" applyProtection="1">
      <alignment vertical="center"/>
    </xf>
    <xf numFmtId="166" fontId="0" fillId="24" borderId="111" xfId="35" applyFont="1" applyFill="1" applyBorder="1" applyAlignment="1" applyProtection="1">
      <alignment vertical="center"/>
    </xf>
    <xf numFmtId="166" fontId="0" fillId="24" borderId="109" xfId="35" applyFont="1" applyFill="1" applyBorder="1" applyAlignment="1" applyProtection="1">
      <alignment vertical="center"/>
    </xf>
    <xf numFmtId="166" fontId="0" fillId="24" borderId="112" xfId="35" applyFont="1" applyFill="1" applyBorder="1" applyAlignment="1" applyProtection="1">
      <alignment vertical="center"/>
    </xf>
    <xf numFmtId="166" fontId="0" fillId="24" borderId="113" xfId="35" applyFont="1" applyFill="1" applyBorder="1" applyAlignment="1" applyProtection="1">
      <alignment vertical="center"/>
    </xf>
    <xf numFmtId="177" fontId="0" fillId="24" borderId="114" xfId="33" applyNumberFormat="1" applyFont="1" applyFill="1" applyBorder="1" applyAlignment="1" applyProtection="1">
      <alignment horizontal="center" vertical="center" wrapText="1"/>
    </xf>
    <xf numFmtId="166" fontId="0" fillId="24" borderId="114" xfId="35" applyFont="1" applyFill="1" applyBorder="1" applyAlignment="1" applyProtection="1">
      <alignment horizontal="center" vertical="center" wrapText="1"/>
    </xf>
    <xf numFmtId="166" fontId="50" fillId="24" borderId="115" xfId="35" applyFill="1" applyBorder="1" applyAlignment="1" applyProtection="1">
      <alignment horizontal="center" vertical="center" wrapText="1"/>
    </xf>
    <xf numFmtId="166" fontId="0" fillId="24" borderId="73" xfId="35" applyFont="1" applyFill="1" applyBorder="1" applyAlignment="1" applyProtection="1">
      <alignment vertical="center"/>
    </xf>
    <xf numFmtId="166" fontId="0" fillId="24" borderId="116" xfId="35" applyFont="1" applyFill="1" applyBorder="1" applyAlignment="1" applyProtection="1">
      <alignment vertical="center"/>
    </xf>
    <xf numFmtId="166" fontId="0" fillId="24" borderId="114" xfId="35" applyFont="1" applyFill="1" applyBorder="1" applyAlignment="1" applyProtection="1">
      <alignment vertical="center"/>
    </xf>
    <xf numFmtId="166" fontId="0" fillId="24" borderId="117" xfId="35" applyFont="1" applyFill="1" applyBorder="1" applyAlignment="1" applyProtection="1">
      <alignment vertical="center"/>
    </xf>
    <xf numFmtId="166" fontId="0" fillId="24" borderId="118" xfId="35" applyFont="1" applyFill="1" applyBorder="1" applyAlignment="1" applyProtection="1">
      <alignment vertical="center"/>
    </xf>
    <xf numFmtId="166" fontId="0" fillId="24" borderId="119" xfId="35" applyFont="1" applyFill="1" applyBorder="1" applyAlignment="1" applyProtection="1">
      <alignment vertical="center"/>
    </xf>
    <xf numFmtId="0" fontId="22" fillId="28" borderId="74" xfId="0" applyFont="1" applyFill="1" applyBorder="1" applyAlignment="1">
      <alignment horizontal="center"/>
    </xf>
    <xf numFmtId="0" fontId="22" fillId="28" borderId="61" xfId="0" applyFont="1" applyFill="1" applyBorder="1" applyAlignment="1">
      <alignment horizontal="center"/>
    </xf>
    <xf numFmtId="0" fontId="22" fillId="28" borderId="122" xfId="0" applyFont="1" applyFill="1" applyBorder="1" applyAlignment="1">
      <alignment horizontal="center"/>
    </xf>
    <xf numFmtId="49" fontId="25" fillId="0" borderId="72" xfId="33" applyNumberFormat="1" applyFont="1" applyFill="1" applyBorder="1" applyAlignment="1" applyProtection="1">
      <alignment horizontal="left" vertical="center"/>
    </xf>
    <xf numFmtId="49" fontId="25" fillId="0" borderId="72" xfId="33" applyNumberFormat="1" applyFont="1" applyFill="1" applyBorder="1" applyAlignment="1" applyProtection="1">
      <alignment vertical="center"/>
    </xf>
    <xf numFmtId="176" fontId="25" fillId="26" borderId="113" xfId="35" applyNumberFormat="1" applyFont="1" applyFill="1" applyBorder="1" applyAlignment="1" applyProtection="1">
      <alignment vertical="center"/>
    </xf>
    <xf numFmtId="0" fontId="20" fillId="27" borderId="73" xfId="33" applyNumberFormat="1" applyFont="1" applyFill="1" applyBorder="1" applyAlignment="1" applyProtection="1">
      <alignment horizontal="center" vertical="center"/>
    </xf>
    <xf numFmtId="175" fontId="20" fillId="27" borderId="105" xfId="33" applyNumberFormat="1" applyFont="1" applyFill="1" applyBorder="1" applyAlignment="1" applyProtection="1">
      <alignment horizontal="center" vertical="center"/>
    </xf>
    <xf numFmtId="175" fontId="20" fillId="27" borderId="28" xfId="33" applyNumberFormat="1" applyFont="1" applyFill="1" applyBorder="1" applyAlignment="1" applyProtection="1">
      <alignment horizontal="center" vertical="center"/>
    </xf>
    <xf numFmtId="1" fontId="20" fillId="48" borderId="72" xfId="33" applyNumberFormat="1" applyFont="1" applyFill="1" applyBorder="1" applyAlignment="1" applyProtection="1">
      <alignment horizontal="center" vertical="center"/>
    </xf>
    <xf numFmtId="0" fontId="0" fillId="26" borderId="0" xfId="0" applyFill="1" applyAlignment="1">
      <alignment horizontal="left" vertical="center"/>
    </xf>
    <xf numFmtId="175" fontId="20" fillId="27" borderId="123" xfId="33" applyNumberFormat="1" applyFont="1" applyFill="1" applyBorder="1" applyAlignment="1" applyProtection="1">
      <alignment horizontal="center" vertical="center" wrapText="1"/>
    </xf>
    <xf numFmtId="175" fontId="41" fillId="27" borderId="18" xfId="33" applyNumberFormat="1" applyFont="1" applyFill="1" applyBorder="1" applyAlignment="1" applyProtection="1">
      <alignment horizontal="center" vertical="center" wrapText="1"/>
    </xf>
    <xf numFmtId="166" fontId="50" fillId="26" borderId="24" xfId="35" applyFill="1" applyBorder="1" applyAlignment="1">
      <alignment horizontal="center" vertical="center" wrapText="1"/>
    </xf>
    <xf numFmtId="166" fontId="25" fillId="0" borderId="124" xfId="35" applyFont="1" applyFill="1" applyBorder="1" applyAlignment="1" applyProtection="1">
      <alignment horizontal="center" vertical="center" wrapText="1"/>
    </xf>
    <xf numFmtId="0" fontId="50" fillId="26" borderId="34" xfId="33" applyNumberFormat="1" applyFill="1" applyBorder="1" applyAlignment="1" applyProtection="1">
      <alignment horizontal="left" vertical="center" wrapText="1"/>
    </xf>
    <xf numFmtId="0" fontId="86" fillId="26" borderId="51" xfId="0" applyFont="1" applyFill="1" applyBorder="1" applyAlignment="1">
      <alignment horizontal="left" wrapText="1"/>
    </xf>
    <xf numFmtId="0" fontId="50" fillId="26" borderId="56" xfId="39" applyFill="1" applyBorder="1" applyAlignment="1">
      <alignment horizontal="center" vertical="center" wrapText="1"/>
    </xf>
    <xf numFmtId="0" fontId="50" fillId="26" borderId="79" xfId="39" applyFill="1" applyBorder="1" applyAlignment="1">
      <alignment horizontal="center" vertical="center" wrapText="1"/>
    </xf>
    <xf numFmtId="49" fontId="50" fillId="26" borderId="79" xfId="39" applyNumberFormat="1" applyFill="1" applyBorder="1" applyAlignment="1">
      <alignment horizontal="center" vertical="center" wrapText="1"/>
    </xf>
    <xf numFmtId="0" fontId="20" fillId="49" borderId="79" xfId="39" applyFont="1" applyFill="1" applyBorder="1" applyAlignment="1">
      <alignment horizontal="center" vertical="center"/>
    </xf>
    <xf numFmtId="0" fontId="50" fillId="49" borderId="38" xfId="39" applyFill="1" applyBorder="1" applyAlignment="1">
      <alignment horizontal="center" vertical="center" wrapText="1"/>
    </xf>
    <xf numFmtId="0" fontId="50" fillId="49" borderId="17" xfId="39" applyFill="1" applyBorder="1" applyAlignment="1">
      <alignment horizontal="center" vertical="center" wrapText="1"/>
    </xf>
    <xf numFmtId="49" fontId="50" fillId="49" borderId="17" xfId="39" applyNumberFormat="1" applyFill="1" applyBorder="1" applyAlignment="1">
      <alignment horizontal="center" vertical="center" wrapText="1"/>
    </xf>
    <xf numFmtId="0" fontId="20" fillId="49" borderId="17" xfId="39" applyFont="1" applyFill="1" applyBorder="1" applyAlignment="1">
      <alignment horizontal="center" vertical="center" wrapText="1"/>
    </xf>
    <xf numFmtId="0" fontId="86" fillId="26" borderId="18" xfId="0" applyFont="1" applyFill="1" applyBorder="1" applyAlignment="1">
      <alignment horizontal="left" wrapText="1"/>
    </xf>
    <xf numFmtId="177" fontId="50" fillId="26" borderId="59" xfId="33" applyNumberFormat="1" applyFill="1" applyBorder="1" applyAlignment="1" applyProtection="1">
      <alignment horizontal="left" vertical="center" wrapText="1"/>
    </xf>
    <xf numFmtId="177" fontId="50" fillId="28" borderId="16" xfId="33" applyNumberFormat="1" applyFill="1" applyBorder="1" applyAlignment="1" applyProtection="1">
      <alignment horizontal="center" vertical="center" wrapText="1"/>
    </xf>
    <xf numFmtId="166" fontId="50" fillId="28" borderId="16" xfId="35" applyFill="1" applyBorder="1" applyAlignment="1" applyProtection="1">
      <alignment horizontal="center" vertical="center" wrapText="1"/>
    </xf>
    <xf numFmtId="166" fontId="50" fillId="28" borderId="20" xfId="35" applyFill="1" applyBorder="1" applyAlignment="1" applyProtection="1">
      <alignment horizontal="center" vertical="center" wrapText="1"/>
    </xf>
    <xf numFmtId="166" fontId="50" fillId="28" borderId="15" xfId="35" applyFill="1" applyBorder="1" applyAlignment="1" applyProtection="1">
      <alignment vertical="center"/>
    </xf>
    <xf numFmtId="166" fontId="50" fillId="28" borderId="14" xfId="35" applyFill="1" applyBorder="1" applyAlignment="1" applyProtection="1">
      <alignment vertical="center"/>
    </xf>
    <xf numFmtId="166" fontId="50" fillId="28" borderId="16" xfId="35" applyFill="1" applyBorder="1" applyAlignment="1" applyProtection="1">
      <alignment vertical="center"/>
    </xf>
    <xf numFmtId="166" fontId="50" fillId="28" borderId="17" xfId="35" applyFill="1" applyBorder="1" applyAlignment="1" applyProtection="1">
      <alignment vertical="center"/>
    </xf>
    <xf numFmtId="166" fontId="50" fillId="28" borderId="13" xfId="35" applyFill="1" applyBorder="1" applyAlignment="1" applyProtection="1">
      <alignment vertical="center"/>
    </xf>
    <xf numFmtId="166" fontId="50" fillId="28" borderId="67" xfId="35" applyFill="1" applyBorder="1" applyAlignment="1" applyProtection="1">
      <alignment vertical="center"/>
    </xf>
    <xf numFmtId="175" fontId="33" fillId="27" borderId="13" xfId="33" applyNumberFormat="1" applyFont="1" applyFill="1" applyBorder="1" applyAlignment="1" applyProtection="1">
      <alignment horizontal="center" vertical="center" wrapText="1"/>
    </xf>
    <xf numFmtId="175" fontId="33" fillId="27" borderId="20" xfId="33" applyNumberFormat="1" applyFont="1" applyFill="1" applyBorder="1" applyAlignment="1" applyProtection="1">
      <alignment horizontal="center" vertical="center" wrapText="1"/>
    </xf>
    <xf numFmtId="175" fontId="33" fillId="27" borderId="16" xfId="33" applyNumberFormat="1" applyFont="1" applyFill="1" applyBorder="1" applyAlignment="1" applyProtection="1">
      <alignment horizontal="center" vertical="center" wrapText="1"/>
    </xf>
    <xf numFmtId="166" fontId="0" fillId="24" borderId="34" xfId="35" applyFont="1" applyFill="1" applyBorder="1" applyAlignment="1" applyProtection="1">
      <alignment vertical="center"/>
    </xf>
    <xf numFmtId="49" fontId="20" fillId="24" borderId="62" xfId="33" applyNumberFormat="1" applyFont="1" applyFill="1" applyBorder="1" applyAlignment="1" applyProtection="1">
      <alignment horizontal="center" vertical="center"/>
    </xf>
    <xf numFmtId="177" fontId="0" fillId="24" borderId="39" xfId="33" applyNumberFormat="1" applyFont="1" applyFill="1" applyBorder="1" applyAlignment="1" applyProtection="1">
      <alignment horizontal="center" vertical="center" wrapText="1"/>
    </xf>
    <xf numFmtId="166" fontId="0" fillId="24" borderId="39" xfId="35" applyFont="1" applyFill="1" applyBorder="1" applyAlignment="1" applyProtection="1">
      <alignment horizontal="center" vertical="center" wrapText="1"/>
    </xf>
    <xf numFmtId="166" fontId="50" fillId="24" borderId="125" xfId="35" applyFill="1" applyBorder="1" applyAlignment="1" applyProtection="1">
      <alignment horizontal="center" vertical="center" wrapText="1"/>
    </xf>
    <xf numFmtId="166" fontId="0" fillId="24" borderId="126" xfId="35" applyFont="1" applyFill="1" applyBorder="1" applyAlignment="1" applyProtection="1">
      <alignment vertical="center"/>
    </xf>
    <xf numFmtId="166" fontId="0" fillId="24" borderId="127" xfId="35" applyFont="1" applyFill="1" applyBorder="1" applyAlignment="1" applyProtection="1">
      <alignment vertical="center"/>
    </xf>
    <xf numFmtId="166" fontId="0" fillId="24" borderId="39" xfId="35" applyFont="1" applyFill="1" applyBorder="1" applyAlignment="1" applyProtection="1">
      <alignment vertical="center"/>
    </xf>
    <xf numFmtId="166" fontId="0" fillId="24" borderId="79" xfId="35" applyFont="1" applyFill="1" applyBorder="1" applyAlignment="1" applyProtection="1">
      <alignment vertical="center"/>
    </xf>
    <xf numFmtId="166" fontId="0" fillId="24" borderId="128" xfId="35" applyFont="1" applyFill="1" applyBorder="1" applyAlignment="1" applyProtection="1">
      <alignment vertical="center"/>
    </xf>
    <xf numFmtId="166" fontId="0" fillId="24" borderId="99" xfId="35" applyFont="1" applyFill="1" applyBorder="1" applyAlignment="1" applyProtection="1">
      <alignment vertical="center"/>
    </xf>
    <xf numFmtId="177" fontId="0" fillId="24" borderId="34" xfId="33" applyNumberFormat="1" applyFont="1" applyFill="1" applyBorder="1" applyAlignment="1" applyProtection="1">
      <alignment horizontal="center" vertical="center" wrapText="1"/>
    </xf>
    <xf numFmtId="166" fontId="50" fillId="24" borderId="34" xfId="35" applyFill="1" applyBorder="1" applyAlignment="1" applyProtection="1">
      <alignment horizontal="center" vertical="center" wrapText="1"/>
    </xf>
    <xf numFmtId="177" fontId="50" fillId="28" borderId="10" xfId="33" applyNumberFormat="1" applyFill="1" applyBorder="1" applyAlignment="1" applyProtection="1">
      <alignment vertical="center" wrapText="1"/>
    </xf>
    <xf numFmtId="166" fontId="50" fillId="28" borderId="71" xfId="35" applyFill="1" applyBorder="1" applyAlignment="1" applyProtection="1">
      <alignment vertical="center"/>
    </xf>
    <xf numFmtId="166" fontId="50" fillId="24" borderId="21" xfId="35" applyFill="1" applyBorder="1" applyAlignment="1" applyProtection="1">
      <alignment horizontal="center" vertical="center" wrapText="1"/>
    </xf>
    <xf numFmtId="177" fontId="0" fillId="24" borderId="21" xfId="33" applyNumberFormat="1" applyFont="1" applyFill="1" applyBorder="1" applyAlignment="1" applyProtection="1">
      <alignment vertical="center" wrapText="1"/>
    </xf>
    <xf numFmtId="166" fontId="0" fillId="24" borderId="21" xfId="35" applyFont="1" applyFill="1" applyBorder="1" applyAlignment="1" applyProtection="1">
      <alignment vertical="center"/>
    </xf>
    <xf numFmtId="166" fontId="0" fillId="24" borderId="96" xfId="35" applyFont="1" applyFill="1" applyBorder="1" applyAlignment="1" applyProtection="1">
      <alignment vertical="center"/>
    </xf>
    <xf numFmtId="1" fontId="20" fillId="51" borderId="48" xfId="0" applyNumberFormat="1" applyFont="1" applyFill="1" applyBorder="1"/>
    <xf numFmtId="43" fontId="20" fillId="51" borderId="48" xfId="0" applyNumberFormat="1" applyFont="1" applyFill="1" applyBorder="1"/>
    <xf numFmtId="177" fontId="0" fillId="24" borderId="18" xfId="33" applyNumberFormat="1" applyFont="1" applyFill="1" applyBorder="1" applyAlignment="1" applyProtection="1">
      <alignment vertical="center" wrapText="1"/>
    </xf>
    <xf numFmtId="177" fontId="50" fillId="63" borderId="18" xfId="33" applyNumberFormat="1" applyFill="1" applyBorder="1" applyAlignment="1" applyProtection="1">
      <alignment vertical="center" wrapText="1"/>
    </xf>
    <xf numFmtId="166" fontId="50" fillId="63" borderId="18" xfId="35" applyFill="1" applyBorder="1" applyAlignment="1" applyProtection="1">
      <alignment horizontal="center" vertical="center" wrapText="1"/>
    </xf>
    <xf numFmtId="1" fontId="50" fillId="63" borderId="18" xfId="33" applyNumberFormat="1" applyFill="1" applyBorder="1" applyAlignment="1" applyProtection="1">
      <alignment vertical="center"/>
    </xf>
    <xf numFmtId="166" fontId="50" fillId="60" borderId="18" xfId="35" applyFill="1" applyBorder="1" applyAlignment="1">
      <alignment vertical="center"/>
    </xf>
    <xf numFmtId="166" fontId="50" fillId="24" borderId="39" xfId="35" applyFill="1" applyBorder="1" applyAlignment="1" applyProtection="1">
      <alignment horizontal="center" vertical="center" wrapText="1"/>
    </xf>
    <xf numFmtId="166" fontId="50" fillId="24" borderId="49" xfId="35" applyFill="1" applyBorder="1" applyAlignment="1" applyProtection="1">
      <alignment horizontal="center" vertical="center" wrapText="1"/>
    </xf>
    <xf numFmtId="177" fontId="20" fillId="60" borderId="49" xfId="33" applyNumberFormat="1" applyFont="1" applyFill="1" applyBorder="1" applyAlignment="1" applyProtection="1">
      <alignment horizontal="center" vertical="center"/>
    </xf>
    <xf numFmtId="49" fontId="20" fillId="24" borderId="98" xfId="33" applyNumberFormat="1" applyFont="1" applyFill="1" applyBorder="1" applyAlignment="1" applyProtection="1">
      <alignment horizontal="center" vertical="center"/>
    </xf>
    <xf numFmtId="166" fontId="0" fillId="24" borderId="24" xfId="35" applyFont="1" applyFill="1" applyBorder="1" applyAlignment="1" applyProtection="1">
      <alignment vertical="center"/>
    </xf>
    <xf numFmtId="166" fontId="50" fillId="63" borderId="24" xfId="35" applyFill="1" applyBorder="1" applyAlignment="1" applyProtection="1">
      <alignment horizontal="center" vertical="center" wrapText="1"/>
    </xf>
    <xf numFmtId="166" fontId="50" fillId="60" borderId="24" xfId="35" applyFill="1" applyBorder="1" applyAlignment="1">
      <alignment vertical="center"/>
    </xf>
    <xf numFmtId="177" fontId="20" fillId="51" borderId="129" xfId="33" applyNumberFormat="1" applyFont="1" applyFill="1" applyBorder="1" applyAlignment="1" applyProtection="1">
      <alignment horizontal="center" vertical="center"/>
    </xf>
    <xf numFmtId="43" fontId="20" fillId="51" borderId="130" xfId="0" applyNumberFormat="1" applyFont="1" applyFill="1" applyBorder="1"/>
    <xf numFmtId="166" fontId="50" fillId="48" borderId="21" xfId="35" applyFill="1" applyBorder="1" applyAlignment="1" applyProtection="1">
      <alignment horizontal="center" vertical="center" wrapText="1"/>
    </xf>
    <xf numFmtId="177" fontId="50" fillId="48" borderId="21" xfId="33" applyNumberFormat="1" applyFill="1" applyBorder="1" applyAlignment="1" applyProtection="1">
      <alignment vertical="center" wrapText="1"/>
    </xf>
    <xf numFmtId="1" fontId="20" fillId="32" borderId="18" xfId="0" applyNumberFormat="1" applyFont="1" applyFill="1" applyBorder="1" applyAlignment="1">
      <alignment horizontal="center" vertical="center"/>
    </xf>
    <xf numFmtId="166" fontId="20" fillId="32" borderId="18" xfId="35" applyFont="1" applyFill="1" applyBorder="1" applyAlignment="1">
      <alignment horizontal="center" vertical="center" wrapText="1"/>
    </xf>
    <xf numFmtId="166" fontId="50" fillId="32" borderId="24" xfId="35" applyFill="1" applyBorder="1" applyAlignment="1">
      <alignment horizontal="center" vertical="center" wrapText="1"/>
    </xf>
    <xf numFmtId="49" fontId="20" fillId="0" borderId="26" xfId="0" applyNumberFormat="1" applyFont="1" applyBorder="1" applyAlignment="1">
      <alignment vertical="center"/>
    </xf>
    <xf numFmtId="166" fontId="20" fillId="32" borderId="24" xfId="35" applyFont="1" applyFill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left" vertical="center"/>
    </xf>
    <xf numFmtId="3" fontId="20" fillId="0" borderId="18" xfId="33" applyNumberFormat="1" applyFont="1" applyBorder="1" applyAlignment="1">
      <alignment horizontal="center" vertical="center" wrapText="1"/>
    </xf>
    <xf numFmtId="166" fontId="20" fillId="0" borderId="18" xfId="35" applyFont="1" applyBorder="1" applyAlignment="1">
      <alignment horizontal="center" vertical="center" wrapText="1"/>
    </xf>
    <xf numFmtId="49" fontId="43" fillId="0" borderId="0" xfId="33" applyNumberFormat="1" applyFont="1" applyFill="1" applyBorder="1" applyAlignment="1" applyProtection="1">
      <alignment vertical="center"/>
    </xf>
    <xf numFmtId="177" fontId="43" fillId="24" borderId="0" xfId="33" applyNumberFormat="1" applyFont="1" applyFill="1" applyBorder="1" applyAlignment="1" applyProtection="1">
      <alignment vertical="center"/>
    </xf>
    <xf numFmtId="175" fontId="20" fillId="24" borderId="62" xfId="33" applyNumberFormat="1" applyFont="1" applyFill="1" applyBorder="1" applyAlignment="1" applyProtection="1">
      <alignment vertical="center"/>
    </xf>
    <xf numFmtId="175" fontId="20" fillId="24" borderId="0" xfId="33" applyNumberFormat="1" applyFont="1" applyFill="1" applyBorder="1" applyAlignment="1" applyProtection="1">
      <alignment vertical="center"/>
    </xf>
    <xf numFmtId="43" fontId="22" fillId="38" borderId="24" xfId="35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166" fontId="20" fillId="26" borderId="60" xfId="35" applyFont="1" applyFill="1" applyBorder="1" applyAlignment="1">
      <alignment horizontal="center" vertical="center" wrapText="1"/>
    </xf>
    <xf numFmtId="167" fontId="77" fillId="64" borderId="0" xfId="0" applyNumberFormat="1" applyFont="1" applyFill="1" applyAlignment="1">
      <alignment wrapText="1"/>
    </xf>
    <xf numFmtId="167" fontId="77" fillId="47" borderId="0" xfId="0" applyNumberFormat="1" applyFont="1" applyFill="1" applyAlignment="1">
      <alignment wrapText="1"/>
    </xf>
    <xf numFmtId="49" fontId="48" fillId="26" borderId="74" xfId="33" applyNumberFormat="1" applyFont="1" applyFill="1" applyBorder="1" applyAlignment="1" applyProtection="1">
      <alignment horizontal="center" vertical="center"/>
    </xf>
    <xf numFmtId="49" fontId="20" fillId="24" borderId="105" xfId="33" applyNumberFormat="1" applyFont="1" applyFill="1" applyBorder="1" applyAlignment="1" applyProtection="1">
      <alignment horizontal="center" vertical="center" wrapText="1"/>
    </xf>
    <xf numFmtId="49" fontId="20" fillId="24" borderId="148" xfId="33" applyNumberFormat="1" applyFont="1" applyFill="1" applyBorder="1" applyAlignment="1" applyProtection="1">
      <alignment horizontal="center" vertical="center"/>
    </xf>
    <xf numFmtId="177" fontId="43" fillId="24" borderId="134" xfId="33" applyNumberFormat="1" applyFont="1" applyFill="1" applyBorder="1" applyAlignment="1" applyProtection="1">
      <alignment vertical="center"/>
    </xf>
    <xf numFmtId="177" fontId="43" fillId="24" borderId="87" xfId="33" applyNumberFormat="1" applyFont="1" applyFill="1" applyBorder="1" applyAlignment="1" applyProtection="1">
      <alignment vertical="center"/>
    </xf>
    <xf numFmtId="0" fontId="18" fillId="24" borderId="0" xfId="0" applyFont="1" applyFill="1" applyAlignment="1">
      <alignment horizontal="center"/>
    </xf>
    <xf numFmtId="0" fontId="29" fillId="24" borderId="0" xfId="0" applyFont="1" applyFill="1" applyAlignment="1">
      <alignment horizontal="center"/>
    </xf>
    <xf numFmtId="0" fontId="26" fillId="24" borderId="120" xfId="0" applyFont="1" applyFill="1" applyBorder="1"/>
    <xf numFmtId="0" fontId="26" fillId="24" borderId="121" xfId="0" applyFont="1" applyFill="1" applyBorder="1"/>
    <xf numFmtId="0" fontId="26" fillId="24" borderId="0" xfId="0" applyFont="1" applyFill="1"/>
    <xf numFmtId="0" fontId="26" fillId="24" borderId="66" xfId="0" applyFont="1" applyFill="1" applyBorder="1"/>
    <xf numFmtId="166" fontId="20" fillId="59" borderId="24" xfId="35" applyFont="1" applyFill="1" applyBorder="1" applyAlignment="1" applyProtection="1">
      <alignment vertical="center"/>
    </xf>
    <xf numFmtId="166" fontId="20" fillId="61" borderId="24" xfId="35" applyFont="1" applyFill="1" applyBorder="1" applyAlignment="1" applyProtection="1">
      <alignment vertical="center"/>
    </xf>
    <xf numFmtId="166" fontId="20" fillId="26" borderId="130" xfId="35" applyFont="1" applyFill="1" applyBorder="1" applyAlignment="1" applyProtection="1">
      <alignment vertical="center"/>
    </xf>
    <xf numFmtId="166" fontId="20" fillId="59" borderId="45" xfId="35" applyFont="1" applyFill="1" applyBorder="1" applyAlignment="1" applyProtection="1">
      <alignment vertical="center"/>
    </xf>
    <xf numFmtId="166" fontId="20" fillId="62" borderId="24" xfId="35" applyFont="1" applyFill="1" applyBorder="1" applyAlignment="1" applyProtection="1">
      <alignment vertical="center"/>
    </xf>
    <xf numFmtId="177" fontId="20" fillId="26" borderId="62" xfId="33" applyNumberFormat="1" applyFont="1" applyFill="1" applyBorder="1" applyAlignment="1" applyProtection="1">
      <alignment vertical="center" wrapText="1"/>
    </xf>
    <xf numFmtId="166" fontId="20" fillId="26" borderId="94" xfId="35" applyFont="1" applyFill="1" applyBorder="1" applyAlignment="1" applyProtection="1">
      <alignment horizontal="center" vertical="center" wrapText="1"/>
    </xf>
    <xf numFmtId="168" fontId="0" fillId="26" borderId="91" xfId="0" applyNumberFormat="1" applyFill="1" applyBorder="1" applyAlignment="1">
      <alignment horizontal="center" vertical="center"/>
    </xf>
    <xf numFmtId="177" fontId="50" fillId="26" borderId="73" xfId="33" applyNumberFormat="1" applyFill="1" applyBorder="1" applyAlignment="1" applyProtection="1">
      <alignment horizontal="left" vertical="center" wrapText="1"/>
    </xf>
    <xf numFmtId="2" fontId="50" fillId="26" borderId="73" xfId="33" applyNumberFormat="1" applyFill="1" applyBorder="1" applyAlignment="1" applyProtection="1">
      <alignment horizontal="center" vertical="center" wrapText="1"/>
    </xf>
    <xf numFmtId="166" fontId="50" fillId="26" borderId="73" xfId="35" applyFill="1" applyBorder="1" applyAlignment="1" applyProtection="1">
      <alignment vertical="center"/>
    </xf>
    <xf numFmtId="166" fontId="50" fillId="26" borderId="75" xfId="35" applyFill="1" applyBorder="1" applyAlignment="1" applyProtection="1">
      <alignment horizontal="center" vertical="center" wrapText="1"/>
    </xf>
    <xf numFmtId="2" fontId="20" fillId="59" borderId="34" xfId="33" applyNumberFormat="1" applyFont="1" applyFill="1" applyBorder="1" applyAlignment="1" applyProtection="1">
      <alignment horizontal="center" vertical="center" wrapText="1"/>
    </xf>
    <xf numFmtId="166" fontId="20" fillId="59" borderId="34" xfId="35" applyFont="1" applyFill="1" applyBorder="1" applyAlignment="1" applyProtection="1">
      <alignment vertical="center"/>
    </xf>
    <xf numFmtId="166" fontId="20" fillId="59" borderId="90" xfId="35" applyFont="1" applyFill="1" applyBorder="1" applyAlignment="1" applyProtection="1">
      <alignment vertical="center"/>
    </xf>
    <xf numFmtId="177" fontId="20" fillId="26" borderId="47" xfId="33" applyNumberFormat="1" applyFont="1" applyFill="1" applyBorder="1" applyAlignment="1" applyProtection="1">
      <alignment horizontal="center" vertical="center" wrapText="1"/>
    </xf>
    <xf numFmtId="1" fontId="20" fillId="26" borderId="47" xfId="35" applyNumberFormat="1" applyFont="1" applyFill="1" applyBorder="1" applyAlignment="1" applyProtection="1">
      <alignment horizontal="center" vertical="center" wrapText="1"/>
    </xf>
    <xf numFmtId="49" fontId="48" fillId="26" borderId="62" xfId="33" applyNumberFormat="1" applyFont="1" applyFill="1" applyBorder="1" applyAlignment="1" applyProtection="1">
      <alignment horizontal="center" vertical="center"/>
    </xf>
    <xf numFmtId="177" fontId="20" fillId="26" borderId="18" xfId="33" applyNumberFormat="1" applyFont="1" applyFill="1" applyBorder="1" applyAlignment="1" applyProtection="1">
      <alignment horizontal="left" vertical="center" wrapText="1"/>
    </xf>
    <xf numFmtId="2" fontId="20" fillId="26" borderId="18" xfId="33" applyNumberFormat="1" applyFont="1" applyFill="1" applyBorder="1" applyAlignment="1" applyProtection="1">
      <alignment horizontal="center" vertical="center" wrapText="1"/>
    </xf>
    <xf numFmtId="166" fontId="20" fillId="26" borderId="18" xfId="35" applyFont="1" applyFill="1" applyBorder="1" applyAlignment="1" applyProtection="1">
      <alignment vertical="center"/>
    </xf>
    <xf numFmtId="177" fontId="20" fillId="26" borderId="57" xfId="33" applyNumberFormat="1" applyFont="1" applyFill="1" applyBorder="1" applyAlignment="1" applyProtection="1">
      <alignment horizontal="center" vertical="center" wrapText="1"/>
    </xf>
    <xf numFmtId="177" fontId="20" fillId="26" borderId="26" xfId="33" applyNumberFormat="1" applyFont="1" applyFill="1" applyBorder="1" applyAlignment="1" applyProtection="1">
      <alignment horizontal="center" vertical="center" wrapText="1"/>
    </xf>
    <xf numFmtId="177" fontId="20" fillId="26" borderId="58" xfId="33" applyNumberFormat="1" applyFont="1" applyFill="1" applyBorder="1" applyAlignment="1" applyProtection="1">
      <alignment horizontal="center" vertical="center" wrapText="1"/>
    </xf>
    <xf numFmtId="2" fontId="50" fillId="26" borderId="59" xfId="33" applyNumberFormat="1" applyFill="1" applyBorder="1" applyAlignment="1" applyProtection="1">
      <alignment horizontal="center" vertical="center" wrapText="1"/>
    </xf>
    <xf numFmtId="166" fontId="50" fillId="26" borderId="33" xfId="35" applyFill="1" applyBorder="1" applyAlignment="1" applyProtection="1">
      <alignment horizontal="center" vertical="center" wrapText="1"/>
    </xf>
    <xf numFmtId="177" fontId="20" fillId="62" borderId="59" xfId="33" applyNumberFormat="1" applyFont="1" applyFill="1" applyBorder="1" applyAlignment="1" applyProtection="1">
      <alignment horizontal="left" vertical="center" wrapText="1"/>
    </xf>
    <xf numFmtId="2" fontId="20" fillId="62" borderId="59" xfId="33" applyNumberFormat="1" applyFont="1" applyFill="1" applyBorder="1" applyAlignment="1" applyProtection="1">
      <alignment horizontal="center" vertical="center" wrapText="1"/>
    </xf>
    <xf numFmtId="166" fontId="20" fillId="62" borderId="59" xfId="35" applyFont="1" applyFill="1" applyBorder="1" applyAlignment="1" applyProtection="1">
      <alignment vertical="center"/>
    </xf>
    <xf numFmtId="166" fontId="20" fillId="62" borderId="33" xfId="35" applyFont="1" applyFill="1" applyBorder="1" applyAlignment="1" applyProtection="1">
      <alignment vertical="center"/>
    </xf>
    <xf numFmtId="49" fontId="48" fillId="26" borderId="179" xfId="33" applyNumberFormat="1" applyFont="1" applyFill="1" applyBorder="1" applyAlignment="1" applyProtection="1">
      <alignment vertical="center"/>
    </xf>
    <xf numFmtId="177" fontId="20" fillId="26" borderId="84" xfId="33" applyNumberFormat="1" applyFont="1" applyFill="1" applyBorder="1" applyAlignment="1" applyProtection="1">
      <alignment horizontal="center" vertical="center" wrapText="1"/>
    </xf>
    <xf numFmtId="177" fontId="20" fillId="59" borderId="48" xfId="33" applyNumberFormat="1" applyFont="1" applyFill="1" applyBorder="1" applyAlignment="1" applyProtection="1">
      <alignment horizontal="left" vertical="center" wrapText="1"/>
    </xf>
    <xf numFmtId="2" fontId="20" fillId="59" borderId="48" xfId="33" applyNumberFormat="1" applyFont="1" applyFill="1" applyBorder="1" applyAlignment="1" applyProtection="1">
      <alignment horizontal="center" vertical="center" wrapText="1"/>
    </xf>
    <xf numFmtId="166" fontId="20" fillId="59" borderId="48" xfId="35" applyFont="1" applyFill="1" applyBorder="1" applyAlignment="1" applyProtection="1">
      <alignment vertical="center"/>
    </xf>
    <xf numFmtId="166" fontId="20" fillId="59" borderId="130" xfId="35" applyFont="1" applyFill="1" applyBorder="1" applyAlignment="1" applyProtection="1">
      <alignment vertical="center"/>
    </xf>
    <xf numFmtId="166" fontId="20" fillId="26" borderId="24" xfId="35" applyFont="1" applyFill="1" applyBorder="1" applyAlignment="1" applyProtection="1">
      <alignment vertical="center"/>
    </xf>
    <xf numFmtId="177" fontId="20" fillId="26" borderId="68" xfId="33" applyNumberFormat="1" applyFont="1" applyFill="1" applyBorder="1" applyAlignment="1" applyProtection="1">
      <alignment horizontal="center" vertical="center" wrapText="1"/>
    </xf>
    <xf numFmtId="177" fontId="20" fillId="26" borderId="34" xfId="33" applyNumberFormat="1" applyFont="1" applyFill="1" applyBorder="1" applyAlignment="1" applyProtection="1">
      <alignment horizontal="left" vertical="center" wrapText="1"/>
    </xf>
    <xf numFmtId="2" fontId="20" fillId="26" borderId="34" xfId="33" applyNumberFormat="1" applyFont="1" applyFill="1" applyBorder="1" applyAlignment="1" applyProtection="1">
      <alignment horizontal="center" vertical="center" wrapText="1"/>
    </xf>
    <xf numFmtId="166" fontId="20" fillId="26" borderId="34" xfId="35" applyFont="1" applyFill="1" applyBorder="1" applyAlignment="1" applyProtection="1">
      <alignment vertical="center"/>
    </xf>
    <xf numFmtId="166" fontId="20" fillId="26" borderId="90" xfId="35" applyFont="1" applyFill="1" applyBorder="1" applyAlignment="1" applyProtection="1">
      <alignment vertical="center"/>
    </xf>
    <xf numFmtId="2" fontId="41" fillId="60" borderId="73" xfId="33" applyNumberFormat="1" applyFont="1" applyFill="1" applyBorder="1" applyAlignment="1" applyProtection="1">
      <alignment vertical="center"/>
    </xf>
    <xf numFmtId="177" fontId="41" fillId="60" borderId="73" xfId="33" applyNumberFormat="1" applyFont="1" applyFill="1" applyBorder="1" applyAlignment="1" applyProtection="1">
      <alignment vertical="center"/>
    </xf>
    <xf numFmtId="177" fontId="41" fillId="60" borderId="75" xfId="33" applyNumberFormat="1" applyFont="1" applyFill="1" applyBorder="1" applyAlignment="1" applyProtection="1">
      <alignment vertical="center"/>
    </xf>
    <xf numFmtId="2" fontId="41" fillId="60" borderId="59" xfId="33" applyNumberFormat="1" applyFont="1" applyFill="1" applyBorder="1" applyAlignment="1" applyProtection="1">
      <alignment vertical="center"/>
    </xf>
    <xf numFmtId="177" fontId="41" fillId="60" borderId="59" xfId="33" applyNumberFormat="1" applyFont="1" applyFill="1" applyBorder="1" applyAlignment="1" applyProtection="1">
      <alignment vertical="center"/>
    </xf>
    <xf numFmtId="177" fontId="41" fillId="60" borderId="33" xfId="33" applyNumberFormat="1" applyFont="1" applyFill="1" applyBorder="1" applyAlignment="1" applyProtection="1">
      <alignment vertical="center"/>
    </xf>
    <xf numFmtId="166" fontId="50" fillId="26" borderId="90" xfId="35" applyFill="1" applyBorder="1" applyAlignment="1" applyProtection="1">
      <alignment horizontal="center" vertical="center" wrapText="1"/>
    </xf>
    <xf numFmtId="177" fontId="50" fillId="28" borderId="18" xfId="33" applyNumberFormat="1" applyFill="1" applyBorder="1" applyAlignment="1" applyProtection="1">
      <alignment horizontal="center" vertical="center" wrapText="1"/>
    </xf>
    <xf numFmtId="166" fontId="50" fillId="28" borderId="18" xfId="35" applyFill="1" applyBorder="1" applyAlignment="1" applyProtection="1">
      <alignment horizontal="center" vertical="center" wrapText="1"/>
    </xf>
    <xf numFmtId="166" fontId="0" fillId="28" borderId="18" xfId="35" applyFont="1" applyFill="1" applyBorder="1" applyAlignment="1" applyProtection="1">
      <alignment vertical="center"/>
    </xf>
    <xf numFmtId="177" fontId="0" fillId="28" borderId="18" xfId="33" applyNumberFormat="1" applyFont="1" applyFill="1" applyBorder="1" applyAlignment="1" applyProtection="1">
      <alignment horizontal="center" vertical="center" wrapText="1"/>
    </xf>
    <xf numFmtId="166" fontId="0" fillId="28" borderId="0" xfId="35" applyFont="1" applyFill="1" applyBorder="1" applyAlignment="1" applyProtection="1">
      <alignment vertical="center"/>
    </xf>
    <xf numFmtId="49" fontId="20" fillId="28" borderId="70" xfId="33" applyNumberFormat="1" applyFont="1" applyFill="1" applyBorder="1" applyAlignment="1" applyProtection="1">
      <alignment horizontal="center" vertical="center"/>
    </xf>
    <xf numFmtId="49" fontId="20" fillId="28" borderId="51" xfId="33" applyNumberFormat="1" applyFont="1" applyFill="1" applyBorder="1" applyAlignment="1" applyProtection="1">
      <alignment horizontal="center" vertical="center" wrapText="1"/>
    </xf>
    <xf numFmtId="177" fontId="0" fillId="24" borderId="73" xfId="33" applyNumberFormat="1" applyFont="1" applyFill="1" applyBorder="1" applyAlignment="1" applyProtection="1">
      <alignment horizontal="center" vertical="center" wrapText="1"/>
    </xf>
    <xf numFmtId="166" fontId="50" fillId="24" borderId="73" xfId="35" applyFill="1" applyBorder="1" applyAlignment="1" applyProtection="1">
      <alignment horizontal="center" vertical="center" wrapText="1"/>
    </xf>
    <xf numFmtId="166" fontId="0" fillId="24" borderId="75" xfId="35" applyFont="1" applyFill="1" applyBorder="1" applyAlignment="1" applyProtection="1">
      <alignment vertical="center"/>
    </xf>
    <xf numFmtId="166" fontId="50" fillId="28" borderId="24" xfId="35" applyFill="1" applyBorder="1" applyAlignment="1" applyProtection="1">
      <alignment vertical="center"/>
    </xf>
    <xf numFmtId="166" fontId="50" fillId="48" borderId="24" xfId="35" applyFill="1" applyBorder="1" applyAlignment="1" applyProtection="1">
      <alignment horizontal="center" vertical="center" wrapText="1"/>
    </xf>
    <xf numFmtId="166" fontId="20" fillId="37" borderId="130" xfId="35" applyFont="1" applyFill="1" applyBorder="1" applyAlignment="1" applyProtection="1">
      <alignment horizontal="center" vertical="center"/>
    </xf>
    <xf numFmtId="49" fontId="20" fillId="28" borderId="148" xfId="33" applyNumberFormat="1" applyFont="1" applyFill="1" applyBorder="1" applyAlignment="1" applyProtection="1">
      <alignment horizontal="center" vertical="center"/>
    </xf>
    <xf numFmtId="49" fontId="20" fillId="28" borderId="105" xfId="33" applyNumberFormat="1" applyFont="1" applyFill="1" applyBorder="1" applyAlignment="1" applyProtection="1">
      <alignment horizontal="center" vertical="center" wrapText="1"/>
    </xf>
    <xf numFmtId="177" fontId="50" fillId="28" borderId="73" xfId="33" applyNumberFormat="1" applyFill="1" applyBorder="1" applyAlignment="1" applyProtection="1">
      <alignment horizontal="center" vertical="center" wrapText="1"/>
    </xf>
    <xf numFmtId="166" fontId="50" fillId="28" borderId="73" xfId="35" applyFill="1" applyBorder="1" applyAlignment="1" applyProtection="1">
      <alignment horizontal="center" vertical="center" wrapText="1"/>
    </xf>
    <xf numFmtId="166" fontId="50" fillId="28" borderId="73" xfId="35" applyFill="1" applyBorder="1" applyAlignment="1" applyProtection="1">
      <alignment vertical="center"/>
    </xf>
    <xf numFmtId="166" fontId="50" fillId="28" borderId="75" xfId="35" applyFill="1" applyBorder="1" applyAlignment="1" applyProtection="1">
      <alignment vertical="center"/>
    </xf>
    <xf numFmtId="49" fontId="20" fillId="24" borderId="52" xfId="33" applyNumberFormat="1" applyFont="1" applyFill="1" applyBorder="1" applyAlignment="1" applyProtection="1">
      <alignment horizontal="center" vertical="center"/>
    </xf>
    <xf numFmtId="49" fontId="20" fillId="24" borderId="48" xfId="33" applyNumberFormat="1" applyFont="1" applyFill="1" applyBorder="1" applyAlignment="1" applyProtection="1">
      <alignment horizontal="center" vertical="center" wrapText="1"/>
    </xf>
    <xf numFmtId="177" fontId="0" fillId="24" borderId="59" xfId="33" applyNumberFormat="1" applyFont="1" applyFill="1" applyBorder="1" applyAlignment="1" applyProtection="1">
      <alignment horizontal="center" vertical="center" wrapText="1"/>
    </xf>
    <xf numFmtId="166" fontId="50" fillId="24" borderId="59" xfId="35" applyFill="1" applyBorder="1" applyAlignment="1" applyProtection="1">
      <alignment horizontal="center" vertical="center" wrapText="1"/>
    </xf>
    <xf numFmtId="166" fontId="0" fillId="24" borderId="33" xfId="35" applyFont="1" applyFill="1" applyBorder="1" applyAlignment="1" applyProtection="1">
      <alignment vertical="center"/>
    </xf>
    <xf numFmtId="49" fontId="20" fillId="24" borderId="22" xfId="33" applyNumberFormat="1" applyFont="1" applyFill="1" applyBorder="1" applyAlignment="1" applyProtection="1">
      <alignment horizontal="center" vertical="center" wrapText="1"/>
    </xf>
    <xf numFmtId="49" fontId="20" fillId="28" borderId="22" xfId="33" applyNumberFormat="1" applyFont="1" applyFill="1" applyBorder="1" applyAlignment="1" applyProtection="1">
      <alignment horizontal="center" vertical="center" wrapText="1"/>
    </xf>
    <xf numFmtId="177" fontId="0" fillId="24" borderId="57" xfId="33" applyNumberFormat="1" applyFont="1" applyFill="1" applyBorder="1" applyAlignment="1" applyProtection="1">
      <alignment horizontal="center" vertical="center" wrapText="1"/>
    </xf>
    <xf numFmtId="177" fontId="0" fillId="24" borderId="26" xfId="33" applyNumberFormat="1" applyFont="1" applyFill="1" applyBorder="1" applyAlignment="1" applyProtection="1">
      <alignment horizontal="center" vertical="center" wrapText="1"/>
    </xf>
    <xf numFmtId="177" fontId="50" fillId="28" borderId="26" xfId="33" applyNumberFormat="1" applyFill="1" applyBorder="1" applyAlignment="1" applyProtection="1">
      <alignment horizontal="center" vertical="center" wrapText="1"/>
    </xf>
    <xf numFmtId="177" fontId="50" fillId="28" borderId="58" xfId="33" applyNumberFormat="1" applyFill="1" applyBorder="1" applyAlignment="1" applyProtection="1">
      <alignment horizontal="center" vertical="center" wrapText="1"/>
    </xf>
    <xf numFmtId="177" fontId="50" fillId="28" borderId="59" xfId="33" applyNumberFormat="1" applyFill="1" applyBorder="1" applyAlignment="1" applyProtection="1">
      <alignment horizontal="center" vertical="center" wrapText="1"/>
    </xf>
    <xf numFmtId="166" fontId="50" fillId="28" borderId="59" xfId="35" applyFill="1" applyBorder="1" applyAlignment="1" applyProtection="1">
      <alignment horizontal="center" vertical="center" wrapText="1"/>
    </xf>
    <xf numFmtId="166" fontId="50" fillId="28" borderId="33" xfId="35" applyFill="1" applyBorder="1" applyAlignment="1" applyProtection="1">
      <alignment vertical="center"/>
    </xf>
    <xf numFmtId="166" fontId="0" fillId="28" borderId="59" xfId="35" applyFont="1" applyFill="1" applyBorder="1" applyAlignment="1" applyProtection="1">
      <alignment vertical="center"/>
    </xf>
    <xf numFmtId="49" fontId="20" fillId="28" borderId="107" xfId="33" applyNumberFormat="1" applyFont="1" applyFill="1" applyBorder="1" applyAlignment="1" applyProtection="1">
      <alignment horizontal="center" vertical="center"/>
    </xf>
    <xf numFmtId="177" fontId="0" fillId="48" borderId="18" xfId="33" applyNumberFormat="1" applyFont="1" applyFill="1" applyBorder="1" applyAlignment="1" applyProtection="1">
      <alignment horizontal="center" vertical="center" wrapText="1"/>
    </xf>
    <xf numFmtId="166" fontId="0" fillId="48" borderId="18" xfId="35" applyFont="1" applyFill="1" applyBorder="1" applyAlignment="1" applyProtection="1">
      <alignment horizontal="center" vertical="center" wrapText="1"/>
    </xf>
    <xf numFmtId="177" fontId="0" fillId="48" borderId="34" xfId="33" applyNumberFormat="1" applyFont="1" applyFill="1" applyBorder="1" applyAlignment="1" applyProtection="1">
      <alignment horizontal="center" vertical="center" wrapText="1"/>
    </xf>
    <xf numFmtId="166" fontId="0" fillId="48" borderId="34" xfId="35" applyFont="1" applyFill="1" applyBorder="1" applyAlignment="1" applyProtection="1">
      <alignment horizontal="center" vertical="center" wrapText="1"/>
    </xf>
    <xf numFmtId="166" fontId="50" fillId="48" borderId="34" xfId="35" applyFill="1" applyBorder="1" applyAlignment="1" applyProtection="1">
      <alignment horizontal="center" vertical="center" wrapText="1"/>
    </xf>
    <xf numFmtId="1" fontId="20" fillId="48" borderId="59" xfId="33" applyNumberFormat="1" applyFont="1" applyFill="1" applyBorder="1" applyAlignment="1" applyProtection="1">
      <alignment horizontal="right" vertical="center"/>
    </xf>
    <xf numFmtId="166" fontId="0" fillId="24" borderId="191" xfId="35" applyFont="1" applyFill="1" applyBorder="1" applyAlignment="1" applyProtection="1">
      <alignment vertical="center"/>
    </xf>
    <xf numFmtId="166" fontId="0" fillId="24" borderId="161" xfId="35" applyFont="1" applyFill="1" applyBorder="1" applyAlignment="1" applyProtection="1">
      <alignment vertical="center"/>
    </xf>
    <xf numFmtId="166" fontId="50" fillId="48" borderId="90" xfId="35" applyFill="1" applyBorder="1" applyAlignment="1" applyProtection="1">
      <alignment horizontal="center" vertical="center" wrapText="1"/>
    </xf>
    <xf numFmtId="166" fontId="20" fillId="48" borderId="33" xfId="35" applyFont="1" applyFill="1" applyBorder="1" applyAlignment="1" applyProtection="1">
      <alignment vertical="center"/>
    </xf>
    <xf numFmtId="49" fontId="20" fillId="24" borderId="179" xfId="33" applyNumberFormat="1" applyFont="1" applyFill="1" applyBorder="1" applyAlignment="1" applyProtection="1">
      <alignment horizontal="center" vertical="center"/>
    </xf>
    <xf numFmtId="49" fontId="20" fillId="28" borderId="62" xfId="33" applyNumberFormat="1" applyFont="1" applyFill="1" applyBorder="1" applyAlignment="1" applyProtection="1">
      <alignment horizontal="center" vertical="center"/>
    </xf>
    <xf numFmtId="49" fontId="20" fillId="48" borderId="91" xfId="33" applyNumberFormat="1" applyFont="1" applyFill="1" applyBorder="1" applyAlignment="1" applyProtection="1">
      <alignment horizontal="center" vertical="center"/>
    </xf>
    <xf numFmtId="177" fontId="0" fillId="24" borderId="160" xfId="33" applyNumberFormat="1" applyFont="1" applyFill="1" applyBorder="1" applyAlignment="1" applyProtection="1">
      <alignment horizontal="center" vertical="center" wrapText="1"/>
    </xf>
    <xf numFmtId="177" fontId="0" fillId="24" borderId="64" xfId="33" applyNumberFormat="1" applyFont="1" applyFill="1" applyBorder="1" applyAlignment="1" applyProtection="1">
      <alignment horizontal="center" vertical="center" wrapText="1"/>
    </xf>
    <xf numFmtId="177" fontId="50" fillId="28" borderId="64" xfId="33" applyNumberFormat="1" applyFill="1" applyBorder="1" applyAlignment="1" applyProtection="1">
      <alignment horizontal="center" vertical="center" wrapText="1"/>
    </xf>
    <xf numFmtId="177" fontId="0" fillId="24" borderId="98" xfId="33" applyNumberFormat="1" applyFont="1" applyFill="1" applyBorder="1" applyAlignment="1" applyProtection="1">
      <alignment horizontal="center" vertical="center" wrapText="1"/>
    </xf>
    <xf numFmtId="177" fontId="20" fillId="48" borderId="58" xfId="33" applyNumberFormat="1" applyFont="1" applyFill="1" applyBorder="1" applyAlignment="1" applyProtection="1">
      <alignment horizontal="center" vertical="center"/>
    </xf>
    <xf numFmtId="177" fontId="20" fillId="48" borderId="46" xfId="33" applyNumberFormat="1" applyFont="1" applyFill="1" applyBorder="1" applyAlignment="1" applyProtection="1">
      <alignment horizontal="center" vertical="center"/>
    </xf>
    <xf numFmtId="177" fontId="0" fillId="48" borderId="73" xfId="33" applyNumberFormat="1" applyFont="1" applyFill="1" applyBorder="1" applyAlignment="1" applyProtection="1">
      <alignment horizontal="center" vertical="center" wrapText="1"/>
    </xf>
    <xf numFmtId="166" fontId="0" fillId="48" borderId="73" xfId="35" applyFont="1" applyFill="1" applyBorder="1" applyAlignment="1" applyProtection="1">
      <alignment horizontal="center" vertical="center" wrapText="1"/>
    </xf>
    <xf numFmtId="166" fontId="50" fillId="48" borderId="73" xfId="35" applyFill="1" applyBorder="1" applyAlignment="1" applyProtection="1">
      <alignment horizontal="center" vertical="center" wrapText="1"/>
    </xf>
    <xf numFmtId="166" fontId="50" fillId="48" borderId="75" xfId="35" applyFill="1" applyBorder="1" applyAlignment="1" applyProtection="1">
      <alignment horizontal="center" vertical="center" wrapText="1"/>
    </xf>
    <xf numFmtId="177" fontId="0" fillId="28" borderId="10" xfId="33" applyNumberFormat="1" applyFont="1" applyFill="1" applyBorder="1" applyAlignment="1" applyProtection="1">
      <alignment vertical="center" wrapText="1"/>
    </xf>
    <xf numFmtId="166" fontId="0" fillId="28" borderId="10" xfId="35" applyFont="1" applyFill="1" applyBorder="1" applyAlignment="1" applyProtection="1">
      <alignment vertical="center"/>
    </xf>
    <xf numFmtId="166" fontId="0" fillId="28" borderId="71" xfId="35" applyFont="1" applyFill="1" applyBorder="1" applyAlignment="1" applyProtection="1">
      <alignment vertical="center"/>
    </xf>
    <xf numFmtId="166" fontId="50" fillId="48" borderId="96" xfId="35" applyFill="1" applyBorder="1" applyAlignment="1" applyProtection="1">
      <alignment horizontal="center" vertical="center" wrapText="1"/>
    </xf>
    <xf numFmtId="166" fontId="20" fillId="51" borderId="193" xfId="35" applyFont="1" applyFill="1" applyBorder="1" applyAlignment="1">
      <alignment vertical="center"/>
    </xf>
    <xf numFmtId="0" fontId="20" fillId="0" borderId="88" xfId="0" applyFont="1" applyBorder="1" applyAlignment="1">
      <alignment horizontal="center" vertical="center"/>
    </xf>
    <xf numFmtId="166" fontId="50" fillId="28" borderId="160" xfId="35" applyFill="1" applyBorder="1" applyAlignment="1" applyProtection="1">
      <alignment horizontal="center" vertical="center" wrapText="1"/>
    </xf>
    <xf numFmtId="177" fontId="50" fillId="28" borderId="161" xfId="33" applyNumberFormat="1" applyFill="1" applyBorder="1" applyAlignment="1" applyProtection="1">
      <alignment vertical="center" wrapText="1"/>
    </xf>
    <xf numFmtId="166" fontId="50" fillId="28" borderId="161" xfId="35" applyFill="1" applyBorder="1" applyAlignment="1" applyProtection="1">
      <alignment horizontal="center" vertical="center" wrapText="1"/>
    </xf>
    <xf numFmtId="166" fontId="50" fillId="28" borderId="161" xfId="35" applyFill="1" applyBorder="1" applyAlignment="1" applyProtection="1">
      <alignment vertical="center"/>
    </xf>
    <xf numFmtId="166" fontId="50" fillId="28" borderId="162" xfId="35" applyFill="1" applyBorder="1" applyAlignment="1" applyProtection="1">
      <alignment vertical="center"/>
    </xf>
    <xf numFmtId="166" fontId="50" fillId="28" borderId="64" xfId="35" applyFill="1" applyBorder="1" applyAlignment="1" applyProtection="1">
      <alignment horizontal="center" vertical="center" wrapText="1"/>
    </xf>
    <xf numFmtId="166" fontId="50" fillId="24" borderId="64" xfId="35" applyFill="1" applyBorder="1" applyAlignment="1" applyProtection="1">
      <alignment horizontal="center" vertical="center" wrapText="1"/>
    </xf>
    <xf numFmtId="166" fontId="50" fillId="28" borderId="65" xfId="35" applyFill="1" applyBorder="1" applyAlignment="1" applyProtection="1">
      <alignment horizontal="center" vertical="center" wrapText="1"/>
    </xf>
    <xf numFmtId="177" fontId="50" fillId="28" borderId="72" xfId="33" applyNumberFormat="1" applyFill="1" applyBorder="1" applyAlignment="1" applyProtection="1">
      <alignment vertical="center" wrapText="1"/>
    </xf>
    <xf numFmtId="166" fontId="50" fillId="28" borderId="72" xfId="35" applyFill="1" applyBorder="1" applyAlignment="1" applyProtection="1">
      <alignment horizontal="center" vertical="center" wrapText="1"/>
    </xf>
    <xf numFmtId="166" fontId="50" fillId="28" borderId="72" xfId="35" applyFill="1" applyBorder="1" applyAlignment="1" applyProtection="1">
      <alignment vertical="center"/>
    </xf>
    <xf numFmtId="166" fontId="50" fillId="28" borderId="193" xfId="35" applyFill="1" applyBorder="1" applyAlignment="1" applyProtection="1">
      <alignment vertical="center"/>
    </xf>
    <xf numFmtId="166" fontId="50" fillId="24" borderId="160" xfId="35" applyFill="1" applyBorder="1" applyAlignment="1" applyProtection="1">
      <alignment horizontal="center" vertical="center" wrapText="1"/>
    </xf>
    <xf numFmtId="177" fontId="0" fillId="24" borderId="161" xfId="33" applyNumberFormat="1" applyFont="1" applyFill="1" applyBorder="1" applyAlignment="1" applyProtection="1">
      <alignment vertical="center" wrapText="1"/>
    </xf>
    <xf numFmtId="166" fontId="50" fillId="24" borderId="161" xfId="35" applyFill="1" applyBorder="1" applyAlignment="1" applyProtection="1">
      <alignment horizontal="center" vertical="center" wrapText="1"/>
    </xf>
    <xf numFmtId="166" fontId="0" fillId="24" borderId="162" xfId="35" applyFont="1" applyFill="1" applyBorder="1" applyAlignment="1" applyProtection="1">
      <alignment vertical="center"/>
    </xf>
    <xf numFmtId="177" fontId="20" fillId="51" borderId="65" xfId="33" applyNumberFormat="1" applyFont="1" applyFill="1" applyBorder="1" applyAlignment="1" applyProtection="1">
      <alignment horizontal="center" vertical="center"/>
    </xf>
    <xf numFmtId="166" fontId="50" fillId="24" borderId="65" xfId="35" applyFill="1" applyBorder="1" applyAlignment="1" applyProtection="1">
      <alignment horizontal="center" vertical="center" wrapText="1"/>
    </xf>
    <xf numFmtId="177" fontId="0" fillId="24" borderId="72" xfId="33" applyNumberFormat="1" applyFont="1" applyFill="1" applyBorder="1" applyAlignment="1" applyProtection="1">
      <alignment vertical="center" wrapText="1"/>
    </xf>
    <xf numFmtId="166" fontId="50" fillId="24" borderId="72" xfId="35" applyFill="1" applyBorder="1" applyAlignment="1" applyProtection="1">
      <alignment horizontal="center" vertical="center" wrapText="1"/>
    </xf>
    <xf numFmtId="166" fontId="0" fillId="24" borderId="72" xfId="35" applyFont="1" applyFill="1" applyBorder="1" applyAlignment="1" applyProtection="1">
      <alignment vertical="center"/>
    </xf>
    <xf numFmtId="166" fontId="0" fillId="24" borderId="193" xfId="35" applyFont="1" applyFill="1" applyBorder="1" applyAlignment="1" applyProtection="1">
      <alignment vertical="center"/>
    </xf>
    <xf numFmtId="177" fontId="50" fillId="48" borderId="72" xfId="33" applyNumberFormat="1" applyFill="1" applyBorder="1" applyAlignment="1" applyProtection="1">
      <alignment vertical="center" wrapText="1"/>
    </xf>
    <xf numFmtId="166" fontId="50" fillId="48" borderId="72" xfId="35" applyFill="1" applyBorder="1" applyAlignment="1" applyProtection="1">
      <alignment horizontal="center" vertical="center" wrapText="1"/>
    </xf>
    <xf numFmtId="166" fontId="50" fillId="48" borderId="193" xfId="35" applyFill="1" applyBorder="1" applyAlignment="1" applyProtection="1">
      <alignment horizontal="center" vertical="center" wrapText="1"/>
    </xf>
    <xf numFmtId="177" fontId="20" fillId="51" borderId="42" xfId="33" applyNumberFormat="1" applyFont="1" applyFill="1" applyBorder="1" applyAlignment="1" applyProtection="1">
      <alignment horizontal="center" vertical="center"/>
    </xf>
    <xf numFmtId="177" fontId="50" fillId="48" borderId="195" xfId="33" applyNumberFormat="1" applyFill="1" applyBorder="1" applyAlignment="1" applyProtection="1">
      <alignment vertical="center" wrapText="1"/>
    </xf>
    <xf numFmtId="166" fontId="50" fillId="48" borderId="195" xfId="35" applyFill="1" applyBorder="1" applyAlignment="1" applyProtection="1">
      <alignment horizontal="center" vertical="center" wrapText="1"/>
    </xf>
    <xf numFmtId="166" fontId="50" fillId="48" borderId="197" xfId="35" applyFill="1" applyBorder="1" applyAlignment="1" applyProtection="1">
      <alignment horizontal="center" vertical="center" wrapText="1"/>
    </xf>
    <xf numFmtId="0" fontId="20" fillId="26" borderId="112" xfId="0" applyFont="1" applyFill="1" applyBorder="1"/>
    <xf numFmtId="175" fontId="20" fillId="24" borderId="66" xfId="33" applyNumberFormat="1" applyFont="1" applyFill="1" applyBorder="1" applyAlignment="1" applyProtection="1">
      <alignment vertical="center"/>
    </xf>
    <xf numFmtId="0" fontId="43" fillId="0" borderId="0" xfId="0" applyFont="1"/>
    <xf numFmtId="0" fontId="0" fillId="0" borderId="179" xfId="0" applyBorder="1"/>
    <xf numFmtId="0" fontId="0" fillId="0" borderId="120" xfId="0" applyBorder="1"/>
    <xf numFmtId="0" fontId="0" fillId="0" borderId="121" xfId="0" applyBorder="1"/>
    <xf numFmtId="0" fontId="0" fillId="0" borderId="62" xfId="0" applyBorder="1"/>
    <xf numFmtId="0" fontId="0" fillId="0" borderId="66" xfId="0" applyBorder="1"/>
    <xf numFmtId="166" fontId="20" fillId="0" borderId="24" xfId="35" applyFont="1" applyBorder="1" applyAlignment="1">
      <alignment horizontal="center" vertical="center" wrapText="1"/>
    </xf>
    <xf numFmtId="3" fontId="43" fillId="53" borderId="59" xfId="0" applyNumberFormat="1" applyFont="1" applyFill="1" applyBorder="1" applyAlignment="1">
      <alignment horizontal="center" vertical="center"/>
    </xf>
    <xf numFmtId="166" fontId="43" fillId="53" borderId="59" xfId="35" applyFont="1" applyFill="1" applyBorder="1" applyAlignment="1">
      <alignment horizontal="left" vertical="center"/>
    </xf>
    <xf numFmtId="166" fontId="43" fillId="53" borderId="33" xfId="35" applyFont="1" applyFill="1" applyBorder="1" applyAlignment="1">
      <alignment horizontal="left" vertical="center"/>
    </xf>
    <xf numFmtId="166" fontId="43" fillId="53" borderId="59" xfId="35" applyFont="1" applyFill="1" applyBorder="1" applyAlignment="1">
      <alignment vertical="center"/>
    </xf>
    <xf numFmtId="166" fontId="43" fillId="53" borderId="33" xfId="35" applyFont="1" applyFill="1" applyBorder="1" applyAlignment="1">
      <alignment vertical="center"/>
    </xf>
    <xf numFmtId="0" fontId="21" fillId="0" borderId="37" xfId="0" applyFont="1" applyBorder="1" applyAlignment="1">
      <alignment horizontal="center" vertical="center" wrapText="1"/>
    </xf>
    <xf numFmtId="49" fontId="21" fillId="24" borderId="63" xfId="0" applyNumberFormat="1" applyFont="1" applyFill="1" applyBorder="1" applyAlignment="1">
      <alignment horizontal="center" vertical="center"/>
    </xf>
    <xf numFmtId="166" fontId="21" fillId="28" borderId="95" xfId="35" applyFont="1" applyFill="1" applyBorder="1" applyAlignment="1" applyProtection="1">
      <alignment horizontal="center"/>
    </xf>
    <xf numFmtId="49" fontId="21" fillId="24" borderId="64" xfId="0" applyNumberFormat="1" applyFont="1" applyFill="1" applyBorder="1" applyAlignment="1">
      <alignment horizontal="center" vertical="center"/>
    </xf>
    <xf numFmtId="0" fontId="21" fillId="0" borderId="65" xfId="0" applyFont="1" applyBorder="1" applyAlignment="1">
      <alignment horizontal="center" vertical="center" wrapText="1"/>
    </xf>
    <xf numFmtId="166" fontId="21" fillId="24" borderId="80" xfId="35" applyFont="1" applyFill="1" applyBorder="1" applyAlignment="1" applyProtection="1">
      <alignment horizontal="center"/>
    </xf>
    <xf numFmtId="0" fontId="21" fillId="0" borderId="64" xfId="0" applyFont="1" applyBorder="1" applyAlignment="1">
      <alignment horizontal="center" vertical="center" wrapText="1"/>
    </xf>
    <xf numFmtId="166" fontId="22" fillId="24" borderId="193" xfId="35" applyFont="1" applyFill="1" applyBorder="1" applyAlignment="1" applyProtection="1">
      <alignment horizontal="center"/>
    </xf>
    <xf numFmtId="168" fontId="32" fillId="44" borderId="63" xfId="0" applyNumberFormat="1" applyFont="1" applyFill="1" applyBorder="1" applyAlignment="1">
      <alignment horizontal="left"/>
    </xf>
    <xf numFmtId="170" fontId="62" fillId="44" borderId="71" xfId="0" applyNumberFormat="1" applyFont="1" applyFill="1" applyBorder="1" applyAlignment="1">
      <alignment horizontal="left"/>
    </xf>
    <xf numFmtId="49" fontId="32" fillId="24" borderId="64" xfId="33" applyNumberFormat="1" applyFont="1" applyFill="1" applyBorder="1" applyAlignment="1" applyProtection="1">
      <alignment horizontal="left"/>
    </xf>
    <xf numFmtId="169" fontId="32" fillId="43" borderId="71" xfId="33" applyNumberFormat="1" applyFont="1" applyFill="1" applyBorder="1" applyAlignment="1" applyProtection="1">
      <alignment horizontal="left" vertical="center"/>
    </xf>
    <xf numFmtId="49" fontId="32" fillId="42" borderId="64" xfId="33" applyNumberFormat="1" applyFont="1" applyFill="1" applyBorder="1" applyAlignment="1" applyProtection="1">
      <alignment horizontal="left"/>
    </xf>
    <xf numFmtId="166" fontId="32" fillId="42" borderId="71" xfId="35" applyFont="1" applyFill="1" applyBorder="1" applyAlignment="1" applyProtection="1">
      <alignment horizontal="left" vertical="center"/>
    </xf>
    <xf numFmtId="166" fontId="32" fillId="24" borderId="71" xfId="35" applyFont="1" applyFill="1" applyBorder="1" applyAlignment="1" applyProtection="1">
      <alignment horizontal="left" vertical="center"/>
    </xf>
    <xf numFmtId="174" fontId="34" fillId="24" borderId="64" xfId="30" applyNumberFormat="1" applyFont="1" applyFill="1" applyBorder="1" applyAlignment="1" applyProtection="1">
      <alignment horizontal="left"/>
    </xf>
    <xf numFmtId="166" fontId="34" fillId="24" borderId="71" xfId="35" applyFont="1" applyFill="1" applyBorder="1" applyAlignment="1" applyProtection="1">
      <alignment horizontal="left" vertical="center"/>
    </xf>
    <xf numFmtId="49" fontId="34" fillId="24" borderId="64" xfId="33" applyNumberFormat="1" applyFont="1" applyFill="1" applyBorder="1" applyAlignment="1" applyProtection="1">
      <alignment horizontal="left"/>
    </xf>
    <xf numFmtId="0" fontId="32" fillId="42" borderId="64" xfId="33" applyNumberFormat="1" applyFont="1" applyFill="1" applyBorder="1" applyAlignment="1" applyProtection="1">
      <alignment horizontal="left"/>
    </xf>
    <xf numFmtId="0" fontId="32" fillId="24" borderId="64" xfId="33" applyNumberFormat="1" applyFont="1" applyFill="1" applyBorder="1" applyAlignment="1" applyProtection="1">
      <alignment horizontal="left"/>
    </xf>
    <xf numFmtId="0" fontId="34" fillId="24" borderId="64" xfId="33" applyNumberFormat="1" applyFont="1" applyFill="1" applyBorder="1" applyAlignment="1" applyProtection="1">
      <alignment horizontal="left"/>
    </xf>
    <xf numFmtId="1" fontId="32" fillId="24" borderId="64" xfId="33" applyNumberFormat="1" applyFont="1" applyFill="1" applyBorder="1" applyAlignment="1" applyProtection="1">
      <alignment horizontal="left"/>
    </xf>
    <xf numFmtId="1" fontId="34" fillId="24" borderId="64" xfId="33" applyNumberFormat="1" applyFont="1" applyFill="1" applyBorder="1" applyAlignment="1" applyProtection="1">
      <alignment horizontal="left"/>
    </xf>
    <xf numFmtId="1" fontId="32" fillId="42" borderId="64" xfId="33" applyNumberFormat="1" applyFont="1" applyFill="1" applyBorder="1" applyAlignment="1" applyProtection="1">
      <alignment horizontal="left"/>
    </xf>
    <xf numFmtId="169" fontId="32" fillId="42" borderId="71" xfId="33" applyNumberFormat="1" applyFont="1" applyFill="1" applyBorder="1" applyAlignment="1" applyProtection="1">
      <alignment horizontal="left" vertical="center"/>
    </xf>
    <xf numFmtId="169" fontId="34" fillId="24" borderId="71" xfId="33" applyNumberFormat="1" applyFont="1" applyFill="1" applyBorder="1" applyAlignment="1" applyProtection="1">
      <alignment horizontal="left" vertical="center"/>
    </xf>
    <xf numFmtId="169" fontId="32" fillId="24" borderId="71" xfId="33" applyNumberFormat="1" applyFont="1" applyFill="1" applyBorder="1" applyAlignment="1" applyProtection="1">
      <alignment horizontal="left" vertical="center"/>
    </xf>
    <xf numFmtId="166" fontId="34" fillId="28" borderId="71" xfId="35" applyFont="1" applyFill="1" applyBorder="1" applyAlignment="1" applyProtection="1">
      <alignment horizontal="left" vertical="center"/>
    </xf>
    <xf numFmtId="172" fontId="33" fillId="42" borderId="71" xfId="35" applyNumberFormat="1" applyFont="1" applyFill="1" applyBorder="1" applyAlignment="1" applyProtection="1">
      <alignment horizontal="left" vertical="center"/>
    </xf>
    <xf numFmtId="166" fontId="33" fillId="24" borderId="71" xfId="35" applyFont="1" applyFill="1" applyBorder="1" applyAlignment="1" applyProtection="1">
      <alignment horizontal="left" vertical="center"/>
    </xf>
    <xf numFmtId="49" fontId="0" fillId="0" borderId="64" xfId="33" applyNumberFormat="1" applyFont="1" applyFill="1" applyBorder="1" applyAlignment="1" applyProtection="1">
      <alignment horizontal="center" vertical="center" wrapText="1"/>
    </xf>
    <xf numFmtId="49" fontId="40" fillId="24" borderId="64" xfId="33" applyNumberFormat="1" applyFont="1" applyFill="1" applyBorder="1" applyAlignment="1" applyProtection="1">
      <alignment horizontal="center"/>
    </xf>
    <xf numFmtId="172" fontId="33" fillId="45" borderId="72" xfId="35" applyNumberFormat="1" applyFont="1" applyFill="1" applyBorder="1" applyAlignment="1" applyProtection="1">
      <alignment horizontal="left" vertical="center"/>
    </xf>
    <xf numFmtId="182" fontId="32" fillId="45" borderId="72" xfId="33" applyNumberFormat="1" applyFont="1" applyFill="1" applyBorder="1" applyAlignment="1" applyProtection="1">
      <alignment horizontal="center" vertical="center"/>
    </xf>
    <xf numFmtId="169" fontId="32" fillId="45" borderId="72" xfId="33" applyNumberFormat="1" applyFont="1" applyFill="1" applyBorder="1" applyAlignment="1" applyProtection="1">
      <alignment horizontal="left" vertical="center"/>
    </xf>
    <xf numFmtId="171" fontId="32" fillId="45" borderId="72" xfId="33" applyFont="1" applyFill="1" applyBorder="1" applyAlignment="1" applyProtection="1">
      <alignment horizontal="left" vertical="center"/>
    </xf>
    <xf numFmtId="171" fontId="32" fillId="45" borderId="72" xfId="33" applyFont="1" applyFill="1" applyBorder="1" applyAlignment="1" applyProtection="1">
      <alignment horizontal="center" vertical="center"/>
    </xf>
    <xf numFmtId="166" fontId="33" fillId="45" borderId="72" xfId="35" applyFont="1" applyFill="1" applyBorder="1" applyAlignment="1" applyProtection="1">
      <alignment horizontal="left" vertical="center"/>
    </xf>
    <xf numFmtId="170" fontId="32" fillId="45" borderId="72" xfId="33" applyNumberFormat="1" applyFont="1" applyFill="1" applyBorder="1" applyAlignment="1" applyProtection="1">
      <alignment horizontal="center" vertical="center"/>
    </xf>
    <xf numFmtId="166" fontId="33" fillId="45" borderId="193" xfId="35" applyFont="1" applyFill="1" applyBorder="1" applyAlignment="1" applyProtection="1">
      <alignment horizontal="left" vertical="center"/>
    </xf>
    <xf numFmtId="168" fontId="32" fillId="44" borderId="205" xfId="0" applyNumberFormat="1" applyFont="1" applyFill="1" applyBorder="1" applyAlignment="1">
      <alignment horizontal="left" vertical="center" wrapText="1"/>
    </xf>
    <xf numFmtId="49" fontId="21" fillId="28" borderId="18" xfId="0" applyNumberFormat="1" applyFont="1" applyFill="1" applyBorder="1" applyAlignment="1">
      <alignment wrapText="1"/>
    </xf>
    <xf numFmtId="0" fontId="21" fillId="28" borderId="26" xfId="0" applyFont="1" applyFill="1" applyBorder="1" applyAlignment="1">
      <alignment horizontal="center" vertical="center"/>
    </xf>
    <xf numFmtId="49" fontId="21" fillId="28" borderId="18" xfId="0" applyNumberFormat="1" applyFont="1" applyFill="1" applyBorder="1" applyAlignment="1">
      <alignment horizontal="center" vertical="center"/>
    </xf>
    <xf numFmtId="0" fontId="21" fillId="28" borderId="58" xfId="0" applyFont="1" applyFill="1" applyBorder="1" applyAlignment="1">
      <alignment horizontal="center"/>
    </xf>
    <xf numFmtId="49" fontId="21" fillId="28" borderId="59" xfId="0" applyNumberFormat="1" applyFont="1" applyFill="1" applyBorder="1" applyAlignment="1">
      <alignment horizontal="center"/>
    </xf>
    <xf numFmtId="167" fontId="21" fillId="26" borderId="33" xfId="35" applyNumberFormat="1" applyFont="1" applyFill="1" applyBorder="1" applyAlignment="1" applyProtection="1">
      <alignment horizontal="right"/>
    </xf>
    <xf numFmtId="0" fontId="20" fillId="49" borderId="98" xfId="39" applyFont="1" applyFill="1" applyBorder="1" applyAlignment="1">
      <alignment horizontal="center" vertical="center"/>
    </xf>
    <xf numFmtId="166" fontId="20" fillId="49" borderId="96" xfId="35" applyFont="1" applyFill="1" applyBorder="1" applyAlignment="1" applyProtection="1">
      <alignment vertical="center"/>
    </xf>
    <xf numFmtId="0" fontId="20" fillId="26" borderId="26" xfId="39" applyFont="1" applyFill="1" applyBorder="1" applyAlignment="1">
      <alignment horizontal="center" vertical="center"/>
    </xf>
    <xf numFmtId="0" fontId="20" fillId="26" borderId="58" xfId="39" applyFont="1" applyFill="1" applyBorder="1" applyAlignment="1">
      <alignment horizontal="center" vertical="center"/>
    </xf>
    <xf numFmtId="0" fontId="50" fillId="26" borderId="59" xfId="33" applyNumberFormat="1" applyFill="1" applyBorder="1" applyAlignment="1" applyProtection="1">
      <alignment horizontal="left" vertical="center" wrapText="1"/>
    </xf>
    <xf numFmtId="0" fontId="50" fillId="26" borderId="59" xfId="33" applyNumberFormat="1" applyFill="1" applyBorder="1" applyAlignment="1" applyProtection="1">
      <alignment horizontal="center" vertical="center" wrapText="1"/>
    </xf>
    <xf numFmtId="0" fontId="50" fillId="26" borderId="59" xfId="39" applyFill="1" applyBorder="1" applyAlignment="1">
      <alignment horizontal="center" vertical="center" wrapText="1"/>
    </xf>
    <xf numFmtId="49" fontId="50" fillId="26" borderId="59" xfId="39" applyNumberFormat="1" applyFill="1" applyBorder="1" applyAlignment="1">
      <alignment horizontal="center" vertical="center" wrapText="1"/>
    </xf>
    <xf numFmtId="166" fontId="50" fillId="26" borderId="33" xfId="35" applyFill="1" applyBorder="1" applyAlignment="1" applyProtection="1">
      <alignment vertical="center"/>
    </xf>
    <xf numFmtId="0" fontId="50" fillId="26" borderId="160" xfId="39" applyFill="1" applyBorder="1" applyAlignment="1">
      <alignment horizontal="center" vertical="center"/>
    </xf>
    <xf numFmtId="0" fontId="50" fillId="26" borderId="73" xfId="33" applyNumberFormat="1" applyFill="1" applyBorder="1" applyAlignment="1" applyProtection="1">
      <alignment horizontal="left" vertical="center" wrapText="1"/>
    </xf>
    <xf numFmtId="0" fontId="86" fillId="26" borderId="73" xfId="0" applyFont="1" applyFill="1" applyBorder="1" applyAlignment="1">
      <alignment horizontal="left" wrapText="1"/>
    </xf>
    <xf numFmtId="0" fontId="50" fillId="26" borderId="114" xfId="39" applyFill="1" applyBorder="1" applyAlignment="1">
      <alignment horizontal="center" vertical="center" wrapText="1"/>
    </xf>
    <xf numFmtId="0" fontId="50" fillId="26" borderId="161" xfId="39" applyFill="1" applyBorder="1" applyAlignment="1">
      <alignment horizontal="center" vertical="center" wrapText="1"/>
    </xf>
    <xf numFmtId="49" fontId="50" fillId="26" borderId="161" xfId="39" applyNumberFormat="1" applyFill="1" applyBorder="1" applyAlignment="1">
      <alignment horizontal="center" vertical="center" wrapText="1"/>
    </xf>
    <xf numFmtId="166" fontId="50" fillId="26" borderId="162" xfId="35" applyFill="1" applyBorder="1" applyAlignment="1" applyProtection="1">
      <alignment vertical="center"/>
    </xf>
    <xf numFmtId="0" fontId="50" fillId="26" borderId="63" xfId="39" applyFill="1" applyBorder="1" applyAlignment="1">
      <alignment horizontal="center" vertical="center"/>
    </xf>
    <xf numFmtId="166" fontId="50" fillId="26" borderId="95" xfId="35" applyFill="1" applyBorder="1" applyAlignment="1" applyProtection="1">
      <alignment vertical="center"/>
    </xf>
    <xf numFmtId="0" fontId="50" fillId="26" borderId="210" xfId="39" applyFill="1" applyBorder="1" applyAlignment="1">
      <alignment horizontal="center" vertical="center"/>
    </xf>
    <xf numFmtId="166" fontId="50" fillId="26" borderId="196" xfId="35" applyFill="1" applyBorder="1" applyAlignment="1" applyProtection="1">
      <alignment vertical="center"/>
    </xf>
    <xf numFmtId="0" fontId="50" fillId="26" borderId="26" xfId="39" applyFill="1" applyBorder="1" applyAlignment="1">
      <alignment horizontal="center" vertical="center"/>
    </xf>
    <xf numFmtId="0" fontId="20" fillId="49" borderId="63" xfId="39" applyFont="1" applyFill="1" applyBorder="1" applyAlignment="1">
      <alignment horizontal="center" vertical="center"/>
    </xf>
    <xf numFmtId="166" fontId="20" fillId="49" borderId="95" xfId="35" applyFont="1" applyFill="1" applyBorder="1" applyAlignment="1" applyProtection="1">
      <alignment vertical="center"/>
    </xf>
    <xf numFmtId="0" fontId="78" fillId="26" borderId="58" xfId="0" applyFont="1" applyFill="1" applyBorder="1" applyAlignment="1">
      <alignment horizontal="left" wrapText="1"/>
    </xf>
    <xf numFmtId="0" fontId="78" fillId="26" borderId="59" xfId="0" applyFont="1" applyFill="1" applyBorder="1" applyAlignment="1">
      <alignment horizontal="left" wrapText="1"/>
    </xf>
    <xf numFmtId="0" fontId="50" fillId="26" borderId="109" xfId="39" applyFill="1" applyBorder="1" applyAlignment="1">
      <alignment horizontal="center" vertical="center" wrapText="1"/>
    </xf>
    <xf numFmtId="0" fontId="50" fillId="26" borderId="72" xfId="39" applyFill="1" applyBorder="1" applyAlignment="1">
      <alignment horizontal="center" vertical="center" wrapText="1"/>
    </xf>
    <xf numFmtId="49" fontId="50" fillId="26" borderId="72" xfId="39" applyNumberFormat="1" applyFill="1" applyBorder="1" applyAlignment="1">
      <alignment horizontal="center" vertical="center" wrapText="1"/>
    </xf>
    <xf numFmtId="166" fontId="50" fillId="26" borderId="193" xfId="35" applyFill="1" applyBorder="1" applyAlignment="1" applyProtection="1">
      <alignment vertical="center"/>
    </xf>
    <xf numFmtId="0" fontId="78" fillId="26" borderId="148" xfId="0" applyFont="1" applyFill="1" applyBorder="1" applyAlignment="1">
      <alignment horizontal="left" wrapText="1"/>
    </xf>
    <xf numFmtId="0" fontId="78" fillId="26" borderId="105" xfId="0" applyFont="1" applyFill="1" applyBorder="1" applyAlignment="1">
      <alignment horizontal="left" wrapText="1"/>
    </xf>
    <xf numFmtId="0" fontId="50" fillId="26" borderId="211" xfId="39" applyFill="1" applyBorder="1" applyAlignment="1">
      <alignment horizontal="center" vertical="center" wrapText="1"/>
    </xf>
    <xf numFmtId="0" fontId="50" fillId="26" borderId="195" xfId="39" applyFill="1" applyBorder="1" applyAlignment="1">
      <alignment horizontal="center" vertical="center" wrapText="1"/>
    </xf>
    <xf numFmtId="49" fontId="50" fillId="26" borderId="195" xfId="39" applyNumberFormat="1" applyFill="1" applyBorder="1" applyAlignment="1">
      <alignment horizontal="center" vertical="center" wrapText="1"/>
    </xf>
    <xf numFmtId="166" fontId="50" fillId="26" borderId="197" xfId="35" applyFill="1" applyBorder="1" applyAlignment="1" applyProtection="1">
      <alignment vertical="center"/>
    </xf>
    <xf numFmtId="166" fontId="20" fillId="26" borderId="71" xfId="35" applyFont="1" applyFill="1" applyBorder="1" applyAlignment="1" applyProtection="1">
      <alignment vertical="center"/>
    </xf>
    <xf numFmtId="0" fontId="20" fillId="49" borderId="64" xfId="39" applyFont="1" applyFill="1" applyBorder="1" applyAlignment="1">
      <alignment horizontal="center" vertical="center"/>
    </xf>
    <xf numFmtId="166" fontId="20" fillId="49" borderId="71" xfId="35" applyFont="1" applyFill="1" applyBorder="1" applyAlignment="1" applyProtection="1">
      <alignment vertical="center"/>
    </xf>
    <xf numFmtId="0" fontId="20" fillId="26" borderId="65" xfId="39" applyFont="1" applyFill="1" applyBorder="1" applyAlignment="1">
      <alignment horizontal="center" vertical="center"/>
    </xf>
    <xf numFmtId="0" fontId="50" fillId="26" borderId="110" xfId="33" applyNumberFormat="1" applyFill="1" applyBorder="1" applyAlignment="1" applyProtection="1">
      <alignment horizontal="left" vertical="center" wrapText="1"/>
    </xf>
    <xf numFmtId="0" fontId="20" fillId="26" borderId="59" xfId="33" applyNumberFormat="1" applyFont="1" applyFill="1" applyBorder="1" applyAlignment="1" applyProtection="1">
      <alignment horizontal="left" vertical="center" wrapText="1"/>
    </xf>
    <xf numFmtId="0" fontId="20" fillId="26" borderId="72" xfId="39" applyFont="1" applyFill="1" applyBorder="1" applyAlignment="1">
      <alignment horizontal="center" vertical="center" wrapText="1"/>
    </xf>
    <xf numFmtId="166" fontId="20" fillId="26" borderId="193" xfId="35" applyFont="1" applyFill="1" applyBorder="1" applyAlignment="1" applyProtection="1">
      <alignment vertical="center"/>
    </xf>
    <xf numFmtId="0" fontId="20" fillId="26" borderId="160" xfId="39" applyFont="1" applyFill="1" applyBorder="1" applyAlignment="1">
      <alignment horizontal="center" vertical="center"/>
    </xf>
    <xf numFmtId="0" fontId="50" fillId="26" borderId="115" xfId="33" applyNumberFormat="1" applyFill="1" applyBorder="1" applyAlignment="1" applyProtection="1">
      <alignment horizontal="left" vertical="center" wrapText="1"/>
    </xf>
    <xf numFmtId="0" fontId="20" fillId="26" borderId="73" xfId="33" applyNumberFormat="1" applyFont="1" applyFill="1" applyBorder="1" applyAlignment="1" applyProtection="1">
      <alignment horizontal="left" vertical="center" wrapText="1"/>
    </xf>
    <xf numFmtId="0" fontId="20" fillId="26" borderId="161" xfId="39" applyFont="1" applyFill="1" applyBorder="1" applyAlignment="1">
      <alignment horizontal="center" vertical="center" wrapText="1"/>
    </xf>
    <xf numFmtId="166" fontId="20" fillId="26" borderId="162" xfId="35" applyFont="1" applyFill="1" applyBorder="1" applyAlignment="1" applyProtection="1">
      <alignment vertical="center"/>
    </xf>
    <xf numFmtId="0" fontId="20" fillId="26" borderId="110" xfId="33" applyNumberFormat="1" applyFont="1" applyFill="1" applyBorder="1" applyAlignment="1" applyProtection="1">
      <alignment horizontal="left" vertical="center" wrapText="1"/>
    </xf>
    <xf numFmtId="0" fontId="20" fillId="26" borderId="72" xfId="39" applyFont="1" applyFill="1" applyBorder="1" applyAlignment="1">
      <alignment horizontal="center" vertical="center"/>
    </xf>
    <xf numFmtId="0" fontId="20" fillId="49" borderId="160" xfId="39" applyFont="1" applyFill="1" applyBorder="1" applyAlignment="1">
      <alignment horizontal="center" vertical="center"/>
    </xf>
    <xf numFmtId="0" fontId="20" fillId="49" borderId="115" xfId="33" applyNumberFormat="1" applyFont="1" applyFill="1" applyBorder="1" applyAlignment="1" applyProtection="1">
      <alignment horizontal="left" vertical="center" wrapText="1"/>
    </xf>
    <xf numFmtId="0" fontId="20" fillId="49" borderId="195" xfId="39" applyFont="1" applyFill="1" applyBorder="1" applyAlignment="1">
      <alignment horizontal="center" vertical="center"/>
    </xf>
    <xf numFmtId="0" fontId="50" fillId="49" borderId="114" xfId="39" applyFill="1" applyBorder="1" applyAlignment="1">
      <alignment horizontal="center" vertical="center" wrapText="1"/>
    </xf>
    <xf numFmtId="0" fontId="50" fillId="49" borderId="161" xfId="39" applyFill="1" applyBorder="1" applyAlignment="1">
      <alignment horizontal="center" vertical="center" wrapText="1"/>
    </xf>
    <xf numFmtId="49" fontId="50" fillId="49" borderId="161" xfId="39" applyNumberFormat="1" applyFill="1" applyBorder="1" applyAlignment="1">
      <alignment horizontal="center" vertical="center" wrapText="1"/>
    </xf>
    <xf numFmtId="0" fontId="20" fillId="49" borderId="161" xfId="39" applyFont="1" applyFill="1" applyBorder="1" applyAlignment="1">
      <alignment horizontal="center" vertical="center" wrapText="1"/>
    </xf>
    <xf numFmtId="166" fontId="20" fillId="49" borderId="162" xfId="35" applyFont="1" applyFill="1" applyBorder="1" applyAlignment="1" applyProtection="1">
      <alignment vertical="center"/>
    </xf>
    <xf numFmtId="49" fontId="66" fillId="0" borderId="72" xfId="33" applyNumberFormat="1" applyFont="1" applyFill="1" applyBorder="1" applyAlignment="1" applyProtection="1">
      <alignment horizontal="left" vertical="center"/>
    </xf>
    <xf numFmtId="49" fontId="66" fillId="0" borderId="191" xfId="33" applyNumberFormat="1" applyFont="1" applyFill="1" applyBorder="1" applyAlignment="1" applyProtection="1">
      <alignment horizontal="left" vertical="center"/>
    </xf>
    <xf numFmtId="49" fontId="66" fillId="0" borderId="72" xfId="33" applyNumberFormat="1" applyFont="1" applyFill="1" applyBorder="1" applyAlignment="1" applyProtection="1">
      <alignment vertical="center"/>
    </xf>
    <xf numFmtId="176" fontId="66" fillId="0" borderId="113" xfId="35" applyNumberFormat="1" applyFont="1" applyFill="1" applyBorder="1" applyAlignment="1" applyProtection="1">
      <alignment vertical="center"/>
    </xf>
    <xf numFmtId="49" fontId="21" fillId="24" borderId="59" xfId="0" applyNumberFormat="1" applyFont="1" applyFill="1" applyBorder="1" applyAlignment="1">
      <alignment horizontal="center"/>
    </xf>
    <xf numFmtId="49" fontId="21" fillId="24" borderId="59" xfId="0" applyNumberFormat="1" applyFont="1" applyFill="1" applyBorder="1" applyAlignment="1">
      <alignment horizontal="left"/>
    </xf>
    <xf numFmtId="49" fontId="21" fillId="24" borderId="73" xfId="0" applyNumberFormat="1" applyFont="1" applyFill="1" applyBorder="1" applyAlignment="1">
      <alignment horizontal="center"/>
    </xf>
    <xf numFmtId="49" fontId="21" fillId="24" borderId="73" xfId="0" applyNumberFormat="1" applyFont="1" applyFill="1" applyBorder="1" applyAlignment="1">
      <alignment horizontal="left"/>
    </xf>
    <xf numFmtId="167" fontId="21" fillId="26" borderId="75" xfId="35" applyNumberFormat="1" applyFont="1" applyFill="1" applyBorder="1" applyAlignment="1" applyProtection="1">
      <alignment horizontal="right"/>
    </xf>
    <xf numFmtId="0" fontId="19" fillId="24" borderId="62" xfId="0" applyFont="1" applyFill="1" applyBorder="1" applyAlignment="1">
      <alignment horizontal="center" vertical="center"/>
    </xf>
    <xf numFmtId="0" fontId="19" fillId="28" borderId="0" xfId="0" applyFont="1" applyFill="1" applyAlignment="1">
      <alignment horizontal="center" vertical="center"/>
    </xf>
    <xf numFmtId="0" fontId="19" fillId="24" borderId="66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21" fillId="0" borderId="58" xfId="0" applyFont="1" applyBorder="1" applyAlignment="1">
      <alignment horizontal="center" vertical="center" wrapText="1"/>
    </xf>
    <xf numFmtId="0" fontId="42" fillId="24" borderId="59" xfId="0" applyFont="1" applyFill="1" applyBorder="1" applyAlignment="1">
      <alignment horizontal="left" vertical="center" wrapText="1"/>
    </xf>
    <xf numFmtId="167" fontId="42" fillId="28" borderId="59" xfId="35" applyNumberFormat="1" applyFont="1" applyFill="1" applyBorder="1" applyAlignment="1" applyProtection="1">
      <alignment horizontal="right"/>
    </xf>
    <xf numFmtId="167" fontId="42" fillId="24" borderId="59" xfId="35" applyNumberFormat="1" applyFont="1" applyFill="1" applyBorder="1" applyAlignment="1" applyProtection="1">
      <alignment horizontal="right"/>
    </xf>
    <xf numFmtId="167" fontId="42" fillId="24" borderId="212" xfId="35" applyNumberFormat="1" applyFont="1" applyFill="1" applyBorder="1" applyAlignment="1" applyProtection="1">
      <alignment horizontal="center"/>
    </xf>
    <xf numFmtId="167" fontId="42" fillId="24" borderId="183" xfId="35" applyNumberFormat="1" applyFont="1" applyFill="1" applyBorder="1" applyAlignment="1" applyProtection="1">
      <alignment horizontal="right"/>
    </xf>
    <xf numFmtId="167" fontId="42" fillId="24" borderId="48" xfId="35" applyNumberFormat="1" applyFont="1" applyFill="1" applyBorder="1" applyAlignment="1" applyProtection="1">
      <alignment horizontal="right"/>
    </xf>
    <xf numFmtId="167" fontId="42" fillId="24" borderId="33" xfId="35" applyNumberFormat="1" applyFont="1" applyFill="1" applyBorder="1" applyAlignment="1" applyProtection="1">
      <alignment horizontal="right"/>
    </xf>
    <xf numFmtId="49" fontId="21" fillId="0" borderId="57" xfId="0" applyNumberFormat="1" applyFont="1" applyBorder="1" applyAlignment="1">
      <alignment horizontal="center" vertical="center" wrapText="1"/>
    </xf>
    <xf numFmtId="0" fontId="42" fillId="24" borderId="73" xfId="0" applyFont="1" applyFill="1" applyBorder="1" applyAlignment="1">
      <alignment horizontal="left" vertical="center" wrapText="1"/>
    </xf>
    <xf numFmtId="167" fontId="42" fillId="28" borderId="73" xfId="35" applyNumberFormat="1" applyFont="1" applyFill="1" applyBorder="1" applyAlignment="1" applyProtection="1">
      <alignment horizontal="right"/>
    </xf>
    <xf numFmtId="167" fontId="42" fillId="24" borderId="73" xfId="35" applyNumberFormat="1" applyFont="1" applyFill="1" applyBorder="1" applyAlignment="1" applyProtection="1">
      <alignment horizontal="right"/>
    </xf>
    <xf numFmtId="167" fontId="42" fillId="24" borderId="141" xfId="35" applyNumberFormat="1" applyFont="1" applyFill="1" applyBorder="1" applyAlignment="1" applyProtection="1">
      <alignment horizontal="center"/>
    </xf>
    <xf numFmtId="167" fontId="42" fillId="24" borderId="140" xfId="35" applyNumberFormat="1" applyFont="1" applyFill="1" applyBorder="1" applyAlignment="1" applyProtection="1">
      <alignment horizontal="right"/>
    </xf>
    <xf numFmtId="49" fontId="21" fillId="0" borderId="58" xfId="0" applyNumberFormat="1" applyFont="1" applyBorder="1" applyAlignment="1">
      <alignment horizontal="center" vertical="center" wrapText="1"/>
    </xf>
    <xf numFmtId="167" fontId="42" fillId="24" borderId="106" xfId="35" applyNumberFormat="1" applyFont="1" applyFill="1" applyBorder="1" applyAlignment="1" applyProtection="1">
      <alignment horizontal="center"/>
    </xf>
    <xf numFmtId="49" fontId="21" fillId="24" borderId="58" xfId="0" applyNumberFormat="1" applyFont="1" applyFill="1" applyBorder="1" applyAlignment="1">
      <alignment horizontal="center"/>
    </xf>
    <xf numFmtId="167" fontId="42" fillId="0" borderId="59" xfId="35" applyNumberFormat="1" applyFont="1" applyFill="1" applyBorder="1" applyAlignment="1" applyProtection="1">
      <alignment horizontal="right"/>
    </xf>
    <xf numFmtId="49" fontId="21" fillId="24" borderId="57" xfId="0" applyNumberFormat="1" applyFont="1" applyFill="1" applyBorder="1" applyAlignment="1">
      <alignment horizontal="center"/>
    </xf>
    <xf numFmtId="167" fontId="42" fillId="0" borderId="73" xfId="35" applyNumberFormat="1" applyFont="1" applyFill="1" applyBorder="1" applyAlignment="1" applyProtection="1">
      <alignment horizontal="right"/>
    </xf>
    <xf numFmtId="167" fontId="42" fillId="24" borderId="105" xfId="35" applyNumberFormat="1" applyFont="1" applyFill="1" applyBorder="1" applyAlignment="1" applyProtection="1">
      <alignment horizontal="right"/>
    </xf>
    <xf numFmtId="49" fontId="16" fillId="24" borderId="91" xfId="0" applyNumberFormat="1" applyFont="1" applyFill="1" applyBorder="1" applyAlignment="1">
      <alignment horizontal="center"/>
    </xf>
    <xf numFmtId="0" fontId="26" fillId="24" borderId="92" xfId="0" applyFont="1" applyFill="1" applyBorder="1" applyAlignment="1">
      <alignment vertical="center" wrapText="1"/>
    </xf>
    <xf numFmtId="0" fontId="28" fillId="24" borderId="179" xfId="0" applyFont="1" applyFill="1" applyBorder="1" applyAlignment="1">
      <alignment horizontal="center"/>
    </xf>
    <xf numFmtId="0" fontId="28" fillId="24" borderId="120" xfId="0" applyFont="1" applyFill="1" applyBorder="1" applyAlignment="1">
      <alignment horizontal="center"/>
    </xf>
    <xf numFmtId="0" fontId="45" fillId="24" borderId="120" xfId="0" applyFont="1" applyFill="1" applyBorder="1" applyAlignment="1">
      <alignment horizontal="center"/>
    </xf>
    <xf numFmtId="0" fontId="16" fillId="24" borderId="120" xfId="0" applyFont="1" applyFill="1" applyBorder="1" applyAlignment="1">
      <alignment horizontal="center"/>
    </xf>
    <xf numFmtId="0" fontId="16" fillId="24" borderId="120" xfId="0" applyFont="1" applyFill="1" applyBorder="1"/>
    <xf numFmtId="0" fontId="17" fillId="24" borderId="121" xfId="0" applyFont="1" applyFill="1" applyBorder="1"/>
    <xf numFmtId="0" fontId="30" fillId="24" borderId="62" xfId="0" applyFont="1" applyFill="1" applyBorder="1"/>
    <xf numFmtId="0" fontId="68" fillId="24" borderId="0" xfId="0" applyFont="1" applyFill="1" applyAlignment="1">
      <alignment horizontal="center"/>
    </xf>
    <xf numFmtId="0" fontId="69" fillId="24" borderId="0" xfId="0" applyFont="1" applyFill="1" applyAlignment="1">
      <alignment horizontal="center"/>
    </xf>
    <xf numFmtId="49" fontId="28" fillId="24" borderId="62" xfId="0" applyNumberFormat="1" applyFont="1" applyFill="1" applyBorder="1" applyAlignment="1">
      <alignment horizontal="center"/>
    </xf>
    <xf numFmtId="0" fontId="72" fillId="24" borderId="66" xfId="0" applyFont="1" applyFill="1" applyBorder="1"/>
    <xf numFmtId="0" fontId="72" fillId="24" borderId="93" xfId="0" applyFont="1" applyFill="1" applyBorder="1"/>
    <xf numFmtId="0" fontId="21" fillId="28" borderId="63" xfId="0" applyFont="1" applyFill="1" applyBorder="1" applyAlignment="1">
      <alignment horizontal="center"/>
    </xf>
    <xf numFmtId="0" fontId="21" fillId="0" borderId="215" xfId="0" applyFont="1" applyBorder="1" applyAlignment="1">
      <alignment horizontal="center" vertical="center" wrapText="1"/>
    </xf>
    <xf numFmtId="0" fontId="21" fillId="0" borderId="110" xfId="0" applyFont="1" applyBorder="1" applyAlignment="1">
      <alignment horizontal="center" vertical="center" wrapText="1"/>
    </xf>
    <xf numFmtId="0" fontId="25" fillId="0" borderId="109" xfId="0" applyFont="1" applyBorder="1" applyAlignment="1">
      <alignment horizontal="center" vertical="center" wrapText="1"/>
    </xf>
    <xf numFmtId="166" fontId="25" fillId="0" borderId="193" xfId="35" applyFont="1" applyFill="1" applyBorder="1" applyAlignment="1" applyProtection="1">
      <alignment horizontal="center" vertical="center" wrapText="1"/>
    </xf>
    <xf numFmtId="0" fontId="19" fillId="24" borderId="62" xfId="0" applyFont="1" applyFill="1" applyBorder="1" applyAlignment="1">
      <alignment horizontal="left"/>
    </xf>
    <xf numFmtId="0" fontId="19" fillId="24" borderId="0" xfId="0" applyFont="1" applyFill="1" applyAlignment="1">
      <alignment horizontal="left"/>
    </xf>
    <xf numFmtId="0" fontId="19" fillId="24" borderId="66" xfId="0" applyFont="1" applyFill="1" applyBorder="1" applyAlignment="1">
      <alignment horizontal="left"/>
    </xf>
    <xf numFmtId="0" fontId="16" fillId="24" borderId="62" xfId="0" applyFont="1" applyFill="1" applyBorder="1"/>
    <xf numFmtId="0" fontId="26" fillId="24" borderId="66" xfId="0" applyFont="1" applyFill="1" applyBorder="1" applyAlignment="1">
      <alignment horizontal="right"/>
    </xf>
    <xf numFmtId="0" fontId="21" fillId="28" borderId="64" xfId="0" applyFont="1" applyFill="1" applyBorder="1" applyAlignment="1">
      <alignment horizontal="center"/>
    </xf>
    <xf numFmtId="166" fontId="21" fillId="28" borderId="71" xfId="35" applyFont="1" applyFill="1" applyBorder="1" applyAlignment="1" applyProtection="1">
      <alignment horizontal="center"/>
    </xf>
    <xf numFmtId="168" fontId="43" fillId="34" borderId="0" xfId="39" applyNumberFormat="1" applyFont="1" applyFill="1" applyAlignment="1">
      <alignment vertical="center"/>
    </xf>
    <xf numFmtId="0" fontId="50" fillId="60" borderId="0" xfId="39" applyFill="1" applyAlignment="1">
      <alignment horizontal="left" vertical="center" wrapText="1"/>
    </xf>
    <xf numFmtId="0" fontId="22" fillId="0" borderId="25" xfId="0" applyFont="1" applyBorder="1" applyAlignment="1">
      <alignment horizontal="center"/>
    </xf>
    <xf numFmtId="0" fontId="22" fillId="0" borderId="69" xfId="0" applyFont="1" applyBorder="1" applyAlignment="1">
      <alignment horizontal="center"/>
    </xf>
    <xf numFmtId="0" fontId="41" fillId="0" borderId="2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7" fontId="21" fillId="0" borderId="24" xfId="0" applyNumberFormat="1" applyFont="1" applyBorder="1"/>
    <xf numFmtId="167" fontId="22" fillId="33" borderId="24" xfId="0" applyNumberFormat="1" applyFont="1" applyFill="1" applyBorder="1"/>
    <xf numFmtId="167" fontId="43" fillId="33" borderId="24" xfId="35" applyNumberFormat="1" applyFont="1" applyFill="1" applyBorder="1" applyAlignment="1" applyProtection="1">
      <alignment horizontal="right"/>
    </xf>
    <xf numFmtId="167" fontId="42" fillId="0" borderId="24" xfId="35" applyNumberFormat="1" applyFont="1" applyFill="1" applyBorder="1" applyAlignment="1" applyProtection="1">
      <alignment horizontal="right"/>
    </xf>
    <xf numFmtId="49" fontId="21" fillId="38" borderId="26" xfId="0" applyNumberFormat="1" applyFont="1" applyFill="1" applyBorder="1" applyAlignment="1">
      <alignment horizontal="center"/>
    </xf>
    <xf numFmtId="0" fontId="22" fillId="39" borderId="26" xfId="0" applyFont="1" applyFill="1" applyBorder="1" applyAlignment="1">
      <alignment vertical="center" wrapText="1"/>
    </xf>
    <xf numFmtId="167" fontId="22" fillId="0" borderId="24" xfId="0" applyNumberFormat="1" applyFont="1" applyBorder="1" applyAlignment="1">
      <alignment vertical="center"/>
    </xf>
    <xf numFmtId="0" fontId="41" fillId="0" borderId="59" xfId="0" applyFont="1" applyBorder="1" applyAlignment="1">
      <alignment horizontal="center" vertical="center" wrapText="1"/>
    </xf>
    <xf numFmtId="0" fontId="41" fillId="26" borderId="59" xfId="0" applyFont="1" applyFill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1" fillId="24" borderId="179" xfId="0" applyFont="1" applyFill="1" applyBorder="1"/>
    <xf numFmtId="0" fontId="21" fillId="24" borderId="62" xfId="0" applyFont="1" applyFill="1" applyBorder="1"/>
    <xf numFmtId="0" fontId="21" fillId="24" borderId="0" xfId="0" applyFont="1" applyFill="1" applyAlignment="1">
      <alignment horizontal="center"/>
    </xf>
    <xf numFmtId="0" fontId="21" fillId="24" borderId="66" xfId="0" applyFont="1" applyFill="1" applyBorder="1" applyAlignment="1">
      <alignment horizontal="center"/>
    </xf>
    <xf numFmtId="0" fontId="21" fillId="28" borderId="62" xfId="0" applyFont="1" applyFill="1" applyBorder="1"/>
    <xf numFmtId="0" fontId="21" fillId="54" borderId="97" xfId="0" applyFont="1" applyFill="1" applyBorder="1"/>
    <xf numFmtId="0" fontId="21" fillId="25" borderId="95" xfId="0" applyFont="1" applyFill="1" applyBorder="1" applyAlignment="1">
      <alignment horizontal="center"/>
    </xf>
    <xf numFmtId="167" fontId="21" fillId="24" borderId="71" xfId="0" applyNumberFormat="1" applyFont="1" applyFill="1" applyBorder="1"/>
    <xf numFmtId="167" fontId="22" fillId="24" borderId="71" xfId="0" applyNumberFormat="1" applyFont="1" applyFill="1" applyBorder="1"/>
    <xf numFmtId="167" fontId="21" fillId="24" borderId="66" xfId="0" applyNumberFormat="1" applyFont="1" applyFill="1" applyBorder="1"/>
    <xf numFmtId="0" fontId="21" fillId="24" borderId="91" xfId="0" applyFont="1" applyFill="1" applyBorder="1"/>
    <xf numFmtId="0" fontId="21" fillId="24" borderId="112" xfId="0" applyFont="1" applyFill="1" applyBorder="1"/>
    <xf numFmtId="0" fontId="22" fillId="24" borderId="109" xfId="0" applyFont="1" applyFill="1" applyBorder="1"/>
    <xf numFmtId="167" fontId="22" fillId="24" borderId="193" xfId="0" applyNumberFormat="1" applyFont="1" applyFill="1" applyBorder="1"/>
    <xf numFmtId="0" fontId="84" fillId="59" borderId="18" xfId="0" applyFont="1" applyFill="1" applyBorder="1" applyAlignment="1">
      <alignment wrapText="1"/>
    </xf>
    <xf numFmtId="0" fontId="22" fillId="0" borderId="0" xfId="0" applyFont="1" applyAlignment="1">
      <alignment horizontal="center"/>
    </xf>
    <xf numFmtId="49" fontId="75" fillId="60" borderId="81" xfId="0" applyNumberFormat="1" applyFont="1" applyFill="1" applyBorder="1" applyAlignment="1">
      <alignment horizontal="center" vertical="center"/>
    </xf>
    <xf numFmtId="49" fontId="75" fillId="60" borderId="82" xfId="0" applyNumberFormat="1" applyFont="1" applyFill="1" applyBorder="1" applyAlignment="1">
      <alignment horizontal="center" vertical="center"/>
    </xf>
    <xf numFmtId="49" fontId="75" fillId="60" borderId="83" xfId="0" applyNumberFormat="1" applyFont="1" applyFill="1" applyBorder="1" applyAlignment="1">
      <alignment horizontal="center" vertical="center"/>
    </xf>
    <xf numFmtId="177" fontId="22" fillId="39" borderId="131" xfId="33" applyNumberFormat="1" applyFont="1" applyFill="1" applyBorder="1" applyAlignment="1" applyProtection="1">
      <alignment horizontal="center" vertical="center"/>
    </xf>
    <xf numFmtId="177" fontId="22" fillId="39" borderId="132" xfId="33" applyNumberFormat="1" applyFont="1" applyFill="1" applyBorder="1" applyAlignment="1" applyProtection="1">
      <alignment horizontal="center" vertical="center"/>
    </xf>
    <xf numFmtId="177" fontId="22" fillId="39" borderId="133" xfId="33" applyNumberFormat="1" applyFont="1" applyFill="1" applyBorder="1" applyAlignment="1" applyProtection="1">
      <alignment horizontal="center" vertical="center"/>
    </xf>
    <xf numFmtId="0" fontId="0" fillId="0" borderId="134" xfId="0" applyBorder="1" applyAlignment="1">
      <alignment horizontal="center"/>
    </xf>
    <xf numFmtId="0" fontId="0" fillId="0" borderId="0" xfId="0" applyAlignment="1">
      <alignment horizontal="center"/>
    </xf>
    <xf numFmtId="171" fontId="20" fillId="26" borderId="0" xfId="0" applyNumberFormat="1" applyFont="1" applyFill="1" applyAlignment="1">
      <alignment horizontal="center" vertical="center"/>
    </xf>
    <xf numFmtId="171" fontId="50" fillId="26" borderId="0" xfId="33" applyFill="1" applyBorder="1" applyAlignment="1" applyProtection="1">
      <alignment horizontal="center" vertical="center"/>
    </xf>
    <xf numFmtId="171" fontId="0" fillId="26" borderId="0" xfId="0" applyNumberFormat="1" applyFill="1" applyAlignment="1">
      <alignment horizontal="center" vertical="center"/>
    </xf>
    <xf numFmtId="172" fontId="50" fillId="26" borderId="0" xfId="35" applyNumberFormat="1" applyFill="1" applyBorder="1" applyAlignment="1" applyProtection="1">
      <alignment horizontal="center" vertical="center"/>
    </xf>
    <xf numFmtId="177" fontId="25" fillId="39" borderId="135" xfId="33" applyNumberFormat="1" applyFont="1" applyFill="1" applyBorder="1" applyAlignment="1" applyProtection="1">
      <alignment horizontal="center" vertical="center"/>
    </xf>
    <xf numFmtId="177" fontId="25" fillId="39" borderId="136" xfId="33" applyNumberFormat="1" applyFont="1" applyFill="1" applyBorder="1" applyAlignment="1" applyProtection="1">
      <alignment horizontal="center" vertical="center"/>
    </xf>
    <xf numFmtId="177" fontId="25" fillId="39" borderId="137" xfId="33" applyNumberFormat="1" applyFont="1" applyFill="1" applyBorder="1" applyAlignment="1" applyProtection="1">
      <alignment horizontal="center" vertical="center"/>
    </xf>
    <xf numFmtId="177" fontId="33" fillId="26" borderId="26" xfId="33" applyNumberFormat="1" applyFont="1" applyFill="1" applyBorder="1" applyAlignment="1" applyProtection="1">
      <alignment horizontal="center" vertical="center" wrapText="1"/>
    </xf>
    <xf numFmtId="177" fontId="33" fillId="26" borderId="60" xfId="33" applyNumberFormat="1" applyFont="1" applyFill="1" applyBorder="1" applyAlignment="1" applyProtection="1">
      <alignment horizontal="center" vertical="center"/>
    </xf>
    <xf numFmtId="177" fontId="33" fillId="26" borderId="49" xfId="33" applyNumberFormat="1" applyFont="1" applyFill="1" applyBorder="1" applyAlignment="1" applyProtection="1">
      <alignment horizontal="center" vertical="center"/>
    </xf>
    <xf numFmtId="177" fontId="33" fillId="26" borderId="18" xfId="33" applyNumberFormat="1" applyFont="1" applyFill="1" applyBorder="1" applyAlignment="1" applyProtection="1">
      <alignment horizontal="center" vertical="center" wrapText="1"/>
    </xf>
    <xf numFmtId="177" fontId="33" fillId="26" borderId="60" xfId="33" applyNumberFormat="1" applyFont="1" applyFill="1" applyBorder="1" applyAlignment="1" applyProtection="1">
      <alignment horizontal="center" wrapText="1"/>
    </xf>
    <xf numFmtId="177" fontId="33" fillId="26" borderId="49" xfId="33" applyNumberFormat="1" applyFont="1" applyFill="1" applyBorder="1" applyAlignment="1" applyProtection="1">
      <alignment horizontal="center" wrapText="1"/>
    </xf>
    <xf numFmtId="177" fontId="20" fillId="26" borderId="81" xfId="33" applyNumberFormat="1" applyFont="1" applyFill="1" applyBorder="1" applyAlignment="1" applyProtection="1">
      <alignment horizontal="center" vertical="center" wrapText="1"/>
    </xf>
    <xf numFmtId="177" fontId="20" fillId="26" borderId="138" xfId="33" applyNumberFormat="1" applyFont="1" applyFill="1" applyBorder="1" applyAlignment="1" applyProtection="1">
      <alignment horizontal="center" vertical="center" wrapText="1"/>
    </xf>
    <xf numFmtId="49" fontId="48" fillId="26" borderId="26" xfId="33" applyNumberFormat="1" applyFont="1" applyFill="1" applyBorder="1" applyAlignment="1" applyProtection="1">
      <alignment horizontal="center" vertical="center"/>
    </xf>
    <xf numFmtId="49" fontId="48" fillId="26" borderId="74" xfId="33" applyNumberFormat="1" applyFont="1" applyFill="1" applyBorder="1" applyAlignment="1" applyProtection="1">
      <alignment horizontal="center" vertical="center"/>
    </xf>
    <xf numFmtId="49" fontId="48" fillId="26" borderId="139" xfId="33" applyNumberFormat="1" applyFont="1" applyFill="1" applyBorder="1" applyAlignment="1" applyProtection="1">
      <alignment horizontal="center" vertical="center"/>
    </xf>
    <xf numFmtId="177" fontId="48" fillId="26" borderId="18" xfId="33" applyNumberFormat="1" applyFont="1" applyFill="1" applyBorder="1" applyAlignment="1" applyProtection="1">
      <alignment horizontal="center" vertical="center" wrapText="1"/>
    </xf>
    <xf numFmtId="177" fontId="48" fillId="26" borderId="24" xfId="33" applyNumberFormat="1" applyFont="1" applyFill="1" applyBorder="1" applyAlignment="1" applyProtection="1">
      <alignment horizontal="center" vertical="center" wrapText="1"/>
    </xf>
    <xf numFmtId="177" fontId="41" fillId="60" borderId="140" xfId="33" applyNumberFormat="1" applyFont="1" applyFill="1" applyBorder="1" applyAlignment="1" applyProtection="1">
      <alignment horizontal="center" vertical="center" wrapText="1"/>
    </xf>
    <xf numFmtId="177" fontId="41" fillId="60" borderId="141" xfId="33" applyNumberFormat="1" applyFont="1" applyFill="1" applyBorder="1" applyAlignment="1" applyProtection="1">
      <alignment horizontal="center" vertical="center" wrapText="1"/>
    </xf>
    <xf numFmtId="177" fontId="41" fillId="60" borderId="57" xfId="33" applyNumberFormat="1" applyFont="1" applyFill="1" applyBorder="1" applyAlignment="1" applyProtection="1">
      <alignment horizontal="center" vertical="center" wrapText="1"/>
    </xf>
    <xf numFmtId="177" fontId="41" fillId="60" borderId="73" xfId="33" applyNumberFormat="1" applyFont="1" applyFill="1" applyBorder="1" applyAlignment="1" applyProtection="1">
      <alignment horizontal="center" vertical="center" wrapText="1"/>
    </xf>
    <xf numFmtId="177" fontId="41" fillId="60" borderId="58" xfId="33" applyNumberFormat="1" applyFont="1" applyFill="1" applyBorder="1" applyAlignment="1" applyProtection="1">
      <alignment horizontal="center" vertical="center" wrapText="1"/>
    </xf>
    <xf numFmtId="177" fontId="41" fillId="60" borderId="59" xfId="33" applyNumberFormat="1" applyFont="1" applyFill="1" applyBorder="1" applyAlignment="1" applyProtection="1">
      <alignment horizontal="center" vertical="center" wrapText="1"/>
    </xf>
    <xf numFmtId="177" fontId="20" fillId="60" borderId="140" xfId="33" applyNumberFormat="1" applyFont="1" applyFill="1" applyBorder="1" applyAlignment="1" applyProtection="1">
      <alignment horizontal="center" vertical="center" wrapText="1"/>
    </xf>
    <xf numFmtId="177" fontId="20" fillId="60" borderId="141" xfId="33" applyNumberFormat="1" applyFont="1" applyFill="1" applyBorder="1" applyAlignment="1" applyProtection="1">
      <alignment horizontal="center" vertical="center" wrapText="1"/>
    </xf>
    <xf numFmtId="177" fontId="22" fillId="26" borderId="60" xfId="33" applyNumberFormat="1" applyFont="1" applyFill="1" applyBorder="1" applyAlignment="1" applyProtection="1">
      <alignment horizontal="center" vertical="center" wrapText="1"/>
    </xf>
    <xf numFmtId="177" fontId="22" fillId="26" borderId="49" xfId="33" applyNumberFormat="1" applyFont="1" applyFill="1" applyBorder="1" applyAlignment="1" applyProtection="1">
      <alignment horizontal="center" vertical="center" wrapText="1"/>
    </xf>
    <xf numFmtId="177" fontId="43" fillId="24" borderId="143" xfId="33" applyNumberFormat="1" applyFont="1" applyFill="1" applyBorder="1" applyAlignment="1" applyProtection="1">
      <alignment horizontal="center" vertical="center"/>
    </xf>
    <xf numFmtId="177" fontId="43" fillId="24" borderId="144" xfId="33" applyNumberFormat="1" applyFont="1" applyFill="1" applyBorder="1" applyAlignment="1" applyProtection="1">
      <alignment horizontal="center" vertical="center"/>
    </xf>
    <xf numFmtId="177" fontId="43" fillId="24" borderId="145" xfId="33" applyNumberFormat="1" applyFont="1" applyFill="1" applyBorder="1" applyAlignment="1" applyProtection="1">
      <alignment horizontal="center" vertical="center"/>
    </xf>
    <xf numFmtId="177" fontId="43" fillId="24" borderId="146" xfId="33" applyNumberFormat="1" applyFont="1" applyFill="1" applyBorder="1" applyAlignment="1" applyProtection="1">
      <alignment horizontal="center" vertical="center"/>
    </xf>
    <xf numFmtId="177" fontId="20" fillId="27" borderId="147" xfId="33" applyNumberFormat="1" applyFont="1" applyFill="1" applyBorder="1" applyAlignment="1" applyProtection="1">
      <alignment horizontal="center" vertical="center" wrapText="1"/>
    </xf>
    <xf numFmtId="177" fontId="20" fillId="27" borderId="18" xfId="33" applyNumberFormat="1" applyFont="1" applyFill="1" applyBorder="1" applyAlignment="1" applyProtection="1">
      <alignment horizontal="center" wrapText="1"/>
    </xf>
    <xf numFmtId="177" fontId="20" fillId="27" borderId="18" xfId="33" applyNumberFormat="1" applyFont="1" applyFill="1" applyBorder="1" applyAlignment="1" applyProtection="1">
      <alignment horizontal="center" vertical="center" wrapText="1"/>
    </xf>
    <xf numFmtId="175" fontId="20" fillId="27" borderId="18" xfId="33" applyNumberFormat="1" applyFont="1" applyFill="1" applyBorder="1" applyAlignment="1" applyProtection="1">
      <alignment horizontal="center" vertical="center" wrapText="1"/>
    </xf>
    <xf numFmtId="0" fontId="20" fillId="27" borderId="18" xfId="33" applyNumberFormat="1" applyFont="1" applyFill="1" applyBorder="1" applyAlignment="1" applyProtection="1">
      <alignment horizontal="center" vertical="center"/>
    </xf>
    <xf numFmtId="175" fontId="20" fillId="27" borderId="18" xfId="33" applyNumberFormat="1" applyFont="1" applyFill="1" applyBorder="1" applyAlignment="1" applyProtection="1">
      <alignment horizontal="center" vertical="center"/>
    </xf>
    <xf numFmtId="175" fontId="20" fillId="27" borderId="29" xfId="33" applyNumberFormat="1" applyFont="1" applyFill="1" applyBorder="1" applyAlignment="1" applyProtection="1">
      <alignment horizontal="center" vertical="center" wrapText="1"/>
    </xf>
    <xf numFmtId="175" fontId="33" fillId="27" borderId="13" xfId="33" applyNumberFormat="1" applyFont="1" applyFill="1" applyBorder="1" applyAlignment="1" applyProtection="1">
      <alignment horizontal="center" vertical="center" wrapText="1"/>
    </xf>
    <xf numFmtId="175" fontId="33" fillId="27" borderId="20" xfId="33" applyNumberFormat="1" applyFont="1" applyFill="1" applyBorder="1" applyAlignment="1" applyProtection="1">
      <alignment horizontal="center" vertical="center" wrapText="1"/>
    </xf>
    <xf numFmtId="175" fontId="33" fillId="27" borderId="16" xfId="33" applyNumberFormat="1" applyFont="1" applyFill="1" applyBorder="1" applyAlignment="1" applyProtection="1">
      <alignment horizontal="center" vertical="center" wrapText="1"/>
    </xf>
    <xf numFmtId="49" fontId="20" fillId="24" borderId="70" xfId="33" applyNumberFormat="1" applyFont="1" applyFill="1" applyBorder="1" applyAlignment="1" applyProtection="1">
      <alignment horizontal="center" vertical="center"/>
    </xf>
    <xf numFmtId="177" fontId="43" fillId="24" borderId="142" xfId="33" applyNumberFormat="1" applyFont="1" applyFill="1" applyBorder="1" applyAlignment="1" applyProtection="1">
      <alignment horizontal="center" vertical="center"/>
    </xf>
    <xf numFmtId="177" fontId="43" fillId="24" borderId="134" xfId="33" applyNumberFormat="1" applyFont="1" applyFill="1" applyBorder="1" applyAlignment="1" applyProtection="1">
      <alignment horizontal="center" vertical="center"/>
    </xf>
    <xf numFmtId="177" fontId="43" fillId="24" borderId="87" xfId="33" applyNumberFormat="1" applyFont="1" applyFill="1" applyBorder="1" applyAlignment="1" applyProtection="1">
      <alignment horizontal="center" vertical="center"/>
    </xf>
    <xf numFmtId="177" fontId="20" fillId="37" borderId="48" xfId="33" applyNumberFormat="1" applyFont="1" applyFill="1" applyBorder="1" applyAlignment="1" applyProtection="1">
      <alignment horizontal="center" vertical="center"/>
    </xf>
    <xf numFmtId="49" fontId="20" fillId="24" borderId="105" xfId="33" applyNumberFormat="1" applyFont="1" applyFill="1" applyBorder="1" applyAlignment="1" applyProtection="1">
      <alignment horizontal="center" vertical="center" wrapText="1"/>
    </xf>
    <xf numFmtId="49" fontId="20" fillId="24" borderId="51" xfId="33" applyNumberFormat="1" applyFont="1" applyFill="1" applyBorder="1" applyAlignment="1" applyProtection="1">
      <alignment horizontal="center" vertical="center" wrapText="1"/>
    </xf>
    <xf numFmtId="49" fontId="20" fillId="24" borderId="22" xfId="33" applyNumberFormat="1" applyFont="1" applyFill="1" applyBorder="1" applyAlignment="1" applyProtection="1">
      <alignment horizontal="center" vertical="center" wrapText="1"/>
    </xf>
    <xf numFmtId="49" fontId="20" fillId="24" borderId="31" xfId="33" applyNumberFormat="1" applyFont="1" applyFill="1" applyBorder="1" applyAlignment="1" applyProtection="1">
      <alignment horizontal="center" vertical="center" wrapText="1"/>
    </xf>
    <xf numFmtId="49" fontId="20" fillId="24" borderId="68" xfId="33" applyNumberFormat="1" applyFont="1" applyFill="1" applyBorder="1" applyAlignment="1" applyProtection="1">
      <alignment horizontal="center" vertical="center"/>
    </xf>
    <xf numFmtId="49" fontId="20" fillId="24" borderId="148" xfId="33" applyNumberFormat="1" applyFont="1" applyFill="1" applyBorder="1" applyAlignment="1" applyProtection="1">
      <alignment horizontal="center" vertical="center"/>
    </xf>
    <xf numFmtId="49" fontId="20" fillId="24" borderId="84" xfId="33" applyNumberFormat="1" applyFont="1" applyFill="1" applyBorder="1" applyAlignment="1" applyProtection="1">
      <alignment horizontal="center" vertical="center"/>
    </xf>
    <xf numFmtId="177" fontId="20" fillId="24" borderId="34" xfId="33" applyNumberFormat="1" applyFont="1" applyFill="1" applyBorder="1" applyAlignment="1" applyProtection="1">
      <alignment horizontal="center" vertical="center"/>
    </xf>
    <xf numFmtId="177" fontId="20" fillId="24" borderId="149" xfId="33" applyNumberFormat="1" applyFont="1" applyFill="1" applyBorder="1" applyAlignment="1" applyProtection="1">
      <alignment horizontal="center" vertical="center"/>
    </xf>
    <xf numFmtId="177" fontId="20" fillId="24" borderId="150" xfId="33" applyNumberFormat="1" applyFont="1" applyFill="1" applyBorder="1" applyAlignment="1" applyProtection="1">
      <alignment horizontal="center" vertical="center"/>
    </xf>
    <xf numFmtId="177" fontId="20" fillId="24" borderId="73" xfId="33" applyNumberFormat="1" applyFont="1" applyFill="1" applyBorder="1" applyAlignment="1" applyProtection="1">
      <alignment horizontal="center" vertical="center"/>
    </xf>
    <xf numFmtId="177" fontId="20" fillId="24" borderId="140" xfId="33" applyNumberFormat="1" applyFont="1" applyFill="1" applyBorder="1" applyAlignment="1" applyProtection="1">
      <alignment horizontal="center" vertical="center"/>
    </xf>
    <xf numFmtId="177" fontId="20" fillId="24" borderId="75" xfId="33" applyNumberFormat="1" applyFont="1" applyFill="1" applyBorder="1" applyAlignment="1" applyProtection="1">
      <alignment horizontal="center" vertical="center"/>
    </xf>
    <xf numFmtId="177" fontId="20" fillId="24" borderId="18" xfId="33" applyNumberFormat="1" applyFont="1" applyFill="1" applyBorder="1" applyAlignment="1" applyProtection="1">
      <alignment horizontal="center" vertical="center" wrapText="1"/>
    </xf>
    <xf numFmtId="177" fontId="20" fillId="24" borderId="81" xfId="33" applyNumberFormat="1" applyFont="1" applyFill="1" applyBorder="1" applyAlignment="1" applyProtection="1">
      <alignment horizontal="center" vertical="center"/>
    </xf>
    <xf numFmtId="177" fontId="20" fillId="24" borderId="82" xfId="33" applyNumberFormat="1" applyFont="1" applyFill="1" applyBorder="1" applyAlignment="1" applyProtection="1">
      <alignment horizontal="center" vertical="center"/>
    </xf>
    <xf numFmtId="177" fontId="20" fillId="24" borderId="83" xfId="33" applyNumberFormat="1" applyFont="1" applyFill="1" applyBorder="1" applyAlignment="1" applyProtection="1">
      <alignment horizontal="center" vertical="center"/>
    </xf>
    <xf numFmtId="0" fontId="20" fillId="27" borderId="102" xfId="33" applyNumberFormat="1" applyFont="1" applyFill="1" applyBorder="1" applyAlignment="1" applyProtection="1">
      <alignment horizontal="center" vertical="center"/>
    </xf>
    <xf numFmtId="0" fontId="20" fillId="27" borderId="151" xfId="33" applyNumberFormat="1" applyFont="1" applyFill="1" applyBorder="1" applyAlignment="1" applyProtection="1">
      <alignment horizontal="center" vertical="center"/>
    </xf>
    <xf numFmtId="0" fontId="20" fillId="27" borderId="152" xfId="33" applyNumberFormat="1" applyFont="1" applyFill="1" applyBorder="1" applyAlignment="1" applyProtection="1">
      <alignment horizontal="center" vertical="center"/>
    </xf>
    <xf numFmtId="175" fontId="20" fillId="27" borderId="101" xfId="33" applyNumberFormat="1" applyFont="1" applyFill="1" applyBorder="1" applyAlignment="1" applyProtection="1">
      <alignment horizontal="center" vertical="center" wrapText="1"/>
    </xf>
    <xf numFmtId="175" fontId="20" fillId="27" borderId="100" xfId="33" applyNumberFormat="1" applyFont="1" applyFill="1" applyBorder="1" applyAlignment="1" applyProtection="1">
      <alignment horizontal="center" vertical="center" wrapText="1"/>
    </xf>
    <xf numFmtId="177" fontId="20" fillId="27" borderId="153" xfId="33" applyNumberFormat="1" applyFont="1" applyFill="1" applyBorder="1" applyAlignment="1" applyProtection="1">
      <alignment horizontal="center" vertical="center" wrapText="1"/>
    </xf>
    <xf numFmtId="177" fontId="20" fillId="27" borderId="154" xfId="33" applyNumberFormat="1" applyFont="1" applyFill="1" applyBorder="1" applyAlignment="1" applyProtection="1">
      <alignment horizontal="center" vertical="center" wrapText="1"/>
    </xf>
    <xf numFmtId="177" fontId="20" fillId="27" borderId="155" xfId="33" applyNumberFormat="1" applyFont="1" applyFill="1" applyBorder="1" applyAlignment="1" applyProtection="1">
      <alignment horizontal="center" vertical="center" wrapText="1"/>
    </xf>
    <xf numFmtId="177" fontId="43" fillId="24" borderId="135" xfId="33" applyNumberFormat="1" applyFont="1" applyFill="1" applyBorder="1" applyAlignment="1" applyProtection="1">
      <alignment horizontal="center" vertical="center"/>
    </xf>
    <xf numFmtId="177" fontId="43" fillId="24" borderId="136" xfId="33" applyNumberFormat="1" applyFont="1" applyFill="1" applyBorder="1" applyAlignment="1" applyProtection="1">
      <alignment horizontal="center" vertical="center"/>
    </xf>
    <xf numFmtId="177" fontId="43" fillId="24" borderId="137" xfId="33" applyNumberFormat="1" applyFont="1" applyFill="1" applyBorder="1" applyAlignment="1" applyProtection="1">
      <alignment horizontal="center" vertical="center"/>
    </xf>
    <xf numFmtId="177" fontId="20" fillId="27" borderId="156" xfId="33" applyNumberFormat="1" applyFont="1" applyFill="1" applyBorder="1" applyAlignment="1" applyProtection="1">
      <alignment horizontal="center" vertical="center" wrapText="1"/>
    </xf>
    <xf numFmtId="177" fontId="20" fillId="27" borderId="62" xfId="33" applyNumberFormat="1" applyFont="1" applyFill="1" applyBorder="1" applyAlignment="1" applyProtection="1">
      <alignment horizontal="center" vertical="center" wrapText="1"/>
    </xf>
    <xf numFmtId="177" fontId="20" fillId="27" borderId="91" xfId="33" applyNumberFormat="1" applyFont="1" applyFill="1" applyBorder="1" applyAlignment="1" applyProtection="1">
      <alignment horizontal="center" vertical="center" wrapText="1"/>
    </xf>
    <xf numFmtId="175" fontId="20" fillId="27" borderId="157" xfId="33" applyNumberFormat="1" applyFont="1" applyFill="1" applyBorder="1" applyAlignment="1" applyProtection="1">
      <alignment horizontal="center" vertical="center" wrapText="1"/>
    </xf>
    <xf numFmtId="175" fontId="20" fillId="27" borderId="158" xfId="33" applyNumberFormat="1" applyFont="1" applyFill="1" applyBorder="1" applyAlignment="1" applyProtection="1">
      <alignment horizontal="center" vertical="center" wrapText="1"/>
    </xf>
    <xf numFmtId="175" fontId="20" fillId="27" borderId="159" xfId="33" applyNumberFormat="1" applyFont="1" applyFill="1" applyBorder="1" applyAlignment="1" applyProtection="1">
      <alignment horizontal="center" vertical="center" wrapText="1"/>
    </xf>
    <xf numFmtId="175" fontId="20" fillId="27" borderId="101" xfId="33" applyNumberFormat="1" applyFont="1" applyFill="1" applyBorder="1" applyAlignment="1" applyProtection="1">
      <alignment horizontal="center" vertical="center"/>
    </xf>
    <xf numFmtId="175" fontId="20" fillId="27" borderId="100" xfId="33" applyNumberFormat="1" applyFont="1" applyFill="1" applyBorder="1" applyAlignment="1" applyProtection="1">
      <alignment horizontal="center" vertical="center"/>
    </xf>
    <xf numFmtId="175" fontId="20" fillId="27" borderId="103" xfId="33" applyNumberFormat="1" applyFont="1" applyFill="1" applyBorder="1" applyAlignment="1" applyProtection="1">
      <alignment horizontal="center" vertical="center"/>
    </xf>
    <xf numFmtId="177" fontId="43" fillId="24" borderId="188" xfId="33" applyNumberFormat="1" applyFont="1" applyFill="1" applyBorder="1" applyAlignment="1" applyProtection="1">
      <alignment horizontal="center" vertical="center"/>
    </xf>
    <xf numFmtId="177" fontId="43" fillId="24" borderId="168" xfId="33" applyNumberFormat="1" applyFont="1" applyFill="1" applyBorder="1" applyAlignment="1" applyProtection="1">
      <alignment horizontal="center" vertical="center"/>
    </xf>
    <xf numFmtId="177" fontId="43" fillId="24" borderId="190" xfId="33" applyNumberFormat="1" applyFont="1" applyFill="1" applyBorder="1" applyAlignment="1" applyProtection="1">
      <alignment horizontal="center" vertical="center"/>
    </xf>
    <xf numFmtId="49" fontId="0" fillId="24" borderId="64" xfId="33" applyNumberFormat="1" applyFont="1" applyFill="1" applyBorder="1" applyAlignment="1" applyProtection="1">
      <alignment horizontal="center" vertical="center"/>
    </xf>
    <xf numFmtId="49" fontId="0" fillId="24" borderId="98" xfId="33" applyNumberFormat="1" applyFont="1" applyFill="1" applyBorder="1" applyAlignment="1" applyProtection="1">
      <alignment horizontal="center" vertical="center"/>
    </xf>
    <xf numFmtId="49" fontId="0" fillId="24" borderId="65" xfId="33" applyNumberFormat="1" applyFont="1" applyFill="1" applyBorder="1" applyAlignment="1" applyProtection="1">
      <alignment horizontal="center" vertical="center"/>
    </xf>
    <xf numFmtId="177" fontId="20" fillId="24" borderId="10" xfId="33" applyNumberFormat="1" applyFont="1" applyFill="1" applyBorder="1" applyAlignment="1" applyProtection="1">
      <alignment horizontal="center" vertical="center" wrapText="1"/>
    </xf>
    <xf numFmtId="177" fontId="20" fillId="24" borderId="21" xfId="33" applyNumberFormat="1" applyFont="1" applyFill="1" applyBorder="1" applyAlignment="1" applyProtection="1">
      <alignment horizontal="center" vertical="center" wrapText="1"/>
    </xf>
    <xf numFmtId="177" fontId="20" fillId="24" borderId="96" xfId="33" applyNumberFormat="1" applyFont="1" applyFill="1" applyBorder="1" applyAlignment="1" applyProtection="1">
      <alignment horizontal="center" vertical="center" wrapText="1"/>
    </xf>
    <xf numFmtId="177" fontId="43" fillId="24" borderId="160" xfId="33" applyNumberFormat="1" applyFont="1" applyFill="1" applyBorder="1" applyAlignment="1" applyProtection="1">
      <alignment horizontal="center" vertical="center"/>
    </xf>
    <xf numFmtId="177" fontId="43" fillId="24" borderId="161" xfId="33" applyNumberFormat="1" applyFont="1" applyFill="1" applyBorder="1" applyAlignment="1" applyProtection="1">
      <alignment horizontal="center" vertical="center"/>
    </xf>
    <xf numFmtId="177" fontId="43" fillId="24" borderId="162" xfId="33" applyNumberFormat="1" applyFont="1" applyFill="1" applyBorder="1" applyAlignment="1" applyProtection="1">
      <alignment horizontal="center" vertical="center"/>
    </xf>
    <xf numFmtId="175" fontId="20" fillId="27" borderId="71" xfId="33" applyNumberFormat="1" applyFont="1" applyFill="1" applyBorder="1" applyAlignment="1" applyProtection="1">
      <alignment horizontal="center" vertical="center" wrapText="1"/>
    </xf>
    <xf numFmtId="177" fontId="20" fillId="27" borderId="10" xfId="33" applyNumberFormat="1" applyFont="1" applyFill="1" applyBorder="1" applyAlignment="1" applyProtection="1">
      <alignment horizontal="center" wrapText="1"/>
    </xf>
    <xf numFmtId="177" fontId="20" fillId="27" borderId="10" xfId="33" applyNumberFormat="1" applyFont="1" applyFill="1" applyBorder="1" applyAlignment="1" applyProtection="1">
      <alignment horizontal="center" vertical="center" wrapText="1"/>
    </xf>
    <xf numFmtId="0" fontId="20" fillId="27" borderId="10" xfId="33" applyNumberFormat="1" applyFont="1" applyFill="1" applyBorder="1" applyAlignment="1" applyProtection="1">
      <alignment horizontal="center" vertical="center"/>
    </xf>
    <xf numFmtId="175" fontId="20" fillId="27" borderId="10" xfId="33" applyNumberFormat="1" applyFont="1" applyFill="1" applyBorder="1" applyAlignment="1" applyProtection="1">
      <alignment horizontal="center" vertical="center"/>
    </xf>
    <xf numFmtId="177" fontId="20" fillId="27" borderId="64" xfId="33" applyNumberFormat="1" applyFont="1" applyFill="1" applyBorder="1" applyAlignment="1" applyProtection="1">
      <alignment horizontal="center" vertical="center" wrapText="1"/>
    </xf>
    <xf numFmtId="175" fontId="20" fillId="27" borderId="10" xfId="33" applyNumberFormat="1" applyFont="1" applyFill="1" applyBorder="1" applyAlignment="1" applyProtection="1">
      <alignment horizontal="center" vertical="center" wrapText="1"/>
    </xf>
    <xf numFmtId="177" fontId="43" fillId="24" borderId="192" xfId="33" applyNumberFormat="1" applyFont="1" applyFill="1" applyBorder="1" applyAlignment="1" applyProtection="1">
      <alignment horizontal="center" vertical="center"/>
    </xf>
    <xf numFmtId="177" fontId="43" fillId="24" borderId="125" xfId="33" applyNumberFormat="1" applyFont="1" applyFill="1" applyBorder="1" applyAlignment="1" applyProtection="1">
      <alignment horizontal="center" vertical="center"/>
    </xf>
    <xf numFmtId="177" fontId="43" fillId="24" borderId="99" xfId="33" applyNumberFormat="1" applyFont="1" applyFill="1" applyBorder="1" applyAlignment="1" applyProtection="1">
      <alignment horizontal="center" vertical="center"/>
    </xf>
    <xf numFmtId="0" fontId="20" fillId="0" borderId="128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19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49" fontId="0" fillId="24" borderId="68" xfId="33" applyNumberFormat="1" applyFont="1" applyFill="1" applyBorder="1" applyAlignment="1" applyProtection="1">
      <alignment horizontal="center" vertical="center"/>
    </xf>
    <xf numFmtId="49" fontId="0" fillId="24" borderId="70" xfId="33" applyNumberFormat="1" applyFont="1" applyFill="1" applyBorder="1" applyAlignment="1" applyProtection="1">
      <alignment horizontal="center" vertical="center"/>
    </xf>
    <xf numFmtId="49" fontId="0" fillId="24" borderId="52" xfId="33" applyNumberFormat="1" applyFont="1" applyFill="1" applyBorder="1" applyAlignment="1" applyProtection="1">
      <alignment horizontal="center" vertical="center"/>
    </xf>
    <xf numFmtId="177" fontId="20" fillId="24" borderId="71" xfId="33" applyNumberFormat="1" applyFont="1" applyFill="1" applyBorder="1" applyAlignment="1" applyProtection="1">
      <alignment horizontal="center" vertical="center" wrapText="1"/>
    </xf>
    <xf numFmtId="177" fontId="43" fillId="24" borderId="189" xfId="33" applyNumberFormat="1" applyFont="1" applyFill="1" applyBorder="1" applyAlignment="1" applyProtection="1">
      <alignment horizontal="center" vertical="center"/>
    </xf>
    <xf numFmtId="177" fontId="43" fillId="24" borderId="117" xfId="33" applyNumberFormat="1" applyFont="1" applyFill="1" applyBorder="1" applyAlignment="1" applyProtection="1">
      <alignment horizontal="center" vertical="center"/>
    </xf>
    <xf numFmtId="177" fontId="20" fillId="27" borderId="13" xfId="33" applyNumberFormat="1" applyFont="1" applyFill="1" applyBorder="1" applyAlignment="1" applyProtection="1">
      <alignment horizontal="center" wrapText="1"/>
    </xf>
    <xf numFmtId="177" fontId="20" fillId="27" borderId="16" xfId="33" applyNumberFormat="1" applyFont="1" applyFill="1" applyBorder="1" applyAlignment="1" applyProtection="1">
      <alignment horizontal="center" wrapText="1"/>
    </xf>
    <xf numFmtId="177" fontId="43" fillId="24" borderId="89" xfId="33" applyNumberFormat="1" applyFont="1" applyFill="1" applyBorder="1" applyAlignment="1" applyProtection="1">
      <alignment horizontal="center" vertical="center"/>
    </xf>
    <xf numFmtId="177" fontId="43" fillId="24" borderId="20" xfId="33" applyNumberFormat="1" applyFont="1" applyFill="1" applyBorder="1" applyAlignment="1" applyProtection="1">
      <alignment horizontal="center" vertical="center"/>
    </xf>
    <xf numFmtId="177" fontId="43" fillId="24" borderId="67" xfId="33" applyNumberFormat="1" applyFont="1" applyFill="1" applyBorder="1" applyAlignment="1" applyProtection="1">
      <alignment horizontal="center" vertical="center"/>
    </xf>
    <xf numFmtId="49" fontId="0" fillId="24" borderId="160" xfId="33" applyNumberFormat="1" applyFont="1" applyFill="1" applyBorder="1" applyAlignment="1" applyProtection="1">
      <alignment horizontal="center" vertical="center"/>
    </xf>
    <xf numFmtId="177" fontId="20" fillId="24" borderId="128" xfId="33" applyNumberFormat="1" applyFont="1" applyFill="1" applyBorder="1" applyAlignment="1" applyProtection="1">
      <alignment horizontal="center" vertical="center" wrapText="1"/>
    </xf>
    <xf numFmtId="0" fontId="20" fillId="0" borderId="198" xfId="0" applyFont="1" applyBorder="1" applyAlignment="1">
      <alignment horizontal="center" vertical="center"/>
    </xf>
    <xf numFmtId="177" fontId="20" fillId="27" borderId="13" xfId="33" applyNumberFormat="1" applyFont="1" applyFill="1" applyBorder="1" applyAlignment="1" applyProtection="1">
      <alignment horizontal="center" vertical="center" wrapText="1"/>
    </xf>
    <xf numFmtId="177" fontId="20" fillId="27" borderId="16" xfId="33" applyNumberFormat="1" applyFont="1" applyFill="1" applyBorder="1" applyAlignment="1" applyProtection="1">
      <alignment horizontal="center" vertical="center" wrapText="1"/>
    </xf>
    <xf numFmtId="177" fontId="43" fillId="24" borderId="179" xfId="33" applyNumberFormat="1" applyFont="1" applyFill="1" applyBorder="1" applyAlignment="1" applyProtection="1">
      <alignment horizontal="center" vertical="center"/>
    </xf>
    <xf numFmtId="177" fontId="43" fillId="24" borderId="120" xfId="33" applyNumberFormat="1" applyFont="1" applyFill="1" applyBorder="1" applyAlignment="1" applyProtection="1">
      <alignment horizontal="center" vertical="center"/>
    </xf>
    <xf numFmtId="177" fontId="43" fillId="24" borderId="121" xfId="33" applyNumberFormat="1" applyFont="1" applyFill="1" applyBorder="1" applyAlignment="1" applyProtection="1">
      <alignment horizontal="center" vertical="center"/>
    </xf>
    <xf numFmtId="49" fontId="43" fillId="0" borderId="91" xfId="33" applyNumberFormat="1" applyFont="1" applyFill="1" applyBorder="1" applyAlignment="1" applyProtection="1">
      <alignment horizontal="center" vertical="center"/>
    </xf>
    <xf numFmtId="49" fontId="43" fillId="0" borderId="92" xfId="33" applyNumberFormat="1" applyFont="1" applyFill="1" applyBorder="1" applyAlignment="1" applyProtection="1">
      <alignment horizontal="center" vertical="center"/>
    </xf>
    <xf numFmtId="49" fontId="43" fillId="0" borderId="93" xfId="33" applyNumberFormat="1" applyFont="1" applyFill="1" applyBorder="1" applyAlignment="1" applyProtection="1">
      <alignment horizontal="center" vertical="center"/>
    </xf>
    <xf numFmtId="177" fontId="50" fillId="28" borderId="60" xfId="33" applyNumberFormat="1" applyFill="1" applyBorder="1" applyAlignment="1" applyProtection="1">
      <alignment horizontal="left" vertical="center" wrapText="1"/>
    </xf>
    <xf numFmtId="177" fontId="50" fillId="28" borderId="49" xfId="33" applyNumberFormat="1" applyFill="1" applyBorder="1" applyAlignment="1" applyProtection="1">
      <alignment horizontal="left" vertical="center" wrapText="1"/>
    </xf>
    <xf numFmtId="177" fontId="20" fillId="27" borderId="148" xfId="33" applyNumberFormat="1" applyFont="1" applyFill="1" applyBorder="1" applyAlignment="1" applyProtection="1">
      <alignment horizontal="center" vertical="center" wrapText="1"/>
    </xf>
    <xf numFmtId="177" fontId="20" fillId="27" borderId="70" xfId="33" applyNumberFormat="1" applyFont="1" applyFill="1" applyBorder="1" applyAlignment="1" applyProtection="1">
      <alignment horizontal="center" vertical="center" wrapText="1"/>
    </xf>
    <xf numFmtId="177" fontId="20" fillId="27" borderId="84" xfId="33" applyNumberFormat="1" applyFont="1" applyFill="1" applyBorder="1" applyAlignment="1" applyProtection="1">
      <alignment horizontal="center" vertical="center" wrapText="1"/>
    </xf>
    <xf numFmtId="177" fontId="20" fillId="27" borderId="140" xfId="33" applyNumberFormat="1" applyFont="1" applyFill="1" applyBorder="1" applyAlignment="1" applyProtection="1">
      <alignment horizontal="center" wrapText="1"/>
    </xf>
    <xf numFmtId="177" fontId="20" fillId="27" borderId="141" xfId="33" applyNumberFormat="1" applyFont="1" applyFill="1" applyBorder="1" applyAlignment="1" applyProtection="1">
      <alignment horizontal="center" wrapText="1"/>
    </xf>
    <xf numFmtId="0" fontId="20" fillId="27" borderId="140" xfId="33" applyNumberFormat="1" applyFont="1" applyFill="1" applyBorder="1" applyAlignment="1" applyProtection="1">
      <alignment horizontal="center" vertical="center"/>
    </xf>
    <xf numFmtId="0" fontId="20" fillId="27" borderId="163" xfId="33" applyNumberFormat="1" applyFont="1" applyFill="1" applyBorder="1" applyAlignment="1" applyProtection="1">
      <alignment horizontal="center" vertical="center"/>
    </xf>
    <xf numFmtId="0" fontId="20" fillId="27" borderId="141" xfId="33" applyNumberFormat="1" applyFont="1" applyFill="1" applyBorder="1" applyAlignment="1" applyProtection="1">
      <alignment horizontal="center" vertical="center"/>
    </xf>
    <xf numFmtId="175" fontId="33" fillId="27" borderId="164" xfId="33" applyNumberFormat="1" applyFont="1" applyFill="1" applyBorder="1" applyAlignment="1" applyProtection="1">
      <alignment horizontal="center" vertical="center" wrapText="1"/>
    </xf>
    <xf numFmtId="175" fontId="33" fillId="27" borderId="165" xfId="33" applyNumberFormat="1" applyFont="1" applyFill="1" applyBorder="1" applyAlignment="1" applyProtection="1">
      <alignment horizontal="center" vertical="center" wrapText="1"/>
    </xf>
    <xf numFmtId="177" fontId="20" fillId="27" borderId="105" xfId="33" applyNumberFormat="1" applyFont="1" applyFill="1" applyBorder="1" applyAlignment="1" applyProtection="1">
      <alignment horizontal="center" vertical="center" wrapText="1"/>
    </xf>
    <xf numFmtId="177" fontId="20" fillId="27" borderId="51" xfId="33" applyNumberFormat="1" applyFont="1" applyFill="1" applyBorder="1" applyAlignment="1" applyProtection="1">
      <alignment horizontal="center" vertical="center" wrapText="1"/>
    </xf>
    <xf numFmtId="177" fontId="20" fillId="27" borderId="28" xfId="33" applyNumberFormat="1" applyFont="1" applyFill="1" applyBorder="1" applyAlignment="1" applyProtection="1">
      <alignment horizontal="center" vertical="center" wrapText="1"/>
    </xf>
    <xf numFmtId="175" fontId="20" fillId="27" borderId="105" xfId="33" applyNumberFormat="1" applyFont="1" applyFill="1" applyBorder="1" applyAlignment="1" applyProtection="1">
      <alignment horizontal="center" vertical="center" wrapText="1"/>
    </xf>
    <xf numFmtId="175" fontId="20" fillId="27" borderId="51" xfId="33" applyNumberFormat="1" applyFont="1" applyFill="1" applyBorder="1" applyAlignment="1" applyProtection="1">
      <alignment horizontal="center" vertical="center" wrapText="1"/>
    </xf>
    <xf numFmtId="175" fontId="20" fillId="27" borderId="28" xfId="33" applyNumberFormat="1" applyFont="1" applyFill="1" applyBorder="1" applyAlignment="1" applyProtection="1">
      <alignment horizontal="center" vertical="center" wrapText="1"/>
    </xf>
    <xf numFmtId="175" fontId="20" fillId="27" borderId="199" xfId="33" applyNumberFormat="1" applyFont="1" applyFill="1" applyBorder="1" applyAlignment="1" applyProtection="1">
      <alignment horizontal="center" vertical="center" wrapText="1"/>
    </xf>
    <xf numFmtId="175" fontId="20" fillId="27" borderId="166" xfId="33" applyNumberFormat="1" applyFont="1" applyFill="1" applyBorder="1" applyAlignment="1" applyProtection="1">
      <alignment horizontal="center" vertical="center" wrapText="1"/>
    </xf>
    <xf numFmtId="175" fontId="20" fillId="27" borderId="45" xfId="33" applyNumberFormat="1" applyFont="1" applyFill="1" applyBorder="1" applyAlignment="1" applyProtection="1">
      <alignment horizontal="center" vertical="center" wrapText="1"/>
    </xf>
    <xf numFmtId="177" fontId="20" fillId="27" borderId="60" xfId="33" applyNumberFormat="1" applyFont="1" applyFill="1" applyBorder="1" applyAlignment="1" applyProtection="1">
      <alignment horizontal="center" wrapText="1"/>
    </xf>
    <xf numFmtId="177" fontId="20" fillId="27" borderId="49" xfId="33" applyNumberFormat="1" applyFont="1" applyFill="1" applyBorder="1" applyAlignment="1" applyProtection="1">
      <alignment horizontal="center" wrapText="1"/>
    </xf>
    <xf numFmtId="177" fontId="20" fillId="27" borderId="60" xfId="33" applyNumberFormat="1" applyFont="1" applyFill="1" applyBorder="1" applyAlignment="1" applyProtection="1">
      <alignment vertical="center" wrapText="1"/>
    </xf>
    <xf numFmtId="177" fontId="20" fillId="27" borderId="49" xfId="33" applyNumberFormat="1" applyFont="1" applyFill="1" applyBorder="1" applyAlignment="1" applyProtection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0" fillId="32" borderId="60" xfId="0" applyFont="1" applyFill="1" applyBorder="1" applyAlignment="1">
      <alignment horizontal="center" vertical="center" wrapText="1"/>
    </xf>
    <xf numFmtId="0" fontId="20" fillId="32" borderId="4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177" fontId="20" fillId="27" borderId="73" xfId="33" applyNumberFormat="1" applyFont="1" applyFill="1" applyBorder="1" applyAlignment="1" applyProtection="1">
      <alignment horizontal="center" vertical="center" wrapText="1"/>
    </xf>
    <xf numFmtId="175" fontId="20" fillId="27" borderId="73" xfId="33" applyNumberFormat="1" applyFont="1" applyFill="1" applyBorder="1" applyAlignment="1" applyProtection="1">
      <alignment horizontal="center" vertical="center" wrapText="1"/>
    </xf>
    <xf numFmtId="0" fontId="43" fillId="0" borderId="6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66" xfId="0" applyFont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43" fillId="53" borderId="58" xfId="0" applyFont="1" applyFill="1" applyBorder="1" applyAlignment="1">
      <alignment horizontal="left" vertical="center"/>
    </xf>
    <xf numFmtId="0" fontId="43" fillId="53" borderId="59" xfId="0" applyFont="1" applyFill="1" applyBorder="1" applyAlignment="1">
      <alignment horizontal="left" vertical="center"/>
    </xf>
    <xf numFmtId="0" fontId="20" fillId="32" borderId="60" xfId="0" applyFont="1" applyFill="1" applyBorder="1" applyAlignment="1">
      <alignment vertical="center" wrapText="1"/>
    </xf>
    <xf numFmtId="0" fontId="20" fillId="32" borderId="49" xfId="0" applyFont="1" applyFill="1" applyBorder="1" applyAlignment="1">
      <alignment vertical="center" wrapText="1"/>
    </xf>
    <xf numFmtId="0" fontId="42" fillId="53" borderId="167" xfId="0" applyFont="1" applyFill="1" applyBorder="1" applyAlignment="1">
      <alignment horizontal="center"/>
    </xf>
    <xf numFmtId="0" fontId="42" fillId="53" borderId="168" xfId="0" applyFont="1" applyFill="1" applyBorder="1" applyAlignment="1">
      <alignment horizontal="center"/>
    </xf>
    <xf numFmtId="0" fontId="42" fillId="53" borderId="106" xfId="0" applyFont="1" applyFill="1" applyBorder="1" applyAlignment="1">
      <alignment horizontal="center"/>
    </xf>
    <xf numFmtId="177" fontId="20" fillId="27" borderId="57" xfId="33" applyNumberFormat="1" applyFont="1" applyFill="1" applyBorder="1" applyAlignment="1" applyProtection="1">
      <alignment horizontal="center" vertical="center" wrapText="1"/>
    </xf>
    <xf numFmtId="177" fontId="20" fillId="27" borderId="26" xfId="33" applyNumberFormat="1" applyFont="1" applyFill="1" applyBorder="1" applyAlignment="1" applyProtection="1">
      <alignment horizontal="center" vertical="center" wrapText="1"/>
    </xf>
    <xf numFmtId="0" fontId="22" fillId="54" borderId="40" xfId="0" applyFont="1" applyFill="1" applyBorder="1" applyAlignment="1">
      <alignment horizontal="center"/>
    </xf>
    <xf numFmtId="0" fontId="22" fillId="54" borderId="169" xfId="0" applyFont="1" applyFill="1" applyBorder="1" applyAlignment="1">
      <alignment horizontal="center"/>
    </xf>
    <xf numFmtId="0" fontId="22" fillId="54" borderId="216" xfId="0" applyFont="1" applyFill="1" applyBorder="1" applyAlignment="1">
      <alignment horizontal="center"/>
    </xf>
    <xf numFmtId="0" fontId="22" fillId="24" borderId="120" xfId="0" applyFont="1" applyFill="1" applyBorder="1" applyAlignment="1">
      <alignment horizontal="center"/>
    </xf>
    <xf numFmtId="0" fontId="22" fillId="24" borderId="121" xfId="0" applyFont="1" applyFill="1" applyBorder="1" applyAlignment="1">
      <alignment horizontal="center"/>
    </xf>
    <xf numFmtId="0" fontId="22" fillId="24" borderId="0" xfId="0" applyFont="1" applyFill="1" applyAlignment="1">
      <alignment horizontal="center"/>
    </xf>
    <xf numFmtId="0" fontId="22" fillId="24" borderId="66" xfId="0" applyFont="1" applyFill="1" applyBorder="1" applyAlignment="1">
      <alignment horizontal="center"/>
    </xf>
    <xf numFmtId="0" fontId="21" fillId="24" borderId="0" xfId="0" applyFont="1" applyFill="1" applyAlignment="1">
      <alignment horizontal="center"/>
    </xf>
    <xf numFmtId="0" fontId="21" fillId="24" borderId="66" xfId="0" applyFont="1" applyFill="1" applyBorder="1" applyAlignment="1">
      <alignment horizontal="center"/>
    </xf>
    <xf numFmtId="0" fontId="18" fillId="24" borderId="179" xfId="0" applyFont="1" applyFill="1" applyBorder="1" applyAlignment="1">
      <alignment horizontal="center"/>
    </xf>
    <xf numFmtId="0" fontId="18" fillId="24" borderId="120" xfId="0" applyFont="1" applyFill="1" applyBorder="1" applyAlignment="1">
      <alignment horizontal="center"/>
    </xf>
    <xf numFmtId="0" fontId="18" fillId="24" borderId="121" xfId="0" applyFont="1" applyFill="1" applyBorder="1" applyAlignment="1">
      <alignment horizontal="center"/>
    </xf>
    <xf numFmtId="0" fontId="18" fillId="24" borderId="62" xfId="0" applyFont="1" applyFill="1" applyBorder="1" applyAlignment="1">
      <alignment horizontal="center"/>
    </xf>
    <xf numFmtId="0" fontId="18" fillId="24" borderId="0" xfId="0" applyFont="1" applyFill="1" applyAlignment="1">
      <alignment horizontal="center"/>
    </xf>
    <xf numFmtId="0" fontId="18" fillId="24" borderId="66" xfId="0" applyFont="1" applyFill="1" applyBorder="1" applyAlignment="1">
      <alignment horizontal="center"/>
    </xf>
    <xf numFmtId="0" fontId="19" fillId="24" borderId="62" xfId="0" applyFont="1" applyFill="1" applyBorder="1" applyAlignment="1">
      <alignment horizontal="center"/>
    </xf>
    <xf numFmtId="0" fontId="19" fillId="24" borderId="0" xfId="0" applyFont="1" applyFill="1" applyAlignment="1">
      <alignment horizontal="center"/>
    </xf>
    <xf numFmtId="0" fontId="19" fillId="24" borderId="66" xfId="0" applyFont="1" applyFill="1" applyBorder="1" applyAlignment="1">
      <alignment horizontal="center"/>
    </xf>
    <xf numFmtId="0" fontId="20" fillId="40" borderId="170" xfId="0" applyFont="1" applyFill="1" applyBorder="1" applyAlignment="1" applyProtection="1">
      <alignment horizontal="center" vertical="center" textRotation="90" wrapText="1"/>
      <protection locked="0" hidden="1"/>
    </xf>
    <xf numFmtId="0" fontId="20" fillId="40" borderId="171" xfId="0" applyFont="1" applyFill="1" applyBorder="1" applyAlignment="1" applyProtection="1">
      <alignment horizontal="center" vertical="center" textRotation="90" wrapText="1"/>
      <protection locked="0" hidden="1"/>
    </xf>
    <xf numFmtId="0" fontId="20" fillId="40" borderId="172" xfId="0" applyFont="1" applyFill="1" applyBorder="1" applyAlignment="1" applyProtection="1">
      <alignment horizontal="center" vertical="center" textRotation="90" wrapText="1"/>
      <protection locked="0" hidden="1"/>
    </xf>
    <xf numFmtId="0" fontId="21" fillId="24" borderId="112" xfId="0" applyFont="1" applyFill="1" applyBorder="1" applyAlignment="1">
      <alignment horizontal="center"/>
    </xf>
    <xf numFmtId="0" fontId="21" fillId="24" borderId="110" xfId="0" applyFont="1" applyFill="1" applyBorder="1" applyAlignment="1">
      <alignment horizontal="center"/>
    </xf>
    <xf numFmtId="0" fontId="21" fillId="24" borderId="109" xfId="0" applyFont="1" applyFill="1" applyBorder="1" applyAlignment="1">
      <alignment horizontal="center"/>
    </xf>
    <xf numFmtId="0" fontId="21" fillId="24" borderId="10" xfId="0" applyFont="1" applyFill="1" applyBorder="1" applyAlignment="1">
      <alignment horizontal="center" wrapText="1"/>
    </xf>
    <xf numFmtId="0" fontId="21" fillId="24" borderId="21" xfId="0" applyFont="1" applyFill="1" applyBorder="1" applyAlignment="1">
      <alignment horizontal="center" wrapText="1"/>
    </xf>
    <xf numFmtId="0" fontId="20" fillId="57" borderId="108" xfId="0" applyFont="1" applyFill="1" applyBorder="1" applyAlignment="1">
      <alignment horizontal="center" vertical="center" textRotation="90" wrapText="1"/>
    </xf>
    <xf numFmtId="0" fontId="20" fillId="57" borderId="107" xfId="0" applyFont="1" applyFill="1" applyBorder="1" applyAlignment="1">
      <alignment horizontal="center" vertical="center" textRotation="90" wrapText="1"/>
    </xf>
    <xf numFmtId="0" fontId="20" fillId="57" borderId="86" xfId="0" applyFont="1" applyFill="1" applyBorder="1" applyAlignment="1">
      <alignment horizontal="center" vertical="center" textRotation="90" wrapText="1"/>
    </xf>
    <xf numFmtId="0" fontId="20" fillId="39" borderId="170" xfId="0" applyFont="1" applyFill="1" applyBorder="1" applyAlignment="1">
      <alignment horizontal="center" vertical="center" textRotation="90" wrapText="1"/>
    </xf>
    <xf numFmtId="0" fontId="20" fillId="39" borderId="171" xfId="0" applyFont="1" applyFill="1" applyBorder="1" applyAlignment="1">
      <alignment horizontal="center" vertical="center" textRotation="90" wrapText="1"/>
    </xf>
    <xf numFmtId="0" fontId="20" fillId="39" borderId="172" xfId="0" applyFont="1" applyFill="1" applyBorder="1" applyAlignment="1">
      <alignment horizontal="center" vertical="center" textRotation="90" wrapText="1"/>
    </xf>
    <xf numFmtId="0" fontId="20" fillId="40" borderId="170" xfId="0" applyFont="1" applyFill="1" applyBorder="1" applyAlignment="1">
      <alignment horizontal="center" vertical="center" textRotation="90" wrapText="1"/>
    </xf>
    <xf numFmtId="0" fontId="20" fillId="40" borderId="171" xfId="0" applyFont="1" applyFill="1" applyBorder="1" applyAlignment="1">
      <alignment horizontal="center" vertical="center" textRotation="90" wrapText="1"/>
    </xf>
    <xf numFmtId="0" fontId="20" fillId="40" borderId="173" xfId="0" applyFont="1" applyFill="1" applyBorder="1" applyAlignment="1">
      <alignment horizontal="center" vertical="center" textRotation="90" wrapText="1"/>
    </xf>
    <xf numFmtId="0" fontId="20" fillId="57" borderId="81" xfId="0" applyFont="1" applyFill="1" applyBorder="1" applyAlignment="1">
      <alignment horizontal="center"/>
    </xf>
    <xf numFmtId="0" fontId="20" fillId="57" borderId="82" xfId="0" applyFont="1" applyFill="1" applyBorder="1" applyAlignment="1">
      <alignment horizontal="center"/>
    </xf>
    <xf numFmtId="0" fontId="20" fillId="57" borderId="83" xfId="0" applyFont="1" applyFill="1" applyBorder="1" applyAlignment="1">
      <alignment horizontal="center"/>
    </xf>
    <xf numFmtId="0" fontId="22" fillId="24" borderId="18" xfId="0" applyFont="1" applyFill="1" applyBorder="1" applyAlignment="1">
      <alignment horizontal="center" wrapText="1"/>
    </xf>
    <xf numFmtId="0" fontId="20" fillId="39" borderId="170" xfId="0" applyFont="1" applyFill="1" applyBorder="1" applyAlignment="1">
      <alignment horizontal="center" vertical="center" wrapText="1"/>
    </xf>
    <xf numFmtId="0" fontId="20" fillId="39" borderId="171" xfId="0" applyFont="1" applyFill="1" applyBorder="1" applyAlignment="1">
      <alignment horizontal="center" vertical="center" wrapText="1"/>
    </xf>
    <xf numFmtId="0" fontId="20" fillId="39" borderId="172" xfId="0" applyFont="1" applyFill="1" applyBorder="1" applyAlignment="1">
      <alignment horizontal="center" vertical="center" wrapText="1"/>
    </xf>
    <xf numFmtId="0" fontId="21" fillId="24" borderId="21" xfId="0" applyFont="1" applyFill="1" applyBorder="1" applyAlignment="1">
      <alignment horizontal="center"/>
    </xf>
    <xf numFmtId="0" fontId="21" fillId="24" borderId="79" xfId="0" applyFont="1" applyFill="1" applyBorder="1" applyAlignment="1">
      <alignment horizontal="center"/>
    </xf>
    <xf numFmtId="0" fontId="20" fillId="40" borderId="108" xfId="0" applyFont="1" applyFill="1" applyBorder="1" applyAlignment="1">
      <alignment horizontal="center" vertical="center" textRotation="90" wrapText="1"/>
    </xf>
    <xf numFmtId="0" fontId="20" fillId="40" borderId="107" xfId="0" applyFont="1" applyFill="1" applyBorder="1" applyAlignment="1">
      <alignment horizontal="center" vertical="center" textRotation="90" wrapText="1"/>
    </xf>
    <xf numFmtId="0" fontId="20" fillId="40" borderId="86" xfId="0" applyFont="1" applyFill="1" applyBorder="1" applyAlignment="1">
      <alignment horizontal="center" vertical="center" textRotation="90" wrapText="1"/>
    </xf>
    <xf numFmtId="0" fontId="21" fillId="24" borderId="13" xfId="0" applyFont="1" applyFill="1" applyBorder="1" applyAlignment="1">
      <alignment horizontal="center"/>
    </xf>
    <xf numFmtId="0" fontId="21" fillId="24" borderId="20" xfId="0" applyFont="1" applyFill="1" applyBorder="1" applyAlignment="1">
      <alignment horizontal="center"/>
    </xf>
    <xf numFmtId="0" fontId="21" fillId="24" borderId="16" xfId="0" applyFont="1" applyFill="1" applyBorder="1" applyAlignment="1">
      <alignment horizontal="center"/>
    </xf>
    <xf numFmtId="0" fontId="22" fillId="24" borderId="13" xfId="0" applyFont="1" applyFill="1" applyBorder="1" applyAlignment="1">
      <alignment horizontal="center"/>
    </xf>
    <xf numFmtId="0" fontId="22" fillId="24" borderId="20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0" fontId="21" fillId="24" borderId="18" xfId="0" applyFont="1" applyFill="1" applyBorder="1" applyAlignment="1">
      <alignment horizontal="center" wrapText="1"/>
    </xf>
    <xf numFmtId="168" fontId="37" fillId="34" borderId="174" xfId="0" applyNumberFormat="1" applyFont="1" applyFill="1" applyBorder="1" applyAlignment="1">
      <alignment horizontal="center" vertical="center"/>
    </xf>
    <xf numFmtId="168" fontId="38" fillId="34" borderId="175" xfId="0" applyNumberFormat="1" applyFont="1" applyFill="1" applyBorder="1" applyAlignment="1">
      <alignment horizontal="center" vertical="center"/>
    </xf>
    <xf numFmtId="168" fontId="37" fillId="33" borderId="176" xfId="0" applyNumberFormat="1" applyFont="1" applyFill="1" applyBorder="1" applyAlignment="1">
      <alignment horizontal="center" vertical="center" wrapText="1"/>
    </xf>
    <xf numFmtId="168" fontId="32" fillId="44" borderId="177" xfId="0" applyNumberFormat="1" applyFont="1" applyFill="1" applyBorder="1" applyAlignment="1">
      <alignment horizontal="center" vertical="center" wrapText="1"/>
    </xf>
    <xf numFmtId="168" fontId="32" fillId="44" borderId="206" xfId="0" applyNumberFormat="1" applyFont="1" applyFill="1" applyBorder="1" applyAlignment="1">
      <alignment horizontal="center" vertical="center" wrapText="1"/>
    </xf>
    <xf numFmtId="168" fontId="32" fillId="45" borderId="65" xfId="0" applyNumberFormat="1" applyFont="1" applyFill="1" applyBorder="1" applyAlignment="1">
      <alignment horizontal="center" vertical="center"/>
    </xf>
    <xf numFmtId="168" fontId="32" fillId="45" borderId="207" xfId="0" applyNumberFormat="1" applyFont="1" applyFill="1" applyBorder="1" applyAlignment="1">
      <alignment horizontal="center" vertical="center"/>
    </xf>
    <xf numFmtId="171" fontId="36" fillId="0" borderId="0" xfId="0" applyNumberFormat="1" applyFont="1" applyAlignment="1">
      <alignment horizontal="center" vertical="center"/>
    </xf>
    <xf numFmtId="168" fontId="31" fillId="34" borderId="200" xfId="0" applyNumberFormat="1" applyFont="1" applyFill="1" applyBorder="1" applyAlignment="1">
      <alignment horizontal="center" vertical="center" wrapText="1"/>
    </xf>
    <xf numFmtId="168" fontId="31" fillId="34" borderId="201" xfId="0" applyNumberFormat="1" applyFont="1" applyFill="1" applyBorder="1" applyAlignment="1">
      <alignment horizontal="center" vertical="center" wrapText="1"/>
    </xf>
    <xf numFmtId="168" fontId="31" fillId="34" borderId="202" xfId="0" applyNumberFormat="1" applyFont="1" applyFill="1" applyBorder="1" applyAlignment="1">
      <alignment horizontal="center" vertical="center" wrapText="1"/>
    </xf>
    <xf numFmtId="168" fontId="31" fillId="34" borderId="203" xfId="0" applyNumberFormat="1" applyFont="1" applyFill="1" applyBorder="1" applyAlignment="1">
      <alignment horizontal="center" vertical="center" wrapText="1"/>
    </xf>
    <xf numFmtId="168" fontId="31" fillId="34" borderId="178" xfId="0" applyNumberFormat="1" applyFont="1" applyFill="1" applyBorder="1" applyAlignment="1">
      <alignment horizontal="center" vertical="center" wrapText="1"/>
    </xf>
    <xf numFmtId="168" fontId="31" fillId="34" borderId="204" xfId="0" applyNumberFormat="1" applyFont="1" applyFill="1" applyBorder="1" applyAlignment="1">
      <alignment horizontal="center" vertical="center" wrapText="1"/>
    </xf>
    <xf numFmtId="168" fontId="32" fillId="44" borderId="36" xfId="0" applyNumberFormat="1" applyFont="1" applyFill="1" applyBorder="1" applyAlignment="1">
      <alignment horizontal="center" vertical="center" wrapText="1"/>
    </xf>
    <xf numFmtId="170" fontId="32" fillId="44" borderId="36" xfId="0" applyNumberFormat="1" applyFont="1" applyFill="1" applyBorder="1" applyAlignment="1">
      <alignment horizontal="center" vertical="center" wrapText="1"/>
    </xf>
    <xf numFmtId="168" fontId="58" fillId="34" borderId="18" xfId="0" applyNumberFormat="1" applyFont="1" applyFill="1" applyBorder="1" applyAlignment="1">
      <alignment horizontal="center" vertical="center" wrapText="1"/>
    </xf>
    <xf numFmtId="168" fontId="57" fillId="34" borderId="18" xfId="0" applyNumberFormat="1" applyFont="1" applyFill="1" applyBorder="1" applyAlignment="1">
      <alignment horizontal="center" vertical="center" wrapText="1"/>
    </xf>
    <xf numFmtId="49" fontId="22" fillId="24" borderId="58" xfId="0" applyNumberFormat="1" applyFont="1" applyFill="1" applyBorder="1" applyAlignment="1">
      <alignment horizontal="center"/>
    </xf>
    <xf numFmtId="49" fontId="22" fillId="24" borderId="59" xfId="0" applyNumberFormat="1" applyFont="1" applyFill="1" applyBorder="1" applyAlignment="1">
      <alignment horizontal="center"/>
    </xf>
    <xf numFmtId="49" fontId="22" fillId="38" borderId="26" xfId="0" applyNumberFormat="1" applyFont="1" applyFill="1" applyBorder="1" applyAlignment="1">
      <alignment horizontal="center"/>
    </xf>
    <xf numFmtId="49" fontId="22" fillId="38" borderId="18" xfId="0" applyNumberFormat="1" applyFont="1" applyFill="1" applyBorder="1" applyAlignment="1">
      <alignment horizontal="center"/>
    </xf>
    <xf numFmtId="0" fontId="29" fillId="24" borderId="62" xfId="0" applyFont="1" applyFill="1" applyBorder="1" applyAlignment="1">
      <alignment horizontal="left"/>
    </xf>
    <xf numFmtId="0" fontId="29" fillId="24" borderId="0" xfId="0" applyFont="1" applyFill="1" applyAlignment="1">
      <alignment horizontal="left"/>
    </xf>
    <xf numFmtId="0" fontId="29" fillId="24" borderId="66" xfId="0" applyFont="1" applyFill="1" applyBorder="1" applyAlignment="1">
      <alignment horizontal="left"/>
    </xf>
    <xf numFmtId="0" fontId="26" fillId="24" borderId="62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24" borderId="66" xfId="0" applyFont="1" applyFill="1" applyBorder="1" applyAlignment="1">
      <alignment horizontal="center" vertical="center" wrapText="1"/>
    </xf>
    <xf numFmtId="0" fontId="22" fillId="24" borderId="62" xfId="0" applyFont="1" applyFill="1" applyBorder="1" applyAlignment="1">
      <alignment horizontal="center" wrapText="1"/>
    </xf>
    <xf numFmtId="0" fontId="22" fillId="24" borderId="0" xfId="0" applyFont="1" applyFill="1" applyAlignment="1">
      <alignment horizontal="center" wrapText="1"/>
    </xf>
    <xf numFmtId="0" fontId="22" fillId="24" borderId="66" xfId="0" applyFont="1" applyFill="1" applyBorder="1" applyAlignment="1">
      <alignment horizontal="center" wrapText="1"/>
    </xf>
    <xf numFmtId="0" fontId="59" fillId="41" borderId="26" xfId="0" applyFont="1" applyFill="1" applyBorder="1" applyAlignment="1">
      <alignment horizontal="center"/>
    </xf>
    <xf numFmtId="0" fontId="59" fillId="41" borderId="18" xfId="0" applyFont="1" applyFill="1" applyBorder="1" applyAlignment="1">
      <alignment horizontal="center"/>
    </xf>
    <xf numFmtId="0" fontId="51" fillId="41" borderId="18" xfId="0" applyFont="1" applyFill="1" applyBorder="1" applyAlignment="1">
      <alignment horizontal="center" vertical="center" wrapText="1"/>
    </xf>
    <xf numFmtId="49" fontId="21" fillId="24" borderId="62" xfId="0" applyNumberFormat="1" applyFont="1" applyFill="1" applyBorder="1" applyAlignment="1">
      <alignment horizontal="center"/>
    </xf>
    <xf numFmtId="49" fontId="21" fillId="24" borderId="0" xfId="0" applyNumberFormat="1" applyFont="1" applyFill="1" applyAlignment="1">
      <alignment horizontal="center"/>
    </xf>
    <xf numFmtId="0" fontId="26" fillId="24" borderId="179" xfId="0" applyFont="1" applyFill="1" applyBorder="1" applyAlignment="1">
      <alignment horizontal="center"/>
    </xf>
    <xf numFmtId="0" fontId="26" fillId="24" borderId="120" xfId="0" applyFont="1" applyFill="1" applyBorder="1" applyAlignment="1">
      <alignment horizontal="center"/>
    </xf>
    <xf numFmtId="0" fontId="26" fillId="24" borderId="121" xfId="0" applyFont="1" applyFill="1" applyBorder="1" applyAlignment="1">
      <alignment horizontal="center"/>
    </xf>
    <xf numFmtId="0" fontId="26" fillId="24" borderId="62" xfId="0" applyFont="1" applyFill="1" applyBorder="1" applyAlignment="1">
      <alignment horizontal="center"/>
    </xf>
    <xf numFmtId="0" fontId="26" fillId="24" borderId="0" xfId="0" applyFont="1" applyFill="1" applyAlignment="1">
      <alignment horizontal="center"/>
    </xf>
    <xf numFmtId="0" fontId="26" fillId="24" borderId="66" xfId="0" applyFont="1" applyFill="1" applyBorder="1" applyAlignment="1">
      <alignment horizontal="center"/>
    </xf>
    <xf numFmtId="0" fontId="29" fillId="24" borderId="62" xfId="0" applyFont="1" applyFill="1" applyBorder="1" applyAlignment="1">
      <alignment horizontal="center"/>
    </xf>
    <xf numFmtId="0" fontId="29" fillId="24" borderId="0" xfId="0" applyFont="1" applyFill="1" applyAlignment="1">
      <alignment horizontal="center"/>
    </xf>
    <xf numFmtId="0" fontId="29" fillId="24" borderId="66" xfId="0" applyFont="1" applyFill="1" applyBorder="1" applyAlignment="1">
      <alignment horizontal="center"/>
    </xf>
    <xf numFmtId="0" fontId="51" fillId="41" borderId="24" xfId="0" applyFont="1" applyFill="1" applyBorder="1" applyAlignment="1" applyProtection="1">
      <alignment horizontal="center" vertical="center" textRotation="90" wrapText="1"/>
      <protection locked="0" hidden="1"/>
    </xf>
    <xf numFmtId="49" fontId="22" fillId="24" borderId="18" xfId="0" applyNumberFormat="1" applyFont="1" applyFill="1" applyBorder="1" applyAlignment="1">
      <alignment horizontal="center"/>
    </xf>
    <xf numFmtId="0" fontId="26" fillId="24" borderId="22" xfId="0" applyFont="1" applyFill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wrapText="1"/>
    </xf>
    <xf numFmtId="0" fontId="22" fillId="24" borderId="27" xfId="0" applyFont="1" applyFill="1" applyBorder="1" applyAlignment="1">
      <alignment horizontal="center" wrapText="1"/>
    </xf>
    <xf numFmtId="0" fontId="51" fillId="41" borderId="18" xfId="0" applyFont="1" applyFill="1" applyBorder="1" applyAlignment="1" applyProtection="1">
      <alignment horizontal="center" vertical="center" textRotation="90" wrapText="1"/>
      <protection locked="0" hidden="1"/>
    </xf>
    <xf numFmtId="0" fontId="29" fillId="24" borderId="22" xfId="0" applyFont="1" applyFill="1" applyBorder="1" applyAlignment="1">
      <alignment horizontal="left"/>
    </xf>
    <xf numFmtId="0" fontId="29" fillId="24" borderId="27" xfId="0" applyFont="1" applyFill="1" applyBorder="1" applyAlignment="1">
      <alignment horizontal="left"/>
    </xf>
    <xf numFmtId="0" fontId="26" fillId="24" borderId="22" xfId="0" applyFont="1" applyFill="1" applyBorder="1" applyAlignment="1">
      <alignment horizontal="center"/>
    </xf>
    <xf numFmtId="0" fontId="26" fillId="24" borderId="27" xfId="0" applyFont="1" applyFill="1" applyBorder="1" applyAlignment="1">
      <alignment horizontal="center"/>
    </xf>
    <xf numFmtId="0" fontId="29" fillId="24" borderId="22" xfId="0" applyFont="1" applyFill="1" applyBorder="1" applyAlignment="1">
      <alignment horizontal="center"/>
    </xf>
    <xf numFmtId="0" fontId="29" fillId="24" borderId="27" xfId="0" applyFont="1" applyFill="1" applyBorder="1" applyAlignment="1">
      <alignment horizontal="center"/>
    </xf>
    <xf numFmtId="0" fontId="51" fillId="24" borderId="62" xfId="0" applyFont="1" applyFill="1" applyBorder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51" fillId="24" borderId="66" xfId="0" applyFont="1" applyFill="1" applyBorder="1" applyAlignment="1">
      <alignment horizontal="center" vertical="center" wrapText="1"/>
    </xf>
    <xf numFmtId="0" fontId="43" fillId="24" borderId="62" xfId="0" applyFont="1" applyFill="1" applyBorder="1" applyAlignment="1">
      <alignment horizontal="center" wrapText="1"/>
    </xf>
    <xf numFmtId="0" fontId="43" fillId="24" borderId="0" xfId="0" applyFont="1" applyFill="1" applyAlignment="1">
      <alignment horizontal="center" wrapText="1"/>
    </xf>
    <xf numFmtId="0" fontId="43" fillId="24" borderId="66" xfId="0" applyFont="1" applyFill="1" applyBorder="1" applyAlignment="1">
      <alignment horizontal="center" wrapText="1"/>
    </xf>
    <xf numFmtId="0" fontId="18" fillId="24" borderId="62" xfId="0" applyFont="1" applyFill="1" applyBorder="1" applyAlignment="1">
      <alignment horizontal="left"/>
    </xf>
    <xf numFmtId="0" fontId="18" fillId="24" borderId="0" xfId="0" applyFont="1" applyFill="1" applyAlignment="1">
      <alignment horizontal="left"/>
    </xf>
    <xf numFmtId="0" fontId="18" fillId="24" borderId="66" xfId="0" applyFont="1" applyFill="1" applyBorder="1" applyAlignment="1">
      <alignment horizontal="left"/>
    </xf>
    <xf numFmtId="49" fontId="22" fillId="24" borderId="58" xfId="0" applyNumberFormat="1" applyFont="1" applyFill="1" applyBorder="1" applyAlignment="1">
      <alignment horizontal="center" vertical="center"/>
    </xf>
    <xf numFmtId="49" fontId="22" fillId="24" borderId="59" xfId="0" applyNumberFormat="1" applyFont="1" applyFill="1" applyBorder="1" applyAlignment="1">
      <alignment horizontal="center" vertical="center"/>
    </xf>
    <xf numFmtId="0" fontId="60" fillId="24" borderId="62" xfId="0" applyFont="1" applyFill="1" applyBorder="1" applyAlignment="1">
      <alignment horizontal="center" vertical="center"/>
    </xf>
    <xf numFmtId="0" fontId="60" fillId="24" borderId="0" xfId="0" applyFont="1" applyFill="1" applyAlignment="1">
      <alignment horizontal="center" vertical="center"/>
    </xf>
    <xf numFmtId="0" fontId="60" fillId="24" borderId="66" xfId="0" applyFont="1" applyFill="1" applyBorder="1" applyAlignment="1">
      <alignment horizontal="center" vertical="center"/>
    </xf>
    <xf numFmtId="0" fontId="30" fillId="41" borderId="26" xfId="0" applyFont="1" applyFill="1" applyBorder="1" applyAlignment="1">
      <alignment horizontal="center"/>
    </xf>
    <xf numFmtId="0" fontId="30" fillId="41" borderId="18" xfId="0" applyFont="1" applyFill="1" applyBorder="1" applyAlignment="1">
      <alignment horizontal="center"/>
    </xf>
    <xf numFmtId="0" fontId="26" fillId="41" borderId="18" xfId="0" applyFont="1" applyFill="1" applyBorder="1" applyAlignment="1">
      <alignment horizontal="center" vertical="center" wrapText="1"/>
    </xf>
    <xf numFmtId="0" fontId="26" fillId="65" borderId="24" xfId="0" applyFont="1" applyFill="1" applyBorder="1" applyAlignment="1" applyProtection="1">
      <alignment horizontal="center" vertical="center" textRotation="90" wrapText="1"/>
      <protection locked="0" hidden="1"/>
    </xf>
    <xf numFmtId="49" fontId="22" fillId="24" borderId="46" xfId="0" applyNumberFormat="1" applyFont="1" applyFill="1" applyBorder="1" applyAlignment="1">
      <alignment horizontal="center"/>
    </xf>
    <xf numFmtId="49" fontId="22" fillId="24" borderId="47" xfId="0" applyNumberFormat="1" applyFont="1" applyFill="1" applyBorder="1" applyAlignment="1">
      <alignment horizontal="center"/>
    </xf>
    <xf numFmtId="49" fontId="22" fillId="38" borderId="68" xfId="0" applyNumberFormat="1" applyFont="1" applyFill="1" applyBorder="1" applyAlignment="1">
      <alignment horizontal="center"/>
    </xf>
    <xf numFmtId="49" fontId="22" fillId="38" borderId="34" xfId="0" applyNumberFormat="1" applyFont="1" applyFill="1" applyBorder="1" applyAlignment="1">
      <alignment horizontal="center"/>
    </xf>
    <xf numFmtId="0" fontId="22" fillId="24" borderId="81" xfId="0" applyFont="1" applyFill="1" applyBorder="1" applyAlignment="1">
      <alignment horizontal="center"/>
    </xf>
    <xf numFmtId="0" fontId="22" fillId="24" borderId="82" xfId="0" applyFont="1" applyFill="1" applyBorder="1" applyAlignment="1">
      <alignment horizontal="center"/>
    </xf>
    <xf numFmtId="0" fontId="22" fillId="24" borderId="83" xfId="0" applyFont="1" applyFill="1" applyBorder="1" applyAlignment="1">
      <alignment horizontal="center"/>
    </xf>
    <xf numFmtId="0" fontId="18" fillId="24" borderId="62" xfId="0" applyFont="1" applyFill="1" applyBorder="1" applyAlignment="1">
      <alignment horizontal="center" wrapText="1"/>
    </xf>
    <xf numFmtId="0" fontId="18" fillId="24" borderId="0" xfId="0" applyFont="1" applyFill="1" applyAlignment="1">
      <alignment horizontal="center" wrapText="1"/>
    </xf>
    <xf numFmtId="0" fontId="18" fillId="24" borderId="66" xfId="0" applyFont="1" applyFill="1" applyBorder="1" applyAlignment="1">
      <alignment horizontal="center" wrapText="1"/>
    </xf>
    <xf numFmtId="0" fontId="50" fillId="34" borderId="160" xfId="39" applyFill="1" applyBorder="1" applyAlignment="1">
      <alignment horizontal="center" vertical="center"/>
    </xf>
    <xf numFmtId="0" fontId="50" fillId="34" borderId="64" xfId="39" applyFill="1" applyBorder="1" applyAlignment="1">
      <alignment horizontal="center" vertical="center"/>
    </xf>
    <xf numFmtId="0" fontId="65" fillId="34" borderId="198" xfId="39" applyFont="1" applyFill="1" applyBorder="1" applyAlignment="1">
      <alignment horizontal="center" vertical="center" wrapText="1"/>
    </xf>
    <xf numFmtId="0" fontId="65" fillId="34" borderId="120" xfId="39" applyFont="1" applyFill="1" applyBorder="1" applyAlignment="1">
      <alignment horizontal="center" vertical="center" wrapText="1"/>
    </xf>
    <xf numFmtId="0" fontId="65" fillId="34" borderId="121" xfId="39" applyFont="1" applyFill="1" applyBorder="1" applyAlignment="1">
      <alignment horizontal="center" vertical="center" wrapText="1"/>
    </xf>
    <xf numFmtId="0" fontId="33" fillId="34" borderId="180" xfId="39" applyFont="1" applyFill="1" applyBorder="1" applyAlignment="1">
      <alignment horizontal="left" vertical="center" wrapText="1"/>
    </xf>
    <xf numFmtId="0" fontId="33" fillId="34" borderId="181" xfId="39" applyFont="1" applyFill="1" applyBorder="1" applyAlignment="1">
      <alignment horizontal="center" vertical="center" wrapText="1"/>
    </xf>
    <xf numFmtId="0" fontId="33" fillId="34" borderId="182" xfId="39" applyFont="1" applyFill="1" applyBorder="1" applyAlignment="1">
      <alignment horizontal="center" vertical="center" wrapText="1"/>
    </xf>
    <xf numFmtId="0" fontId="33" fillId="34" borderId="208" xfId="39" applyFont="1" applyFill="1" applyBorder="1" applyAlignment="1">
      <alignment horizontal="center" vertical="center" wrapText="1"/>
    </xf>
    <xf numFmtId="0" fontId="33" fillId="34" borderId="209" xfId="39" applyFont="1" applyFill="1" applyBorder="1" applyAlignment="1">
      <alignment horizontal="center" vertical="center" wrapText="1"/>
    </xf>
    <xf numFmtId="0" fontId="19" fillId="28" borderId="62" xfId="0" applyFont="1" applyFill="1" applyBorder="1" applyAlignment="1">
      <alignment horizontal="left" wrapText="1"/>
    </xf>
    <xf numFmtId="0" fontId="19" fillId="28" borderId="0" xfId="0" applyFont="1" applyFill="1" applyAlignment="1">
      <alignment horizontal="left" wrapText="1"/>
    </xf>
    <xf numFmtId="0" fontId="19" fillId="28" borderId="66" xfId="0" applyFont="1" applyFill="1" applyBorder="1" applyAlignment="1">
      <alignment horizontal="left" wrapText="1"/>
    </xf>
    <xf numFmtId="0" fontId="26" fillId="41" borderId="24" xfId="0" applyFont="1" applyFill="1" applyBorder="1" applyAlignment="1" applyProtection="1">
      <alignment horizontal="center" vertical="center" textRotation="90" wrapText="1"/>
      <protection locked="0" hidden="1"/>
    </xf>
    <xf numFmtId="0" fontId="22" fillId="0" borderId="167" xfId="0" applyFont="1" applyBorder="1" applyAlignment="1">
      <alignment horizontal="center"/>
    </xf>
    <xf numFmtId="0" fontId="22" fillId="0" borderId="168" xfId="0" applyFont="1" applyBorder="1" applyAlignment="1">
      <alignment horizontal="center"/>
    </xf>
    <xf numFmtId="0" fontId="22" fillId="0" borderId="106" xfId="0" applyFont="1" applyBorder="1" applyAlignment="1">
      <alignment horizontal="center"/>
    </xf>
    <xf numFmtId="0" fontId="22" fillId="38" borderId="26" xfId="0" applyFont="1" applyFill="1" applyBorder="1" applyAlignment="1">
      <alignment horizontal="center"/>
    </xf>
    <xf numFmtId="0" fontId="22" fillId="38" borderId="18" xfId="0" applyFont="1" applyFill="1" applyBorder="1" applyAlignment="1">
      <alignment horizontal="center"/>
    </xf>
    <xf numFmtId="0" fontId="22" fillId="28" borderId="74" xfId="0" applyFont="1" applyFill="1" applyBorder="1" applyAlignment="1">
      <alignment horizontal="center"/>
    </xf>
    <xf numFmtId="0" fontId="22" fillId="28" borderId="61" xfId="0" applyFont="1" applyFill="1" applyBorder="1" applyAlignment="1">
      <alignment horizontal="center"/>
    </xf>
    <xf numFmtId="0" fontId="22" fillId="28" borderId="122" xfId="0" applyFont="1" applyFill="1" applyBorder="1" applyAlignment="1">
      <alignment horizontal="center"/>
    </xf>
    <xf numFmtId="0" fontId="26" fillId="40" borderId="18" xfId="0" applyFont="1" applyFill="1" applyBorder="1" applyAlignment="1">
      <alignment horizontal="center" vertical="center" textRotation="90" wrapText="1"/>
    </xf>
    <xf numFmtId="0" fontId="26" fillId="40" borderId="75" xfId="0" applyFont="1" applyFill="1" applyBorder="1" applyAlignment="1" applyProtection="1">
      <alignment horizontal="center" vertical="center" textRotation="90" wrapText="1"/>
      <protection locked="0" hidden="1"/>
    </xf>
    <xf numFmtId="0" fontId="26" fillId="40" borderId="24" xfId="0" applyFont="1" applyFill="1" applyBorder="1" applyAlignment="1" applyProtection="1">
      <alignment horizontal="center" vertical="center" textRotation="90" wrapText="1"/>
      <protection locked="0" hidden="1"/>
    </xf>
    <xf numFmtId="0" fontId="19" fillId="24" borderId="62" xfId="0" applyFont="1" applyFill="1" applyBorder="1" applyAlignment="1">
      <alignment horizontal="center" vertical="center"/>
    </xf>
    <xf numFmtId="0" fontId="19" fillId="28" borderId="0" xfId="0" applyFont="1" applyFill="1" applyAlignment="1">
      <alignment horizontal="center" vertical="center"/>
    </xf>
    <xf numFmtId="0" fontId="19" fillId="24" borderId="66" xfId="0" applyFont="1" applyFill="1" applyBorder="1" applyAlignment="1">
      <alignment horizontal="center" vertical="center"/>
    </xf>
    <xf numFmtId="0" fontId="26" fillId="40" borderId="34" xfId="0" applyFont="1" applyFill="1" applyBorder="1" applyAlignment="1">
      <alignment horizontal="center" vertical="center" textRotation="90" wrapText="1"/>
    </xf>
    <xf numFmtId="0" fontId="26" fillId="40" borderId="51" xfId="0" applyFont="1" applyFill="1" applyBorder="1" applyAlignment="1">
      <alignment horizontal="center" vertical="center" textRotation="90" wrapText="1"/>
    </xf>
    <xf numFmtId="0" fontId="26" fillId="40" borderId="28" xfId="0" applyFont="1" applyFill="1" applyBorder="1" applyAlignment="1">
      <alignment horizontal="center" vertical="center" textRotation="90" wrapText="1"/>
    </xf>
    <xf numFmtId="0" fontId="26" fillId="39" borderId="57" xfId="0" applyFont="1" applyFill="1" applyBorder="1" applyAlignment="1">
      <alignment horizontal="center" vertical="center" textRotation="90" wrapText="1"/>
    </xf>
    <xf numFmtId="0" fontId="26" fillId="39" borderId="26" xfId="0" applyFont="1" applyFill="1" applyBorder="1" applyAlignment="1">
      <alignment horizontal="center" vertical="center" textRotation="90" wrapText="1"/>
    </xf>
    <xf numFmtId="0" fontId="26" fillId="39" borderId="73" xfId="0" applyFont="1" applyFill="1" applyBorder="1" applyAlignment="1">
      <alignment horizontal="center" vertical="center" wrapText="1"/>
    </xf>
    <xf numFmtId="0" fontId="26" fillId="39" borderId="18" xfId="0" applyFont="1" applyFill="1" applyBorder="1" applyAlignment="1">
      <alignment horizontal="center" vertical="center" wrapText="1"/>
    </xf>
    <xf numFmtId="0" fontId="30" fillId="34" borderId="140" xfId="0" applyFont="1" applyFill="1" applyBorder="1" applyAlignment="1">
      <alignment horizontal="center"/>
    </xf>
    <xf numFmtId="0" fontId="30" fillId="34" borderId="163" xfId="0" applyFont="1" applyFill="1" applyBorder="1" applyAlignment="1">
      <alignment horizontal="center"/>
    </xf>
    <xf numFmtId="0" fontId="30" fillId="34" borderId="141" xfId="0" applyFont="1" applyFill="1" applyBorder="1" applyAlignment="1">
      <alignment horizontal="center"/>
    </xf>
    <xf numFmtId="167" fontId="42" fillId="24" borderId="60" xfId="35" applyNumberFormat="1" applyFont="1" applyFill="1" applyBorder="1" applyAlignment="1" applyProtection="1">
      <alignment horizontal="center"/>
    </xf>
    <xf numFmtId="167" fontId="42" fillId="24" borderId="61" xfId="35" applyNumberFormat="1" applyFont="1" applyFill="1" applyBorder="1" applyAlignment="1" applyProtection="1">
      <alignment horizontal="center"/>
    </xf>
    <xf numFmtId="167" fontId="22" fillId="52" borderId="60" xfId="35" applyNumberFormat="1" applyFont="1" applyFill="1" applyBorder="1" applyAlignment="1" applyProtection="1">
      <alignment horizontal="center"/>
    </xf>
    <xf numFmtId="167" fontId="22" fillId="52" borderId="61" xfId="35" applyNumberFormat="1" applyFont="1" applyFill="1" applyBorder="1" applyAlignment="1" applyProtection="1">
      <alignment horizontal="center"/>
    </xf>
    <xf numFmtId="167" fontId="42" fillId="24" borderId="183" xfId="35" applyNumberFormat="1" applyFont="1" applyFill="1" applyBorder="1" applyAlignment="1" applyProtection="1">
      <alignment horizontal="center"/>
    </xf>
    <xf numFmtId="167" fontId="42" fillId="24" borderId="168" xfId="35" applyNumberFormat="1" applyFont="1" applyFill="1" applyBorder="1" applyAlignment="1" applyProtection="1">
      <alignment horizontal="center"/>
    </xf>
    <xf numFmtId="167" fontId="42" fillId="24" borderId="140" xfId="35" applyNumberFormat="1" applyFont="1" applyFill="1" applyBorder="1" applyAlignment="1" applyProtection="1">
      <alignment horizontal="center"/>
    </xf>
    <xf numFmtId="167" fontId="42" fillId="24" borderId="163" xfId="35" applyNumberFormat="1" applyFont="1" applyFill="1" applyBorder="1" applyAlignment="1" applyProtection="1">
      <alignment horizontal="center"/>
    </xf>
    <xf numFmtId="167" fontId="22" fillId="38" borderId="60" xfId="35" applyNumberFormat="1" applyFont="1" applyFill="1" applyBorder="1" applyAlignment="1" applyProtection="1">
      <alignment horizontal="center"/>
    </xf>
    <xf numFmtId="167" fontId="22" fillId="38" borderId="61" xfId="35" applyNumberFormat="1" applyFont="1" applyFill="1" applyBorder="1" applyAlignment="1" applyProtection="1">
      <alignment horizontal="center"/>
    </xf>
    <xf numFmtId="167" fontId="43" fillId="52" borderId="60" xfId="35" applyNumberFormat="1" applyFont="1" applyFill="1" applyBorder="1" applyAlignment="1" applyProtection="1">
      <alignment horizontal="center"/>
    </xf>
    <xf numFmtId="167" fontId="43" fillId="52" borderId="61" xfId="35" applyNumberFormat="1" applyFont="1" applyFill="1" applyBorder="1" applyAlignment="1" applyProtection="1">
      <alignment horizontal="center"/>
    </xf>
    <xf numFmtId="0" fontId="41" fillId="26" borderId="81" xfId="0" applyFont="1" applyFill="1" applyBorder="1" applyAlignment="1">
      <alignment horizontal="center" vertical="center" wrapText="1"/>
    </xf>
    <xf numFmtId="0" fontId="41" fillId="26" borderId="82" xfId="0" applyFont="1" applyFill="1" applyBorder="1" applyAlignment="1">
      <alignment horizontal="center" vertical="center" wrapText="1"/>
    </xf>
    <xf numFmtId="0" fontId="41" fillId="26" borderId="83" xfId="0" applyFont="1" applyFill="1" applyBorder="1" applyAlignment="1">
      <alignment horizontal="center" vertical="center" wrapText="1"/>
    </xf>
    <xf numFmtId="167" fontId="20" fillId="26" borderId="183" xfId="35" applyNumberFormat="1" applyFont="1" applyFill="1" applyBorder="1" applyAlignment="1" applyProtection="1">
      <alignment horizontal="center" vertical="center" wrapText="1"/>
    </xf>
    <xf numFmtId="167" fontId="20" fillId="26" borderId="168" xfId="35" applyNumberFormat="1" applyFont="1" applyFill="1" applyBorder="1" applyAlignment="1" applyProtection="1">
      <alignment horizontal="center" vertical="center" wrapText="1"/>
    </xf>
    <xf numFmtId="167" fontId="20" fillId="26" borderId="106" xfId="35" applyNumberFormat="1" applyFont="1" applyFill="1" applyBorder="1" applyAlignment="1" applyProtection="1">
      <alignment horizontal="center" vertical="center" wrapText="1"/>
    </xf>
    <xf numFmtId="0" fontId="16" fillId="24" borderId="81" xfId="0" applyFont="1" applyFill="1" applyBorder="1" applyAlignment="1">
      <alignment horizontal="center"/>
    </xf>
    <xf numFmtId="0" fontId="16" fillId="24" borderId="82" xfId="0" applyFont="1" applyFill="1" applyBorder="1" applyAlignment="1">
      <alignment horizontal="center"/>
    </xf>
    <xf numFmtId="167" fontId="43" fillId="38" borderId="60" xfId="35" applyNumberFormat="1" applyFont="1" applyFill="1" applyBorder="1" applyAlignment="1" applyProtection="1">
      <alignment horizontal="center"/>
    </xf>
    <xf numFmtId="167" fontId="43" fillId="38" borderId="61" xfId="35" applyNumberFormat="1" applyFont="1" applyFill="1" applyBorder="1" applyAlignment="1" applyProtection="1">
      <alignment horizontal="center"/>
    </xf>
    <xf numFmtId="167" fontId="42" fillId="24" borderId="49" xfId="35" applyNumberFormat="1" applyFont="1" applyFill="1" applyBorder="1" applyAlignment="1" applyProtection="1">
      <alignment horizontal="center"/>
    </xf>
    <xf numFmtId="49" fontId="70" fillId="24" borderId="62" xfId="0" applyNumberFormat="1" applyFont="1" applyFill="1" applyBorder="1" applyAlignment="1">
      <alignment horizontal="left"/>
    </xf>
    <xf numFmtId="49" fontId="70" fillId="24" borderId="0" xfId="0" applyNumberFormat="1" applyFont="1" applyFill="1" applyAlignment="1">
      <alignment horizontal="left"/>
    </xf>
    <xf numFmtId="49" fontId="71" fillId="24" borderId="91" xfId="0" applyNumberFormat="1" applyFont="1" applyFill="1" applyBorder="1" applyAlignment="1">
      <alignment horizontal="justify"/>
    </xf>
    <xf numFmtId="49" fontId="71" fillId="24" borderId="92" xfId="0" applyNumberFormat="1" applyFont="1" applyFill="1" applyBorder="1" applyAlignment="1">
      <alignment horizontal="justify"/>
    </xf>
    <xf numFmtId="49" fontId="71" fillId="24" borderId="0" xfId="0" applyNumberFormat="1" applyFont="1" applyFill="1" applyAlignment="1">
      <alignment horizontal="justify"/>
    </xf>
    <xf numFmtId="0" fontId="26" fillId="24" borderId="62" xfId="0" applyFont="1" applyFill="1" applyBorder="1" applyAlignment="1">
      <alignment horizontal="center" wrapText="1"/>
    </xf>
    <xf numFmtId="0" fontId="26" fillId="24" borderId="0" xfId="0" applyFont="1" applyFill="1" applyAlignment="1">
      <alignment horizontal="center" wrapText="1"/>
    </xf>
    <xf numFmtId="0" fontId="26" fillId="24" borderId="66" xfId="0" applyFont="1" applyFill="1" applyBorder="1" applyAlignment="1">
      <alignment horizontal="center" wrapText="1"/>
    </xf>
    <xf numFmtId="0" fontId="30" fillId="34" borderId="179" xfId="0" applyFont="1" applyFill="1" applyBorder="1" applyAlignment="1">
      <alignment horizontal="center"/>
    </xf>
    <xf numFmtId="0" fontId="30" fillId="34" borderId="184" xfId="0" applyFont="1" applyFill="1" applyBorder="1" applyAlignment="1">
      <alignment horizontal="center"/>
    </xf>
    <xf numFmtId="0" fontId="26" fillId="34" borderId="185" xfId="0" applyFont="1" applyFill="1" applyBorder="1" applyAlignment="1">
      <alignment horizontal="center" vertical="center" wrapText="1"/>
    </xf>
    <xf numFmtId="0" fontId="26" fillId="34" borderId="172" xfId="0" applyFont="1" applyFill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5" fillId="0" borderId="129" xfId="0" applyFont="1" applyBorder="1" applyAlignment="1">
      <alignment horizontal="center" vertical="center" wrapText="1"/>
    </xf>
    <xf numFmtId="0" fontId="26" fillId="34" borderId="185" xfId="0" applyFont="1" applyFill="1" applyBorder="1" applyAlignment="1" applyProtection="1">
      <alignment horizontal="center" vertical="center" textRotation="90" wrapText="1"/>
      <protection locked="0" hidden="1"/>
    </xf>
    <xf numFmtId="0" fontId="26" fillId="34" borderId="172" xfId="0" applyFont="1" applyFill="1" applyBorder="1" applyAlignment="1" applyProtection="1">
      <alignment horizontal="center" vertical="center" textRotation="90" wrapText="1"/>
      <protection locked="0" hidden="1"/>
    </xf>
    <xf numFmtId="0" fontId="26" fillId="24" borderId="213" xfId="0" applyFont="1" applyFill="1" applyBorder="1" applyAlignment="1">
      <alignment horizontal="center"/>
    </xf>
    <xf numFmtId="0" fontId="26" fillId="24" borderId="186" xfId="0" applyFont="1" applyFill="1" applyBorder="1" applyAlignment="1">
      <alignment horizontal="center"/>
    </xf>
    <xf numFmtId="0" fontId="30" fillId="34" borderId="214" xfId="0" applyFont="1" applyFill="1" applyBorder="1" applyAlignment="1">
      <alignment horizontal="center"/>
    </xf>
    <xf numFmtId="0" fontId="30" fillId="34" borderId="187" xfId="0" applyFont="1" applyFill="1" applyBorder="1" applyAlignment="1">
      <alignment horizontal="center"/>
    </xf>
    <xf numFmtId="0" fontId="76" fillId="24" borderId="62" xfId="0" applyFont="1" applyFill="1" applyBorder="1" applyAlignment="1">
      <alignment horizontal="center"/>
    </xf>
    <xf numFmtId="0" fontId="76" fillId="24" borderId="0" xfId="0" applyFont="1" applyFill="1" applyAlignment="1">
      <alignment horizontal="center"/>
    </xf>
    <xf numFmtId="0" fontId="76" fillId="24" borderId="66" xfId="0" applyFont="1" applyFill="1" applyBorder="1" applyAlignment="1">
      <alignment horizontal="center"/>
    </xf>
    <xf numFmtId="0" fontId="22" fillId="38" borderId="74" xfId="0" applyFont="1" applyFill="1" applyBorder="1" applyAlignment="1">
      <alignment horizontal="center"/>
    </xf>
    <xf numFmtId="0" fontId="22" fillId="38" borderId="61" xfId="0" applyFont="1" applyFill="1" applyBorder="1" applyAlignment="1">
      <alignment horizontal="center"/>
    </xf>
    <xf numFmtId="0" fontId="22" fillId="38" borderId="49" xfId="0" applyFont="1" applyFill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0" borderId="59" xfId="0" applyFont="1" applyBorder="1" applyAlignment="1">
      <alignment horizontal="center"/>
    </xf>
    <xf numFmtId="0" fontId="19" fillId="24" borderId="62" xfId="0" applyFont="1" applyFill="1" applyBorder="1" applyAlignment="1">
      <alignment horizontal="center" wrapText="1"/>
    </xf>
    <xf numFmtId="0" fontId="19" fillId="24" borderId="0" xfId="0" applyFont="1" applyFill="1" applyAlignment="1">
      <alignment horizontal="center" wrapText="1"/>
    </xf>
    <xf numFmtId="0" fontId="19" fillId="24" borderId="66" xfId="0" applyFont="1" applyFill="1" applyBorder="1" applyAlignment="1">
      <alignment horizontal="center" wrapText="1"/>
    </xf>
    <xf numFmtId="0" fontId="30" fillId="41" borderId="57" xfId="0" applyFont="1" applyFill="1" applyBorder="1" applyAlignment="1">
      <alignment horizontal="center"/>
    </xf>
    <xf numFmtId="0" fontId="30" fillId="41" borderId="73" xfId="0" applyFont="1" applyFill="1" applyBorder="1" applyAlignment="1">
      <alignment horizontal="center"/>
    </xf>
    <xf numFmtId="0" fontId="26" fillId="41" borderId="73" xfId="0" applyFont="1" applyFill="1" applyBorder="1" applyAlignment="1">
      <alignment horizontal="center" vertical="center" wrapText="1"/>
    </xf>
    <xf numFmtId="0" fontId="26" fillId="41" borderId="75" xfId="0" applyFont="1" applyFill="1" applyBorder="1" applyAlignment="1" applyProtection="1">
      <alignment horizontal="center" vertical="center" textRotation="90" wrapText="1"/>
      <protection locked="0" hidden="1"/>
    </xf>
    <xf numFmtId="0" fontId="26" fillId="65" borderId="74" xfId="0" applyFont="1" applyFill="1" applyBorder="1" applyAlignment="1">
      <alignment horizontal="center" vertical="center" wrapText="1"/>
    </xf>
    <xf numFmtId="0" fontId="26" fillId="65" borderId="61" xfId="0" applyFont="1" applyFill="1" applyBorder="1" applyAlignment="1">
      <alignment horizontal="center" vertical="center" wrapText="1"/>
    </xf>
    <xf numFmtId="0" fontId="26" fillId="65" borderId="122" xfId="0" applyFont="1" applyFill="1" applyBorder="1" applyAlignment="1">
      <alignment horizontal="center" vertical="center" wrapText="1"/>
    </xf>
    <xf numFmtId="0" fontId="26" fillId="56" borderId="82" xfId="0" applyFont="1" applyFill="1" applyBorder="1" applyAlignment="1">
      <alignment horizontal="center" vertical="center" wrapText="1"/>
    </xf>
    <xf numFmtId="0" fontId="50" fillId="34" borderId="57" xfId="39" applyFill="1" applyBorder="1" applyAlignment="1">
      <alignment horizontal="center" vertical="center"/>
    </xf>
    <xf numFmtId="0" fontId="50" fillId="34" borderId="26" xfId="39" applyFill="1" applyBorder="1" applyAlignment="1">
      <alignment horizontal="center" vertical="center"/>
    </xf>
    <xf numFmtId="0" fontId="65" fillId="34" borderId="179" xfId="39" applyFont="1" applyFill="1" applyBorder="1" applyAlignment="1">
      <alignment horizontal="center" vertical="center" wrapText="1"/>
    </xf>
    <xf numFmtId="0" fontId="33" fillId="34" borderId="73" xfId="39" applyFont="1" applyFill="1" applyBorder="1" applyAlignment="1">
      <alignment horizontal="left" vertical="center" wrapText="1"/>
    </xf>
    <xf numFmtId="0" fontId="33" fillId="34" borderId="18" xfId="39" applyFont="1" applyFill="1" applyBorder="1" applyAlignment="1">
      <alignment horizontal="left" vertical="center" wrapText="1"/>
    </xf>
    <xf numFmtId="0" fontId="33" fillId="34" borderId="73" xfId="39" applyFont="1" applyFill="1" applyBorder="1" applyAlignment="1">
      <alignment horizontal="center" vertical="center" wrapText="1"/>
    </xf>
    <xf numFmtId="0" fontId="33" fillId="34" borderId="18" xfId="39" applyFont="1" applyFill="1" applyBorder="1" applyAlignment="1">
      <alignment horizontal="center" vertical="center" wrapText="1"/>
    </xf>
    <xf numFmtId="0" fontId="33" fillId="34" borderId="75" xfId="39" applyFont="1" applyFill="1" applyBorder="1" applyAlignment="1">
      <alignment horizontal="center" vertical="center" wrapText="1"/>
    </xf>
    <xf numFmtId="0" fontId="33" fillId="34" borderId="24" xfId="39" applyFont="1" applyFill="1" applyBorder="1" applyAlignment="1">
      <alignment horizontal="center" vertical="center" wrapText="1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Euro 2" xfId="31" xr:uid="{00000000-0005-0000-0000-00001E000000}"/>
    <cellStyle name="Incorrecto" xfId="32" builtinId="27" customBuiltin="1"/>
    <cellStyle name="Millares" xfId="33" builtinId="3"/>
    <cellStyle name="Millares 2" xfId="34" xr:uid="{00000000-0005-0000-0000-000021000000}"/>
    <cellStyle name="Moneda" xfId="35" builtinId="4"/>
    <cellStyle name="Moneda 2" xfId="36" xr:uid="{00000000-0005-0000-0000-000023000000}"/>
    <cellStyle name="Neutral" xfId="37" builtinId="28" customBuiltin="1"/>
    <cellStyle name="Normal" xfId="0" builtinId="0"/>
    <cellStyle name="Normal 2" xfId="38" xr:uid="{00000000-0005-0000-0000-000026000000}"/>
    <cellStyle name="Normal_07Lista de Proyectos de Inversion" xfId="39" xr:uid="{00000000-0005-0000-0000-000027000000}"/>
    <cellStyle name="Notas" xfId="40" builtinId="10" customBuiltin="1"/>
    <cellStyle name="Porcentaje" xfId="41" builtinId="5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6" builtinId="17" customBuiltin="1"/>
    <cellStyle name="Título 3" xfId="47" builtinId="18" customBuiltin="1"/>
    <cellStyle name="Total" xfId="48" builtinId="25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DFD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AF7F7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7E7E7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ropbox/presupuesto%202021/file:/G:/BORRADOR%20DE%20PRESUPUEST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25% y F.p.8"/>
      <sheetName val="75%"/>
      <sheetName val="PROYECTOS-PRESTAMO"/>
      <sheetName val="DETALLE CONS.DE INGRESOS 3"/>
      <sheetName val="DETALLE DE INGRESOS 2"/>
      <sheetName val="ESTIMAC.Y PROYEC.DE INGRESOS 1"/>
      <sheetName val="DETALLE CONSOLIDADO DE EGRESO12"/>
      <sheetName val="Consolidado 75%"/>
      <sheetName val="0101 25% FODES 4"/>
      <sheetName val="0201 ADMON.FINANC.Y TRIBUT.5"/>
      <sheetName val="0202 SERV.EXTERNOS 7"/>
      <sheetName val="LISTADO DE PROY.FODES 10"/>
      <sheetName val="amortizacion11"/>
      <sheetName val="SUMARIOS ING.Y EGRESOS"/>
      <sheetName val="Estruct.presup.2"/>
      <sheetName val="RESUMEN"/>
      <sheetName val="PRESUP.DE PERSONAL1"/>
      <sheetName val="0101PP"/>
      <sheetName val="0201PP"/>
      <sheetName val="0202PP"/>
      <sheetName val="NO TOCAR"/>
      <sheetName val="Hoja1"/>
    </sheetNames>
    <sheetDataSet>
      <sheetData sheetId="0"/>
      <sheetData sheetId="1"/>
      <sheetData sheetId="2"/>
      <sheetData sheetId="3"/>
      <sheetData sheetId="4"/>
      <sheetData sheetId="5">
        <row r="74">
          <cell r="I7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I74"/>
  <sheetViews>
    <sheetView tabSelected="1" view="pageBreakPreview" zoomScale="106" zoomScaleNormal="100" zoomScaleSheetLayoutView="106" workbookViewId="0">
      <selection activeCell="O11" sqref="O11"/>
    </sheetView>
  </sheetViews>
  <sheetFormatPr baseColWidth="10" defaultRowHeight="12.75" x14ac:dyDescent="0.2"/>
  <cols>
    <col min="1" max="2" width="7.42578125" customWidth="1"/>
    <col min="3" max="3" width="34.85546875" customWidth="1"/>
    <col min="4" max="4" width="43" customWidth="1"/>
    <col min="5" max="5" width="0.28515625" customWidth="1"/>
    <col min="6" max="9" width="11.42578125" hidden="1" customWidth="1"/>
  </cols>
  <sheetData>
    <row r="1" spans="1:7" x14ac:dyDescent="0.2">
      <c r="A1" s="1197"/>
      <c r="B1" s="1197"/>
      <c r="C1" s="1197"/>
      <c r="D1" s="1197"/>
    </row>
    <row r="2" spans="1:7" ht="15.75" x14ac:dyDescent="0.2">
      <c r="A2" s="1193" t="s">
        <v>1144</v>
      </c>
      <c r="B2" s="1194"/>
      <c r="C2" s="1194"/>
      <c r="D2" s="1194"/>
      <c r="E2" s="1194"/>
      <c r="F2" s="1194"/>
      <c r="G2" s="1195"/>
    </row>
    <row r="3" spans="1:7" x14ac:dyDescent="0.2">
      <c r="A3" s="1196"/>
      <c r="B3" s="1196"/>
      <c r="C3" s="1196"/>
      <c r="D3" s="1196"/>
    </row>
    <row r="4" spans="1:7" ht="22.5" customHeight="1" x14ac:dyDescent="0.25">
      <c r="A4" s="1189" t="s">
        <v>456</v>
      </c>
      <c r="B4" s="1189"/>
      <c r="C4" s="1189"/>
      <c r="D4" s="1189"/>
    </row>
    <row r="5" spans="1:7" ht="21.75" customHeight="1" x14ac:dyDescent="0.25">
      <c r="A5" s="472" t="s">
        <v>457</v>
      </c>
      <c r="B5" s="473"/>
      <c r="C5" s="473"/>
      <c r="D5" s="473"/>
    </row>
    <row r="6" spans="1:7" ht="24.75" customHeight="1" x14ac:dyDescent="0.2">
      <c r="A6" s="474" t="s">
        <v>458</v>
      </c>
      <c r="B6" s="474" t="s">
        <v>459</v>
      </c>
      <c r="C6" s="475" t="s">
        <v>460</v>
      </c>
      <c r="D6" s="475" t="s">
        <v>461</v>
      </c>
    </row>
    <row r="7" spans="1:7" ht="29.25" customHeight="1" x14ac:dyDescent="0.2">
      <c r="A7" s="582" t="s">
        <v>180</v>
      </c>
      <c r="B7" s="583"/>
      <c r="C7" s="646" t="s">
        <v>462</v>
      </c>
      <c r="D7" s="477"/>
    </row>
    <row r="8" spans="1:7" ht="27.75" customHeight="1" x14ac:dyDescent="0.2">
      <c r="A8" s="476"/>
      <c r="B8" s="580" t="s">
        <v>207</v>
      </c>
      <c r="C8" s="581" t="s">
        <v>463</v>
      </c>
      <c r="D8" s="477" t="s">
        <v>464</v>
      </c>
    </row>
    <row r="9" spans="1:7" ht="24.95" customHeight="1" x14ac:dyDescent="0.2">
      <c r="A9" s="479"/>
      <c r="B9" s="479"/>
      <c r="C9" s="480"/>
      <c r="D9" s="480" t="s">
        <v>465</v>
      </c>
    </row>
    <row r="10" spans="1:7" ht="24.95" customHeight="1" x14ac:dyDescent="0.2">
      <c r="A10" s="479"/>
      <c r="B10" s="479"/>
      <c r="C10" s="480"/>
      <c r="D10" s="480" t="s">
        <v>466</v>
      </c>
    </row>
    <row r="11" spans="1:7" ht="24.95" customHeight="1" x14ac:dyDescent="0.2">
      <c r="A11" s="479"/>
      <c r="B11" s="479"/>
      <c r="C11" s="480"/>
      <c r="D11" s="480" t="s">
        <v>467</v>
      </c>
    </row>
    <row r="12" spans="1:7" ht="24.95" customHeight="1" x14ac:dyDescent="0.2">
      <c r="A12" s="479"/>
      <c r="B12" s="479"/>
      <c r="C12" s="480"/>
      <c r="D12" s="480" t="s">
        <v>1185</v>
      </c>
    </row>
    <row r="13" spans="1:7" ht="24.95" customHeight="1" x14ac:dyDescent="0.2">
      <c r="A13" s="479"/>
      <c r="B13" s="479"/>
      <c r="C13" s="480"/>
      <c r="D13" s="552" t="s">
        <v>1186</v>
      </c>
    </row>
    <row r="14" spans="1:7" ht="24.95" customHeight="1" x14ac:dyDescent="0.2">
      <c r="A14" s="479"/>
      <c r="B14" s="479"/>
      <c r="C14" s="480"/>
      <c r="D14" s="552" t="s">
        <v>1187</v>
      </c>
    </row>
    <row r="15" spans="1:7" ht="24.95" customHeight="1" x14ac:dyDescent="0.2">
      <c r="A15" s="479"/>
      <c r="B15" s="479"/>
      <c r="C15" s="480"/>
      <c r="D15" s="552" t="s">
        <v>1188</v>
      </c>
    </row>
    <row r="16" spans="1:7" ht="24.95" customHeight="1" x14ac:dyDescent="0.2">
      <c r="A16" s="479"/>
      <c r="B16" s="479"/>
      <c r="C16" s="480"/>
      <c r="D16" s="552" t="s">
        <v>1189</v>
      </c>
    </row>
    <row r="17" spans="1:4" ht="24.95" customHeight="1" x14ac:dyDescent="0.2">
      <c r="A17" s="479"/>
      <c r="B17" s="479"/>
      <c r="C17" s="480"/>
      <c r="D17" s="480" t="s">
        <v>1190</v>
      </c>
    </row>
    <row r="18" spans="1:4" ht="24.95" customHeight="1" x14ac:dyDescent="0.2">
      <c r="A18" s="479"/>
      <c r="B18" s="479"/>
      <c r="C18" s="480"/>
      <c r="D18" s="480" t="s">
        <v>1191</v>
      </c>
    </row>
    <row r="19" spans="1:4" ht="24.95" customHeight="1" x14ac:dyDescent="0.2">
      <c r="A19" s="479"/>
      <c r="B19" s="479"/>
      <c r="C19" s="480"/>
      <c r="D19" s="480" t="s">
        <v>1192</v>
      </c>
    </row>
    <row r="20" spans="1:4" ht="24.95" customHeight="1" x14ac:dyDescent="0.2">
      <c r="A20" s="479"/>
      <c r="B20" s="479"/>
      <c r="C20" s="480"/>
      <c r="D20" s="552" t="s">
        <v>1193</v>
      </c>
    </row>
    <row r="21" spans="1:4" ht="24.95" customHeight="1" x14ac:dyDescent="0.2">
      <c r="A21" s="479"/>
      <c r="B21" s="479"/>
      <c r="C21" s="480"/>
      <c r="D21" s="480" t="s">
        <v>1194</v>
      </c>
    </row>
    <row r="22" spans="1:4" ht="24.95" customHeight="1" x14ac:dyDescent="0.2">
      <c r="A22" s="479"/>
      <c r="B22" s="479"/>
      <c r="C22" s="480"/>
      <c r="D22" s="480" t="s">
        <v>1195</v>
      </c>
    </row>
    <row r="23" spans="1:4" ht="24.95" customHeight="1" x14ac:dyDescent="0.2">
      <c r="A23" s="479"/>
      <c r="B23" s="479"/>
      <c r="C23" s="480"/>
      <c r="D23" s="480" t="s">
        <v>1196</v>
      </c>
    </row>
    <row r="24" spans="1:4" ht="24.95" customHeight="1" x14ac:dyDescent="0.2">
      <c r="A24" s="479"/>
      <c r="B24" s="479"/>
      <c r="C24" s="480"/>
      <c r="D24" s="480" t="s">
        <v>1197</v>
      </c>
    </row>
    <row r="25" spans="1:4" ht="24.95" customHeight="1" x14ac:dyDescent="0.2">
      <c r="A25" s="479"/>
      <c r="B25" s="479"/>
      <c r="C25" s="480"/>
      <c r="D25" s="480" t="s">
        <v>1198</v>
      </c>
    </row>
    <row r="26" spans="1:4" ht="24.95" customHeight="1" x14ac:dyDescent="0.2">
      <c r="A26" s="479"/>
      <c r="B26" s="479"/>
      <c r="C26" s="480"/>
      <c r="D26" s="480" t="s">
        <v>1199</v>
      </c>
    </row>
    <row r="27" spans="1:4" ht="24.95" customHeight="1" x14ac:dyDescent="0.2">
      <c r="A27" s="479"/>
      <c r="B27" s="479"/>
      <c r="C27" s="480"/>
      <c r="D27" s="480" t="s">
        <v>1200</v>
      </c>
    </row>
    <row r="28" spans="1:4" ht="24.95" customHeight="1" x14ac:dyDescent="0.2">
      <c r="A28" s="479"/>
      <c r="B28" s="479"/>
      <c r="C28" s="480"/>
      <c r="D28" s="480" t="s">
        <v>1201</v>
      </c>
    </row>
    <row r="29" spans="1:4" ht="24.95" customHeight="1" x14ac:dyDescent="0.2">
      <c r="A29" s="479"/>
      <c r="B29" s="580" t="s">
        <v>468</v>
      </c>
      <c r="C29" s="581" t="s">
        <v>469</v>
      </c>
      <c r="D29" s="552" t="s">
        <v>1202</v>
      </c>
    </row>
    <row r="30" spans="1:4" ht="24.95" customHeight="1" x14ac:dyDescent="0.2">
      <c r="A30" s="479"/>
      <c r="B30" s="479"/>
      <c r="C30" s="480"/>
      <c r="D30" s="480" t="s">
        <v>1203</v>
      </c>
    </row>
    <row r="31" spans="1:4" ht="24.95" customHeight="1" x14ac:dyDescent="0.2">
      <c r="A31" s="479"/>
      <c r="B31" s="479"/>
      <c r="C31" s="480"/>
      <c r="D31" s="480" t="s">
        <v>1204</v>
      </c>
    </row>
    <row r="32" spans="1:4" ht="24.95" customHeight="1" x14ac:dyDescent="0.2">
      <c r="A32" s="479"/>
      <c r="B32" s="479"/>
      <c r="C32" s="480"/>
      <c r="D32" s="480" t="s">
        <v>1205</v>
      </c>
    </row>
    <row r="33" spans="1:4" ht="24.95" customHeight="1" x14ac:dyDescent="0.2">
      <c r="A33" s="554"/>
      <c r="B33" s="554"/>
      <c r="C33" s="480"/>
      <c r="D33" s="480" t="s">
        <v>1206</v>
      </c>
    </row>
    <row r="34" spans="1:4" ht="24.95" customHeight="1" x14ac:dyDescent="0.2">
      <c r="A34" s="554"/>
      <c r="B34" s="554"/>
      <c r="C34" s="480"/>
      <c r="D34" s="480" t="s">
        <v>1207</v>
      </c>
    </row>
    <row r="35" spans="1:4" ht="24.95" customHeight="1" x14ac:dyDescent="0.2">
      <c r="A35" s="582" t="s">
        <v>184</v>
      </c>
      <c r="B35" s="582"/>
      <c r="C35" s="646" t="s">
        <v>470</v>
      </c>
      <c r="D35" s="480"/>
    </row>
    <row r="36" spans="1:4" ht="24.95" customHeight="1" x14ac:dyDescent="0.2">
      <c r="A36" s="479"/>
      <c r="B36" s="580" t="s">
        <v>208</v>
      </c>
      <c r="C36" s="581" t="s">
        <v>471</v>
      </c>
      <c r="D36" s="480" t="s">
        <v>1208</v>
      </c>
    </row>
    <row r="37" spans="1:4" ht="24.95" customHeight="1" x14ac:dyDescent="0.2">
      <c r="A37" s="479"/>
      <c r="B37" s="479"/>
      <c r="C37" s="480"/>
      <c r="D37" s="480" t="s">
        <v>1209</v>
      </c>
    </row>
    <row r="38" spans="1:4" ht="24.95" customHeight="1" x14ac:dyDescent="0.2">
      <c r="A38" s="479"/>
      <c r="B38" s="479"/>
      <c r="C38" s="480"/>
      <c r="D38" s="480" t="s">
        <v>1210</v>
      </c>
    </row>
    <row r="39" spans="1:4" ht="24.95" customHeight="1" x14ac:dyDescent="0.2">
      <c r="A39" s="479"/>
      <c r="B39" s="479"/>
      <c r="C39" s="480"/>
      <c r="D39" s="480" t="s">
        <v>1211</v>
      </c>
    </row>
    <row r="40" spans="1:4" ht="24.95" customHeight="1" x14ac:dyDescent="0.2">
      <c r="A40" s="479"/>
      <c r="B40" s="479"/>
      <c r="C40" s="480"/>
      <c r="D40" s="552" t="s">
        <v>1212</v>
      </c>
    </row>
    <row r="41" spans="1:4" ht="24.95" customHeight="1" x14ac:dyDescent="0.2">
      <c r="A41" s="479"/>
      <c r="B41" s="479"/>
      <c r="C41" s="480"/>
      <c r="D41" s="480" t="s">
        <v>1213</v>
      </c>
    </row>
    <row r="42" spans="1:4" ht="24.95" customHeight="1" x14ac:dyDescent="0.2">
      <c r="A42" s="479"/>
      <c r="B42" s="479"/>
      <c r="C42" s="480"/>
      <c r="D42" s="480" t="s">
        <v>1214</v>
      </c>
    </row>
    <row r="43" spans="1:4" ht="24.95" customHeight="1" x14ac:dyDescent="0.2">
      <c r="A43" s="479"/>
      <c r="B43" s="479"/>
      <c r="C43" s="480"/>
      <c r="D43" s="480" t="s">
        <v>1215</v>
      </c>
    </row>
    <row r="44" spans="1:4" ht="24.95" customHeight="1" x14ac:dyDescent="0.2">
      <c r="A44" s="479"/>
      <c r="B44" s="479"/>
      <c r="C44" s="480"/>
      <c r="D44" s="480" t="s">
        <v>1216</v>
      </c>
    </row>
    <row r="45" spans="1:4" ht="24.95" customHeight="1" x14ac:dyDescent="0.2">
      <c r="A45" s="479"/>
      <c r="B45" s="479"/>
      <c r="C45" s="480"/>
      <c r="D45" s="480" t="s">
        <v>1217</v>
      </c>
    </row>
    <row r="46" spans="1:4" ht="24.95" customHeight="1" x14ac:dyDescent="0.2">
      <c r="A46" s="479"/>
      <c r="B46" s="479"/>
      <c r="C46" s="480"/>
      <c r="D46" s="480" t="s">
        <v>1218</v>
      </c>
    </row>
    <row r="47" spans="1:4" ht="24.95" customHeight="1" x14ac:dyDescent="0.2">
      <c r="A47" s="479"/>
      <c r="B47" s="580" t="s">
        <v>209</v>
      </c>
      <c r="C47" s="584" t="s">
        <v>472</v>
      </c>
      <c r="D47" s="480" t="s">
        <v>1219</v>
      </c>
    </row>
    <row r="48" spans="1:4" ht="24.95" customHeight="1" x14ac:dyDescent="0.2">
      <c r="A48" s="479"/>
      <c r="B48" s="479"/>
      <c r="C48" s="553"/>
      <c r="D48" s="480" t="s">
        <v>1220</v>
      </c>
    </row>
    <row r="49" spans="1:4" ht="24.95" customHeight="1" x14ac:dyDescent="0.2">
      <c r="A49" s="479"/>
      <c r="B49" s="580" t="s">
        <v>473</v>
      </c>
      <c r="C49" s="584" t="s">
        <v>474</v>
      </c>
      <c r="D49" s="480" t="s">
        <v>1221</v>
      </c>
    </row>
    <row r="50" spans="1:4" ht="24.95" customHeight="1" x14ac:dyDescent="0.2">
      <c r="A50" s="479"/>
      <c r="B50" s="479"/>
      <c r="C50" s="480"/>
      <c r="D50" s="480" t="s">
        <v>1222</v>
      </c>
    </row>
    <row r="51" spans="1:4" ht="24.95" customHeight="1" x14ac:dyDescent="0.2">
      <c r="A51" s="479"/>
      <c r="B51" s="479"/>
      <c r="C51" s="480"/>
      <c r="D51" s="480" t="s">
        <v>1223</v>
      </c>
    </row>
    <row r="52" spans="1:4" ht="24.95" customHeight="1" x14ac:dyDescent="0.2">
      <c r="A52" s="479" t="s">
        <v>180</v>
      </c>
      <c r="B52" s="580" t="s">
        <v>207</v>
      </c>
      <c r="C52" s="584" t="s">
        <v>475</v>
      </c>
      <c r="D52" s="480" t="s">
        <v>476</v>
      </c>
    </row>
    <row r="53" spans="1:4" ht="18" customHeight="1" x14ac:dyDescent="0.2">
      <c r="A53" s="479" t="s">
        <v>477</v>
      </c>
      <c r="B53" s="479"/>
      <c r="C53" s="480" t="s">
        <v>478</v>
      </c>
      <c r="D53" s="480"/>
    </row>
    <row r="54" spans="1:4" ht="24.75" customHeight="1" x14ac:dyDescent="0.2">
      <c r="A54" s="479"/>
      <c r="B54" s="580" t="s">
        <v>479</v>
      </c>
      <c r="C54" s="584" t="s">
        <v>480</v>
      </c>
      <c r="D54" s="480" t="s">
        <v>481</v>
      </c>
    </row>
    <row r="55" spans="1:4" ht="24.75" customHeight="1" x14ac:dyDescent="0.2">
      <c r="A55" s="479"/>
      <c r="B55" s="580" t="s">
        <v>970</v>
      </c>
      <c r="C55" s="584" t="s">
        <v>145</v>
      </c>
      <c r="D55" s="480" t="s">
        <v>481</v>
      </c>
    </row>
    <row r="56" spans="1:4" ht="21.75" customHeight="1" x14ac:dyDescent="0.2">
      <c r="A56" s="479"/>
      <c r="B56" s="580" t="s">
        <v>482</v>
      </c>
      <c r="C56" s="584" t="s">
        <v>483</v>
      </c>
      <c r="D56" s="480" t="s">
        <v>481</v>
      </c>
    </row>
    <row r="57" spans="1:4" ht="29.25" customHeight="1" x14ac:dyDescent="0.2">
      <c r="A57" s="481" t="s">
        <v>484</v>
      </c>
      <c r="B57" s="482"/>
      <c r="C57" s="483"/>
      <c r="D57" s="483"/>
    </row>
    <row r="58" spans="1:4" ht="29.25" customHeight="1" x14ac:dyDescent="0.2">
      <c r="A58" s="474" t="s">
        <v>458</v>
      </c>
      <c r="B58" s="474" t="s">
        <v>485</v>
      </c>
      <c r="C58" s="475" t="s">
        <v>460</v>
      </c>
      <c r="D58" s="475" t="s">
        <v>461</v>
      </c>
    </row>
    <row r="59" spans="1:4" ht="24.95" customHeight="1" x14ac:dyDescent="0.2">
      <c r="A59" s="647" t="s">
        <v>342</v>
      </c>
      <c r="B59" s="647"/>
      <c r="C59" s="646" t="s">
        <v>486</v>
      </c>
      <c r="D59" s="480"/>
    </row>
    <row r="60" spans="1:4" ht="24.95" customHeight="1" x14ac:dyDescent="0.2">
      <c r="A60" s="476"/>
      <c r="B60" s="580" t="s">
        <v>488</v>
      </c>
      <c r="C60" s="584" t="s">
        <v>487</v>
      </c>
      <c r="D60" s="478" t="s">
        <v>489</v>
      </c>
    </row>
    <row r="61" spans="1:4" ht="24.95" customHeight="1" x14ac:dyDescent="0.2">
      <c r="A61" s="476"/>
      <c r="B61" s="476"/>
      <c r="C61" s="477"/>
      <c r="D61" s="478"/>
    </row>
    <row r="62" spans="1:4" ht="24.95" customHeight="1" x14ac:dyDescent="0.2">
      <c r="A62" s="476" t="s">
        <v>490</v>
      </c>
      <c r="B62" s="476"/>
      <c r="C62" s="477" t="s">
        <v>491</v>
      </c>
      <c r="D62" s="478"/>
    </row>
    <row r="63" spans="1:4" ht="54.75" customHeight="1" x14ac:dyDescent="0.2">
      <c r="A63" s="476"/>
      <c r="B63" s="580" t="s">
        <v>492</v>
      </c>
      <c r="C63" s="1188" t="s">
        <v>1224</v>
      </c>
      <c r="D63" s="478" t="s">
        <v>493</v>
      </c>
    </row>
    <row r="64" spans="1:4" ht="24.95" customHeight="1" x14ac:dyDescent="0.2">
      <c r="A64" s="476" t="s">
        <v>477</v>
      </c>
      <c r="B64" s="476"/>
      <c r="C64" s="484" t="s">
        <v>478</v>
      </c>
      <c r="D64" s="478"/>
    </row>
    <row r="65" spans="1:4" ht="24.95" customHeight="1" x14ac:dyDescent="0.2">
      <c r="A65" s="476"/>
      <c r="B65" s="580" t="s">
        <v>494</v>
      </c>
      <c r="C65" s="585" t="s">
        <v>495</v>
      </c>
      <c r="D65" s="478" t="s">
        <v>496</v>
      </c>
    </row>
    <row r="66" spans="1:4" ht="24.95" customHeight="1" x14ac:dyDescent="0.2">
      <c r="A66" s="476" t="s">
        <v>497</v>
      </c>
      <c r="B66" s="476"/>
      <c r="C66" s="484" t="s">
        <v>498</v>
      </c>
      <c r="D66" s="478"/>
    </row>
    <row r="67" spans="1:4" ht="24.95" customHeight="1" x14ac:dyDescent="0.2">
      <c r="A67" s="476"/>
      <c r="B67" s="580" t="s">
        <v>499</v>
      </c>
      <c r="C67" s="585" t="s">
        <v>246</v>
      </c>
      <c r="D67" s="478" t="s">
        <v>496</v>
      </c>
    </row>
    <row r="68" spans="1:4" ht="24.95" customHeight="1" x14ac:dyDescent="0.2">
      <c r="A68" s="476"/>
      <c r="B68" s="580" t="s">
        <v>500</v>
      </c>
      <c r="C68" s="585" t="s">
        <v>501</v>
      </c>
      <c r="D68" s="478" t="s">
        <v>496</v>
      </c>
    </row>
    <row r="69" spans="1:4" ht="24.95" customHeight="1" x14ac:dyDescent="0.2">
      <c r="A69" s="476"/>
      <c r="B69" s="580" t="s">
        <v>451</v>
      </c>
      <c r="C69" s="584" t="s">
        <v>502</v>
      </c>
      <c r="D69" s="478" t="s">
        <v>496</v>
      </c>
    </row>
    <row r="70" spans="1:4" ht="24.95" customHeight="1" thickBot="1" x14ac:dyDescent="0.25">
      <c r="A70" s="640"/>
      <c r="B70" s="641"/>
      <c r="C70" s="642"/>
      <c r="D70" s="643"/>
    </row>
    <row r="71" spans="1:4" ht="29.25" customHeight="1" thickBot="1" x14ac:dyDescent="0.25">
      <c r="A71" s="1190" t="s">
        <v>503</v>
      </c>
      <c r="B71" s="1191"/>
      <c r="C71" s="1191"/>
      <c r="D71" s="1192"/>
    </row>
    <row r="72" spans="1:4" ht="22.5" x14ac:dyDescent="0.2">
      <c r="A72" s="644" t="s">
        <v>458</v>
      </c>
      <c r="B72" s="644" t="s">
        <v>485</v>
      </c>
      <c r="C72" s="645" t="s">
        <v>460</v>
      </c>
      <c r="D72" s="645" t="s">
        <v>461</v>
      </c>
    </row>
    <row r="73" spans="1:4" ht="24.95" customHeight="1" x14ac:dyDescent="0.2">
      <c r="A73" s="580" t="s">
        <v>410</v>
      </c>
      <c r="B73" s="580"/>
      <c r="C73" s="584" t="s">
        <v>504</v>
      </c>
      <c r="D73" s="477"/>
    </row>
    <row r="74" spans="1:4" ht="24.95" customHeight="1" x14ac:dyDescent="0.2">
      <c r="A74" s="476"/>
      <c r="B74" s="476" t="s">
        <v>505</v>
      </c>
      <c r="C74" s="477" t="s">
        <v>506</v>
      </c>
      <c r="D74" s="477" t="s">
        <v>507</v>
      </c>
    </row>
  </sheetData>
  <mergeCells count="5">
    <mergeCell ref="A4:D4"/>
    <mergeCell ref="A71:D71"/>
    <mergeCell ref="A2:G2"/>
    <mergeCell ref="A3:D3"/>
    <mergeCell ref="A1:D1"/>
  </mergeCells>
  <phoneticPr fontId="35" type="noConversion"/>
  <pageMargins left="0.82677165354330717" right="0.43307086614173229" top="0.74803149606299213" bottom="0.35433070866141736" header="0.31496062992125984" footer="0.31496062992125984"/>
  <pageSetup firstPageNumber="0" fitToHeight="0" orientation="portrait" r:id="rId1"/>
  <headerFooter alignWithMargins="0"/>
  <rowBreaks count="2" manualBreakCount="2">
    <brk id="30" max="8" man="1"/>
    <brk id="5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79"/>
  <sheetViews>
    <sheetView view="pageBreakPreview" topLeftCell="A67" zoomScaleNormal="95" zoomScaleSheetLayoutView="100" workbookViewId="0">
      <selection activeCell="E76" sqref="E76"/>
    </sheetView>
  </sheetViews>
  <sheetFormatPr baseColWidth="10" defaultRowHeight="15" x14ac:dyDescent="0.3"/>
  <cols>
    <col min="1" max="1" width="10.28515625" style="1" customWidth="1"/>
    <col min="2" max="2" width="41.140625" style="2" customWidth="1"/>
    <col min="3" max="3" width="21" style="2" customWidth="1"/>
    <col min="4" max="4" width="18.7109375" style="2" customWidth="1"/>
    <col min="5" max="6" width="18" style="2" customWidth="1"/>
    <col min="7" max="7" width="17.7109375" style="361" customWidth="1"/>
    <col min="8" max="8" width="18" style="2" customWidth="1"/>
    <col min="9" max="9" width="12.140625" style="2" customWidth="1"/>
    <col min="10" max="10" width="17.7109375" style="2" customWidth="1"/>
    <col min="11" max="11" width="15.42578125" style="2" customWidth="1"/>
    <col min="12" max="12" width="20.7109375" style="3" bestFit="1" customWidth="1"/>
  </cols>
  <sheetData>
    <row r="1" spans="1:12" ht="18.75" x14ac:dyDescent="0.3">
      <c r="A1" s="1391" t="s">
        <v>1143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3"/>
    </row>
    <row r="2" spans="1:12" ht="18.75" x14ac:dyDescent="0.3">
      <c r="A2" s="1394" t="s">
        <v>1149</v>
      </c>
      <c r="B2" s="1395"/>
      <c r="C2" s="1395"/>
      <c r="D2" s="1395"/>
      <c r="E2" s="1395"/>
      <c r="F2" s="1395"/>
      <c r="G2" s="1395"/>
      <c r="H2" s="1395"/>
      <c r="I2" s="1395"/>
      <c r="J2" s="1395"/>
      <c r="K2" s="1395"/>
      <c r="L2" s="1396"/>
    </row>
    <row r="3" spans="1:12" ht="26.25" customHeight="1" x14ac:dyDescent="0.3">
      <c r="A3" s="1397" t="s">
        <v>510</v>
      </c>
      <c r="B3" s="1398"/>
      <c r="C3" s="1398"/>
      <c r="D3" s="1398"/>
      <c r="E3" s="1398"/>
      <c r="F3" s="1398"/>
      <c r="G3" s="1398"/>
      <c r="H3" s="1398"/>
      <c r="I3" s="1398"/>
      <c r="J3" s="1398"/>
      <c r="K3" s="1398"/>
      <c r="L3" s="1399"/>
    </row>
    <row r="4" spans="1:12" ht="18.75" x14ac:dyDescent="0.3">
      <c r="A4" s="1394" t="s">
        <v>0</v>
      </c>
      <c r="B4" s="1395"/>
      <c r="C4" s="1395"/>
      <c r="D4" s="1395"/>
      <c r="E4" s="1395"/>
      <c r="F4" s="1395"/>
      <c r="G4" s="1395"/>
      <c r="H4" s="1395"/>
      <c r="I4" s="1395"/>
      <c r="J4" s="1395"/>
      <c r="K4" s="1395"/>
      <c r="L4" s="1396"/>
    </row>
    <row r="5" spans="1:12" ht="15" customHeight="1" x14ac:dyDescent="0.3">
      <c r="A5" s="1394"/>
      <c r="B5" s="1395"/>
      <c r="C5" s="1395"/>
      <c r="D5" s="1395"/>
      <c r="E5" s="1395"/>
      <c r="F5" s="1395"/>
      <c r="G5" s="1395"/>
      <c r="H5" s="1395"/>
      <c r="I5" s="1395"/>
      <c r="J5" s="1395"/>
      <c r="K5" s="1395"/>
      <c r="L5" s="1396"/>
    </row>
    <row r="6" spans="1:12" ht="16.5" customHeight="1" thickBot="1" x14ac:dyDescent="0.35">
      <c r="A6" s="1397" t="s">
        <v>1</v>
      </c>
      <c r="B6" s="1398"/>
      <c r="C6" s="1398"/>
      <c r="D6" s="1398"/>
      <c r="E6" s="1398"/>
      <c r="F6" s="1398"/>
      <c r="G6" s="1398"/>
      <c r="H6" s="1398"/>
      <c r="I6" s="1398"/>
      <c r="J6" s="1398"/>
      <c r="K6" s="1398"/>
      <c r="L6" s="1399"/>
    </row>
    <row r="7" spans="1:12" ht="25.35" customHeight="1" thickBot="1" x14ac:dyDescent="0.25">
      <c r="A7" s="1411" t="s">
        <v>2</v>
      </c>
      <c r="B7" s="1421" t="s">
        <v>3</v>
      </c>
      <c r="C7" s="1417" t="s">
        <v>4</v>
      </c>
      <c r="D7" s="1418"/>
      <c r="E7" s="1418"/>
      <c r="F7" s="1419"/>
      <c r="G7" s="1408" t="s">
        <v>9</v>
      </c>
      <c r="H7" s="1414" t="s">
        <v>5</v>
      </c>
      <c r="I7" s="1414" t="s">
        <v>849</v>
      </c>
      <c r="J7" s="1414" t="s">
        <v>6</v>
      </c>
      <c r="K7" s="1426" t="s">
        <v>836</v>
      </c>
      <c r="L7" s="1400" t="s">
        <v>7</v>
      </c>
    </row>
    <row r="8" spans="1:12" ht="33" customHeight="1" thickBot="1" x14ac:dyDescent="0.25">
      <c r="A8" s="1412"/>
      <c r="B8" s="1422"/>
      <c r="C8" s="514" t="s">
        <v>8</v>
      </c>
      <c r="D8" s="522"/>
      <c r="E8" s="514" t="s">
        <v>394</v>
      </c>
      <c r="F8" s="514"/>
      <c r="G8" s="1409"/>
      <c r="H8" s="1415"/>
      <c r="I8" s="1415"/>
      <c r="J8" s="1415"/>
      <c r="K8" s="1427"/>
      <c r="L8" s="1401"/>
    </row>
    <row r="9" spans="1:12" ht="63" customHeight="1" thickBot="1" x14ac:dyDescent="0.3">
      <c r="A9" s="1413"/>
      <c r="B9" s="1423"/>
      <c r="C9" s="516" t="s">
        <v>511</v>
      </c>
      <c r="D9" s="516" t="s">
        <v>841</v>
      </c>
      <c r="E9" s="516" t="s">
        <v>378</v>
      </c>
      <c r="F9" s="547" t="s">
        <v>887</v>
      </c>
      <c r="G9" s="1410"/>
      <c r="H9" s="1416"/>
      <c r="I9" s="1416"/>
      <c r="J9" s="1416"/>
      <c r="K9" s="1428"/>
      <c r="L9" s="1402"/>
    </row>
    <row r="10" spans="1:12" ht="45" customHeight="1" x14ac:dyDescent="0.25">
      <c r="A10" s="993" t="s">
        <v>10</v>
      </c>
      <c r="B10" s="518" t="s">
        <v>11</v>
      </c>
      <c r="C10" s="515">
        <v>0</v>
      </c>
      <c r="D10" s="515">
        <v>0</v>
      </c>
      <c r="E10" s="515">
        <v>0</v>
      </c>
      <c r="F10" s="515"/>
      <c r="G10" s="519">
        <f>+C10+D10+E10+F10</f>
        <v>0</v>
      </c>
      <c r="H10" s="517">
        <f>'DETALLE DE INGRESOS 9'!C7</f>
        <v>506582.65349999996</v>
      </c>
      <c r="I10" s="517">
        <v>0</v>
      </c>
      <c r="J10" s="517">
        <v>0</v>
      </c>
      <c r="K10" s="517">
        <v>0</v>
      </c>
      <c r="L10" s="994">
        <f t="shared" ref="L10:L15" si="0">+(G10+H10+I10+J10+K1)</f>
        <v>506582.65349999996</v>
      </c>
    </row>
    <row r="11" spans="1:12" ht="45" customHeight="1" x14ac:dyDescent="0.25">
      <c r="A11" s="995" t="s">
        <v>12</v>
      </c>
      <c r="B11" s="6" t="s">
        <v>13</v>
      </c>
      <c r="C11" s="128">
        <v>0</v>
      </c>
      <c r="D11" s="128">
        <v>0</v>
      </c>
      <c r="E11" s="128">
        <v>0</v>
      </c>
      <c r="F11" s="128"/>
      <c r="G11" s="519">
        <f t="shared" ref="G11:G24" si="1">+C11+D11+E11+F11</f>
        <v>0</v>
      </c>
      <c r="H11" s="7">
        <f>'DETALLE DE INGRESOS 9'!C8</f>
        <v>613454.93299999996</v>
      </c>
      <c r="I11" s="7">
        <v>0</v>
      </c>
      <c r="J11" s="7">
        <v>0</v>
      </c>
      <c r="K11" s="7">
        <v>0</v>
      </c>
      <c r="L11" s="994">
        <f t="shared" si="0"/>
        <v>613454.93299999996</v>
      </c>
    </row>
    <row r="12" spans="1:12" ht="45" customHeight="1" x14ac:dyDescent="0.25">
      <c r="A12" s="995" t="s">
        <v>831</v>
      </c>
      <c r="B12" s="6" t="s">
        <v>793</v>
      </c>
      <c r="C12" s="128"/>
      <c r="D12" s="128"/>
      <c r="E12" s="128"/>
      <c r="F12" s="128"/>
      <c r="G12" s="519">
        <f t="shared" si="1"/>
        <v>0</v>
      </c>
      <c r="H12" s="7">
        <f>'DETALLE DE INGRESOS 9'!C9</f>
        <v>67621.98</v>
      </c>
      <c r="I12" s="7"/>
      <c r="J12" s="7"/>
      <c r="K12" s="7"/>
      <c r="L12" s="994">
        <f t="shared" si="0"/>
        <v>67621.98</v>
      </c>
    </row>
    <row r="13" spans="1:12" ht="45" customHeight="1" x14ac:dyDescent="0.25">
      <c r="A13" s="995" t="s">
        <v>14</v>
      </c>
      <c r="B13" s="6" t="s">
        <v>15</v>
      </c>
      <c r="C13" s="128">
        <v>0</v>
      </c>
      <c r="D13" s="128">
        <v>0</v>
      </c>
      <c r="E13" s="128">
        <v>0</v>
      </c>
      <c r="F13" s="128"/>
      <c r="G13" s="519">
        <f t="shared" si="1"/>
        <v>0</v>
      </c>
      <c r="H13" s="7">
        <f>'DETALLE DE INGRESOS 9'!C10</f>
        <v>536493.34499999997</v>
      </c>
      <c r="I13" s="7">
        <v>0</v>
      </c>
      <c r="J13" s="7">
        <v>0</v>
      </c>
      <c r="K13" s="7">
        <v>0</v>
      </c>
      <c r="L13" s="994">
        <f t="shared" si="0"/>
        <v>536493.34499999997</v>
      </c>
    </row>
    <row r="14" spans="1:12" ht="45" customHeight="1" x14ac:dyDescent="0.25">
      <c r="A14" s="995" t="s">
        <v>794</v>
      </c>
      <c r="B14" s="6" t="s">
        <v>795</v>
      </c>
      <c r="C14" s="128"/>
      <c r="D14" s="128"/>
      <c r="E14" s="128"/>
      <c r="F14" s="128"/>
      <c r="G14" s="519">
        <f t="shared" si="1"/>
        <v>0</v>
      </c>
      <c r="H14" s="7">
        <f>'DETALLE DE INGRESOS 9'!C11</f>
        <v>50.74</v>
      </c>
      <c r="I14" s="7"/>
      <c r="J14" s="7"/>
      <c r="K14" s="7"/>
      <c r="L14" s="994">
        <f t="shared" si="0"/>
        <v>50.74</v>
      </c>
    </row>
    <row r="15" spans="1:12" ht="45" customHeight="1" x14ac:dyDescent="0.25">
      <c r="A15" s="995" t="s">
        <v>796</v>
      </c>
      <c r="B15" s="6" t="s">
        <v>797</v>
      </c>
      <c r="C15" s="128"/>
      <c r="D15" s="128"/>
      <c r="E15" s="128"/>
      <c r="F15" s="128"/>
      <c r="G15" s="519">
        <f t="shared" si="1"/>
        <v>0</v>
      </c>
      <c r="H15" s="7">
        <f>'DETALLE DE INGRESOS 9'!C12</f>
        <v>492.25</v>
      </c>
      <c r="I15" s="7"/>
      <c r="J15" s="7"/>
      <c r="K15" s="7"/>
      <c r="L15" s="994">
        <f t="shared" si="0"/>
        <v>492.25</v>
      </c>
    </row>
    <row r="16" spans="1:12" ht="45" customHeight="1" x14ac:dyDescent="0.25">
      <c r="A16" s="995" t="s">
        <v>798</v>
      </c>
      <c r="B16" s="6" t="s">
        <v>799</v>
      </c>
      <c r="C16" s="128"/>
      <c r="D16" s="128"/>
      <c r="E16" s="128"/>
      <c r="F16" s="128"/>
      <c r="G16" s="519">
        <f t="shared" si="1"/>
        <v>0</v>
      </c>
      <c r="H16" s="7">
        <f>'DETALLE DE INGRESOS 9'!C13</f>
        <v>0</v>
      </c>
      <c r="I16" s="7"/>
      <c r="J16" s="7"/>
      <c r="K16" s="7"/>
      <c r="L16" s="994">
        <f>+G16+H16</f>
        <v>0</v>
      </c>
    </row>
    <row r="17" spans="1:12" ht="45" customHeight="1" x14ac:dyDescent="0.25">
      <c r="A17" s="995" t="s">
        <v>800</v>
      </c>
      <c r="B17" s="6" t="s">
        <v>832</v>
      </c>
      <c r="C17" s="128"/>
      <c r="D17" s="128"/>
      <c r="E17" s="128"/>
      <c r="F17" s="128"/>
      <c r="G17" s="519">
        <f t="shared" si="1"/>
        <v>0</v>
      </c>
      <c r="H17" s="7">
        <f>'DETALLE DE INGRESOS 9'!C14</f>
        <v>1258.77</v>
      </c>
      <c r="I17" s="7"/>
      <c r="J17" s="7"/>
      <c r="K17" s="7"/>
      <c r="L17" s="994">
        <f t="shared" ref="L17:L24" si="2">+(G17+H17+I17+J17+K8)</f>
        <v>1258.77</v>
      </c>
    </row>
    <row r="18" spans="1:12" ht="45" customHeight="1" x14ac:dyDescent="0.25">
      <c r="A18" s="995" t="s">
        <v>802</v>
      </c>
      <c r="B18" s="6" t="s">
        <v>833</v>
      </c>
      <c r="C18" s="128"/>
      <c r="D18" s="128"/>
      <c r="E18" s="128"/>
      <c r="F18" s="128"/>
      <c r="G18" s="519">
        <f t="shared" si="1"/>
        <v>0</v>
      </c>
      <c r="H18" s="7">
        <f>'DETALLE DE INGRESOS 9'!C15</f>
        <v>1106.3</v>
      </c>
      <c r="I18" s="7"/>
      <c r="J18" s="7"/>
      <c r="K18" s="7"/>
      <c r="L18" s="994">
        <f t="shared" si="2"/>
        <v>1106.3</v>
      </c>
    </row>
    <row r="19" spans="1:12" ht="45" customHeight="1" x14ac:dyDescent="0.25">
      <c r="A19" s="995" t="s">
        <v>804</v>
      </c>
      <c r="B19" s="6" t="s">
        <v>805</v>
      </c>
      <c r="C19" s="128"/>
      <c r="D19" s="128"/>
      <c r="E19" s="128"/>
      <c r="F19" s="128"/>
      <c r="G19" s="519">
        <f t="shared" si="1"/>
        <v>0</v>
      </c>
      <c r="H19" s="7">
        <f>'DETALLE DE INGRESOS 9'!C16</f>
        <v>314.17</v>
      </c>
      <c r="I19" s="7"/>
      <c r="J19" s="7"/>
      <c r="K19" s="7"/>
      <c r="L19" s="994">
        <f t="shared" si="2"/>
        <v>314.17</v>
      </c>
    </row>
    <row r="20" spans="1:12" ht="45" customHeight="1" x14ac:dyDescent="0.25">
      <c r="A20" s="995" t="s">
        <v>806</v>
      </c>
      <c r="B20" s="6" t="s">
        <v>834</v>
      </c>
      <c r="C20" s="128"/>
      <c r="D20" s="128"/>
      <c r="E20" s="128"/>
      <c r="F20" s="128"/>
      <c r="G20" s="519">
        <f t="shared" si="1"/>
        <v>0</v>
      </c>
      <c r="H20" s="7">
        <f>'DETALLE DE INGRESOS 9'!C17</f>
        <v>422.6</v>
      </c>
      <c r="I20" s="7"/>
      <c r="J20" s="7"/>
      <c r="K20" s="7"/>
      <c r="L20" s="994">
        <f t="shared" si="2"/>
        <v>422.6</v>
      </c>
    </row>
    <row r="21" spans="1:12" ht="45" customHeight="1" x14ac:dyDescent="0.25">
      <c r="A21" s="995" t="s">
        <v>807</v>
      </c>
      <c r="B21" s="6" t="s">
        <v>808</v>
      </c>
      <c r="C21" s="128"/>
      <c r="D21" s="128"/>
      <c r="E21" s="128"/>
      <c r="F21" s="128"/>
      <c r="G21" s="519">
        <f t="shared" si="1"/>
        <v>0</v>
      </c>
      <c r="H21" s="7">
        <f>'DETALLE DE INGRESOS 9'!C18</f>
        <v>4370.8999999999996</v>
      </c>
      <c r="I21" s="7"/>
      <c r="J21" s="7"/>
      <c r="K21" s="7"/>
      <c r="L21" s="994">
        <f t="shared" si="2"/>
        <v>4370.8999999999996</v>
      </c>
    </row>
    <row r="22" spans="1:12" ht="45" customHeight="1" x14ac:dyDescent="0.25">
      <c r="A22" s="995" t="s">
        <v>809</v>
      </c>
      <c r="B22" s="6" t="s">
        <v>810</v>
      </c>
      <c r="C22" s="128"/>
      <c r="D22" s="128"/>
      <c r="E22" s="128"/>
      <c r="F22" s="128"/>
      <c r="G22" s="519">
        <f t="shared" si="1"/>
        <v>0</v>
      </c>
      <c r="H22" s="7">
        <f>'DETALLE DE INGRESOS 9'!C19</f>
        <v>11355.928</v>
      </c>
      <c r="I22" s="7"/>
      <c r="J22" s="7"/>
      <c r="K22" s="7"/>
      <c r="L22" s="994">
        <f t="shared" si="2"/>
        <v>11355.928</v>
      </c>
    </row>
    <row r="23" spans="1:12" ht="45" customHeight="1" x14ac:dyDescent="0.25">
      <c r="A23" s="995" t="s">
        <v>66</v>
      </c>
      <c r="B23" s="6" t="s">
        <v>835</v>
      </c>
      <c r="C23" s="128"/>
      <c r="D23" s="128"/>
      <c r="E23" s="128"/>
      <c r="F23" s="128"/>
      <c r="G23" s="519">
        <f t="shared" si="1"/>
        <v>0</v>
      </c>
      <c r="H23" s="7">
        <f>'DETALLE DE INGRESOS 9'!C20</f>
        <v>12948.25</v>
      </c>
      <c r="I23" s="7"/>
      <c r="J23" s="7"/>
      <c r="K23" s="7"/>
      <c r="L23" s="994">
        <f t="shared" si="2"/>
        <v>12948.25</v>
      </c>
    </row>
    <row r="24" spans="1:12" ht="45" customHeight="1" x14ac:dyDescent="0.25">
      <c r="A24" s="998">
        <v>11899</v>
      </c>
      <c r="B24" s="6" t="s">
        <v>812</v>
      </c>
      <c r="C24" s="128">
        <v>0</v>
      </c>
      <c r="D24" s="128">
        <v>0</v>
      </c>
      <c r="E24" s="128">
        <v>0</v>
      </c>
      <c r="F24" s="128"/>
      <c r="G24" s="519">
        <f t="shared" si="1"/>
        <v>0</v>
      </c>
      <c r="H24" s="7">
        <f>'DETALLE DE INGRESOS 9'!C21</f>
        <v>44693.7624</v>
      </c>
      <c r="I24" s="7">
        <v>0</v>
      </c>
      <c r="J24" s="7">
        <v>0</v>
      </c>
      <c r="K24" s="7">
        <v>0</v>
      </c>
      <c r="L24" s="994">
        <f t="shared" si="2"/>
        <v>44693.7624</v>
      </c>
    </row>
    <row r="25" spans="1:12" ht="45" customHeight="1" thickBot="1" x14ac:dyDescent="0.3">
      <c r="A25" s="996"/>
      <c r="B25" s="1403" t="s">
        <v>16</v>
      </c>
      <c r="C25" s="1404"/>
      <c r="D25" s="1404"/>
      <c r="E25" s="1404"/>
      <c r="F25" s="1404"/>
      <c r="G25" s="1404"/>
      <c r="H25" s="1404"/>
      <c r="I25" s="1404"/>
      <c r="J25" s="1404"/>
      <c r="K25" s="1405"/>
      <c r="L25" s="999">
        <f>+L10+L11+L12+L13+L14+L15+L16+L17+L18+L19+L20+L21+L22+L23+L24</f>
        <v>1801166.5818999999</v>
      </c>
    </row>
    <row r="26" spans="1:12" ht="45" customHeight="1" x14ac:dyDescent="0.25">
      <c r="A26" s="992">
        <v>12105</v>
      </c>
      <c r="B26" s="518" t="s">
        <v>17</v>
      </c>
      <c r="C26" s="515">
        <v>0</v>
      </c>
      <c r="D26" s="515">
        <v>0</v>
      </c>
      <c r="E26" s="515">
        <v>0</v>
      </c>
      <c r="F26" s="515"/>
      <c r="G26" s="519">
        <f>+C26+D26+E26+F26</f>
        <v>0</v>
      </c>
      <c r="H26" s="517">
        <f>'DETALLE DE INGRESOS 9'!C24</f>
        <v>88235.32</v>
      </c>
      <c r="I26" s="517">
        <v>0</v>
      </c>
      <c r="J26" s="517">
        <v>0</v>
      </c>
      <c r="K26" s="517">
        <v>0</v>
      </c>
      <c r="L26" s="997">
        <f t="shared" ref="L26:L39" si="3">+G26+H26+I26+J26+K26</f>
        <v>88235.32</v>
      </c>
    </row>
    <row r="27" spans="1:12" ht="45" customHeight="1" x14ac:dyDescent="0.25">
      <c r="A27" s="9">
        <v>12106</v>
      </c>
      <c r="B27" s="6" t="s">
        <v>18</v>
      </c>
      <c r="C27" s="128">
        <v>0</v>
      </c>
      <c r="D27" s="128">
        <v>0</v>
      </c>
      <c r="E27" s="128">
        <v>0</v>
      </c>
      <c r="F27" s="128"/>
      <c r="G27" s="520">
        <f t="shared" ref="G27:G39" si="4">+C27+D27+E27+F27</f>
        <v>0</v>
      </c>
      <c r="H27" s="224">
        <f>'DETALLE DE INGRESOS 9'!C25</f>
        <v>1032</v>
      </c>
      <c r="I27" s="7">
        <v>0</v>
      </c>
      <c r="J27" s="7">
        <v>0</v>
      </c>
      <c r="K27" s="7">
        <v>0</v>
      </c>
      <c r="L27" s="8">
        <f t="shared" si="3"/>
        <v>1032</v>
      </c>
    </row>
    <row r="28" spans="1:12" ht="45" customHeight="1" x14ac:dyDescent="0.25">
      <c r="A28" s="9">
        <v>12108</v>
      </c>
      <c r="B28" s="6" t="s">
        <v>19</v>
      </c>
      <c r="C28" s="128">
        <v>0</v>
      </c>
      <c r="D28" s="128">
        <v>0</v>
      </c>
      <c r="E28" s="128">
        <v>0</v>
      </c>
      <c r="F28" s="128"/>
      <c r="G28" s="520">
        <f t="shared" si="4"/>
        <v>0</v>
      </c>
      <c r="H28" s="7">
        <f>'DETALLE DE INGRESOS 9'!C26</f>
        <v>113914.61200000001</v>
      </c>
      <c r="I28" s="7">
        <v>0</v>
      </c>
      <c r="J28" s="7">
        <v>0</v>
      </c>
      <c r="K28" s="7">
        <v>0</v>
      </c>
      <c r="L28" s="8">
        <f t="shared" si="3"/>
        <v>113914.61200000001</v>
      </c>
    </row>
    <row r="29" spans="1:12" ht="45" customHeight="1" x14ac:dyDescent="0.25">
      <c r="A29" s="5" t="s">
        <v>20</v>
      </c>
      <c r="B29" s="6" t="s">
        <v>360</v>
      </c>
      <c r="C29" s="128">
        <v>0</v>
      </c>
      <c r="D29" s="128">
        <v>0</v>
      </c>
      <c r="E29" s="128">
        <v>0</v>
      </c>
      <c r="F29" s="128"/>
      <c r="G29" s="520">
        <f t="shared" si="4"/>
        <v>0</v>
      </c>
      <c r="H29" s="7">
        <f>'DETALLE DE INGRESOS 9'!C27</f>
        <v>230400</v>
      </c>
      <c r="I29" s="7">
        <v>0</v>
      </c>
      <c r="J29" s="7">
        <v>0</v>
      </c>
      <c r="K29" s="7">
        <v>0</v>
      </c>
      <c r="L29" s="8">
        <f t="shared" si="3"/>
        <v>230400</v>
      </c>
    </row>
    <row r="30" spans="1:12" ht="45" customHeight="1" x14ac:dyDescent="0.25">
      <c r="A30" s="5" t="s">
        <v>837</v>
      </c>
      <c r="B30" s="6" t="s">
        <v>813</v>
      </c>
      <c r="C30" s="128"/>
      <c r="D30" s="128"/>
      <c r="E30" s="128"/>
      <c r="F30" s="128"/>
      <c r="G30" s="520">
        <f t="shared" si="4"/>
        <v>0</v>
      </c>
      <c r="H30" s="7">
        <f>'DETALLE DE INGRESOS 9'!C28</f>
        <v>617.76</v>
      </c>
      <c r="I30" s="7"/>
      <c r="J30" s="7"/>
      <c r="K30" s="7"/>
      <c r="L30" s="8">
        <f t="shared" si="3"/>
        <v>617.76</v>
      </c>
    </row>
    <row r="31" spans="1:12" ht="45" customHeight="1" x14ac:dyDescent="0.25">
      <c r="A31" s="5" t="s">
        <v>21</v>
      </c>
      <c r="B31" s="6" t="s">
        <v>22</v>
      </c>
      <c r="C31" s="128">
        <v>0</v>
      </c>
      <c r="D31" s="128">
        <v>0</v>
      </c>
      <c r="E31" s="128">
        <v>0</v>
      </c>
      <c r="F31" s="128"/>
      <c r="G31" s="520">
        <f t="shared" si="4"/>
        <v>0</v>
      </c>
      <c r="H31" s="7">
        <f>'DETALLE DE INGRESOS 9'!C29</f>
        <v>31467.55</v>
      </c>
      <c r="I31" s="7">
        <v>0</v>
      </c>
      <c r="J31" s="7">
        <v>0</v>
      </c>
      <c r="K31" s="7">
        <v>0</v>
      </c>
      <c r="L31" s="8">
        <f t="shared" si="3"/>
        <v>31467.55</v>
      </c>
    </row>
    <row r="32" spans="1:12" ht="45" customHeight="1" x14ac:dyDescent="0.25">
      <c r="A32" s="5" t="s">
        <v>838</v>
      </c>
      <c r="B32" s="6" t="s">
        <v>814</v>
      </c>
      <c r="C32" s="128"/>
      <c r="D32" s="128"/>
      <c r="E32" s="128"/>
      <c r="F32" s="128"/>
      <c r="G32" s="520">
        <f t="shared" si="4"/>
        <v>0</v>
      </c>
      <c r="H32" s="7">
        <f>'DETALLE DE INGRESOS 9'!C30</f>
        <v>19798.8</v>
      </c>
      <c r="I32" s="7"/>
      <c r="J32" s="7"/>
      <c r="K32" s="7"/>
      <c r="L32" s="8">
        <f t="shared" si="3"/>
        <v>19798.8</v>
      </c>
    </row>
    <row r="33" spans="1:12" ht="45" customHeight="1" x14ac:dyDescent="0.25">
      <c r="A33" s="5" t="s">
        <v>23</v>
      </c>
      <c r="B33" s="6" t="s">
        <v>24</v>
      </c>
      <c r="C33" s="128">
        <v>0</v>
      </c>
      <c r="D33" s="128">
        <v>0</v>
      </c>
      <c r="E33" s="128">
        <v>0</v>
      </c>
      <c r="F33" s="128"/>
      <c r="G33" s="520">
        <f t="shared" si="4"/>
        <v>0</v>
      </c>
      <c r="H33" s="7">
        <f>'DETALLE DE INGRESOS 9'!C31</f>
        <v>134657.47399999999</v>
      </c>
      <c r="I33" s="7">
        <v>0</v>
      </c>
      <c r="J33" s="7">
        <v>0</v>
      </c>
      <c r="K33" s="7">
        <v>0</v>
      </c>
      <c r="L33" s="8">
        <f t="shared" si="3"/>
        <v>134657.47399999999</v>
      </c>
    </row>
    <row r="34" spans="1:12" ht="45" customHeight="1" x14ac:dyDescent="0.25">
      <c r="A34" s="5" t="s">
        <v>25</v>
      </c>
      <c r="B34" s="6" t="s">
        <v>26</v>
      </c>
      <c r="C34" s="128">
        <v>0</v>
      </c>
      <c r="D34" s="128">
        <v>0</v>
      </c>
      <c r="E34" s="128">
        <v>0</v>
      </c>
      <c r="F34" s="128"/>
      <c r="G34" s="520">
        <f t="shared" si="4"/>
        <v>0</v>
      </c>
      <c r="H34" s="7">
        <f>'DETALLE DE INGRESOS 9'!C32</f>
        <v>179502.91700000002</v>
      </c>
      <c r="I34" s="7">
        <v>0</v>
      </c>
      <c r="J34" s="7">
        <v>0</v>
      </c>
      <c r="K34" s="7">
        <v>0</v>
      </c>
      <c r="L34" s="8">
        <f t="shared" si="3"/>
        <v>179502.91700000002</v>
      </c>
    </row>
    <row r="35" spans="1:12" ht="45" customHeight="1" x14ac:dyDescent="0.25">
      <c r="A35" s="5" t="s">
        <v>27</v>
      </c>
      <c r="B35" s="6" t="s">
        <v>28</v>
      </c>
      <c r="C35" s="128">
        <v>0</v>
      </c>
      <c r="D35" s="128">
        <v>0</v>
      </c>
      <c r="E35" s="128">
        <v>0</v>
      </c>
      <c r="F35" s="128"/>
      <c r="G35" s="520">
        <f t="shared" si="4"/>
        <v>0</v>
      </c>
      <c r="H35" s="7">
        <f>'DETALLE DE INGRESOS 9'!C33</f>
        <v>46383.861499999999</v>
      </c>
      <c r="I35" s="7">
        <v>0</v>
      </c>
      <c r="J35" s="7">
        <v>0</v>
      </c>
      <c r="K35" s="7">
        <v>0</v>
      </c>
      <c r="L35" s="8">
        <f t="shared" si="3"/>
        <v>46383.861499999999</v>
      </c>
    </row>
    <row r="36" spans="1:12" ht="45" customHeight="1" x14ac:dyDescent="0.25">
      <c r="A36" s="5" t="s">
        <v>282</v>
      </c>
      <c r="B36" s="95" t="s">
        <v>280</v>
      </c>
      <c r="C36" s="128">
        <v>0</v>
      </c>
      <c r="D36" s="128">
        <v>0</v>
      </c>
      <c r="E36" s="128">
        <v>0</v>
      </c>
      <c r="F36" s="128"/>
      <c r="G36" s="520">
        <f t="shared" si="4"/>
        <v>0</v>
      </c>
      <c r="H36" s="7">
        <f>'DETALLE DE INGRESOS 9'!C34</f>
        <v>433244.51300000004</v>
      </c>
      <c r="I36" s="7">
        <v>0</v>
      </c>
      <c r="J36" s="7">
        <v>0</v>
      </c>
      <c r="K36" s="7">
        <v>0</v>
      </c>
      <c r="L36" s="8">
        <f t="shared" si="3"/>
        <v>433244.51300000004</v>
      </c>
    </row>
    <row r="37" spans="1:12" ht="45" customHeight="1" x14ac:dyDescent="0.25">
      <c r="A37" s="5" t="s">
        <v>29</v>
      </c>
      <c r="B37" s="6" t="s">
        <v>30</v>
      </c>
      <c r="C37" s="128">
        <v>0</v>
      </c>
      <c r="D37" s="128">
        <v>0</v>
      </c>
      <c r="E37" s="128">
        <v>0</v>
      </c>
      <c r="F37" s="128"/>
      <c r="G37" s="520">
        <f t="shared" si="4"/>
        <v>0</v>
      </c>
      <c r="H37" s="224">
        <f>'DETALLE DE INGRESOS 9'!C35</f>
        <v>275</v>
      </c>
      <c r="I37" s="7">
        <v>0</v>
      </c>
      <c r="J37" s="7">
        <v>0</v>
      </c>
      <c r="K37" s="7">
        <v>0</v>
      </c>
      <c r="L37" s="8">
        <f t="shared" si="3"/>
        <v>275</v>
      </c>
    </row>
    <row r="38" spans="1:12" ht="45" customHeight="1" x14ac:dyDescent="0.25">
      <c r="A38" s="5" t="s">
        <v>32</v>
      </c>
      <c r="B38" s="6" t="s">
        <v>33</v>
      </c>
      <c r="C38" s="128">
        <v>0</v>
      </c>
      <c r="D38" s="128">
        <v>0</v>
      </c>
      <c r="E38" s="128">
        <v>0</v>
      </c>
      <c r="F38" s="128"/>
      <c r="G38" s="520">
        <f t="shared" si="4"/>
        <v>0</v>
      </c>
      <c r="H38" s="7">
        <f>'DETALLE DE INGRESOS 9'!C37</f>
        <v>5662.42</v>
      </c>
      <c r="I38" s="7">
        <v>0</v>
      </c>
      <c r="J38" s="7">
        <v>0</v>
      </c>
      <c r="K38" s="7">
        <v>0</v>
      </c>
      <c r="L38" s="8">
        <f t="shared" si="3"/>
        <v>5662.42</v>
      </c>
    </row>
    <row r="39" spans="1:12" ht="45" customHeight="1" x14ac:dyDescent="0.25">
      <c r="A39" s="5" t="s">
        <v>34</v>
      </c>
      <c r="B39" s="6" t="s">
        <v>35</v>
      </c>
      <c r="C39" s="128">
        <v>0</v>
      </c>
      <c r="D39" s="128">
        <v>0</v>
      </c>
      <c r="E39" s="128">
        <v>0</v>
      </c>
      <c r="F39" s="128"/>
      <c r="G39" s="520">
        <f t="shared" si="4"/>
        <v>0</v>
      </c>
      <c r="H39" s="7">
        <f>'DETALLE DE INGRESOS 9'!C39</f>
        <v>142308.13299999997</v>
      </c>
      <c r="I39" s="7">
        <v>0</v>
      </c>
      <c r="J39" s="7">
        <v>0</v>
      </c>
      <c r="K39" s="7">
        <v>0</v>
      </c>
      <c r="L39" s="8">
        <f t="shared" si="3"/>
        <v>142308.13299999997</v>
      </c>
    </row>
    <row r="40" spans="1:12" ht="45" customHeight="1" x14ac:dyDescent="0.25">
      <c r="A40" s="5"/>
      <c r="B40" s="1432" t="s">
        <v>16</v>
      </c>
      <c r="C40" s="1433"/>
      <c r="D40" s="1433"/>
      <c r="E40" s="1433"/>
      <c r="F40" s="1433"/>
      <c r="G40" s="1433"/>
      <c r="H40" s="1433"/>
      <c r="I40" s="1433"/>
      <c r="J40" s="1433"/>
      <c r="K40" s="1434"/>
      <c r="L40" s="12">
        <f>+L26+L27+L28+L29+L30+L31+L32+L33+L34+L35+L36+L37+L38+L39</f>
        <v>1427500.3605</v>
      </c>
    </row>
    <row r="41" spans="1:12" ht="45" customHeight="1" x14ac:dyDescent="0.25">
      <c r="A41" s="5" t="s">
        <v>38</v>
      </c>
      <c r="B41" s="6" t="s">
        <v>39</v>
      </c>
      <c r="C41" s="128">
        <v>0</v>
      </c>
      <c r="D41" s="128">
        <v>0</v>
      </c>
      <c r="E41" s="128">
        <v>0</v>
      </c>
      <c r="F41" s="128"/>
      <c r="G41" s="520">
        <f>+C41+D41+E41+F41</f>
        <v>0</v>
      </c>
      <c r="H41" s="7">
        <f>'DETALLE DE INGRESOS 9'!C43</f>
        <v>0</v>
      </c>
      <c r="I41" s="7">
        <v>0</v>
      </c>
      <c r="J41" s="7">
        <v>0</v>
      </c>
      <c r="K41" s="7">
        <v>0</v>
      </c>
      <c r="L41" s="8">
        <f>+G41+H41+I41+J41+K41</f>
        <v>0</v>
      </c>
    </row>
    <row r="42" spans="1:12" ht="45" customHeight="1" x14ac:dyDescent="0.25">
      <c r="A42" s="5" t="s">
        <v>815</v>
      </c>
      <c r="B42" s="6" t="s">
        <v>816</v>
      </c>
      <c r="C42" s="128"/>
      <c r="D42" s="128"/>
      <c r="E42" s="128"/>
      <c r="F42" s="128"/>
      <c r="G42" s="520">
        <f>+C42+D42+E42+F42</f>
        <v>0</v>
      </c>
      <c r="H42" s="7">
        <f>+'DETALLE DE INGRESOS 9'!C45</f>
        <v>4947</v>
      </c>
      <c r="I42" s="7"/>
      <c r="J42" s="7"/>
      <c r="K42" s="7"/>
      <c r="L42" s="8">
        <f>+G42+H42+I42+J42+K42</f>
        <v>4947</v>
      </c>
    </row>
    <row r="43" spans="1:12" ht="45" customHeight="1" x14ac:dyDescent="0.25">
      <c r="A43" s="5" t="s">
        <v>819</v>
      </c>
      <c r="B43" s="6" t="s">
        <v>820</v>
      </c>
      <c r="C43" s="128">
        <v>0</v>
      </c>
      <c r="D43" s="128">
        <v>0</v>
      </c>
      <c r="E43" s="128">
        <v>0</v>
      </c>
      <c r="F43" s="128"/>
      <c r="G43" s="520">
        <f>+C43+D43+E43+F43</f>
        <v>0</v>
      </c>
      <c r="H43" s="224">
        <f>'DETALLE DE INGRESOS 9'!C46</f>
        <v>91.36</v>
      </c>
      <c r="I43" s="7">
        <v>0</v>
      </c>
      <c r="J43" s="7">
        <v>0</v>
      </c>
      <c r="K43" s="7">
        <v>0</v>
      </c>
      <c r="L43" s="8">
        <f>+G43+H43+I43+J43+K43</f>
        <v>91.36</v>
      </c>
    </row>
    <row r="44" spans="1:12" ht="45" customHeight="1" x14ac:dyDescent="0.25">
      <c r="A44" s="5"/>
      <c r="B44" s="1432" t="s">
        <v>16</v>
      </c>
      <c r="C44" s="1433"/>
      <c r="D44" s="1433"/>
      <c r="E44" s="1433"/>
      <c r="F44" s="1433"/>
      <c r="G44" s="1433"/>
      <c r="H44" s="1433"/>
      <c r="I44" s="1433"/>
      <c r="J44" s="1433"/>
      <c r="K44" s="1434"/>
      <c r="L44" s="12">
        <f>+L41+L43+L42</f>
        <v>5038.3599999999997</v>
      </c>
    </row>
    <row r="45" spans="1:12" ht="45" customHeight="1" x14ac:dyDescent="0.25">
      <c r="A45" s="5" t="s">
        <v>40</v>
      </c>
      <c r="B45" s="6" t="str">
        <f>+'DETALLE DE INGRESOS 9'!B50</f>
        <v>Multas Impuestos y Tasas</v>
      </c>
      <c r="C45" s="128">
        <v>0</v>
      </c>
      <c r="D45" s="128">
        <v>0</v>
      </c>
      <c r="E45" s="128">
        <v>0</v>
      </c>
      <c r="F45" s="128"/>
      <c r="G45" s="520">
        <f>+C45+D45+E45+F45</f>
        <v>0</v>
      </c>
      <c r="H45" s="7">
        <f>'DETALLE DE INGRESOS 9'!C50</f>
        <v>1104.5999999999999</v>
      </c>
      <c r="I45" s="7">
        <v>0</v>
      </c>
      <c r="J45" s="7">
        <v>0</v>
      </c>
      <c r="K45" s="7">
        <v>0</v>
      </c>
      <c r="L45" s="8">
        <f t="shared" ref="L45:L53" si="5">+G45+H45+I45+J45+K45</f>
        <v>1104.5999999999999</v>
      </c>
    </row>
    <row r="46" spans="1:12" ht="45" customHeight="1" x14ac:dyDescent="0.25">
      <c r="A46" s="5" t="s">
        <v>41</v>
      </c>
      <c r="B46" s="6" t="s">
        <v>42</v>
      </c>
      <c r="C46" s="128">
        <v>0</v>
      </c>
      <c r="D46" s="128">
        <v>0</v>
      </c>
      <c r="E46" s="128">
        <v>0</v>
      </c>
      <c r="F46" s="128"/>
      <c r="G46" s="520">
        <f t="shared" ref="G46:G53" si="6">+C46+D46+E46+F46</f>
        <v>0</v>
      </c>
      <c r="H46" s="7">
        <f>'DETALLE DE INGRESOS 9'!C51</f>
        <v>1235.26</v>
      </c>
      <c r="I46" s="7">
        <v>0</v>
      </c>
      <c r="J46" s="7">
        <v>0</v>
      </c>
      <c r="K46" s="7">
        <v>0</v>
      </c>
      <c r="L46" s="8">
        <f t="shared" si="5"/>
        <v>1235.26</v>
      </c>
    </row>
    <row r="47" spans="1:12" ht="45" customHeight="1" x14ac:dyDescent="0.25">
      <c r="A47" s="5" t="s">
        <v>839</v>
      </c>
      <c r="B47" s="6" t="s">
        <v>826</v>
      </c>
      <c r="C47" s="128"/>
      <c r="D47" s="128"/>
      <c r="E47" s="128"/>
      <c r="F47" s="128"/>
      <c r="G47" s="520">
        <f t="shared" si="6"/>
        <v>0</v>
      </c>
      <c r="H47" s="7">
        <f>'DETALLE DE INGRESOS 9'!C52</f>
        <v>0</v>
      </c>
      <c r="I47" s="7"/>
      <c r="J47" s="7"/>
      <c r="K47" s="7"/>
      <c r="L47" s="8">
        <f t="shared" si="5"/>
        <v>0</v>
      </c>
    </row>
    <row r="48" spans="1:12" ht="45" customHeight="1" x14ac:dyDescent="0.25">
      <c r="A48" s="5" t="s">
        <v>43</v>
      </c>
      <c r="B48" s="6" t="s">
        <v>44</v>
      </c>
      <c r="C48" s="128">
        <v>0</v>
      </c>
      <c r="D48" s="128">
        <v>0</v>
      </c>
      <c r="E48" s="128">
        <v>0</v>
      </c>
      <c r="F48" s="128"/>
      <c r="G48" s="520">
        <f t="shared" si="6"/>
        <v>0</v>
      </c>
      <c r="H48" s="7">
        <f>'DETALLE DE INGRESOS 9'!C53</f>
        <v>721.05</v>
      </c>
      <c r="I48" s="7">
        <v>0</v>
      </c>
      <c r="J48" s="7">
        <v>0</v>
      </c>
      <c r="K48" s="7">
        <v>0</v>
      </c>
      <c r="L48" s="8">
        <f t="shared" si="5"/>
        <v>721.05</v>
      </c>
    </row>
    <row r="49" spans="1:12" ht="45" customHeight="1" x14ac:dyDescent="0.25">
      <c r="A49" s="5" t="s">
        <v>840</v>
      </c>
      <c r="B49" s="6" t="s">
        <v>822</v>
      </c>
      <c r="C49" s="128"/>
      <c r="D49" s="128"/>
      <c r="E49" s="128"/>
      <c r="F49" s="128"/>
      <c r="G49" s="520">
        <f t="shared" si="6"/>
        <v>0</v>
      </c>
      <c r="H49" s="7">
        <f>'DETALLE DE INGRESOS 9'!C54</f>
        <v>365</v>
      </c>
      <c r="I49" s="7"/>
      <c r="J49" s="7"/>
      <c r="K49" s="7"/>
      <c r="L49" s="8">
        <f t="shared" si="5"/>
        <v>365</v>
      </c>
    </row>
    <row r="50" spans="1:12" ht="45" customHeight="1" x14ac:dyDescent="0.25">
      <c r="A50" s="5" t="s">
        <v>45</v>
      </c>
      <c r="B50" s="6" t="s">
        <v>46</v>
      </c>
      <c r="C50" s="128">
        <v>0</v>
      </c>
      <c r="D50" s="128">
        <v>0</v>
      </c>
      <c r="E50" s="128">
        <v>0</v>
      </c>
      <c r="F50" s="128"/>
      <c r="G50" s="520">
        <f t="shared" si="6"/>
        <v>0</v>
      </c>
      <c r="H50" s="7">
        <f>'DETALLE DE INGRESOS 9'!C55</f>
        <v>1468.14</v>
      </c>
      <c r="I50" s="7">
        <v>0</v>
      </c>
      <c r="J50" s="7">
        <v>0</v>
      </c>
      <c r="K50" s="7">
        <v>0</v>
      </c>
      <c r="L50" s="8">
        <f t="shared" si="5"/>
        <v>1468.14</v>
      </c>
    </row>
    <row r="51" spans="1:12" ht="45" customHeight="1" x14ac:dyDescent="0.25">
      <c r="A51" s="5" t="s">
        <v>47</v>
      </c>
      <c r="B51" s="6" t="s">
        <v>48</v>
      </c>
      <c r="C51" s="128">
        <v>0</v>
      </c>
      <c r="D51" s="128">
        <v>0</v>
      </c>
      <c r="E51" s="128">
        <v>0</v>
      </c>
      <c r="F51" s="128"/>
      <c r="G51" s="520">
        <f t="shared" si="6"/>
        <v>0</v>
      </c>
      <c r="H51" s="7">
        <f>'DETALLE DE INGRESOS 9'!C57</f>
        <v>7658.14</v>
      </c>
      <c r="I51" s="7">
        <v>0</v>
      </c>
      <c r="J51" s="7">
        <v>0</v>
      </c>
      <c r="K51" s="7">
        <v>0</v>
      </c>
      <c r="L51" s="8">
        <f t="shared" si="5"/>
        <v>7658.14</v>
      </c>
    </row>
    <row r="52" spans="1:12" ht="45" customHeight="1" x14ac:dyDescent="0.25">
      <c r="A52" s="5" t="s">
        <v>49</v>
      </c>
      <c r="B52" s="6" t="s">
        <v>899</v>
      </c>
      <c r="C52" s="128">
        <v>0</v>
      </c>
      <c r="D52" s="128">
        <v>0</v>
      </c>
      <c r="E52" s="128">
        <v>0</v>
      </c>
      <c r="F52" s="128"/>
      <c r="G52" s="520">
        <f>+C52+D52+E52+F52</f>
        <v>0</v>
      </c>
      <c r="H52" s="7">
        <f>+'DETALLE DE INGRESOS 9'!C59</f>
        <v>20712.32</v>
      </c>
      <c r="I52" s="7">
        <v>0</v>
      </c>
      <c r="J52" s="7">
        <v>30884.85</v>
      </c>
      <c r="K52" s="7">
        <v>0</v>
      </c>
      <c r="L52" s="8">
        <f>+G52+H52+I52+J52+K52</f>
        <v>51597.17</v>
      </c>
    </row>
    <row r="53" spans="1:12" ht="45" customHeight="1" x14ac:dyDescent="0.25">
      <c r="A53" s="5" t="s">
        <v>51</v>
      </c>
      <c r="B53" s="6" t="s">
        <v>52</v>
      </c>
      <c r="C53" s="128">
        <v>0</v>
      </c>
      <c r="D53" s="128">
        <v>0</v>
      </c>
      <c r="E53" s="128">
        <v>0</v>
      </c>
      <c r="F53" s="128"/>
      <c r="G53" s="520">
        <f t="shared" si="6"/>
        <v>0</v>
      </c>
      <c r="H53" s="7">
        <f>'DETALLE DE INGRESOS 9'!C61</f>
        <v>3962.97</v>
      </c>
      <c r="I53" s="7">
        <v>0</v>
      </c>
      <c r="J53" s="7">
        <v>0</v>
      </c>
      <c r="K53" s="7">
        <v>0</v>
      </c>
      <c r="L53" s="8">
        <f t="shared" si="5"/>
        <v>3962.97</v>
      </c>
    </row>
    <row r="54" spans="1:12" ht="45" customHeight="1" x14ac:dyDescent="0.25">
      <c r="A54" s="5"/>
      <c r="B54" s="1429" t="s">
        <v>16</v>
      </c>
      <c r="C54" s="1430"/>
      <c r="D54" s="1430"/>
      <c r="E54" s="1431"/>
      <c r="F54" s="546"/>
      <c r="G54" s="531">
        <f>SUM(G26:G53)</f>
        <v>0</v>
      </c>
      <c r="H54" s="531">
        <v>0</v>
      </c>
      <c r="I54" s="14"/>
      <c r="J54" s="14"/>
      <c r="K54" s="14"/>
      <c r="L54" s="12">
        <f>+L45+L46+L47+L48+L49+L50+L51+L53+L52</f>
        <v>68112.33</v>
      </c>
    </row>
    <row r="55" spans="1:12" ht="45" customHeight="1" x14ac:dyDescent="0.25">
      <c r="A55" s="5" t="s">
        <v>842</v>
      </c>
      <c r="B55" s="6" t="s">
        <v>439</v>
      </c>
      <c r="C55" s="128">
        <f>+'PROYCCFODES FUNCIONAMIENTO 2024'!C7</f>
        <v>642152.01</v>
      </c>
      <c r="D55" s="128">
        <v>0</v>
      </c>
      <c r="E55" s="128">
        <v>0</v>
      </c>
      <c r="F55" s="128"/>
      <c r="G55" s="520">
        <f>+C55+D55+E55+F55</f>
        <v>642152.01</v>
      </c>
      <c r="H55" s="7">
        <v>0</v>
      </c>
      <c r="I55" s="7">
        <v>0</v>
      </c>
      <c r="J55" s="14"/>
      <c r="K55" s="15"/>
      <c r="L55" s="16">
        <f>+G55</f>
        <v>642152.01</v>
      </c>
    </row>
    <row r="56" spans="1:12" ht="45" customHeight="1" x14ac:dyDescent="0.25">
      <c r="A56" s="5" t="s">
        <v>842</v>
      </c>
      <c r="B56" s="6" t="s">
        <v>440</v>
      </c>
      <c r="C56" s="128"/>
      <c r="D56" s="128"/>
      <c r="E56" s="128">
        <f>+'PROYCCFODES FUNCIONAMIENTO 2024'!C8</f>
        <v>320000.03000000003</v>
      </c>
      <c r="F56" s="128"/>
      <c r="G56" s="520">
        <f>+C56+D56+E56+F56</f>
        <v>320000.03000000003</v>
      </c>
      <c r="H56" s="7"/>
      <c r="I56" s="7"/>
      <c r="J56" s="14"/>
      <c r="K56" s="15"/>
      <c r="L56" s="16">
        <f>+G56</f>
        <v>320000.03000000003</v>
      </c>
    </row>
    <row r="57" spans="1:12" ht="45" customHeight="1" x14ac:dyDescent="0.25">
      <c r="A57" s="5" t="s">
        <v>843</v>
      </c>
      <c r="B57" s="6" t="s">
        <v>447</v>
      </c>
      <c r="C57" s="128"/>
      <c r="D57" s="128">
        <f>+'DETALLE DE INGRESOS 9'!C66</f>
        <v>1187107.3600000001</v>
      </c>
      <c r="E57" s="128"/>
      <c r="F57" s="128"/>
      <c r="G57" s="520">
        <f>+C57+D57+E57+F57</f>
        <v>1187107.3600000001</v>
      </c>
      <c r="H57" s="7"/>
      <c r="I57" s="7"/>
      <c r="J57" s="14"/>
      <c r="K57" s="15"/>
      <c r="L57" s="16">
        <f>+G57</f>
        <v>1187107.3600000001</v>
      </c>
    </row>
    <row r="58" spans="1:12" ht="45" customHeight="1" x14ac:dyDescent="0.25">
      <c r="A58" s="5" t="s">
        <v>252</v>
      </c>
      <c r="B58" s="6" t="s">
        <v>266</v>
      </c>
      <c r="C58" s="128"/>
      <c r="D58" s="128"/>
      <c r="E58" s="128"/>
      <c r="F58" s="128"/>
      <c r="G58" s="520">
        <f>+C58+D58+E58+F58</f>
        <v>0</v>
      </c>
      <c r="H58" s="224">
        <f>'DETALLE DE INGRESOS 9'!C68</f>
        <v>0</v>
      </c>
      <c r="I58" s="7"/>
      <c r="J58" s="14"/>
      <c r="K58" s="15"/>
      <c r="L58" s="16">
        <f>+G58</f>
        <v>0</v>
      </c>
    </row>
    <row r="59" spans="1:12" ht="45" customHeight="1" x14ac:dyDescent="0.25">
      <c r="A59" s="13"/>
      <c r="B59" s="1406" t="s">
        <v>16</v>
      </c>
      <c r="C59" s="1406"/>
      <c r="D59" s="1406"/>
      <c r="E59" s="1406"/>
      <c r="F59" s="1407"/>
      <c r="G59" s="1407"/>
      <c r="H59" s="1407"/>
      <c r="I59" s="1406"/>
      <c r="J59" s="1406"/>
      <c r="K59" s="1406"/>
      <c r="L59" s="12">
        <f>SUM(L55:L58)</f>
        <v>2149259.4000000004</v>
      </c>
    </row>
    <row r="60" spans="1:12" ht="45" customHeight="1" x14ac:dyDescent="0.25">
      <c r="A60" s="524" t="s">
        <v>844</v>
      </c>
      <c r="B60" s="525" t="s">
        <v>825</v>
      </c>
      <c r="C60" s="526"/>
      <c r="D60" s="526"/>
      <c r="E60" s="526"/>
      <c r="F60" s="526"/>
      <c r="G60" s="527">
        <f>+C60+D60+E60+F60</f>
        <v>0</v>
      </c>
      <c r="H60" s="528">
        <f>'DETALLE DE INGRESOS 9'!C70</f>
        <v>1508.61</v>
      </c>
      <c r="I60" s="528"/>
      <c r="J60" s="529"/>
      <c r="K60" s="530"/>
      <c r="L60" s="16">
        <f>+G60+H60</f>
        <v>1508.61</v>
      </c>
    </row>
    <row r="61" spans="1:12" ht="45" customHeight="1" x14ac:dyDescent="0.25">
      <c r="A61" s="132"/>
      <c r="B61" s="1435" t="s">
        <v>16</v>
      </c>
      <c r="C61" s="1435"/>
      <c r="D61" s="1435"/>
      <c r="E61" s="1435"/>
      <c r="F61" s="1435"/>
      <c r="G61" s="1435"/>
      <c r="H61" s="1435"/>
      <c r="I61" s="1435"/>
      <c r="J61" s="1435"/>
      <c r="K61" s="1435"/>
      <c r="L61" s="523">
        <f>+L60</f>
        <v>1508.61</v>
      </c>
    </row>
    <row r="62" spans="1:12" ht="45" customHeight="1" x14ac:dyDescent="0.25">
      <c r="A62" s="524" t="s">
        <v>967</v>
      </c>
      <c r="B62" s="46" t="s">
        <v>968</v>
      </c>
      <c r="C62" s="526"/>
      <c r="D62" s="526"/>
      <c r="E62" s="526"/>
      <c r="F62" s="128">
        <f>+'DETALLE DE INGRESOS 9'!C74</f>
        <v>29598.3</v>
      </c>
      <c r="G62" s="527">
        <f>+C62+D62+E62+F62</f>
        <v>29598.3</v>
      </c>
      <c r="H62" s="528">
        <f>'DETALLE DE INGRESOS 9'!C72</f>
        <v>0</v>
      </c>
      <c r="I62" s="528"/>
      <c r="J62" s="529"/>
      <c r="K62" s="530"/>
      <c r="L62" s="16">
        <f>+G62+H62</f>
        <v>29598.3</v>
      </c>
    </row>
    <row r="63" spans="1:12" ht="45" customHeight="1" x14ac:dyDescent="0.25">
      <c r="A63" s="132"/>
      <c r="B63" s="1435" t="s">
        <v>16</v>
      </c>
      <c r="C63" s="1435"/>
      <c r="D63" s="1435"/>
      <c r="E63" s="1435"/>
      <c r="F63" s="1435"/>
      <c r="G63" s="1435"/>
      <c r="H63" s="1435"/>
      <c r="I63" s="1435"/>
      <c r="J63" s="1435"/>
      <c r="K63" s="1435"/>
      <c r="L63" s="523">
        <f>+L62</f>
        <v>29598.3</v>
      </c>
    </row>
    <row r="64" spans="1:12" ht="45" customHeight="1" x14ac:dyDescent="0.25">
      <c r="A64" s="5" t="s">
        <v>110</v>
      </c>
      <c r="B64" s="294" t="s">
        <v>111</v>
      </c>
      <c r="C64" s="299"/>
      <c r="D64" s="299"/>
      <c r="E64" s="548"/>
      <c r="F64" s="299"/>
      <c r="G64" s="521">
        <f t="shared" ref="G64:G71" si="7">+C64+D64+E64+F64</f>
        <v>0</v>
      </c>
      <c r="H64" s="406">
        <f>+'DETALLE DE INGRESOS 9'!C80</f>
        <v>0</v>
      </c>
      <c r="I64" s="298">
        <v>0</v>
      </c>
      <c r="J64" s="296"/>
      <c r="K64" s="297"/>
      <c r="L64" s="8">
        <f>SUM(G64:K64)</f>
        <v>0</v>
      </c>
    </row>
    <row r="65" spans="1:12" ht="45" customHeight="1" x14ac:dyDescent="0.25">
      <c r="A65" s="5" t="s">
        <v>53</v>
      </c>
      <c r="B65" s="77" t="s">
        <v>112</v>
      </c>
      <c r="C65" s="299"/>
      <c r="D65" s="295"/>
      <c r="E65" s="549"/>
      <c r="F65" s="299"/>
      <c r="G65" s="521">
        <f t="shared" si="7"/>
        <v>0</v>
      </c>
      <c r="H65" s="298">
        <f>+'DETALLE DE INGRESOS 9'!C81</f>
        <v>68877.42</v>
      </c>
      <c r="I65" s="7"/>
      <c r="J65" s="296"/>
      <c r="K65" s="18"/>
      <c r="L65" s="8">
        <f t="shared" ref="L65:L74" si="8">SUM(G65:K65)</f>
        <v>68877.42</v>
      </c>
    </row>
    <row r="66" spans="1:12" ht="45" customHeight="1" x14ac:dyDescent="0.25">
      <c r="A66" s="5" t="s">
        <v>53</v>
      </c>
      <c r="B66" s="293" t="s">
        <v>848</v>
      </c>
      <c r="C66" s="129">
        <v>0</v>
      </c>
      <c r="D66" s="129"/>
      <c r="E66" s="550"/>
      <c r="F66" s="299"/>
      <c r="G66" s="521">
        <f t="shared" si="7"/>
        <v>0</v>
      </c>
      <c r="H66" s="7"/>
      <c r="I66" s="7">
        <f>+'DETALLE DE INGRESOS 9'!C82</f>
        <v>588</v>
      </c>
      <c r="J66" s="17"/>
      <c r="K66" s="19"/>
      <c r="L66" s="8">
        <f t="shared" si="8"/>
        <v>588</v>
      </c>
    </row>
    <row r="67" spans="1:12" ht="45" customHeight="1" x14ac:dyDescent="0.25">
      <c r="A67" s="5" t="s">
        <v>53</v>
      </c>
      <c r="B67" s="293" t="s">
        <v>895</v>
      </c>
      <c r="C67" s="129">
        <f>+'DETALLE DE INGRESOS 9'!C85</f>
        <v>20301.73</v>
      </c>
      <c r="D67" s="129"/>
      <c r="E67" s="550"/>
      <c r="F67" s="299"/>
      <c r="G67" s="521">
        <f t="shared" si="7"/>
        <v>20301.73</v>
      </c>
      <c r="H67" s="7"/>
      <c r="I67" s="7"/>
      <c r="J67" s="17"/>
      <c r="K67" s="19"/>
      <c r="L67" s="8">
        <f t="shared" si="8"/>
        <v>20301.73</v>
      </c>
    </row>
    <row r="68" spans="1:12" ht="45" customHeight="1" x14ac:dyDescent="0.25">
      <c r="A68" s="5" t="s">
        <v>53</v>
      </c>
      <c r="B68" s="293" t="s">
        <v>882</v>
      </c>
      <c r="C68" s="129"/>
      <c r="D68" s="129"/>
      <c r="E68" s="550"/>
      <c r="F68" s="299"/>
      <c r="G68" s="521">
        <f t="shared" si="7"/>
        <v>0</v>
      </c>
      <c r="H68" s="7"/>
      <c r="I68" s="7"/>
      <c r="J68" s="17">
        <f>+'DETALLE DE INGRESOS 9'!C83</f>
        <v>5421082.7800000003</v>
      </c>
      <c r="K68" s="19">
        <v>0</v>
      </c>
      <c r="L68" s="8">
        <f t="shared" si="8"/>
        <v>5421082.7800000003</v>
      </c>
    </row>
    <row r="69" spans="1:12" ht="45" customHeight="1" x14ac:dyDescent="0.25">
      <c r="A69" s="5" t="s">
        <v>53</v>
      </c>
      <c r="B69" s="293" t="s">
        <v>889</v>
      </c>
      <c r="C69" s="129"/>
      <c r="D69" s="129"/>
      <c r="E69" s="550"/>
      <c r="F69" s="299"/>
      <c r="G69" s="521">
        <f t="shared" si="7"/>
        <v>0</v>
      </c>
      <c r="H69" s="7"/>
      <c r="I69" s="7"/>
      <c r="J69" s="17">
        <v>0</v>
      </c>
      <c r="K69" s="19">
        <f>+'DETALLE DE INGRESOS 9'!C84</f>
        <v>46444.59</v>
      </c>
      <c r="L69" s="8">
        <f t="shared" si="8"/>
        <v>46444.59</v>
      </c>
    </row>
    <row r="70" spans="1:12" ht="45" customHeight="1" x14ac:dyDescent="0.25">
      <c r="A70" s="5" t="s">
        <v>53</v>
      </c>
      <c r="B70" s="293" t="s">
        <v>445</v>
      </c>
      <c r="C70" s="129">
        <v>0</v>
      </c>
      <c r="D70" s="129"/>
      <c r="E70" s="550">
        <f>+'DETALLE DE INGRESOS 9'!C86</f>
        <v>14691.5</v>
      </c>
      <c r="F70" s="299"/>
      <c r="G70" s="521">
        <f t="shared" si="7"/>
        <v>14691.5</v>
      </c>
      <c r="H70" s="7"/>
      <c r="I70" s="7"/>
      <c r="J70" s="17"/>
      <c r="K70" s="19"/>
      <c r="L70" s="8">
        <f t="shared" si="8"/>
        <v>14691.5</v>
      </c>
    </row>
    <row r="71" spans="1:12" ht="45" customHeight="1" x14ac:dyDescent="0.25">
      <c r="A71" s="5" t="s">
        <v>53</v>
      </c>
      <c r="B71" s="293" t="s">
        <v>890</v>
      </c>
      <c r="C71" s="129">
        <v>0</v>
      </c>
      <c r="D71" s="129"/>
      <c r="E71" s="550"/>
      <c r="F71" s="299">
        <v>8241.48</v>
      </c>
      <c r="G71" s="521">
        <f t="shared" si="7"/>
        <v>8241.48</v>
      </c>
      <c r="H71" s="7"/>
      <c r="I71" s="7"/>
      <c r="J71" s="17"/>
      <c r="K71" s="19"/>
      <c r="L71" s="8">
        <f>SUM(G71:K71)</f>
        <v>8241.48</v>
      </c>
    </row>
    <row r="72" spans="1:12" ht="45" customHeight="1" x14ac:dyDescent="0.25">
      <c r="A72" s="132"/>
      <c r="B72" s="1420" t="s">
        <v>16</v>
      </c>
      <c r="C72" s="1420"/>
      <c r="D72" s="1420"/>
      <c r="E72" s="1420"/>
      <c r="F72" s="1420"/>
      <c r="G72" s="1420"/>
      <c r="H72" s="1420"/>
      <c r="I72" s="1420"/>
      <c r="J72" s="1420"/>
      <c r="K72" s="1420"/>
      <c r="L72" s="12">
        <f>+L64+L65+L66+L68+L69+L70+L71+L67</f>
        <v>5580227.5000000009</v>
      </c>
    </row>
    <row r="73" spans="1:12" ht="45" customHeight="1" x14ac:dyDescent="0.25">
      <c r="A73" s="5" t="s">
        <v>361</v>
      </c>
      <c r="B73" s="293" t="s">
        <v>1028</v>
      </c>
      <c r="C73" s="129">
        <v>160538</v>
      </c>
      <c r="D73" s="129"/>
      <c r="E73" s="550">
        <v>0</v>
      </c>
      <c r="F73" s="299"/>
      <c r="G73" s="521">
        <f>+C73+D73+E73+F73</f>
        <v>160538</v>
      </c>
      <c r="H73" s="7"/>
      <c r="I73" s="7"/>
      <c r="J73" s="17"/>
      <c r="K73" s="19"/>
      <c r="L73" s="8">
        <f t="shared" si="8"/>
        <v>160538</v>
      </c>
    </row>
    <row r="74" spans="1:12" ht="45" customHeight="1" x14ac:dyDescent="0.25">
      <c r="A74" s="5" t="s">
        <v>361</v>
      </c>
      <c r="B74" s="293" t="s">
        <v>1029</v>
      </c>
      <c r="C74" s="129">
        <v>0</v>
      </c>
      <c r="D74" s="129"/>
      <c r="E74" s="550">
        <v>120000</v>
      </c>
      <c r="F74" s="299"/>
      <c r="G74" s="521">
        <f>+C74+D74+E74+F74</f>
        <v>120000</v>
      </c>
      <c r="H74" s="7"/>
      <c r="I74" s="7">
        <v>0</v>
      </c>
      <c r="J74" s="17"/>
      <c r="K74" s="19"/>
      <c r="L74" s="8">
        <f t="shared" si="8"/>
        <v>120000</v>
      </c>
    </row>
    <row r="75" spans="1:12" ht="45" customHeight="1" thickBot="1" x14ac:dyDescent="0.3">
      <c r="A75" s="20"/>
      <c r="B75" s="1424" t="s">
        <v>16</v>
      </c>
      <c r="C75" s="1424"/>
      <c r="D75" s="1424"/>
      <c r="E75" s="1424"/>
      <c r="F75" s="1425"/>
      <c r="G75" s="1424"/>
      <c r="H75" s="1424"/>
      <c r="I75" s="1424"/>
      <c r="J75" s="1424"/>
      <c r="K75" s="1424"/>
      <c r="L75" s="305">
        <f>+L73+L74</f>
        <v>280538</v>
      </c>
    </row>
    <row r="76" spans="1:12" ht="60" customHeight="1" thickBot="1" x14ac:dyDescent="0.25">
      <c r="A76" s="304"/>
      <c r="B76" s="306" t="s">
        <v>54</v>
      </c>
      <c r="C76" s="307">
        <f>SUM(C10:C74)</f>
        <v>822991.74</v>
      </c>
      <c r="D76" s="307">
        <f>SUM(D10:D74)</f>
        <v>1187107.3600000001</v>
      </c>
      <c r="E76" s="307">
        <f>SUM(E10:E74)</f>
        <v>454691.53</v>
      </c>
      <c r="F76" s="307">
        <f>SUM(F10:F74)</f>
        <v>37839.78</v>
      </c>
      <c r="G76" s="307">
        <f>+C76+D76+E76+F76</f>
        <v>2502630.4099999997</v>
      </c>
      <c r="H76" s="308">
        <f>SUM(H10:H70)</f>
        <v>3341318.8123999983</v>
      </c>
      <c r="I76" s="307">
        <f>SUM(I10:I70)</f>
        <v>588</v>
      </c>
      <c r="J76" s="308">
        <f>SUM(J10:J71)</f>
        <v>5451967.6299999999</v>
      </c>
      <c r="K76" s="307">
        <f>SUM(K10:K70)</f>
        <v>46444.59</v>
      </c>
      <c r="L76" s="309">
        <f>L25+L54+L59+L75+L40+L63+L72+L44+L61</f>
        <v>11342949.442399999</v>
      </c>
    </row>
    <row r="77" spans="1:12" ht="45.75" customHeight="1" thickBot="1" x14ac:dyDescent="0.35">
      <c r="A77" s="21"/>
      <c r="B77" s="22"/>
      <c r="C77" s="452" t="s">
        <v>441</v>
      </c>
      <c r="D77" s="452" t="s">
        <v>845</v>
      </c>
      <c r="E77" s="452" t="s">
        <v>378</v>
      </c>
      <c r="F77" s="452" t="s">
        <v>888</v>
      </c>
      <c r="G77" s="362" t="s">
        <v>239</v>
      </c>
      <c r="H77" s="532" t="s">
        <v>242</v>
      </c>
      <c r="I77" s="532" t="s">
        <v>850</v>
      </c>
      <c r="J77" s="533" t="s">
        <v>243</v>
      </c>
      <c r="K77" s="534" t="s">
        <v>846</v>
      </c>
      <c r="L77" s="24" t="e">
        <f>K76+K77+J76+H76+#REF!</f>
        <v>#VALUE!</v>
      </c>
    </row>
    <row r="78" spans="1:12" ht="29.25" customHeight="1" x14ac:dyDescent="0.3">
      <c r="A78" s="21"/>
      <c r="B78" s="22"/>
      <c r="E78" s="303"/>
      <c r="F78" s="303"/>
      <c r="K78" s="23"/>
      <c r="L78" s="25"/>
    </row>
    <row r="79" spans="1:12" ht="15.75" customHeight="1" x14ac:dyDescent="0.3">
      <c r="A79" s="26"/>
      <c r="B79" s="22"/>
      <c r="L79" s="27"/>
    </row>
  </sheetData>
  <mergeCells count="24">
    <mergeCell ref="B72:K72"/>
    <mergeCell ref="B7:B9"/>
    <mergeCell ref="H7:H9"/>
    <mergeCell ref="I7:I9"/>
    <mergeCell ref="B75:K75"/>
    <mergeCell ref="K7:K9"/>
    <mergeCell ref="B54:E54"/>
    <mergeCell ref="B40:K40"/>
    <mergeCell ref="B44:K44"/>
    <mergeCell ref="B61:K61"/>
    <mergeCell ref="B63:K63"/>
    <mergeCell ref="A6:L6"/>
    <mergeCell ref="L7:L9"/>
    <mergeCell ref="B25:K25"/>
    <mergeCell ref="B59:K59"/>
    <mergeCell ref="G7:G9"/>
    <mergeCell ref="A7:A9"/>
    <mergeCell ref="J7:J9"/>
    <mergeCell ref="C7:F7"/>
    <mergeCell ref="A1:L1"/>
    <mergeCell ref="A2:L2"/>
    <mergeCell ref="A3:L3"/>
    <mergeCell ref="A4:L4"/>
    <mergeCell ref="A5:L5"/>
  </mergeCells>
  <phoneticPr fontId="35" type="noConversion"/>
  <printOptions horizontalCentered="1" verticalCentered="1"/>
  <pageMargins left="0.35433070866141736" right="0.35433070866141736" top="1.0236220472440944" bottom="0.19685039370078741" header="0" footer="0"/>
  <pageSetup scale="55" firstPageNumber="0" orientation="landscape" r:id="rId1"/>
  <headerFooter alignWithMargins="0"/>
  <rowBreaks count="4" manualBreakCount="4">
    <brk id="24" max="11" man="1"/>
    <brk id="39" max="11" man="1"/>
    <brk id="54" max="11" man="1"/>
    <brk id="69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E91"/>
  <sheetViews>
    <sheetView view="pageBreakPreview" topLeftCell="A79" zoomScaleNormal="70" zoomScaleSheetLayoutView="100" workbookViewId="0">
      <selection activeCell="D83" sqref="D83"/>
    </sheetView>
  </sheetViews>
  <sheetFormatPr baseColWidth="10" defaultRowHeight="12.75" x14ac:dyDescent="0.2"/>
  <cols>
    <col min="2" max="2" width="27.42578125" customWidth="1"/>
    <col min="3" max="3" width="21.140625" customWidth="1"/>
    <col min="4" max="4" width="19.140625" customWidth="1"/>
    <col min="5" max="5" width="19.42578125" customWidth="1"/>
  </cols>
  <sheetData>
    <row r="1" spans="1:5" ht="20.25" x14ac:dyDescent="0.2">
      <c r="A1" s="1436" t="s">
        <v>512</v>
      </c>
      <c r="B1" s="1436"/>
      <c r="C1" s="1436"/>
      <c r="D1" s="1436"/>
      <c r="E1" s="1436"/>
    </row>
    <row r="2" spans="1:5" ht="21.75" customHeight="1" x14ac:dyDescent="0.2">
      <c r="A2" s="1437" t="s">
        <v>1144</v>
      </c>
      <c r="B2" s="1437"/>
      <c r="C2" s="1437"/>
      <c r="D2" s="1437"/>
      <c r="E2" s="1437"/>
    </row>
    <row r="3" spans="1:5" ht="40.35" customHeight="1" x14ac:dyDescent="0.2">
      <c r="A3" s="163" t="s">
        <v>55</v>
      </c>
      <c r="B3" s="164" t="s">
        <v>56</v>
      </c>
      <c r="C3" s="165" t="s">
        <v>114</v>
      </c>
      <c r="D3" s="165" t="s">
        <v>115</v>
      </c>
      <c r="E3" s="166" t="s">
        <v>116</v>
      </c>
    </row>
    <row r="4" spans="1:5" ht="30" customHeight="1" x14ac:dyDescent="0.2">
      <c r="A4" s="167" t="s">
        <v>58</v>
      </c>
      <c r="B4" s="168" t="s">
        <v>57</v>
      </c>
      <c r="C4" s="169"/>
      <c r="D4" s="169"/>
      <c r="E4" s="170">
        <f>D5+D22+D41+D48+D62+D69+D78+D72</f>
        <v>11342949.442400003</v>
      </c>
    </row>
    <row r="5" spans="1:5" ht="30" customHeight="1" x14ac:dyDescent="0.2">
      <c r="A5" s="171" t="s">
        <v>59</v>
      </c>
      <c r="B5" s="172" t="s">
        <v>60</v>
      </c>
      <c r="C5" s="173"/>
      <c r="D5" s="173">
        <f>SUM(C6)</f>
        <v>1801166.5818999999</v>
      </c>
      <c r="E5" s="174"/>
    </row>
    <row r="6" spans="1:5" ht="30" customHeight="1" x14ac:dyDescent="0.2">
      <c r="A6" s="41" t="s">
        <v>61</v>
      </c>
      <c r="B6" s="42" t="s">
        <v>62</v>
      </c>
      <c r="C6" s="43">
        <f>SUM(C7:C21)</f>
        <v>1801166.5818999999</v>
      </c>
      <c r="D6" s="43"/>
      <c r="E6" s="44"/>
    </row>
    <row r="7" spans="1:5" ht="30" customHeight="1" x14ac:dyDescent="0.2">
      <c r="A7" s="45" t="s">
        <v>10</v>
      </c>
      <c r="B7" s="46" t="s">
        <v>63</v>
      </c>
      <c r="C7" s="47">
        <f>+'PROYECCION INGRESOS FP 10'!M8</f>
        <v>506582.65349999996</v>
      </c>
      <c r="D7" s="48"/>
      <c r="E7" s="49"/>
    </row>
    <row r="8" spans="1:5" ht="30" customHeight="1" x14ac:dyDescent="0.2">
      <c r="A8" s="45">
        <v>11802</v>
      </c>
      <c r="B8" s="46" t="s">
        <v>64</v>
      </c>
      <c r="C8" s="47">
        <f>+'PROYECCION INGRESOS FP 10'!M9</f>
        <v>613454.93299999996</v>
      </c>
      <c r="D8" s="48"/>
      <c r="E8" s="49"/>
    </row>
    <row r="9" spans="1:5" ht="30" customHeight="1" x14ac:dyDescent="0.2">
      <c r="A9" s="45">
        <v>11803</v>
      </c>
      <c r="B9" s="46" t="s">
        <v>793</v>
      </c>
      <c r="C9" s="47">
        <f>+'PROYECCION INGRESOS FP 10'!M10</f>
        <v>67621.98</v>
      </c>
      <c r="D9" s="48"/>
      <c r="E9" s="49"/>
    </row>
    <row r="10" spans="1:5" ht="30" customHeight="1" x14ac:dyDescent="0.2">
      <c r="A10" s="45">
        <v>11804</v>
      </c>
      <c r="B10" s="46" t="s">
        <v>65</v>
      </c>
      <c r="C10" s="47">
        <f>+'PROYECCION INGRESOS FP 10'!M11</f>
        <v>536493.34499999997</v>
      </c>
      <c r="D10" s="48"/>
      <c r="E10" s="49"/>
    </row>
    <row r="11" spans="1:5" ht="30" customHeight="1" x14ac:dyDescent="0.2">
      <c r="A11" s="45" t="s">
        <v>794</v>
      </c>
      <c r="B11" s="46" t="s">
        <v>795</v>
      </c>
      <c r="C11" s="47">
        <f>+'PROYECCION INGRESOS FP 10'!C12</f>
        <v>50.74</v>
      </c>
      <c r="D11" s="48"/>
      <c r="E11" s="49"/>
    </row>
    <row r="12" spans="1:5" ht="30" customHeight="1" x14ac:dyDescent="0.2">
      <c r="A12" s="45" t="s">
        <v>796</v>
      </c>
      <c r="B12" s="46" t="s">
        <v>797</v>
      </c>
      <c r="C12" s="47">
        <f>+'PROYECCION INGRESOS FP 10'!C13</f>
        <v>492.25</v>
      </c>
      <c r="D12" s="48"/>
      <c r="E12" s="49"/>
    </row>
    <row r="13" spans="1:5" ht="30" customHeight="1" x14ac:dyDescent="0.2">
      <c r="A13" s="45" t="s">
        <v>798</v>
      </c>
      <c r="B13" s="46" t="s">
        <v>799</v>
      </c>
      <c r="C13" s="47">
        <f>+'PROYECCION INGRESOS FP 10'!C14</f>
        <v>0</v>
      </c>
      <c r="D13" s="48"/>
      <c r="E13" s="49"/>
    </row>
    <row r="14" spans="1:5" ht="30" customHeight="1" x14ac:dyDescent="0.2">
      <c r="A14" s="45" t="s">
        <v>800</v>
      </c>
      <c r="B14" s="46" t="s">
        <v>801</v>
      </c>
      <c r="C14" s="47">
        <f>+'PROYECCION INGRESOS FP 10'!C15</f>
        <v>1258.77</v>
      </c>
      <c r="D14" s="48"/>
      <c r="E14" s="49"/>
    </row>
    <row r="15" spans="1:5" ht="30" customHeight="1" x14ac:dyDescent="0.2">
      <c r="A15" s="45" t="s">
        <v>802</v>
      </c>
      <c r="B15" s="46" t="s">
        <v>803</v>
      </c>
      <c r="C15" s="47">
        <f>+'PROYECCION INGRESOS FP 10'!C16</f>
        <v>1106.3</v>
      </c>
      <c r="D15" s="48"/>
      <c r="E15" s="49"/>
    </row>
    <row r="16" spans="1:5" ht="30" customHeight="1" x14ac:dyDescent="0.2">
      <c r="A16" s="45" t="s">
        <v>804</v>
      </c>
      <c r="B16" s="46" t="s">
        <v>805</v>
      </c>
      <c r="C16" s="47">
        <f>+'PROYECCION INGRESOS FP 10'!C17</f>
        <v>314.17</v>
      </c>
      <c r="D16" s="48"/>
      <c r="E16" s="49"/>
    </row>
    <row r="17" spans="1:5" ht="30" customHeight="1" x14ac:dyDescent="0.2">
      <c r="A17" s="45" t="s">
        <v>806</v>
      </c>
      <c r="B17" s="46" t="s">
        <v>834</v>
      </c>
      <c r="C17" s="47">
        <f>+'PROYECCION INGRESOS FP 10'!C18</f>
        <v>422.6</v>
      </c>
      <c r="D17" s="48"/>
      <c r="E17" s="49"/>
    </row>
    <row r="18" spans="1:5" ht="30" customHeight="1" x14ac:dyDescent="0.2">
      <c r="A18" s="45" t="s">
        <v>807</v>
      </c>
      <c r="B18" s="46" t="s">
        <v>808</v>
      </c>
      <c r="C18" s="47">
        <f>+'PROYECCION INGRESOS FP 10'!C19</f>
        <v>4370.8999999999996</v>
      </c>
      <c r="D18" s="48"/>
      <c r="E18" s="49"/>
    </row>
    <row r="19" spans="1:5" ht="30" customHeight="1" x14ac:dyDescent="0.2">
      <c r="A19" s="45" t="s">
        <v>809</v>
      </c>
      <c r="B19" s="46" t="s">
        <v>810</v>
      </c>
      <c r="C19" s="47">
        <f>+'PROYECCION INGRESOS FP 10'!M20</f>
        <v>11355.928</v>
      </c>
      <c r="D19" s="48"/>
      <c r="E19" s="49"/>
    </row>
    <row r="20" spans="1:5" ht="30" customHeight="1" x14ac:dyDescent="0.2">
      <c r="A20" s="45" t="s">
        <v>66</v>
      </c>
      <c r="B20" s="46" t="s">
        <v>67</v>
      </c>
      <c r="C20" s="47">
        <f>+'PROYECCION INGRESOS FP 10'!C21</f>
        <v>12948.25</v>
      </c>
      <c r="D20" s="48"/>
      <c r="E20" s="49"/>
    </row>
    <row r="21" spans="1:5" ht="30" customHeight="1" x14ac:dyDescent="0.2">
      <c r="A21" s="45" t="s">
        <v>811</v>
      </c>
      <c r="B21" s="46" t="s">
        <v>812</v>
      </c>
      <c r="C21" s="47">
        <f>+'PROYECCION INGRESOS FP 10'!M22</f>
        <v>44693.7624</v>
      </c>
      <c r="D21" s="48"/>
      <c r="E21" s="49"/>
    </row>
    <row r="22" spans="1:5" ht="30" customHeight="1" x14ac:dyDescent="0.2">
      <c r="A22" s="175" t="s">
        <v>68</v>
      </c>
      <c r="B22" s="172" t="s">
        <v>69</v>
      </c>
      <c r="C22" s="173" t="s">
        <v>58</v>
      </c>
      <c r="D22" s="173">
        <f>C23+C38</f>
        <v>1427500.3605</v>
      </c>
      <c r="E22" s="174"/>
    </row>
    <row r="23" spans="1:5" ht="30" customHeight="1" x14ac:dyDescent="0.2">
      <c r="A23" s="53" t="s">
        <v>70</v>
      </c>
      <c r="B23" s="42" t="s">
        <v>71</v>
      </c>
      <c r="C23" s="51">
        <f>SUM(C24:C37)</f>
        <v>1285192.2275</v>
      </c>
      <c r="D23" s="51" t="s">
        <v>58</v>
      </c>
      <c r="E23" s="52"/>
    </row>
    <row r="24" spans="1:5" ht="35.1" customHeight="1" x14ac:dyDescent="0.2">
      <c r="A24" s="54">
        <v>12105</v>
      </c>
      <c r="B24" s="55" t="s">
        <v>117</v>
      </c>
      <c r="C24" s="47">
        <f>+'PROYECCION INGRESOS FP 10'!M25</f>
        <v>88235.32</v>
      </c>
      <c r="D24" s="51"/>
      <c r="E24" s="52"/>
    </row>
    <row r="25" spans="1:5" ht="35.1" customHeight="1" x14ac:dyDescent="0.2">
      <c r="A25" s="54">
        <v>12106</v>
      </c>
      <c r="B25" s="55" t="s">
        <v>118</v>
      </c>
      <c r="C25" s="47">
        <f>+'PROYECCION INGRESOS FP 10'!M26</f>
        <v>1032</v>
      </c>
      <c r="D25" s="51"/>
      <c r="E25" s="52"/>
    </row>
    <row r="26" spans="1:5" ht="30" customHeight="1" x14ac:dyDescent="0.2">
      <c r="A26" s="54">
        <v>12108</v>
      </c>
      <c r="B26" s="46" t="s">
        <v>19</v>
      </c>
      <c r="C26" s="47">
        <f>+'PROYECCION INGRESOS FP 10'!M27</f>
        <v>113914.61200000001</v>
      </c>
      <c r="D26" s="51"/>
      <c r="E26" s="52"/>
    </row>
    <row r="27" spans="1:5" ht="30" customHeight="1" x14ac:dyDescent="0.2">
      <c r="A27" s="54">
        <v>12109</v>
      </c>
      <c r="B27" s="56" t="s">
        <v>119</v>
      </c>
      <c r="C27" s="47">
        <f>+'PROYECCION INGRESOS FP 10'!M28</f>
        <v>230400</v>
      </c>
      <c r="D27" s="51"/>
      <c r="E27" s="52"/>
    </row>
    <row r="28" spans="1:5" ht="30" customHeight="1" x14ac:dyDescent="0.2">
      <c r="A28" s="54">
        <v>12110</v>
      </c>
      <c r="B28" s="56" t="s">
        <v>813</v>
      </c>
      <c r="C28" s="47">
        <f>+'PROYECCION INGRESOS FP 10'!M29</f>
        <v>617.76</v>
      </c>
      <c r="D28" s="51"/>
      <c r="E28" s="52"/>
    </row>
    <row r="29" spans="1:5" ht="30" customHeight="1" x14ac:dyDescent="0.2">
      <c r="A29" s="54">
        <v>12111</v>
      </c>
      <c r="B29" s="46" t="s">
        <v>75</v>
      </c>
      <c r="C29" s="47">
        <f>+'PROYECCION INGRESOS FP 10'!M30</f>
        <v>31467.55</v>
      </c>
      <c r="D29" s="51"/>
      <c r="E29" s="52"/>
    </row>
    <row r="30" spans="1:5" ht="30" customHeight="1" x14ac:dyDescent="0.2">
      <c r="A30" s="54">
        <v>12112</v>
      </c>
      <c r="B30" s="46" t="s">
        <v>814</v>
      </c>
      <c r="C30" s="47">
        <f>+'PROYECCION INGRESOS FP 10'!M31</f>
        <v>19798.8</v>
      </c>
      <c r="D30" s="51"/>
      <c r="E30" s="52"/>
    </row>
    <row r="31" spans="1:5" ht="30" customHeight="1" x14ac:dyDescent="0.2">
      <c r="A31" s="54">
        <v>12114</v>
      </c>
      <c r="B31" s="46" t="s">
        <v>120</v>
      </c>
      <c r="C31" s="47">
        <f>+'PROYECCION INGRESOS FP 10'!M32</f>
        <v>134657.47399999999</v>
      </c>
      <c r="D31" s="51"/>
      <c r="E31" s="52"/>
    </row>
    <row r="32" spans="1:5" ht="30" customHeight="1" x14ac:dyDescent="0.2">
      <c r="A32" s="54">
        <v>12115</v>
      </c>
      <c r="B32" s="46" t="s">
        <v>77</v>
      </c>
      <c r="C32" s="47">
        <f>+'PROYECCION INGRESOS FP 10'!M33</f>
        <v>179502.91700000002</v>
      </c>
      <c r="D32" s="51"/>
      <c r="E32" s="52"/>
    </row>
    <row r="33" spans="1:5" ht="30" customHeight="1" x14ac:dyDescent="0.2">
      <c r="A33" s="54">
        <v>12117</v>
      </c>
      <c r="B33" s="46" t="s">
        <v>78</v>
      </c>
      <c r="C33" s="47">
        <f>+'PROYECCION INGRESOS FP 10'!M34</f>
        <v>46383.861499999999</v>
      </c>
      <c r="D33" s="51"/>
      <c r="E33" s="52"/>
    </row>
    <row r="34" spans="1:5" ht="30" customHeight="1" x14ac:dyDescent="0.2">
      <c r="A34" s="96" t="s">
        <v>282</v>
      </c>
      <c r="B34" s="97" t="s">
        <v>280</v>
      </c>
      <c r="C34" s="47">
        <f>+'PROYECCION INGRESOS FP 10'!M35</f>
        <v>433244.51300000004</v>
      </c>
      <c r="D34" s="51"/>
      <c r="E34" s="52"/>
    </row>
    <row r="35" spans="1:5" ht="30" customHeight="1" x14ac:dyDescent="0.2">
      <c r="A35" s="54">
        <v>12119</v>
      </c>
      <c r="B35" s="46" t="s">
        <v>30</v>
      </c>
      <c r="C35" s="47">
        <f>+'PROYECCION INGRESOS FP 10'!M36</f>
        <v>275</v>
      </c>
      <c r="D35" s="51"/>
      <c r="E35" s="52"/>
    </row>
    <row r="36" spans="1:5" ht="30" customHeight="1" x14ac:dyDescent="0.2">
      <c r="A36" s="54">
        <v>12122</v>
      </c>
      <c r="B36" s="46" t="s">
        <v>31</v>
      </c>
      <c r="C36" s="47">
        <f>+'PROYECCION INGRESOS FP 10'!M37</f>
        <v>0</v>
      </c>
      <c r="D36" s="51"/>
      <c r="E36" s="52"/>
    </row>
    <row r="37" spans="1:5" ht="30" customHeight="1" x14ac:dyDescent="0.2">
      <c r="A37" s="54">
        <v>12199</v>
      </c>
      <c r="B37" s="46" t="s">
        <v>79</v>
      </c>
      <c r="C37" s="47">
        <f>+'PROYECCION INGRESOS FP 10'!M38</f>
        <v>5662.42</v>
      </c>
      <c r="D37" s="51"/>
      <c r="E37" s="52"/>
    </row>
    <row r="38" spans="1:5" ht="30" customHeight="1" x14ac:dyDescent="0.2">
      <c r="A38" s="57" t="s">
        <v>80</v>
      </c>
      <c r="B38" s="42" t="s">
        <v>81</v>
      </c>
      <c r="C38" s="58">
        <f>SUM(C39:C40)</f>
        <v>142308.13299999997</v>
      </c>
      <c r="D38" s="58"/>
      <c r="E38" s="59"/>
    </row>
    <row r="39" spans="1:5" ht="30" customHeight="1" x14ac:dyDescent="0.2">
      <c r="A39" s="60">
        <v>12210</v>
      </c>
      <c r="B39" s="61" t="s">
        <v>35</v>
      </c>
      <c r="C39" s="47">
        <f>+'PROYECCION INGRESOS FP 10'!M40</f>
        <v>142308.13299999997</v>
      </c>
      <c r="D39" s="58"/>
      <c r="E39" s="59"/>
    </row>
    <row r="40" spans="1:5" ht="30" customHeight="1" x14ac:dyDescent="0.2">
      <c r="A40" s="62" t="s">
        <v>36</v>
      </c>
      <c r="B40" s="46" t="s">
        <v>37</v>
      </c>
      <c r="C40" s="47">
        <f>+'PROYECCION INGRESOS FP 10'!C41</f>
        <v>0</v>
      </c>
      <c r="D40" s="58"/>
      <c r="E40" s="59"/>
    </row>
    <row r="41" spans="1:5" ht="30" customHeight="1" x14ac:dyDescent="0.2">
      <c r="A41" s="176" t="s">
        <v>82</v>
      </c>
      <c r="B41" s="172" t="s">
        <v>83</v>
      </c>
      <c r="C41" s="177"/>
      <c r="D41" s="177">
        <f>+C44+C42+C46</f>
        <v>5038.3599999999997</v>
      </c>
      <c r="E41" s="178"/>
    </row>
    <row r="42" spans="1:5" ht="30" customHeight="1" x14ac:dyDescent="0.2">
      <c r="A42" s="57">
        <v>141</v>
      </c>
      <c r="B42" s="42" t="s">
        <v>121</v>
      </c>
      <c r="C42" s="58">
        <f>SUM(C43)</f>
        <v>0</v>
      </c>
      <c r="D42" s="58"/>
      <c r="E42" s="59"/>
    </row>
    <row r="43" spans="1:5" ht="30" customHeight="1" x14ac:dyDescent="0.2">
      <c r="A43" s="50" t="s">
        <v>38</v>
      </c>
      <c r="B43" s="63" t="s">
        <v>86</v>
      </c>
      <c r="C43" s="47">
        <f>+'PROYECCION INGRESOS FP 10'!C44</f>
        <v>0</v>
      </c>
      <c r="D43" s="58"/>
      <c r="E43" s="59"/>
    </row>
    <row r="44" spans="1:5" ht="30" customHeight="1" x14ac:dyDescent="0.2">
      <c r="A44" s="57" t="s">
        <v>87</v>
      </c>
      <c r="B44" s="64" t="s">
        <v>88</v>
      </c>
      <c r="C44" s="58">
        <f>SUM(C45:C45)</f>
        <v>4947</v>
      </c>
      <c r="D44" s="58"/>
      <c r="E44" s="59"/>
    </row>
    <row r="45" spans="1:5" ht="30" customHeight="1" x14ac:dyDescent="0.2">
      <c r="A45" s="50" t="s">
        <v>815</v>
      </c>
      <c r="B45" s="63" t="s">
        <v>816</v>
      </c>
      <c r="C45" s="47">
        <f>+'PROYECCION INGRESOS FP 10'!M46</f>
        <v>4947</v>
      </c>
      <c r="D45" s="58"/>
      <c r="E45" s="59"/>
    </row>
    <row r="46" spans="1:5" ht="30" customHeight="1" x14ac:dyDescent="0.2">
      <c r="A46" s="57">
        <v>143</v>
      </c>
      <c r="B46" s="64" t="s">
        <v>818</v>
      </c>
      <c r="C46" s="58">
        <f>SUM(C47:C47)</f>
        <v>91.36</v>
      </c>
      <c r="D46" s="58"/>
      <c r="E46" s="59"/>
    </row>
    <row r="47" spans="1:5" ht="30" customHeight="1" x14ac:dyDescent="0.2">
      <c r="A47" s="50" t="s">
        <v>819</v>
      </c>
      <c r="B47" s="63" t="s">
        <v>820</v>
      </c>
      <c r="C47" s="47">
        <f>+'PROYECCION INGRESOS FP 10'!M48</f>
        <v>91.36</v>
      </c>
      <c r="D47" s="58"/>
      <c r="E47" s="59"/>
    </row>
    <row r="48" spans="1:5" ht="30" customHeight="1" x14ac:dyDescent="0.2">
      <c r="A48" s="176" t="s">
        <v>89</v>
      </c>
      <c r="B48" s="179" t="s">
        <v>90</v>
      </c>
      <c r="C48" s="177"/>
      <c r="D48" s="177">
        <f>+C49+C58+C56</f>
        <v>68112.33</v>
      </c>
      <c r="E48" s="178"/>
    </row>
    <row r="49" spans="1:5" ht="30" customHeight="1" x14ac:dyDescent="0.2">
      <c r="A49" s="57" t="s">
        <v>122</v>
      </c>
      <c r="B49" s="64" t="s">
        <v>91</v>
      </c>
      <c r="C49" s="58">
        <f>SUM(C50:C55)</f>
        <v>4894.05</v>
      </c>
      <c r="D49" s="58"/>
      <c r="E49" s="59"/>
    </row>
    <row r="50" spans="1:5" ht="30" customHeight="1" x14ac:dyDescent="0.2">
      <c r="A50" s="60">
        <v>15301</v>
      </c>
      <c r="B50" s="65" t="s">
        <v>123</v>
      </c>
      <c r="C50" s="47">
        <f>+'PROYECCION INGRESOS FP 10'!C53</f>
        <v>1104.5999999999999</v>
      </c>
      <c r="D50" s="58"/>
      <c r="E50" s="59"/>
    </row>
    <row r="51" spans="1:5" ht="30" customHeight="1" x14ac:dyDescent="0.2">
      <c r="A51" s="60">
        <v>15302</v>
      </c>
      <c r="B51" s="65" t="s">
        <v>92</v>
      </c>
      <c r="C51" s="47">
        <f>+'PROYECCION INGRESOS FP 10'!C54</f>
        <v>1235.26</v>
      </c>
      <c r="D51" s="58"/>
      <c r="E51" s="59"/>
    </row>
    <row r="52" spans="1:5" ht="30" customHeight="1" x14ac:dyDescent="0.2">
      <c r="A52" s="60">
        <v>15310</v>
      </c>
      <c r="B52" s="65" t="s">
        <v>826</v>
      </c>
      <c r="C52" s="47">
        <f>+'PROYECCION INGRESOS FP 10'!C55</f>
        <v>0</v>
      </c>
      <c r="D52" s="58"/>
      <c r="E52" s="59"/>
    </row>
    <row r="53" spans="1:5" ht="30" customHeight="1" x14ac:dyDescent="0.2">
      <c r="A53" s="62">
        <v>15312</v>
      </c>
      <c r="B53" s="66" t="s">
        <v>93</v>
      </c>
      <c r="C53" s="47">
        <f>+'PROYECCION INGRESOS FP 10'!C56</f>
        <v>721.05</v>
      </c>
      <c r="D53" s="58"/>
      <c r="E53" s="59"/>
    </row>
    <row r="54" spans="1:5" ht="30" customHeight="1" x14ac:dyDescent="0.2">
      <c r="A54" s="62">
        <v>15313</v>
      </c>
      <c r="B54" s="66" t="s">
        <v>822</v>
      </c>
      <c r="C54" s="47">
        <f>+'PROYECCION INGRESOS FP 10'!C57</f>
        <v>365</v>
      </c>
      <c r="D54" s="58"/>
      <c r="E54" s="59"/>
    </row>
    <row r="55" spans="1:5" ht="30" customHeight="1" x14ac:dyDescent="0.2">
      <c r="A55" s="62">
        <v>15314</v>
      </c>
      <c r="B55" s="66" t="s">
        <v>46</v>
      </c>
      <c r="C55" s="47">
        <f>+'PROYECCION INGRESOS FP 10'!C58</f>
        <v>1468.14</v>
      </c>
      <c r="D55" s="58"/>
      <c r="E55" s="59"/>
    </row>
    <row r="56" spans="1:5" ht="30" customHeight="1" x14ac:dyDescent="0.2">
      <c r="A56" s="53">
        <v>154</v>
      </c>
      <c r="B56" s="64" t="s">
        <v>124</v>
      </c>
      <c r="C56" s="51">
        <f>SUM(C57)</f>
        <v>7658.14</v>
      </c>
      <c r="D56" s="51"/>
      <c r="E56" s="52"/>
    </row>
    <row r="57" spans="1:5" ht="30" customHeight="1" x14ac:dyDescent="0.2">
      <c r="A57" s="54">
        <v>15402</v>
      </c>
      <c r="B57" s="66" t="s">
        <v>95</v>
      </c>
      <c r="C57" s="47">
        <f>+'PROYECCION INGRESOS FP 10'!C60</f>
        <v>7658.14</v>
      </c>
      <c r="D57" s="67"/>
      <c r="E57" s="68"/>
    </row>
    <row r="58" spans="1:5" ht="30" customHeight="1" x14ac:dyDescent="0.2">
      <c r="A58" s="53" t="s">
        <v>96</v>
      </c>
      <c r="B58" s="64" t="s">
        <v>97</v>
      </c>
      <c r="C58" s="51">
        <f>SUM(C59:C61)</f>
        <v>55560.14</v>
      </c>
      <c r="D58" s="51"/>
      <c r="E58" s="52"/>
    </row>
    <row r="59" spans="1:5" ht="30" customHeight="1" x14ac:dyDescent="0.2">
      <c r="A59" s="54" t="s">
        <v>49</v>
      </c>
      <c r="B59" s="66" t="s">
        <v>50</v>
      </c>
      <c r="C59" s="47">
        <f>+'PROYECCION INGRESOS FP 10'!C62</f>
        <v>20712.32</v>
      </c>
      <c r="D59" s="67"/>
      <c r="E59" s="68"/>
    </row>
    <row r="60" spans="1:5" ht="30" customHeight="1" x14ac:dyDescent="0.2">
      <c r="A60" s="54" t="s">
        <v>49</v>
      </c>
      <c r="B60" s="66" t="s">
        <v>1109</v>
      </c>
      <c r="C60" s="47">
        <v>30884.85</v>
      </c>
      <c r="D60" s="67"/>
      <c r="E60" s="68"/>
    </row>
    <row r="61" spans="1:5" ht="30" customHeight="1" x14ac:dyDescent="0.2">
      <c r="A61" s="54" t="s">
        <v>51</v>
      </c>
      <c r="B61" s="66" t="s">
        <v>52</v>
      </c>
      <c r="C61" s="47">
        <f>+'PROYECCION INGRESOS FP 10'!C63</f>
        <v>3962.97</v>
      </c>
      <c r="D61" s="67"/>
      <c r="E61" s="68"/>
    </row>
    <row r="62" spans="1:5" ht="30" customHeight="1" x14ac:dyDescent="0.2">
      <c r="A62" s="175" t="s">
        <v>99</v>
      </c>
      <c r="B62" s="179" t="s">
        <v>100</v>
      </c>
      <c r="C62" s="173"/>
      <c r="D62" s="173">
        <f>C63+C67</f>
        <v>2149259.4000000004</v>
      </c>
      <c r="E62" s="174"/>
    </row>
    <row r="63" spans="1:5" ht="40.35" customHeight="1" x14ac:dyDescent="0.2">
      <c r="A63" s="53" t="s">
        <v>101</v>
      </c>
      <c r="B63" s="64" t="s">
        <v>102</v>
      </c>
      <c r="C63" s="51">
        <f>SUM(C64+C65+C66)</f>
        <v>2149259.4000000004</v>
      </c>
      <c r="D63" s="51"/>
      <c r="E63" s="52"/>
    </row>
    <row r="64" spans="1:5" ht="48.75" customHeight="1" x14ac:dyDescent="0.2">
      <c r="A64" s="54">
        <v>1620701</v>
      </c>
      <c r="B64" s="66" t="s">
        <v>398</v>
      </c>
      <c r="C64" s="47">
        <f>+'PROYCCFODES FUNCIONAMIENTO 2024'!C7</f>
        <v>642152.01</v>
      </c>
      <c r="D64" s="51"/>
      <c r="E64" s="52"/>
    </row>
    <row r="65" spans="1:5" ht="48.75" customHeight="1" x14ac:dyDescent="0.2">
      <c r="A65" s="54">
        <v>1620701</v>
      </c>
      <c r="B65" s="66" t="s">
        <v>399</v>
      </c>
      <c r="C65" s="47">
        <f>+'PROYCCFODES FUNCIONAMIENTO 2024'!C8</f>
        <v>320000.03000000003</v>
      </c>
      <c r="D65" s="51"/>
      <c r="E65" s="52"/>
    </row>
    <row r="66" spans="1:5" ht="48.75" customHeight="1" x14ac:dyDescent="0.2">
      <c r="A66" s="54">
        <v>1620703</v>
      </c>
      <c r="B66" s="66" t="s">
        <v>447</v>
      </c>
      <c r="C66" s="47">
        <f>+'PROYCCFODES FUNCIONAMIENTO 2024'!C9</f>
        <v>1187107.3600000001</v>
      </c>
      <c r="D66" s="51"/>
      <c r="E66" s="52"/>
    </row>
    <row r="67" spans="1:5" ht="35.1" customHeight="1" x14ac:dyDescent="0.2">
      <c r="A67" s="53">
        <v>163</v>
      </c>
      <c r="B67" s="69" t="s">
        <v>125</v>
      </c>
      <c r="C67" s="67">
        <f>C68</f>
        <v>0</v>
      </c>
      <c r="D67" s="51">
        <v>0</v>
      </c>
      <c r="E67" s="52"/>
    </row>
    <row r="68" spans="1:5" ht="30" customHeight="1" x14ac:dyDescent="0.2">
      <c r="A68" s="50" t="s">
        <v>252</v>
      </c>
      <c r="B68" s="66" t="s">
        <v>267</v>
      </c>
      <c r="C68" s="47">
        <f>'PROYECCION INGRESOS FP 10'!G62</f>
        <v>0</v>
      </c>
      <c r="D68" s="51"/>
      <c r="E68" s="52"/>
    </row>
    <row r="69" spans="1:5" ht="30" customHeight="1" x14ac:dyDescent="0.2">
      <c r="A69" s="175">
        <v>21</v>
      </c>
      <c r="B69" s="179" t="s">
        <v>823</v>
      </c>
      <c r="C69" s="173"/>
      <c r="D69" s="173">
        <f>+C70</f>
        <v>1508.61</v>
      </c>
      <c r="E69" s="174"/>
    </row>
    <row r="70" spans="1:5" ht="30" customHeight="1" x14ac:dyDescent="0.2">
      <c r="A70" s="53">
        <v>212</v>
      </c>
      <c r="B70" s="69" t="s">
        <v>824</v>
      </c>
      <c r="C70" s="67">
        <f>+C71</f>
        <v>1508.61</v>
      </c>
      <c r="D70" s="51"/>
      <c r="E70" s="52"/>
    </row>
    <row r="71" spans="1:5" ht="30" customHeight="1" x14ac:dyDescent="0.2">
      <c r="A71" s="54">
        <v>21201</v>
      </c>
      <c r="B71" s="66" t="s">
        <v>825</v>
      </c>
      <c r="C71" s="47">
        <f>+'PROYECCION INGRESOS FP 10'!C70</f>
        <v>1508.61</v>
      </c>
      <c r="D71" s="51"/>
      <c r="E71" s="52"/>
    </row>
    <row r="72" spans="1:5" ht="30" customHeight="1" x14ac:dyDescent="0.2">
      <c r="A72" s="627" t="s">
        <v>964</v>
      </c>
      <c r="B72" s="628" t="s">
        <v>961</v>
      </c>
      <c r="C72" s="629"/>
      <c r="D72" s="629">
        <f>C73</f>
        <v>29598.3</v>
      </c>
      <c r="E72" s="630"/>
    </row>
    <row r="73" spans="1:5" ht="30" customHeight="1" x14ac:dyDescent="0.2">
      <c r="A73" s="41" t="s">
        <v>965</v>
      </c>
      <c r="B73" s="626" t="s">
        <v>966</v>
      </c>
      <c r="C73" s="51">
        <f>C74+C75</f>
        <v>29598.3</v>
      </c>
      <c r="D73" s="51"/>
      <c r="E73" s="52"/>
    </row>
    <row r="74" spans="1:5" ht="30" customHeight="1" x14ac:dyDescent="0.2">
      <c r="A74" s="50" t="s">
        <v>967</v>
      </c>
      <c r="B74" s="46" t="s">
        <v>968</v>
      </c>
      <c r="C74" s="47">
        <f>+'PROYCCFODES FUNCIONAMIENTO 2024'!C13</f>
        <v>29598.3</v>
      </c>
      <c r="D74" s="47"/>
      <c r="E74" s="71"/>
    </row>
    <row r="75" spans="1:5" ht="30" customHeight="1" x14ac:dyDescent="0.2">
      <c r="A75" s="171" t="s">
        <v>104</v>
      </c>
      <c r="B75" s="172" t="s">
        <v>126</v>
      </c>
      <c r="C75" s="173"/>
      <c r="D75" s="173"/>
      <c r="E75" s="174">
        <f>D76</f>
        <v>0</v>
      </c>
    </row>
    <row r="76" spans="1:5" ht="30" customHeight="1" x14ac:dyDescent="0.2">
      <c r="A76" s="41" t="s">
        <v>105</v>
      </c>
      <c r="B76" s="42" t="s">
        <v>127</v>
      </c>
      <c r="C76" s="70"/>
      <c r="D76" s="51">
        <f>+C77</f>
        <v>0</v>
      </c>
      <c r="E76" s="52"/>
    </row>
    <row r="77" spans="1:5" ht="30" customHeight="1" x14ac:dyDescent="0.2">
      <c r="A77" s="50" t="s">
        <v>253</v>
      </c>
      <c r="B77" s="46" t="s">
        <v>268</v>
      </c>
      <c r="C77" s="89">
        <f>'[1]ESTIMAC.Y PROYEC.DE INGRESOS 1'!I74</f>
        <v>0</v>
      </c>
      <c r="D77" s="72"/>
      <c r="E77" s="73"/>
    </row>
    <row r="78" spans="1:5" ht="30" customHeight="1" x14ac:dyDescent="0.2">
      <c r="A78" s="175">
        <v>32</v>
      </c>
      <c r="B78" s="179" t="s">
        <v>829</v>
      </c>
      <c r="C78" s="173"/>
      <c r="D78" s="173">
        <f>+C79+C88</f>
        <v>5860765.5000000009</v>
      </c>
      <c r="E78" s="174"/>
    </row>
    <row r="79" spans="1:5" ht="30" customHeight="1" x14ac:dyDescent="0.2">
      <c r="A79" s="41" t="s">
        <v>108</v>
      </c>
      <c r="B79" s="42" t="s">
        <v>109</v>
      </c>
      <c r="C79" s="70">
        <f>+C80+C81+C82+C83+C84+C85+C86+C87</f>
        <v>5580227.5000000009</v>
      </c>
      <c r="D79" s="51"/>
      <c r="E79" s="52"/>
    </row>
    <row r="80" spans="1:5" ht="30" customHeight="1" x14ac:dyDescent="0.2">
      <c r="A80" s="50" t="s">
        <v>110</v>
      </c>
      <c r="B80" s="545" t="s">
        <v>111</v>
      </c>
      <c r="C80" s="333">
        <v>0</v>
      </c>
      <c r="D80" s="47" t="s">
        <v>58</v>
      </c>
      <c r="E80" s="71"/>
    </row>
    <row r="81" spans="1:5" ht="30" customHeight="1" x14ac:dyDescent="0.2">
      <c r="A81" s="74" t="s">
        <v>53</v>
      </c>
      <c r="B81" s="545" t="s">
        <v>112</v>
      </c>
      <c r="C81" s="333">
        <v>68877.42</v>
      </c>
      <c r="D81" s="47"/>
      <c r="E81" s="71"/>
    </row>
    <row r="82" spans="1:5" ht="30" customHeight="1" x14ac:dyDescent="0.2">
      <c r="A82" s="74" t="s">
        <v>53</v>
      </c>
      <c r="B82" s="425" t="s">
        <v>848</v>
      </c>
      <c r="C82" s="333">
        <v>588</v>
      </c>
      <c r="D82" s="47"/>
      <c r="E82" s="71"/>
    </row>
    <row r="83" spans="1:5" ht="48" customHeight="1" x14ac:dyDescent="0.2">
      <c r="A83" s="74" t="s">
        <v>53</v>
      </c>
      <c r="B83" s="425" t="s">
        <v>891</v>
      </c>
      <c r="C83" s="333">
        <f>5421082.78</f>
        <v>5421082.7800000003</v>
      </c>
      <c r="D83" s="47"/>
      <c r="E83" s="71"/>
    </row>
    <row r="84" spans="1:5" ht="32.25" customHeight="1" x14ac:dyDescent="0.2">
      <c r="A84" s="74" t="s">
        <v>53</v>
      </c>
      <c r="B84" s="425" t="s">
        <v>830</v>
      </c>
      <c r="C84" s="333">
        <v>46444.59</v>
      </c>
      <c r="D84" s="47"/>
      <c r="E84" s="71"/>
    </row>
    <row r="85" spans="1:5" ht="32.25" customHeight="1" x14ac:dyDescent="0.2">
      <c r="A85" s="74" t="s">
        <v>53</v>
      </c>
      <c r="B85" s="425" t="s">
        <v>450</v>
      </c>
      <c r="C85" s="333">
        <v>20301.73</v>
      </c>
      <c r="D85" s="47"/>
      <c r="E85" s="71"/>
    </row>
    <row r="86" spans="1:5" ht="30" customHeight="1" x14ac:dyDescent="0.2">
      <c r="A86" s="74" t="s">
        <v>53</v>
      </c>
      <c r="B86" s="425" t="s">
        <v>438</v>
      </c>
      <c r="C86" s="333">
        <v>14691.5</v>
      </c>
      <c r="D86" s="47"/>
      <c r="E86" s="71"/>
    </row>
    <row r="87" spans="1:5" ht="30" customHeight="1" x14ac:dyDescent="0.2">
      <c r="A87" s="74" t="s">
        <v>53</v>
      </c>
      <c r="B87" s="425" t="s">
        <v>885</v>
      </c>
      <c r="C87" s="333">
        <v>8241.48</v>
      </c>
      <c r="D87" s="47"/>
      <c r="E87" s="302"/>
    </row>
    <row r="88" spans="1:5" ht="30" customHeight="1" x14ac:dyDescent="0.2">
      <c r="A88" s="41" t="s">
        <v>827</v>
      </c>
      <c r="B88" s="42" t="s">
        <v>828</v>
      </c>
      <c r="C88" s="51">
        <f>+C89+C90</f>
        <v>280538</v>
      </c>
      <c r="D88" s="51"/>
      <c r="E88" s="302"/>
    </row>
    <row r="89" spans="1:5" ht="36" customHeight="1" x14ac:dyDescent="0.2">
      <c r="A89" s="74" t="s">
        <v>361</v>
      </c>
      <c r="B89" s="31" t="s">
        <v>1107</v>
      </c>
      <c r="C89" s="485">
        <f>+'CONSOLIDADO DE INGRESOS 8'!C73</f>
        <v>160538</v>
      </c>
      <c r="D89" s="301"/>
      <c r="E89" s="302"/>
    </row>
    <row r="90" spans="1:5" ht="36.75" customHeight="1" x14ac:dyDescent="0.2">
      <c r="A90" s="74" t="s">
        <v>361</v>
      </c>
      <c r="B90" s="31" t="s">
        <v>1108</v>
      </c>
      <c r="C90" s="301">
        <f>+'CONSOLIDADO DE INGRESOS 8'!E74</f>
        <v>120000</v>
      </c>
      <c r="D90" s="301"/>
      <c r="E90" s="302"/>
    </row>
    <row r="91" spans="1:5" ht="38.25" customHeight="1" thickBot="1" x14ac:dyDescent="0.25">
      <c r="A91" s="1438" t="s">
        <v>128</v>
      </c>
      <c r="B91" s="1438"/>
      <c r="C91" s="1438"/>
      <c r="D91" s="1438"/>
      <c r="E91" s="180">
        <f>E4+E78+E75+E72</f>
        <v>11342949.442400003</v>
      </c>
    </row>
  </sheetData>
  <mergeCells count="3">
    <mergeCell ref="A1:E1"/>
    <mergeCell ref="A2:E2"/>
    <mergeCell ref="A91:D91"/>
  </mergeCells>
  <phoneticPr fontId="3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5" firstPageNumber="0" orientation="portrait" r:id="rId1"/>
  <headerFooter alignWithMargins="0"/>
  <rowBreaks count="3" manualBreakCount="3">
    <brk id="26" max="16383" man="1"/>
    <brk id="49" max="4" man="1"/>
    <brk id="70" max="4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N83"/>
  <sheetViews>
    <sheetView view="pageBreakPreview" topLeftCell="D74" zoomScale="112" zoomScaleNormal="115" zoomScaleSheetLayoutView="112" workbookViewId="0">
      <selection activeCell="M76" sqref="M76"/>
    </sheetView>
  </sheetViews>
  <sheetFormatPr baseColWidth="10" defaultRowHeight="12.75" x14ac:dyDescent="0.2"/>
  <cols>
    <col min="1" max="1" width="7" customWidth="1"/>
    <col min="2" max="2" width="21.42578125" customWidth="1"/>
    <col min="3" max="3" width="13.7109375" customWidth="1"/>
    <col min="4" max="4" width="5.5703125" customWidth="1"/>
    <col min="5" max="5" width="13.42578125" customWidth="1"/>
    <col min="6" max="6" width="6.28515625" customWidth="1"/>
    <col min="7" max="7" width="12.28515625" bestFit="1" customWidth="1"/>
    <col min="8" max="8" width="5.42578125" customWidth="1"/>
    <col min="9" max="9" width="12.7109375" bestFit="1" customWidth="1"/>
    <col min="10" max="10" width="4.85546875" customWidth="1"/>
    <col min="11" max="11" width="11.42578125" bestFit="1" customWidth="1"/>
    <col min="12" max="12" width="4.85546875" customWidth="1"/>
    <col min="13" max="13" width="14.85546875" customWidth="1"/>
    <col min="14" max="14" width="0.85546875" hidden="1" customWidth="1"/>
  </cols>
  <sheetData>
    <row r="1" spans="1:13" ht="13.5" customHeight="1" thickBot="1" x14ac:dyDescent="0.25">
      <c r="A1" s="1444" t="s">
        <v>1150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6"/>
    </row>
    <row r="2" spans="1:13" ht="75" customHeight="1" thickBot="1" x14ac:dyDescent="0.25">
      <c r="A2" s="1447"/>
      <c r="B2" s="1448"/>
      <c r="C2" s="1448"/>
      <c r="D2" s="1448"/>
      <c r="E2" s="1448"/>
      <c r="F2" s="1448"/>
      <c r="G2" s="1448"/>
      <c r="H2" s="1448"/>
      <c r="I2" s="1448"/>
      <c r="J2" s="1448"/>
      <c r="K2" s="1448"/>
      <c r="L2" s="1448"/>
      <c r="M2" s="1449"/>
    </row>
    <row r="3" spans="1:13" ht="45" customHeight="1" x14ac:dyDescent="0.2">
      <c r="A3" s="1032" t="s">
        <v>55</v>
      </c>
      <c r="B3" s="274" t="s">
        <v>56</v>
      </c>
      <c r="C3" s="275" t="s">
        <v>1160</v>
      </c>
      <c r="D3" s="1450" t="s">
        <v>349</v>
      </c>
      <c r="E3" s="1450"/>
      <c r="F3" s="1451" t="s">
        <v>350</v>
      </c>
      <c r="G3" s="1451"/>
      <c r="H3" s="1450" t="s">
        <v>351</v>
      </c>
      <c r="I3" s="1450"/>
      <c r="J3" s="1450" t="s">
        <v>352</v>
      </c>
      <c r="K3" s="1450"/>
      <c r="L3" s="1439" t="s">
        <v>513</v>
      </c>
      <c r="M3" s="1440"/>
    </row>
    <row r="4" spans="1:13" ht="24.95" customHeight="1" x14ac:dyDescent="0.2">
      <c r="A4" s="1000"/>
      <c r="B4" s="276"/>
      <c r="C4" s="277" t="s">
        <v>353</v>
      </c>
      <c r="D4" s="278" t="s">
        <v>354</v>
      </c>
      <c r="E4" s="279" t="s">
        <v>353</v>
      </c>
      <c r="F4" s="279" t="s">
        <v>354</v>
      </c>
      <c r="G4" s="279" t="s">
        <v>353</v>
      </c>
      <c r="H4" s="280" t="s">
        <v>354</v>
      </c>
      <c r="I4" s="281" t="s">
        <v>353</v>
      </c>
      <c r="J4" s="280" t="s">
        <v>354</v>
      </c>
      <c r="K4" s="279" t="s">
        <v>353</v>
      </c>
      <c r="L4" s="280" t="s">
        <v>354</v>
      </c>
      <c r="M4" s="1001"/>
    </row>
    <row r="5" spans="1:13" ht="24.95" customHeight="1" x14ac:dyDescent="0.2">
      <c r="A5" s="1002"/>
      <c r="B5" s="256" t="s">
        <v>57</v>
      </c>
      <c r="C5" s="28">
        <f>+C6+C23+C42+C49+C65+C68</f>
        <v>2419842.2299999995</v>
      </c>
      <c r="D5" s="257"/>
      <c r="E5" s="29">
        <f>E6</f>
        <v>635491.42989999999</v>
      </c>
      <c r="F5" s="122" t="s">
        <v>58</v>
      </c>
      <c r="G5" s="28">
        <f>G6+G23</f>
        <v>217107.73249999998</v>
      </c>
      <c r="H5" s="257"/>
      <c r="I5" s="258">
        <f>I6+I23</f>
        <v>0</v>
      </c>
      <c r="J5" s="257"/>
      <c r="K5" s="258">
        <f>SUM(K6+K23+K42+K49)</f>
        <v>0</v>
      </c>
      <c r="L5" s="257"/>
      <c r="M5" s="1003">
        <f>M6+M23+M42+M49+M65+M68</f>
        <v>3272441.3923999998</v>
      </c>
    </row>
    <row r="6" spans="1:13" ht="24.95" customHeight="1" x14ac:dyDescent="0.2">
      <c r="A6" s="1004" t="s">
        <v>59</v>
      </c>
      <c r="B6" s="225" t="s">
        <v>60</v>
      </c>
      <c r="C6" s="226">
        <f>C7</f>
        <v>1270502.3499999999</v>
      </c>
      <c r="D6" s="282"/>
      <c r="E6" s="226">
        <f>E7+E24+E43+E50+E59+E61+E69+E52+E39</f>
        <v>635491.42989999999</v>
      </c>
      <c r="F6" s="283"/>
      <c r="G6" s="226">
        <f>G7</f>
        <v>145755.27149999997</v>
      </c>
      <c r="H6" s="282"/>
      <c r="I6" s="284">
        <f>I7</f>
        <v>0</v>
      </c>
      <c r="J6" s="285"/>
      <c r="K6" s="284">
        <v>0</v>
      </c>
      <c r="L6" s="282"/>
      <c r="M6" s="1005">
        <f>M7</f>
        <v>1801166.5818999999</v>
      </c>
    </row>
    <row r="7" spans="1:13" ht="24.95" customHeight="1" x14ac:dyDescent="0.2">
      <c r="A7" s="1002" t="s">
        <v>61</v>
      </c>
      <c r="B7" s="30" t="s">
        <v>62</v>
      </c>
      <c r="C7" s="29">
        <f>+C8+C9+C10+C11+C12+C13+C14+C15+C16+C17+C18+C19+C20+C21+C22</f>
        <v>1270502.3499999999</v>
      </c>
      <c r="D7" s="257"/>
      <c r="E7" s="29">
        <f>E8+E9+E10+E11+E12+E13+E14+E15+E16+E17+E18+E19+E20+E21+E22</f>
        <v>384908.96039999998</v>
      </c>
      <c r="F7" s="122"/>
      <c r="G7" s="29">
        <f>G8+G9+G10+G11+G12+G13+G14+G15+G16+G17+G18+G19+G20+G21+G22</f>
        <v>145755.27149999997</v>
      </c>
      <c r="H7" s="257"/>
      <c r="I7" s="260">
        <f>I8+I9+I10+I11+I12+I13+I14+I15+I16+I17+I18+I19+I20+I21+I22</f>
        <v>0</v>
      </c>
      <c r="J7" s="261"/>
      <c r="K7" s="260">
        <f>K8+K9+K10+K11+K12+K13+K14+K15+K16+K17+K18+K19+K20+K21+K22</f>
        <v>0</v>
      </c>
      <c r="L7" s="257"/>
      <c r="M7" s="1006">
        <f>+M8+M9+M10+M11+M12+M13+M14+M15+M16+M17+M18+M19+M20+M21+M22</f>
        <v>1801166.5818999999</v>
      </c>
    </row>
    <row r="8" spans="1:13" ht="24.95" customHeight="1" x14ac:dyDescent="0.2">
      <c r="A8" s="1007" t="s">
        <v>10</v>
      </c>
      <c r="B8" s="31" t="s">
        <v>63</v>
      </c>
      <c r="C8" s="32">
        <v>307019.78999999998</v>
      </c>
      <c r="D8" s="124">
        <v>0.35</v>
      </c>
      <c r="E8" s="32">
        <f t="shared" ref="E8:E22" si="0">+C8*D8</f>
        <v>107456.92649999999</v>
      </c>
      <c r="F8" s="124">
        <v>0.3</v>
      </c>
      <c r="G8" s="32">
        <f>SUM(C8*F8)</f>
        <v>92105.936999999991</v>
      </c>
      <c r="H8" s="125">
        <v>0</v>
      </c>
      <c r="I8" s="263">
        <f>C8*H8</f>
        <v>0</v>
      </c>
      <c r="J8" s="259"/>
      <c r="K8" s="263">
        <v>0</v>
      </c>
      <c r="L8" s="259"/>
      <c r="M8" s="1008">
        <f>SUM(K8+I8+G8+E8+C8)</f>
        <v>506582.65349999996</v>
      </c>
    </row>
    <row r="9" spans="1:13" ht="24.95" customHeight="1" x14ac:dyDescent="0.2">
      <c r="A9" s="1007">
        <v>11802</v>
      </c>
      <c r="B9" s="31" t="s">
        <v>64</v>
      </c>
      <c r="C9" s="32">
        <v>471888.41</v>
      </c>
      <c r="D9" s="124">
        <v>0.3</v>
      </c>
      <c r="E9" s="32">
        <f t="shared" si="0"/>
        <v>141566.52299999999</v>
      </c>
      <c r="F9" s="124">
        <v>0</v>
      </c>
      <c r="G9" s="32">
        <f>SUM(C9*F9)</f>
        <v>0</v>
      </c>
      <c r="H9" s="124">
        <v>0</v>
      </c>
      <c r="I9" s="263">
        <f>C9*H9</f>
        <v>0</v>
      </c>
      <c r="J9" s="259"/>
      <c r="K9" s="263">
        <v>0</v>
      </c>
      <c r="L9" s="259"/>
      <c r="M9" s="1008">
        <f t="shared" ref="M9:M22" si="1">SUM(K9+I9+G9+E9+C9)</f>
        <v>613454.93299999996</v>
      </c>
    </row>
    <row r="10" spans="1:13" ht="24.95" customHeight="1" x14ac:dyDescent="0.2">
      <c r="A10" s="1007">
        <v>11803</v>
      </c>
      <c r="B10" s="31" t="s">
        <v>793</v>
      </c>
      <c r="C10" s="32">
        <v>67621.98</v>
      </c>
      <c r="D10" s="124">
        <v>0</v>
      </c>
      <c r="E10" s="32">
        <f t="shared" si="0"/>
        <v>0</v>
      </c>
      <c r="F10" s="124">
        <v>0</v>
      </c>
      <c r="G10" s="32">
        <f>SUM(C10*F10)</f>
        <v>0</v>
      </c>
      <c r="H10" s="124">
        <v>0</v>
      </c>
      <c r="I10" s="263">
        <f>C10*H10</f>
        <v>0</v>
      </c>
      <c r="J10" s="259"/>
      <c r="K10" s="263">
        <v>0</v>
      </c>
      <c r="L10" s="259"/>
      <c r="M10" s="1008">
        <f t="shared" si="1"/>
        <v>67621.98</v>
      </c>
    </row>
    <row r="11" spans="1:13" ht="24.95" customHeight="1" x14ac:dyDescent="0.2">
      <c r="A11" s="1009" t="s">
        <v>14</v>
      </c>
      <c r="B11" s="31" t="s">
        <v>65</v>
      </c>
      <c r="C11" s="32">
        <v>357662.23</v>
      </c>
      <c r="D11" s="124">
        <v>0.35</v>
      </c>
      <c r="E11" s="32">
        <f t="shared" si="0"/>
        <v>125181.78049999998</v>
      </c>
      <c r="F11" s="124">
        <v>0.15</v>
      </c>
      <c r="G11" s="32">
        <f>SUM(C11*F11)</f>
        <v>53649.334499999997</v>
      </c>
      <c r="H11" s="125">
        <v>0</v>
      </c>
      <c r="I11" s="263">
        <f>C11*H11</f>
        <v>0</v>
      </c>
      <c r="J11" s="262"/>
      <c r="K11" s="263">
        <v>0</v>
      </c>
      <c r="L11" s="259"/>
      <c r="M11" s="1008">
        <f t="shared" si="1"/>
        <v>536493.34499999997</v>
      </c>
    </row>
    <row r="12" spans="1:13" ht="24.95" customHeight="1" x14ac:dyDescent="0.2">
      <c r="A12" s="1009" t="s">
        <v>794</v>
      </c>
      <c r="B12" s="31" t="s">
        <v>795</v>
      </c>
      <c r="C12" s="32">
        <v>50.74</v>
      </c>
      <c r="D12" s="124">
        <v>0</v>
      </c>
      <c r="E12" s="32">
        <f>+C12*D12</f>
        <v>0</v>
      </c>
      <c r="F12" s="124">
        <v>0</v>
      </c>
      <c r="G12" s="32">
        <f t="shared" ref="G12:G22" si="2">SUM(C12*F12)</f>
        <v>0</v>
      </c>
      <c r="H12" s="125"/>
      <c r="I12" s="263">
        <f t="shared" ref="I12:I22" si="3">C12*H12</f>
        <v>0</v>
      </c>
      <c r="J12" s="262"/>
      <c r="K12" s="263">
        <v>0</v>
      </c>
      <c r="L12" s="259"/>
      <c r="M12" s="1008">
        <f t="shared" si="1"/>
        <v>50.74</v>
      </c>
    </row>
    <row r="13" spans="1:13" ht="24.95" customHeight="1" x14ac:dyDescent="0.2">
      <c r="A13" s="1009" t="s">
        <v>796</v>
      </c>
      <c r="B13" s="31" t="s">
        <v>797</v>
      </c>
      <c r="C13" s="32">
        <v>492.25</v>
      </c>
      <c r="D13" s="124">
        <v>0</v>
      </c>
      <c r="E13" s="32">
        <v>0</v>
      </c>
      <c r="F13" s="124">
        <v>0</v>
      </c>
      <c r="G13" s="32">
        <f t="shared" si="2"/>
        <v>0</v>
      </c>
      <c r="H13" s="125"/>
      <c r="I13" s="263">
        <f t="shared" si="3"/>
        <v>0</v>
      </c>
      <c r="J13" s="262"/>
      <c r="K13" s="263">
        <v>0</v>
      </c>
      <c r="L13" s="259"/>
      <c r="M13" s="1008">
        <f t="shared" si="1"/>
        <v>492.25</v>
      </c>
    </row>
    <row r="14" spans="1:13" ht="24.95" customHeight="1" x14ac:dyDescent="0.2">
      <c r="A14" s="1009" t="s">
        <v>798</v>
      </c>
      <c r="B14" s="31" t="s">
        <v>799</v>
      </c>
      <c r="C14" s="32">
        <v>0</v>
      </c>
      <c r="D14" s="124">
        <v>0</v>
      </c>
      <c r="E14" s="32">
        <f>+C14*D14</f>
        <v>0</v>
      </c>
      <c r="F14" s="124">
        <v>0</v>
      </c>
      <c r="G14" s="32">
        <f t="shared" si="2"/>
        <v>0</v>
      </c>
      <c r="H14" s="125"/>
      <c r="I14" s="263">
        <f t="shared" si="3"/>
        <v>0</v>
      </c>
      <c r="J14" s="262"/>
      <c r="K14" s="263">
        <v>0</v>
      </c>
      <c r="L14" s="259"/>
      <c r="M14" s="1008">
        <f t="shared" si="1"/>
        <v>0</v>
      </c>
    </row>
    <row r="15" spans="1:13" ht="24.95" customHeight="1" x14ac:dyDescent="0.2">
      <c r="A15" s="1009" t="s">
        <v>800</v>
      </c>
      <c r="B15" s="31" t="s">
        <v>801</v>
      </c>
      <c r="C15" s="32">
        <v>1258.77</v>
      </c>
      <c r="D15" s="124">
        <v>0</v>
      </c>
      <c r="E15" s="32">
        <f>+C15*D15</f>
        <v>0</v>
      </c>
      <c r="F15" s="124">
        <v>0</v>
      </c>
      <c r="G15" s="32">
        <f t="shared" si="2"/>
        <v>0</v>
      </c>
      <c r="H15" s="125"/>
      <c r="I15" s="263">
        <f t="shared" si="3"/>
        <v>0</v>
      </c>
      <c r="J15" s="262"/>
      <c r="K15" s="263">
        <v>0</v>
      </c>
      <c r="L15" s="259"/>
      <c r="M15" s="1008">
        <f t="shared" si="1"/>
        <v>1258.77</v>
      </c>
    </row>
    <row r="16" spans="1:13" ht="24.95" customHeight="1" x14ac:dyDescent="0.2">
      <c r="A16" s="1009" t="s">
        <v>802</v>
      </c>
      <c r="B16" s="31" t="s">
        <v>803</v>
      </c>
      <c r="C16" s="32">
        <v>1106.3</v>
      </c>
      <c r="D16" s="124">
        <v>0</v>
      </c>
      <c r="E16" s="32">
        <f t="shared" si="0"/>
        <v>0</v>
      </c>
      <c r="F16" s="124">
        <v>0</v>
      </c>
      <c r="G16" s="32">
        <f t="shared" si="2"/>
        <v>0</v>
      </c>
      <c r="H16" s="125"/>
      <c r="I16" s="263">
        <f t="shared" si="3"/>
        <v>0</v>
      </c>
      <c r="J16" s="262"/>
      <c r="K16" s="263">
        <v>0</v>
      </c>
      <c r="L16" s="259"/>
      <c r="M16" s="1008">
        <f t="shared" si="1"/>
        <v>1106.3</v>
      </c>
    </row>
    <row r="17" spans="1:13" ht="24.95" customHeight="1" x14ac:dyDescent="0.2">
      <c r="A17" s="1009" t="s">
        <v>804</v>
      </c>
      <c r="B17" s="31" t="s">
        <v>805</v>
      </c>
      <c r="C17" s="32">
        <v>314.17</v>
      </c>
      <c r="D17" s="124">
        <v>0</v>
      </c>
      <c r="E17" s="32">
        <f t="shared" si="0"/>
        <v>0</v>
      </c>
      <c r="F17" s="124">
        <v>0</v>
      </c>
      <c r="G17" s="32">
        <f t="shared" si="2"/>
        <v>0</v>
      </c>
      <c r="H17" s="125"/>
      <c r="I17" s="263">
        <f t="shared" si="3"/>
        <v>0</v>
      </c>
      <c r="J17" s="262"/>
      <c r="K17" s="263">
        <v>0</v>
      </c>
      <c r="L17" s="259"/>
      <c r="M17" s="1008">
        <f t="shared" si="1"/>
        <v>314.17</v>
      </c>
    </row>
    <row r="18" spans="1:13" ht="24.95" customHeight="1" x14ac:dyDescent="0.2">
      <c r="A18" s="1009" t="s">
        <v>806</v>
      </c>
      <c r="B18" s="31" t="s">
        <v>834</v>
      </c>
      <c r="C18" s="32">
        <v>422.6</v>
      </c>
      <c r="D18" s="124">
        <v>0</v>
      </c>
      <c r="E18" s="32">
        <f t="shared" si="0"/>
        <v>0</v>
      </c>
      <c r="F18" s="124">
        <v>0</v>
      </c>
      <c r="G18" s="32">
        <f t="shared" si="2"/>
        <v>0</v>
      </c>
      <c r="H18" s="125"/>
      <c r="I18" s="263">
        <f t="shared" si="3"/>
        <v>0</v>
      </c>
      <c r="J18" s="262"/>
      <c r="K18" s="263">
        <v>0</v>
      </c>
      <c r="L18" s="259"/>
      <c r="M18" s="1008">
        <f t="shared" si="1"/>
        <v>422.6</v>
      </c>
    </row>
    <row r="19" spans="1:13" ht="24.95" customHeight="1" x14ac:dyDescent="0.2">
      <c r="A19" s="1009" t="s">
        <v>807</v>
      </c>
      <c r="B19" s="31" t="s">
        <v>808</v>
      </c>
      <c r="C19" s="32">
        <v>4370.8999999999996</v>
      </c>
      <c r="D19" s="124">
        <v>0</v>
      </c>
      <c r="E19" s="32">
        <f t="shared" si="0"/>
        <v>0</v>
      </c>
      <c r="F19" s="124">
        <v>0</v>
      </c>
      <c r="G19" s="32">
        <f t="shared" si="2"/>
        <v>0</v>
      </c>
      <c r="H19" s="125"/>
      <c r="I19" s="263">
        <f t="shared" si="3"/>
        <v>0</v>
      </c>
      <c r="J19" s="262"/>
      <c r="K19" s="263">
        <v>0</v>
      </c>
      <c r="L19" s="259"/>
      <c r="M19" s="1008">
        <f t="shared" si="1"/>
        <v>4370.8999999999996</v>
      </c>
    </row>
    <row r="20" spans="1:13" ht="24.95" customHeight="1" x14ac:dyDescent="0.2">
      <c r="A20" s="1009" t="s">
        <v>809</v>
      </c>
      <c r="B20" s="31" t="s">
        <v>810</v>
      </c>
      <c r="C20" s="32">
        <v>9874.7199999999993</v>
      </c>
      <c r="D20" s="124">
        <v>0.15</v>
      </c>
      <c r="E20" s="32">
        <f t="shared" si="0"/>
        <v>1481.2079999999999</v>
      </c>
      <c r="F20" s="124">
        <v>0</v>
      </c>
      <c r="G20" s="32">
        <f t="shared" si="2"/>
        <v>0</v>
      </c>
      <c r="H20" s="125"/>
      <c r="I20" s="263">
        <f t="shared" si="3"/>
        <v>0</v>
      </c>
      <c r="J20" s="262"/>
      <c r="K20" s="263">
        <v>0</v>
      </c>
      <c r="L20" s="259"/>
      <c r="M20" s="1008">
        <f t="shared" si="1"/>
        <v>11355.928</v>
      </c>
    </row>
    <row r="21" spans="1:13" ht="24.95" customHeight="1" x14ac:dyDescent="0.2">
      <c r="A21" s="1009" t="s">
        <v>66</v>
      </c>
      <c r="B21" s="31" t="s">
        <v>67</v>
      </c>
      <c r="C21" s="32">
        <v>12948.25</v>
      </c>
      <c r="D21" s="124">
        <v>0</v>
      </c>
      <c r="E21" s="32">
        <f t="shared" si="0"/>
        <v>0</v>
      </c>
      <c r="F21" s="124">
        <v>0</v>
      </c>
      <c r="G21" s="32">
        <f t="shared" si="2"/>
        <v>0</v>
      </c>
      <c r="H21" s="125"/>
      <c r="I21" s="263">
        <f t="shared" si="3"/>
        <v>0</v>
      </c>
      <c r="J21" s="262"/>
      <c r="K21" s="263">
        <v>0</v>
      </c>
      <c r="L21" s="259"/>
      <c r="M21" s="1008">
        <f t="shared" si="1"/>
        <v>12948.25</v>
      </c>
    </row>
    <row r="22" spans="1:13" ht="24.95" customHeight="1" x14ac:dyDescent="0.2">
      <c r="A22" s="1009" t="s">
        <v>811</v>
      </c>
      <c r="B22" s="31" t="s">
        <v>812</v>
      </c>
      <c r="C22" s="32">
        <v>35471.24</v>
      </c>
      <c r="D22" s="124">
        <v>0.26</v>
      </c>
      <c r="E22" s="32">
        <f t="shared" si="0"/>
        <v>9222.5223999999998</v>
      </c>
      <c r="F22" s="124">
        <v>0</v>
      </c>
      <c r="G22" s="32">
        <f t="shared" si="2"/>
        <v>0</v>
      </c>
      <c r="H22" s="125"/>
      <c r="I22" s="263">
        <f t="shared" si="3"/>
        <v>0</v>
      </c>
      <c r="J22" s="262"/>
      <c r="K22" s="263">
        <v>0</v>
      </c>
      <c r="L22" s="259"/>
      <c r="M22" s="1008">
        <f t="shared" si="1"/>
        <v>44693.7624</v>
      </c>
    </row>
    <row r="23" spans="1:13" ht="24.95" customHeight="1" x14ac:dyDescent="0.2">
      <c r="A23" s="1010" t="s">
        <v>68</v>
      </c>
      <c r="B23" s="286" t="s">
        <v>69</v>
      </c>
      <c r="C23" s="226">
        <f>C24+C39</f>
        <v>1105565.43</v>
      </c>
      <c r="D23" s="285"/>
      <c r="E23" s="226">
        <f>E24+E39</f>
        <v>250582.46950000001</v>
      </c>
      <c r="F23" s="287"/>
      <c r="G23" s="226">
        <f>G24+G39</f>
        <v>71352.460999999996</v>
      </c>
      <c r="H23" s="285" t="s">
        <v>58</v>
      </c>
      <c r="I23" s="226">
        <f>I24</f>
        <v>0</v>
      </c>
      <c r="J23" s="288"/>
      <c r="K23" s="226">
        <f>K24</f>
        <v>0</v>
      </c>
      <c r="L23" s="285"/>
      <c r="M23" s="1005">
        <f>E23+G23+I23+K23+C23</f>
        <v>1427500.3605</v>
      </c>
    </row>
    <row r="24" spans="1:13" ht="24.95" customHeight="1" x14ac:dyDescent="0.2">
      <c r="A24" s="1011" t="s">
        <v>70</v>
      </c>
      <c r="B24" s="33" t="s">
        <v>71</v>
      </c>
      <c r="C24" s="29">
        <f>+C25+C26+C27+C28+C29+C30+C31+C32+C33+C34+C35+C36+C37+C38</f>
        <v>1007421.89</v>
      </c>
      <c r="D24" s="257"/>
      <c r="E24" s="29">
        <f>E25+E26+E27+E28+E29+E30+E31+E32+E33+E34+E35+E36+E37+E38</f>
        <v>221139.4075</v>
      </c>
      <c r="F24" s="122"/>
      <c r="G24" s="29">
        <f>G25+G26+G27+G28+G29+G30+G31+G32+G33+G34+G35+G36+G37+G38</f>
        <v>56630.93</v>
      </c>
      <c r="H24" s="257"/>
      <c r="I24" s="29">
        <f>I25+I26+I27+I28+I29+I30+I31+I32+I33+I34+I35+I36+I37+I38</f>
        <v>0</v>
      </c>
      <c r="J24" s="264"/>
      <c r="K24" s="29">
        <f>K25+K26+K27+K28+K29+K30+K31+K32+K33+K34+K35+K36+K37+K38</f>
        <v>0</v>
      </c>
      <c r="L24" s="257"/>
      <c r="M24" s="1006">
        <f>E24+G24+I24+K24+C24</f>
        <v>1285192.2275</v>
      </c>
    </row>
    <row r="25" spans="1:13" ht="24.95" customHeight="1" x14ac:dyDescent="0.2">
      <c r="A25" s="1012">
        <v>12105</v>
      </c>
      <c r="B25" s="31" t="s">
        <v>72</v>
      </c>
      <c r="C25" s="32">
        <v>88235.32</v>
      </c>
      <c r="D25" s="259"/>
      <c r="E25" s="32">
        <f>SUM(C25*D25)</f>
        <v>0</v>
      </c>
      <c r="F25" s="122"/>
      <c r="G25" s="32">
        <v>0</v>
      </c>
      <c r="H25" s="257"/>
      <c r="I25" s="263">
        <v>0</v>
      </c>
      <c r="J25" s="262"/>
      <c r="K25" s="263">
        <v>0</v>
      </c>
      <c r="L25" s="259"/>
      <c r="M25" s="1008">
        <f>SUM(K25+I25+G25+E25+C25)</f>
        <v>88235.32</v>
      </c>
    </row>
    <row r="26" spans="1:13" ht="24.95" customHeight="1" x14ac:dyDescent="0.2">
      <c r="A26" s="1012" t="s">
        <v>73</v>
      </c>
      <c r="B26" s="31" t="s">
        <v>74</v>
      </c>
      <c r="C26" s="32">
        <v>1032</v>
      </c>
      <c r="D26" s="259"/>
      <c r="E26" s="32">
        <f>SUM(C26*D26)</f>
        <v>0</v>
      </c>
      <c r="F26" s="122"/>
      <c r="G26" s="32">
        <v>0</v>
      </c>
      <c r="H26" s="257"/>
      <c r="I26" s="263">
        <v>0</v>
      </c>
      <c r="J26" s="262"/>
      <c r="K26" s="263">
        <v>0</v>
      </c>
      <c r="L26" s="259"/>
      <c r="M26" s="1008">
        <f t="shared" ref="M26:M38" si="4">SUM(K26+I26+G26+E26+C26)</f>
        <v>1032</v>
      </c>
    </row>
    <row r="27" spans="1:13" ht="24.95" customHeight="1" x14ac:dyDescent="0.2">
      <c r="A27" s="1012">
        <v>12108</v>
      </c>
      <c r="B27" s="34" t="s">
        <v>19</v>
      </c>
      <c r="C27" s="32">
        <v>81367.58</v>
      </c>
      <c r="D27" s="124">
        <v>0.3</v>
      </c>
      <c r="E27" s="32">
        <f t="shared" ref="E27:E40" si="5">SUM(C27*D27)</f>
        <v>24410.274000000001</v>
      </c>
      <c r="F27" s="265">
        <v>0.1</v>
      </c>
      <c r="G27" s="32">
        <f t="shared" ref="G27:G34" si="6">C27*F27</f>
        <v>8136.7580000000007</v>
      </c>
      <c r="H27" s="124">
        <v>0</v>
      </c>
      <c r="I27" s="263">
        <f>C27*H27</f>
        <v>0</v>
      </c>
      <c r="J27" s="125"/>
      <c r="K27" s="263">
        <f t="shared" ref="K27:K38" si="7">C27*J27</f>
        <v>0</v>
      </c>
      <c r="L27" s="259"/>
      <c r="M27" s="1008">
        <f t="shared" si="4"/>
        <v>113914.61200000001</v>
      </c>
    </row>
    <row r="28" spans="1:13" ht="24.95" customHeight="1" x14ac:dyDescent="0.2">
      <c r="A28" s="1012">
        <v>12109</v>
      </c>
      <c r="B28" s="34" t="s">
        <v>359</v>
      </c>
      <c r="C28" s="32">
        <v>160000</v>
      </c>
      <c r="D28" s="124">
        <v>0.34</v>
      </c>
      <c r="E28" s="32">
        <f t="shared" si="5"/>
        <v>54400.000000000007</v>
      </c>
      <c r="F28" s="265">
        <v>0.1</v>
      </c>
      <c r="G28" s="32">
        <f t="shared" si="6"/>
        <v>16000</v>
      </c>
      <c r="H28" s="124">
        <v>0</v>
      </c>
      <c r="I28" s="263">
        <f>SUM(C28*H28)</f>
        <v>0</v>
      </c>
      <c r="J28" s="257"/>
      <c r="K28" s="263">
        <f t="shared" si="7"/>
        <v>0</v>
      </c>
      <c r="L28" s="259"/>
      <c r="M28" s="1008">
        <f t="shared" si="4"/>
        <v>230400</v>
      </c>
    </row>
    <row r="29" spans="1:13" ht="24.95" customHeight="1" x14ac:dyDescent="0.2">
      <c r="A29" s="1012">
        <v>12110</v>
      </c>
      <c r="B29" s="34" t="s">
        <v>813</v>
      </c>
      <c r="C29" s="32">
        <v>617.76</v>
      </c>
      <c r="D29" s="124">
        <v>0</v>
      </c>
      <c r="E29" s="32">
        <f t="shared" si="5"/>
        <v>0</v>
      </c>
      <c r="F29" s="265">
        <v>0</v>
      </c>
      <c r="G29" s="32">
        <f t="shared" si="6"/>
        <v>0</v>
      </c>
      <c r="H29" s="124">
        <v>0</v>
      </c>
      <c r="I29" s="263"/>
      <c r="J29" s="257"/>
      <c r="K29" s="263"/>
      <c r="L29" s="259"/>
      <c r="M29" s="1008">
        <f t="shared" si="4"/>
        <v>617.76</v>
      </c>
    </row>
    <row r="30" spans="1:13" ht="24.95" customHeight="1" x14ac:dyDescent="0.2">
      <c r="A30" s="1012">
        <v>12111</v>
      </c>
      <c r="B30" s="34" t="s">
        <v>75</v>
      </c>
      <c r="C30" s="32">
        <v>31467.55</v>
      </c>
      <c r="D30" s="124">
        <v>0</v>
      </c>
      <c r="E30" s="32">
        <f t="shared" si="5"/>
        <v>0</v>
      </c>
      <c r="F30" s="265">
        <v>0</v>
      </c>
      <c r="G30" s="32">
        <f t="shared" si="6"/>
        <v>0</v>
      </c>
      <c r="H30" s="124">
        <v>0</v>
      </c>
      <c r="I30" s="32">
        <f>E30*H30</f>
        <v>0</v>
      </c>
      <c r="J30" s="257"/>
      <c r="K30" s="263">
        <f t="shared" si="7"/>
        <v>0</v>
      </c>
      <c r="L30" s="259"/>
      <c r="M30" s="1008">
        <f t="shared" si="4"/>
        <v>31467.55</v>
      </c>
    </row>
    <row r="31" spans="1:13" ht="24.95" customHeight="1" x14ac:dyDescent="0.2">
      <c r="A31" s="1012">
        <v>12112</v>
      </c>
      <c r="B31" s="34" t="s">
        <v>814</v>
      </c>
      <c r="C31" s="32">
        <v>14142</v>
      </c>
      <c r="D31" s="124">
        <v>0.3</v>
      </c>
      <c r="E31" s="32">
        <f t="shared" si="5"/>
        <v>4242.5999999999995</v>
      </c>
      <c r="F31" s="265">
        <v>0.1</v>
      </c>
      <c r="G31" s="32">
        <f t="shared" si="6"/>
        <v>1414.2</v>
      </c>
      <c r="H31" s="124">
        <v>0</v>
      </c>
      <c r="I31" s="32"/>
      <c r="J31" s="257"/>
      <c r="K31" s="263"/>
      <c r="L31" s="259"/>
      <c r="M31" s="1008">
        <f t="shared" si="4"/>
        <v>19798.8</v>
      </c>
    </row>
    <row r="32" spans="1:13" ht="24.95" customHeight="1" x14ac:dyDescent="0.2">
      <c r="A32" s="1012" t="s">
        <v>23</v>
      </c>
      <c r="B32" s="34" t="s">
        <v>76</v>
      </c>
      <c r="C32" s="32">
        <v>96183.91</v>
      </c>
      <c r="D32" s="124">
        <v>0.3</v>
      </c>
      <c r="E32" s="32">
        <f t="shared" si="5"/>
        <v>28855.172999999999</v>
      </c>
      <c r="F32" s="265">
        <v>0.1</v>
      </c>
      <c r="G32" s="32">
        <f t="shared" si="6"/>
        <v>9618.3910000000014</v>
      </c>
      <c r="H32" s="124">
        <v>0</v>
      </c>
      <c r="I32" s="32">
        <f>E32*H32</f>
        <v>0</v>
      </c>
      <c r="J32" s="257"/>
      <c r="K32" s="263">
        <f t="shared" si="7"/>
        <v>0</v>
      </c>
      <c r="L32" s="259"/>
      <c r="M32" s="1008">
        <f t="shared" si="4"/>
        <v>134657.47399999999</v>
      </c>
    </row>
    <row r="33" spans="1:13" ht="24.95" customHeight="1" x14ac:dyDescent="0.2">
      <c r="A33" s="1012">
        <v>12115</v>
      </c>
      <c r="B33" s="34" t="s">
        <v>77</v>
      </c>
      <c r="C33" s="32">
        <v>163184.47</v>
      </c>
      <c r="D33" s="124">
        <v>0.1</v>
      </c>
      <c r="E33" s="32">
        <f t="shared" si="5"/>
        <v>16318.447</v>
      </c>
      <c r="F33" s="265">
        <v>0</v>
      </c>
      <c r="G33" s="32">
        <f t="shared" si="6"/>
        <v>0</v>
      </c>
      <c r="H33" s="124">
        <v>0</v>
      </c>
      <c r="I33" s="32">
        <f>E33*H33</f>
        <v>0</v>
      </c>
      <c r="J33" s="257"/>
      <c r="K33" s="263">
        <f t="shared" si="7"/>
        <v>0</v>
      </c>
      <c r="L33" s="259"/>
      <c r="M33" s="1008">
        <f t="shared" si="4"/>
        <v>179502.91700000002</v>
      </c>
    </row>
    <row r="34" spans="1:13" ht="24.95" customHeight="1" x14ac:dyDescent="0.2">
      <c r="A34" s="1012">
        <v>12117</v>
      </c>
      <c r="B34" s="34" t="s">
        <v>78</v>
      </c>
      <c r="C34" s="32">
        <v>31988.87</v>
      </c>
      <c r="D34" s="124">
        <v>0.3</v>
      </c>
      <c r="E34" s="32">
        <f t="shared" si="5"/>
        <v>9596.6610000000001</v>
      </c>
      <c r="F34" s="265">
        <v>0.15</v>
      </c>
      <c r="G34" s="32">
        <f t="shared" si="6"/>
        <v>4798.3305</v>
      </c>
      <c r="H34" s="124">
        <v>0</v>
      </c>
      <c r="I34" s="263">
        <f>C34*H34</f>
        <v>0</v>
      </c>
      <c r="J34" s="257"/>
      <c r="K34" s="263">
        <f t="shared" si="7"/>
        <v>0</v>
      </c>
      <c r="L34" s="259"/>
      <c r="M34" s="1008">
        <f t="shared" si="4"/>
        <v>46383.861499999999</v>
      </c>
    </row>
    <row r="35" spans="1:13" ht="24.95" customHeight="1" x14ac:dyDescent="0.2">
      <c r="A35" s="1012">
        <v>12118</v>
      </c>
      <c r="B35" s="34" t="s">
        <v>280</v>
      </c>
      <c r="C35" s="32">
        <v>333265.01</v>
      </c>
      <c r="D35" s="124">
        <v>0.25</v>
      </c>
      <c r="E35" s="32">
        <f t="shared" si="5"/>
        <v>83316.252500000002</v>
      </c>
      <c r="F35" s="265">
        <v>0.05</v>
      </c>
      <c r="G35" s="32">
        <f>SUM(C35*F35)</f>
        <v>16663.250500000002</v>
      </c>
      <c r="H35" s="124">
        <v>0</v>
      </c>
      <c r="I35" s="32">
        <f>+C35*H35</f>
        <v>0</v>
      </c>
      <c r="J35" s="257"/>
      <c r="K35" s="263">
        <f t="shared" si="7"/>
        <v>0</v>
      </c>
      <c r="L35" s="259"/>
      <c r="M35" s="1008">
        <f t="shared" si="4"/>
        <v>433244.51300000004</v>
      </c>
    </row>
    <row r="36" spans="1:13" ht="24.95" customHeight="1" x14ac:dyDescent="0.2">
      <c r="A36" s="1012">
        <v>12119</v>
      </c>
      <c r="B36" s="34" t="s">
        <v>30</v>
      </c>
      <c r="C36" s="32">
        <v>275</v>
      </c>
      <c r="D36" s="124">
        <v>0</v>
      </c>
      <c r="E36" s="32">
        <f t="shared" si="5"/>
        <v>0</v>
      </c>
      <c r="F36" s="265">
        <v>0</v>
      </c>
      <c r="G36" s="32">
        <f>C36*F36</f>
        <v>0</v>
      </c>
      <c r="H36" s="124">
        <v>0</v>
      </c>
      <c r="I36" s="32">
        <f>E36*H36</f>
        <v>0</v>
      </c>
      <c r="J36" s="257"/>
      <c r="K36" s="263">
        <f t="shared" si="7"/>
        <v>0</v>
      </c>
      <c r="L36" s="259"/>
      <c r="M36" s="1008">
        <f t="shared" si="4"/>
        <v>275</v>
      </c>
    </row>
    <row r="37" spans="1:13" ht="24.95" customHeight="1" x14ac:dyDescent="0.2">
      <c r="A37" s="1012">
        <v>12122</v>
      </c>
      <c r="B37" s="34" t="s">
        <v>31</v>
      </c>
      <c r="C37" s="32">
        <v>0</v>
      </c>
      <c r="D37" s="124">
        <v>0</v>
      </c>
      <c r="E37" s="32">
        <f t="shared" si="5"/>
        <v>0</v>
      </c>
      <c r="F37" s="265"/>
      <c r="G37" s="32">
        <f>C37*F37</f>
        <v>0</v>
      </c>
      <c r="H37" s="257"/>
      <c r="I37" s="32">
        <f>E37*H37</f>
        <v>0</v>
      </c>
      <c r="J37" s="257"/>
      <c r="K37" s="263">
        <f t="shared" si="7"/>
        <v>0</v>
      </c>
      <c r="L37" s="259"/>
      <c r="M37" s="1008">
        <f t="shared" si="4"/>
        <v>0</v>
      </c>
    </row>
    <row r="38" spans="1:13" ht="24.95" customHeight="1" x14ac:dyDescent="0.2">
      <c r="A38" s="1012">
        <v>12199</v>
      </c>
      <c r="B38" s="34" t="s">
        <v>79</v>
      </c>
      <c r="C38" s="32">
        <v>5662.42</v>
      </c>
      <c r="D38" s="124">
        <v>0</v>
      </c>
      <c r="E38" s="32">
        <f t="shared" si="5"/>
        <v>0</v>
      </c>
      <c r="F38" s="265"/>
      <c r="G38" s="32">
        <f>C38*F38</f>
        <v>0</v>
      </c>
      <c r="H38" s="257"/>
      <c r="I38" s="32">
        <f>E38*H38</f>
        <v>0</v>
      </c>
      <c r="J38" s="257"/>
      <c r="K38" s="263">
        <f t="shared" si="7"/>
        <v>0</v>
      </c>
      <c r="L38" s="259"/>
      <c r="M38" s="1008">
        <f t="shared" si="4"/>
        <v>5662.42</v>
      </c>
    </row>
    <row r="39" spans="1:13" ht="24.95" customHeight="1" x14ac:dyDescent="0.2">
      <c r="A39" s="1013" t="s">
        <v>80</v>
      </c>
      <c r="B39" s="33" t="s">
        <v>81</v>
      </c>
      <c r="C39" s="29">
        <f>+C40+C41</f>
        <v>98143.54</v>
      </c>
      <c r="D39" s="124">
        <v>0</v>
      </c>
      <c r="E39" s="29">
        <f>E40+E41</f>
        <v>29443.061999999998</v>
      </c>
      <c r="F39" s="265"/>
      <c r="G39" s="29">
        <f>G40+G41</f>
        <v>14721.530999999999</v>
      </c>
      <c r="H39" s="267"/>
      <c r="I39" s="263">
        <f>I40+I41</f>
        <v>0</v>
      </c>
      <c r="J39" s="261"/>
      <c r="K39" s="263">
        <f>K40+K41</f>
        <v>0</v>
      </c>
      <c r="L39" s="266"/>
      <c r="M39" s="1006">
        <f>M40+M41</f>
        <v>142308.13299999997</v>
      </c>
    </row>
    <row r="40" spans="1:13" ht="24.95" customHeight="1" x14ac:dyDescent="0.2">
      <c r="A40" s="1014">
        <v>12210</v>
      </c>
      <c r="B40" s="31" t="s">
        <v>35</v>
      </c>
      <c r="C40" s="32">
        <v>98143.54</v>
      </c>
      <c r="D40" s="124">
        <v>0.3</v>
      </c>
      <c r="E40" s="32">
        <f t="shared" si="5"/>
        <v>29443.061999999998</v>
      </c>
      <c r="F40" s="265">
        <v>0.15</v>
      </c>
      <c r="G40" s="32">
        <f>C40*F40</f>
        <v>14721.530999999999</v>
      </c>
      <c r="H40" s="266"/>
      <c r="I40" s="32">
        <f>E40*H40</f>
        <v>0</v>
      </c>
      <c r="J40" s="266"/>
      <c r="K40" s="32">
        <f>G40*J40</f>
        <v>0</v>
      </c>
      <c r="L40" s="266"/>
      <c r="M40" s="1008">
        <f>SUM(K40+I40+G40+E40+C40)</f>
        <v>142308.13299999997</v>
      </c>
    </row>
    <row r="41" spans="1:13" ht="24.95" customHeight="1" x14ac:dyDescent="0.2">
      <c r="A41" s="1014" t="s">
        <v>36</v>
      </c>
      <c r="B41" s="34" t="s">
        <v>37</v>
      </c>
      <c r="C41" s="32">
        <v>0</v>
      </c>
      <c r="D41" s="124">
        <v>0</v>
      </c>
      <c r="E41" s="32">
        <f>SUM(C41*D41)</f>
        <v>0</v>
      </c>
      <c r="F41" s="265"/>
      <c r="G41" s="32">
        <f>C41*F41</f>
        <v>0</v>
      </c>
      <c r="H41" s="259"/>
      <c r="I41" s="32">
        <f>E41*H41</f>
        <v>0</v>
      </c>
      <c r="J41" s="259"/>
      <c r="K41" s="32">
        <f>G41*J41</f>
        <v>0</v>
      </c>
      <c r="L41" s="266"/>
      <c r="M41" s="1008">
        <f>SUM(K41+I41+G41+E41+C41)</f>
        <v>0</v>
      </c>
    </row>
    <row r="42" spans="1:13" ht="24.95" customHeight="1" x14ac:dyDescent="0.2">
      <c r="A42" s="1015" t="s">
        <v>82</v>
      </c>
      <c r="B42" s="225" t="s">
        <v>83</v>
      </c>
      <c r="C42" s="226">
        <f>+C43+C45+C47</f>
        <v>5038.3599999999997</v>
      </c>
      <c r="D42" s="289"/>
      <c r="E42" s="226">
        <f>E43+E45</f>
        <v>0</v>
      </c>
      <c r="F42" s="283"/>
      <c r="G42" s="226">
        <f>G43+G45</f>
        <v>0</v>
      </c>
      <c r="H42" s="289"/>
      <c r="I42" s="284">
        <f>I43+I45</f>
        <v>0</v>
      </c>
      <c r="J42" s="290"/>
      <c r="K42" s="284">
        <f>K43+K45</f>
        <v>0</v>
      </c>
      <c r="L42" s="289"/>
      <c r="M42" s="1016">
        <f>M43+M45+M47</f>
        <v>5038.3599999999997</v>
      </c>
    </row>
    <row r="43" spans="1:13" ht="24.95" customHeight="1" x14ac:dyDescent="0.2">
      <c r="A43" s="1002" t="s">
        <v>84</v>
      </c>
      <c r="B43" s="35" t="s">
        <v>85</v>
      </c>
      <c r="C43" s="29">
        <f>+C44</f>
        <v>0</v>
      </c>
      <c r="D43" s="261"/>
      <c r="E43" s="29">
        <f>E44</f>
        <v>0</v>
      </c>
      <c r="F43" s="122"/>
      <c r="G43" s="29">
        <f>G44</f>
        <v>0</v>
      </c>
      <c r="H43" s="257"/>
      <c r="I43" s="260">
        <f>I44</f>
        <v>0</v>
      </c>
      <c r="J43" s="257"/>
      <c r="K43" s="260">
        <f>K44</f>
        <v>0</v>
      </c>
      <c r="L43" s="261"/>
      <c r="M43" s="1006">
        <f>M44</f>
        <v>0</v>
      </c>
    </row>
    <row r="44" spans="1:13" ht="24.95" customHeight="1" x14ac:dyDescent="0.2">
      <c r="A44" s="1009" t="s">
        <v>38</v>
      </c>
      <c r="B44" s="36" t="s">
        <v>86</v>
      </c>
      <c r="C44" s="32">
        <v>0</v>
      </c>
      <c r="D44" s="266"/>
      <c r="E44" s="32">
        <f>E45</f>
        <v>0</v>
      </c>
      <c r="F44" s="123"/>
      <c r="G44" s="32">
        <f>C44*F44</f>
        <v>0</v>
      </c>
      <c r="H44" s="259"/>
      <c r="I44" s="32">
        <f>E44*H44</f>
        <v>0</v>
      </c>
      <c r="J44" s="259"/>
      <c r="K44" s="32">
        <f>G44*J44</f>
        <v>0</v>
      </c>
      <c r="L44" s="266"/>
      <c r="M44" s="1008">
        <f>K44+G44+E44+C44</f>
        <v>0</v>
      </c>
    </row>
    <row r="45" spans="1:13" ht="24.95" customHeight="1" x14ac:dyDescent="0.2">
      <c r="A45" s="1013" t="s">
        <v>87</v>
      </c>
      <c r="B45" s="30" t="s">
        <v>88</v>
      </c>
      <c r="C45" s="29">
        <f>+C46</f>
        <v>4947</v>
      </c>
      <c r="D45" s="268"/>
      <c r="E45" s="29">
        <f>E46</f>
        <v>0</v>
      </c>
      <c r="F45" s="122"/>
      <c r="G45" s="29">
        <f>+G46</f>
        <v>0</v>
      </c>
      <c r="H45" s="261"/>
      <c r="I45" s="260">
        <f>+I46</f>
        <v>0</v>
      </c>
      <c r="J45" s="261"/>
      <c r="K45" s="260">
        <f>+K46</f>
        <v>0</v>
      </c>
      <c r="L45" s="261"/>
      <c r="M45" s="1006">
        <f>+M46</f>
        <v>4947</v>
      </c>
    </row>
    <row r="46" spans="1:13" ht="24.95" customHeight="1" x14ac:dyDescent="0.2">
      <c r="A46" s="1009" t="s">
        <v>815</v>
      </c>
      <c r="B46" s="36" t="s">
        <v>816</v>
      </c>
      <c r="C46" s="32">
        <v>4947</v>
      </c>
      <c r="D46" s="266">
        <v>0</v>
      </c>
      <c r="E46" s="32">
        <f>SUM(C46*D46)</f>
        <v>0</v>
      </c>
      <c r="F46" s="123"/>
      <c r="G46" s="32">
        <f>SUM(C46*F46)</f>
        <v>0</v>
      </c>
      <c r="H46" s="259"/>
      <c r="I46" s="263">
        <f>SUM(C46*H46)</f>
        <v>0</v>
      </c>
      <c r="J46" s="259"/>
      <c r="K46" s="263">
        <v>0</v>
      </c>
      <c r="L46" s="266"/>
      <c r="M46" s="1008">
        <f>SUM(K46+I46+G46+E46+C46)</f>
        <v>4947</v>
      </c>
    </row>
    <row r="47" spans="1:13" ht="24.95" customHeight="1" x14ac:dyDescent="0.2">
      <c r="A47" s="1002" t="s">
        <v>817</v>
      </c>
      <c r="B47" s="30" t="s">
        <v>818</v>
      </c>
      <c r="C47" s="29">
        <f>+C48</f>
        <v>91.36</v>
      </c>
      <c r="D47" s="261"/>
      <c r="E47" s="29">
        <f>E48</f>
        <v>0</v>
      </c>
      <c r="F47" s="122"/>
      <c r="G47" s="29">
        <f>G48</f>
        <v>0</v>
      </c>
      <c r="H47" s="257"/>
      <c r="I47" s="260">
        <f>I48</f>
        <v>0</v>
      </c>
      <c r="J47" s="257"/>
      <c r="K47" s="260">
        <f>K48</f>
        <v>0</v>
      </c>
      <c r="L47" s="261"/>
      <c r="M47" s="1006">
        <f>M48</f>
        <v>91.36</v>
      </c>
    </row>
    <row r="48" spans="1:13" ht="24.95" customHeight="1" x14ac:dyDescent="0.2">
      <c r="A48" s="1009" t="s">
        <v>819</v>
      </c>
      <c r="B48" s="36" t="s">
        <v>820</v>
      </c>
      <c r="C48" s="32">
        <v>91.36</v>
      </c>
      <c r="D48" s="266"/>
      <c r="E48" s="32"/>
      <c r="F48" s="123"/>
      <c r="G48" s="32"/>
      <c r="H48" s="259"/>
      <c r="I48" s="263"/>
      <c r="J48" s="259"/>
      <c r="K48" s="263"/>
      <c r="L48" s="266"/>
      <c r="M48" s="1008">
        <f>SUM(K48+I48+G48+E48+C48)</f>
        <v>91.36</v>
      </c>
    </row>
    <row r="49" spans="1:14" ht="24.95" customHeight="1" x14ac:dyDescent="0.2">
      <c r="A49" s="1015" t="s">
        <v>89</v>
      </c>
      <c r="B49" s="225" t="s">
        <v>90</v>
      </c>
      <c r="C49" s="226">
        <f>+C50+C52+C59+C61</f>
        <v>37227.480000000003</v>
      </c>
      <c r="D49" s="289"/>
      <c r="E49" s="226">
        <f>E52+E59</f>
        <v>0</v>
      </c>
      <c r="F49" s="283"/>
      <c r="G49" s="226">
        <f>G52</f>
        <v>0</v>
      </c>
      <c r="H49" s="289"/>
      <c r="I49" s="284">
        <f>I52</f>
        <v>0</v>
      </c>
      <c r="J49" s="290"/>
      <c r="K49" s="284">
        <f>K52</f>
        <v>0</v>
      </c>
      <c r="L49" s="289"/>
      <c r="M49" s="1005">
        <f>M52+M59+M61</f>
        <v>37227.480000000003</v>
      </c>
    </row>
    <row r="50" spans="1:14" ht="24.95" customHeight="1" x14ac:dyDescent="0.2">
      <c r="A50" s="1002" t="s">
        <v>355</v>
      </c>
      <c r="B50" s="30" t="s">
        <v>356</v>
      </c>
      <c r="C50" s="29">
        <v>0</v>
      </c>
      <c r="D50" s="266"/>
      <c r="E50" s="29">
        <v>0</v>
      </c>
      <c r="F50" s="123"/>
      <c r="G50" s="29">
        <v>0</v>
      </c>
      <c r="H50" s="266"/>
      <c r="I50" s="260">
        <v>0</v>
      </c>
      <c r="J50" s="261"/>
      <c r="K50" s="260">
        <v>0</v>
      </c>
      <c r="L50" s="266"/>
      <c r="M50" s="1006">
        <v>0</v>
      </c>
    </row>
    <row r="51" spans="1:14" ht="24.95" customHeight="1" x14ac:dyDescent="0.2">
      <c r="A51" s="1009" t="s">
        <v>357</v>
      </c>
      <c r="B51" s="31" t="s">
        <v>358</v>
      </c>
      <c r="C51" s="32">
        <v>0</v>
      </c>
      <c r="D51" s="266"/>
      <c r="E51" s="32">
        <f>E53</f>
        <v>0</v>
      </c>
      <c r="F51" s="123"/>
      <c r="G51" s="32">
        <f>C51*F51</f>
        <v>0</v>
      </c>
      <c r="H51" s="269"/>
      <c r="I51" s="32">
        <f>E51*H51</f>
        <v>0</v>
      </c>
      <c r="J51" s="269"/>
      <c r="K51" s="32">
        <f>G51*J51</f>
        <v>0</v>
      </c>
      <c r="L51" s="266"/>
      <c r="M51" s="1017">
        <f>I51*L51</f>
        <v>0</v>
      </c>
    </row>
    <row r="52" spans="1:14" ht="24.95" customHeight="1" x14ac:dyDescent="0.2">
      <c r="A52" s="1013">
        <v>153</v>
      </c>
      <c r="B52" s="30" t="s">
        <v>91</v>
      </c>
      <c r="C52" s="29">
        <f>+C53+C54+C55+C56+C57+C58</f>
        <v>4894.05</v>
      </c>
      <c r="D52" s="266"/>
      <c r="E52" s="29">
        <f>+E53+E54+E55+E56+E57+E58</f>
        <v>0</v>
      </c>
      <c r="F52" s="123"/>
      <c r="G52" s="29">
        <f>+G53+G54+G55+G56+G57+G58</f>
        <v>0</v>
      </c>
      <c r="H52" s="269"/>
      <c r="I52" s="29">
        <f>+I53+I54+I55+I56+I57+I58</f>
        <v>0</v>
      </c>
      <c r="J52" s="269"/>
      <c r="K52" s="29">
        <f>+K53+K54+K55+K56+K57+K58</f>
        <v>0</v>
      </c>
      <c r="L52" s="266"/>
      <c r="M52" s="1018">
        <f>+M53+M54+M55+M56+M57+M58</f>
        <v>4894.05</v>
      </c>
    </row>
    <row r="53" spans="1:14" ht="24.95" customHeight="1" x14ac:dyDescent="0.2">
      <c r="A53" s="1014">
        <v>15301</v>
      </c>
      <c r="B53" s="34" t="str">
        <f>+'DETALLE DE INGRESOS 9'!B50</f>
        <v>Multas Impuestos y Tasas</v>
      </c>
      <c r="C53" s="32">
        <v>1104.5999999999999</v>
      </c>
      <c r="D53" s="262"/>
      <c r="E53" s="32">
        <f t="shared" ref="E53:E58" si="8">SUM(C53*D53)</f>
        <v>0</v>
      </c>
      <c r="F53" s="123"/>
      <c r="G53" s="32">
        <f>C53*F53</f>
        <v>0</v>
      </c>
      <c r="H53" s="266"/>
      <c r="I53" s="32">
        <f>E53*H53</f>
        <v>0</v>
      </c>
      <c r="J53" s="266"/>
      <c r="K53" s="32">
        <f t="shared" ref="K53:K58" si="9">G53*J53</f>
        <v>0</v>
      </c>
      <c r="L53" s="266"/>
      <c r="M53" s="1008">
        <f t="shared" ref="M53:M58" si="10">SUM(K53+I53+G53+E53+C53)</f>
        <v>1104.5999999999999</v>
      </c>
    </row>
    <row r="54" spans="1:14" ht="24.95" customHeight="1" x14ac:dyDescent="0.2">
      <c r="A54" s="1014">
        <v>15302</v>
      </c>
      <c r="B54" s="34" t="s">
        <v>92</v>
      </c>
      <c r="C54" s="32">
        <v>1235.26</v>
      </c>
      <c r="D54" s="262"/>
      <c r="E54" s="32">
        <f t="shared" si="8"/>
        <v>0</v>
      </c>
      <c r="F54" s="123"/>
      <c r="G54" s="32">
        <f>C54*F54</f>
        <v>0</v>
      </c>
      <c r="H54" s="266"/>
      <c r="I54" s="32">
        <f>E54*H54</f>
        <v>0</v>
      </c>
      <c r="J54" s="266"/>
      <c r="K54" s="32">
        <f t="shared" si="9"/>
        <v>0</v>
      </c>
      <c r="L54" s="266"/>
      <c r="M54" s="1008">
        <f t="shared" si="10"/>
        <v>1235.26</v>
      </c>
    </row>
    <row r="55" spans="1:14" ht="24.95" customHeight="1" x14ac:dyDescent="0.2">
      <c r="A55" s="1014">
        <v>15310</v>
      </c>
      <c r="B55" s="31" t="s">
        <v>821</v>
      </c>
      <c r="C55" s="32">
        <v>0</v>
      </c>
      <c r="D55" s="262"/>
      <c r="E55" s="32">
        <f t="shared" si="8"/>
        <v>0</v>
      </c>
      <c r="F55" s="123"/>
      <c r="G55" s="32">
        <f>C55*F55</f>
        <v>0</v>
      </c>
      <c r="H55" s="266"/>
      <c r="I55" s="32">
        <f>E55*H55</f>
        <v>0</v>
      </c>
      <c r="J55" s="266"/>
      <c r="K55" s="32">
        <f t="shared" si="9"/>
        <v>0</v>
      </c>
      <c r="L55" s="266"/>
      <c r="M55" s="1008">
        <f t="shared" si="10"/>
        <v>0</v>
      </c>
    </row>
    <row r="56" spans="1:14" ht="24.95" customHeight="1" x14ac:dyDescent="0.2">
      <c r="A56" s="1014">
        <v>15312</v>
      </c>
      <c r="B56" s="34" t="s">
        <v>93</v>
      </c>
      <c r="C56" s="32">
        <v>721.05</v>
      </c>
      <c r="D56" s="266"/>
      <c r="E56" s="32">
        <f t="shared" si="8"/>
        <v>0</v>
      </c>
      <c r="F56" s="123"/>
      <c r="G56" s="32">
        <f>SUM(C56*F56)</f>
        <v>0</v>
      </c>
      <c r="H56" s="259"/>
      <c r="I56" s="263">
        <f>SUM(C56*H56)</f>
        <v>0</v>
      </c>
      <c r="J56" s="259"/>
      <c r="K56" s="32">
        <f t="shared" si="9"/>
        <v>0</v>
      </c>
      <c r="L56" s="266"/>
      <c r="M56" s="1008">
        <f t="shared" si="10"/>
        <v>721.05</v>
      </c>
    </row>
    <row r="57" spans="1:14" ht="24.95" customHeight="1" x14ac:dyDescent="0.2">
      <c r="A57" s="1014">
        <v>15313</v>
      </c>
      <c r="B57" s="34" t="s">
        <v>822</v>
      </c>
      <c r="C57" s="32">
        <v>365</v>
      </c>
      <c r="D57" s="266"/>
      <c r="E57" s="32">
        <f t="shared" si="8"/>
        <v>0</v>
      </c>
      <c r="F57" s="123"/>
      <c r="G57" s="32">
        <f>SUM(C57*F57)</f>
        <v>0</v>
      </c>
      <c r="H57" s="259"/>
      <c r="I57" s="263">
        <f>SUM(C57*H57)</f>
        <v>0</v>
      </c>
      <c r="J57" s="259"/>
      <c r="K57" s="32">
        <f t="shared" si="9"/>
        <v>0</v>
      </c>
      <c r="L57" s="266"/>
      <c r="M57" s="1008">
        <f t="shared" si="10"/>
        <v>365</v>
      </c>
    </row>
    <row r="58" spans="1:14" ht="24.95" customHeight="1" x14ac:dyDescent="0.2">
      <c r="A58" s="1014">
        <v>15314</v>
      </c>
      <c r="B58" s="34" t="s">
        <v>46</v>
      </c>
      <c r="C58" s="32">
        <v>1468.14</v>
      </c>
      <c r="D58" s="124">
        <v>0</v>
      </c>
      <c r="E58" s="32">
        <f t="shared" si="8"/>
        <v>0</v>
      </c>
      <c r="F58" s="123"/>
      <c r="G58" s="32">
        <f>C58*F58</f>
        <v>0</v>
      </c>
      <c r="H58" s="259"/>
      <c r="I58" s="32">
        <f>E58*H58</f>
        <v>0</v>
      </c>
      <c r="J58" s="259"/>
      <c r="K58" s="32">
        <f t="shared" si="9"/>
        <v>0</v>
      </c>
      <c r="L58" s="266"/>
      <c r="M58" s="1008">
        <f t="shared" si="10"/>
        <v>1468.14</v>
      </c>
    </row>
    <row r="59" spans="1:14" ht="24.95" customHeight="1" x14ac:dyDescent="0.2">
      <c r="A59" s="1011">
        <v>154</v>
      </c>
      <c r="B59" s="30" t="s">
        <v>94</v>
      </c>
      <c r="C59" s="29">
        <f>+C60</f>
        <v>7658.14</v>
      </c>
      <c r="D59" s="266">
        <v>0</v>
      </c>
      <c r="E59" s="29">
        <f>E60</f>
        <v>0</v>
      </c>
      <c r="F59" s="123"/>
      <c r="G59" s="29">
        <f>G60</f>
        <v>0</v>
      </c>
      <c r="H59" s="266"/>
      <c r="I59" s="260">
        <f>I60</f>
        <v>0</v>
      </c>
      <c r="J59" s="266"/>
      <c r="K59" s="260">
        <f>K60</f>
        <v>0</v>
      </c>
      <c r="L59" s="266"/>
      <c r="M59" s="1006">
        <f>M60</f>
        <v>7658.14</v>
      </c>
    </row>
    <row r="60" spans="1:14" ht="24.95" customHeight="1" x14ac:dyDescent="0.2">
      <c r="A60" s="1012">
        <v>15402</v>
      </c>
      <c r="B60" s="31" t="s">
        <v>95</v>
      </c>
      <c r="C60" s="32">
        <v>7658.14</v>
      </c>
      <c r="D60" s="124">
        <v>0</v>
      </c>
      <c r="E60" s="32">
        <f>SUM(C60*D60)</f>
        <v>0</v>
      </c>
      <c r="F60" s="123"/>
      <c r="G60" s="32">
        <f>SUM(C60*F60)</f>
        <v>0</v>
      </c>
      <c r="H60" s="259"/>
      <c r="I60" s="263">
        <f>SUM(C60*H60)</f>
        <v>0</v>
      </c>
      <c r="J60" s="259"/>
      <c r="K60" s="32">
        <f>G60*J60</f>
        <v>0</v>
      </c>
      <c r="L60" s="266"/>
      <c r="M60" s="1008">
        <f>SUM(K60+I60+G60+E60+C60)</f>
        <v>7658.14</v>
      </c>
    </row>
    <row r="61" spans="1:14" ht="24.95" customHeight="1" x14ac:dyDescent="0.2">
      <c r="A61" s="1011" t="s">
        <v>96</v>
      </c>
      <c r="B61" s="30" t="s">
        <v>97</v>
      </c>
      <c r="C61" s="29">
        <f>+C62+C63+C64</f>
        <v>24675.29</v>
      </c>
      <c r="D61" s="266" t="s">
        <v>58</v>
      </c>
      <c r="E61" s="29">
        <f>SUM(E62:E64)</f>
        <v>0</v>
      </c>
      <c r="F61" s="123"/>
      <c r="G61" s="29">
        <f>SUM(G62:G64)</f>
        <v>0</v>
      </c>
      <c r="H61" s="266"/>
      <c r="I61" s="260">
        <f>SUM(I62:I64)</f>
        <v>0</v>
      </c>
      <c r="J61" s="266"/>
      <c r="K61" s="260">
        <f>SUM(K62:K64)</f>
        <v>0</v>
      </c>
      <c r="L61" s="266"/>
      <c r="M61" s="1006">
        <f>SUM(M62:M64)</f>
        <v>24675.29</v>
      </c>
    </row>
    <row r="62" spans="1:14" ht="24.95" customHeight="1" x14ac:dyDescent="0.2">
      <c r="A62" s="1012" t="s">
        <v>49</v>
      </c>
      <c r="B62" s="31" t="s">
        <v>50</v>
      </c>
      <c r="C62" s="32">
        <v>20712.32</v>
      </c>
      <c r="D62" s="266"/>
      <c r="E62" s="29">
        <f>SUM(C62*D62)</f>
        <v>0</v>
      </c>
      <c r="F62" s="123"/>
      <c r="G62" s="29">
        <f>SUM(C62*F62)</f>
        <v>0</v>
      </c>
      <c r="H62" s="259"/>
      <c r="I62" s="263">
        <f>SUM(C62*H62)</f>
        <v>0</v>
      </c>
      <c r="J62" s="259"/>
      <c r="K62" s="263">
        <v>0</v>
      </c>
      <c r="L62" s="266"/>
      <c r="M62" s="1008">
        <f>SUM(K62+I62+G62+E62+C62)</f>
        <v>20712.32</v>
      </c>
    </row>
    <row r="63" spans="1:14" ht="24.95" customHeight="1" x14ac:dyDescent="0.2">
      <c r="A63" s="1012" t="s">
        <v>51</v>
      </c>
      <c r="B63" s="425" t="s">
        <v>98</v>
      </c>
      <c r="C63" s="426">
        <v>3962.97</v>
      </c>
      <c r="D63" s="427"/>
      <c r="E63" s="428"/>
      <c r="F63" s="429"/>
      <c r="G63" s="428"/>
      <c r="H63" s="430"/>
      <c r="I63" s="431"/>
      <c r="J63" s="430"/>
      <c r="K63" s="431"/>
      <c r="L63" s="427"/>
      <c r="M63" s="1019">
        <f>SUM(K63+I63+G63+E63+C63)</f>
        <v>3962.97</v>
      </c>
      <c r="N63" s="343" t="s">
        <v>402</v>
      </c>
    </row>
    <row r="64" spans="1:14" ht="24.95" customHeight="1" x14ac:dyDescent="0.2">
      <c r="A64" s="1012" t="s">
        <v>51</v>
      </c>
      <c r="B64" s="31" t="s">
        <v>281</v>
      </c>
      <c r="C64" s="32">
        <v>0</v>
      </c>
      <c r="D64" s="266"/>
      <c r="E64" s="32">
        <f>SUM(C64*D64)</f>
        <v>0</v>
      </c>
      <c r="F64" s="123"/>
      <c r="G64" s="32">
        <f>SUM(C64*F64)</f>
        <v>0</v>
      </c>
      <c r="H64" s="259"/>
      <c r="I64" s="263">
        <f>SUM(C64*H64)</f>
        <v>0</v>
      </c>
      <c r="J64" s="259"/>
      <c r="K64" s="263">
        <v>0</v>
      </c>
      <c r="L64" s="266"/>
      <c r="M64" s="1008">
        <f>SUM(K64+I64+G64+E64+C64)</f>
        <v>0</v>
      </c>
    </row>
    <row r="65" spans="1:14" ht="24.95" customHeight="1" x14ac:dyDescent="0.2">
      <c r="A65" s="1015">
        <v>16</v>
      </c>
      <c r="B65" s="225" t="s">
        <v>375</v>
      </c>
      <c r="C65" s="226">
        <f>+C66</f>
        <v>0</v>
      </c>
      <c r="D65" s="289"/>
      <c r="E65" s="226">
        <f>E71</f>
        <v>0</v>
      </c>
      <c r="F65" s="283"/>
      <c r="G65" s="226">
        <f>G71</f>
        <v>0</v>
      </c>
      <c r="H65" s="289"/>
      <c r="I65" s="284">
        <f>I71</f>
        <v>0</v>
      </c>
      <c r="J65" s="290"/>
      <c r="K65" s="284">
        <f>K71</f>
        <v>0</v>
      </c>
      <c r="L65" s="289"/>
      <c r="M65" s="1005">
        <f>M66</f>
        <v>0</v>
      </c>
    </row>
    <row r="66" spans="1:14" ht="24.95" customHeight="1" x14ac:dyDescent="0.2">
      <c r="A66" s="1011">
        <v>163</v>
      </c>
      <c r="B66" s="30" t="s">
        <v>373</v>
      </c>
      <c r="C66" s="29">
        <f>C67</f>
        <v>0</v>
      </c>
      <c r="D66" s="266" t="s">
        <v>58</v>
      </c>
      <c r="E66" s="29">
        <f>SUM(E67:E71)</f>
        <v>0</v>
      </c>
      <c r="F66" s="123"/>
      <c r="G66" s="29">
        <f>SUM(G67:G71)</f>
        <v>0</v>
      </c>
      <c r="H66" s="266"/>
      <c r="I66" s="260">
        <f>SUM(I67:I71)</f>
        <v>0</v>
      </c>
      <c r="J66" s="266"/>
      <c r="K66" s="260">
        <f>SUM(K67:K71)</f>
        <v>0</v>
      </c>
      <c r="L66" s="266"/>
      <c r="M66" s="1006">
        <f>SUM(M67)</f>
        <v>0</v>
      </c>
    </row>
    <row r="67" spans="1:14" ht="24.95" customHeight="1" x14ac:dyDescent="0.2">
      <c r="A67" s="1012">
        <v>16302</v>
      </c>
      <c r="B67" s="31" t="s">
        <v>374</v>
      </c>
      <c r="C67" s="32">
        <v>0</v>
      </c>
      <c r="D67" s="266"/>
      <c r="E67" s="32"/>
      <c r="F67" s="123"/>
      <c r="G67" s="32"/>
      <c r="H67" s="259"/>
      <c r="I67" s="263"/>
      <c r="J67" s="259"/>
      <c r="K67" s="263"/>
      <c r="L67" s="266"/>
      <c r="M67" s="1019">
        <f>SUM(K67+I67+G67+E67+C67)</f>
        <v>0</v>
      </c>
    </row>
    <row r="68" spans="1:14" ht="24.95" customHeight="1" x14ac:dyDescent="0.2">
      <c r="A68" s="1015">
        <v>21</v>
      </c>
      <c r="B68" s="225" t="s">
        <v>823</v>
      </c>
      <c r="C68" s="226">
        <f>+C69</f>
        <v>1508.61</v>
      </c>
      <c r="D68" s="289"/>
      <c r="E68" s="226">
        <f>+E69</f>
        <v>0</v>
      </c>
      <c r="F68" s="283"/>
      <c r="G68" s="226">
        <f>+G69</f>
        <v>0</v>
      </c>
      <c r="H68" s="289"/>
      <c r="I68" s="226">
        <f>+I69</f>
        <v>0</v>
      </c>
      <c r="J68" s="290"/>
      <c r="K68" s="226">
        <f>+K69</f>
        <v>0</v>
      </c>
      <c r="L68" s="289"/>
      <c r="M68" s="1016">
        <f>+M69</f>
        <v>1508.61</v>
      </c>
    </row>
    <row r="69" spans="1:14" ht="24.95" customHeight="1" x14ac:dyDescent="0.2">
      <c r="A69" s="1011">
        <v>212</v>
      </c>
      <c r="B69" s="30" t="s">
        <v>824</v>
      </c>
      <c r="C69" s="29">
        <f>C70</f>
        <v>1508.61</v>
      </c>
      <c r="D69" s="266" t="s">
        <v>58</v>
      </c>
      <c r="E69" s="29">
        <f>E70+E74</f>
        <v>0</v>
      </c>
      <c r="F69" s="123"/>
      <c r="G69" s="29">
        <f>SUM(G70:G74)</f>
        <v>0</v>
      </c>
      <c r="H69" s="266"/>
      <c r="I69" s="260">
        <f>SUM(I70:I74)</f>
        <v>0</v>
      </c>
      <c r="J69" s="266"/>
      <c r="K69" s="260">
        <f>SUM(K70:K74)</f>
        <v>0</v>
      </c>
      <c r="L69" s="266"/>
      <c r="M69" s="1018">
        <f>M70</f>
        <v>1508.61</v>
      </c>
    </row>
    <row r="70" spans="1:14" ht="24.95" customHeight="1" x14ac:dyDescent="0.2">
      <c r="A70" s="1012">
        <v>21201</v>
      </c>
      <c r="B70" s="31" t="s">
        <v>825</v>
      </c>
      <c r="C70" s="32">
        <v>1508.61</v>
      </c>
      <c r="D70" s="266"/>
      <c r="E70" s="32"/>
      <c r="F70" s="123"/>
      <c r="G70" s="32"/>
      <c r="H70" s="259"/>
      <c r="I70" s="263"/>
      <c r="J70" s="259"/>
      <c r="K70" s="263"/>
      <c r="L70" s="266"/>
      <c r="M70" s="1019">
        <f>SUM(K70+I70+G70+E70+C70)</f>
        <v>1508.61</v>
      </c>
    </row>
    <row r="71" spans="1:14" ht="24.95" customHeight="1" x14ac:dyDescent="0.2">
      <c r="A71" s="1004" t="s">
        <v>106</v>
      </c>
      <c r="B71" s="225" t="s">
        <v>107</v>
      </c>
      <c r="C71" s="291">
        <f>SUM(C72)</f>
        <v>68877.42</v>
      </c>
      <c r="D71" s="285"/>
      <c r="E71" s="226">
        <f>E72</f>
        <v>0</v>
      </c>
      <c r="F71" s="287"/>
      <c r="G71" s="226">
        <f>G72</f>
        <v>0</v>
      </c>
      <c r="H71" s="285"/>
      <c r="I71" s="292">
        <f>I72</f>
        <v>0</v>
      </c>
      <c r="J71" s="285"/>
      <c r="K71" s="292">
        <f>K72</f>
        <v>0</v>
      </c>
      <c r="L71" s="285"/>
      <c r="M71" s="1020">
        <f>M72</f>
        <v>68877.42</v>
      </c>
    </row>
    <row r="72" spans="1:14" ht="24.95" customHeight="1" x14ac:dyDescent="0.2">
      <c r="A72" s="1002" t="s">
        <v>108</v>
      </c>
      <c r="B72" s="30" t="s">
        <v>109</v>
      </c>
      <c r="C72" s="28">
        <f>SUM(C73+C74+C75)</f>
        <v>68877.42</v>
      </c>
      <c r="D72" s="257" t="s">
        <v>58</v>
      </c>
      <c r="E72" s="29">
        <f>E73+E74</f>
        <v>0</v>
      </c>
      <c r="F72" s="122"/>
      <c r="G72" s="29">
        <f>G73+G74</f>
        <v>0</v>
      </c>
      <c r="H72" s="257"/>
      <c r="I72" s="258">
        <f>I73+I74</f>
        <v>0</v>
      </c>
      <c r="J72" s="257"/>
      <c r="K72" s="258">
        <f>K73+K74</f>
        <v>0</v>
      </c>
      <c r="L72" s="257"/>
      <c r="M72" s="1021">
        <f>SUM(C72)</f>
        <v>68877.42</v>
      </c>
    </row>
    <row r="73" spans="1:14" ht="24.95" customHeight="1" x14ac:dyDescent="0.2">
      <c r="A73" s="1022" t="s">
        <v>110</v>
      </c>
      <c r="B73" s="34" t="s">
        <v>111</v>
      </c>
      <c r="C73" s="37">
        <v>0</v>
      </c>
      <c r="D73" s="259" t="s">
        <v>58</v>
      </c>
      <c r="E73" s="32">
        <v>0</v>
      </c>
      <c r="F73" s="123"/>
      <c r="G73" s="32">
        <v>0</v>
      </c>
      <c r="H73" s="259"/>
      <c r="I73" s="263">
        <v>0</v>
      </c>
      <c r="J73" s="259"/>
      <c r="K73" s="263">
        <v>0</v>
      </c>
      <c r="L73" s="259"/>
      <c r="M73" s="1008">
        <f>SUM(K73+I73+G73+E73+C73)</f>
        <v>0</v>
      </c>
    </row>
    <row r="74" spans="1:14" ht="41.25" customHeight="1" x14ac:dyDescent="0.2">
      <c r="A74" s="1023" t="s">
        <v>53</v>
      </c>
      <c r="B74" s="31" t="s">
        <v>112</v>
      </c>
      <c r="C74" s="119">
        <f>+'DETALLE DE INGRESOS 9'!C81</f>
        <v>68877.42</v>
      </c>
      <c r="D74" s="259" t="s">
        <v>58</v>
      </c>
      <c r="E74" s="32">
        <v>0</v>
      </c>
      <c r="F74" s="123"/>
      <c r="G74" s="32">
        <v>0</v>
      </c>
      <c r="H74" s="259"/>
      <c r="I74" s="263">
        <v>0</v>
      </c>
      <c r="J74" s="259"/>
      <c r="K74" s="263">
        <v>0</v>
      </c>
      <c r="L74" s="259"/>
      <c r="M74" s="1008">
        <f>SUM(K74+I74+G74+E74+C74)</f>
        <v>68877.42</v>
      </c>
      <c r="N74" s="343" t="s">
        <v>402</v>
      </c>
    </row>
    <row r="75" spans="1:14" ht="40.5" hidden="1" customHeight="1" x14ac:dyDescent="0.2">
      <c r="A75" s="1023"/>
      <c r="B75" s="31"/>
      <c r="C75" s="120">
        <v>0</v>
      </c>
      <c r="D75" s="270"/>
      <c r="E75" s="126">
        <v>0</v>
      </c>
      <c r="F75" s="127"/>
      <c r="G75" s="126">
        <v>0</v>
      </c>
      <c r="H75" s="270"/>
      <c r="I75" s="271">
        <v>0</v>
      </c>
      <c r="J75" s="270"/>
      <c r="K75" s="271">
        <v>0</v>
      </c>
      <c r="L75" s="270"/>
      <c r="M75" s="1008">
        <v>0</v>
      </c>
    </row>
    <row r="76" spans="1:14" ht="30.75" customHeight="1" thickBot="1" x14ac:dyDescent="0.25">
      <c r="A76" s="1441" t="s">
        <v>113</v>
      </c>
      <c r="B76" s="1442"/>
      <c r="C76" s="1024">
        <f>C5+C71</f>
        <v>2488719.6499999994</v>
      </c>
      <c r="D76" s="1025" t="s">
        <v>58</v>
      </c>
      <c r="E76" s="1026">
        <f>E5</f>
        <v>635491.42989999999</v>
      </c>
      <c r="F76" s="1027" t="s">
        <v>58</v>
      </c>
      <c r="G76" s="1026">
        <f>G5</f>
        <v>217107.73249999998</v>
      </c>
      <c r="H76" s="1028"/>
      <c r="I76" s="1029">
        <f>I5</f>
        <v>0</v>
      </c>
      <c r="J76" s="1028"/>
      <c r="K76" s="1029">
        <f>K5</f>
        <v>0</v>
      </c>
      <c r="L76" s="1030"/>
      <c r="M76" s="1031">
        <f>M5+M71</f>
        <v>3341318.8123999997</v>
      </c>
    </row>
    <row r="77" spans="1:14" x14ac:dyDescent="0.2">
      <c r="A77" s="38"/>
      <c r="B77" s="39"/>
      <c r="C77" s="272"/>
      <c r="D77" s="39"/>
      <c r="E77" s="40"/>
      <c r="F77" s="40"/>
      <c r="G77" s="40"/>
      <c r="H77" s="38"/>
      <c r="I77" s="40"/>
      <c r="J77" s="39"/>
      <c r="K77" s="40"/>
      <c r="L77" s="39"/>
      <c r="M77" s="40"/>
    </row>
    <row r="78" spans="1:14" ht="20.25" x14ac:dyDescent="0.2">
      <c r="A78" s="38"/>
      <c r="B78" s="39"/>
      <c r="C78" s="272"/>
      <c r="D78" s="39"/>
      <c r="E78" s="40"/>
      <c r="F78" s="40"/>
      <c r="G78" s="40"/>
      <c r="H78" s="39"/>
      <c r="I78" s="273"/>
      <c r="J78" s="39"/>
      <c r="K78" s="40"/>
      <c r="L78" s="1443"/>
      <c r="M78" s="1443"/>
    </row>
    <row r="79" spans="1:14" x14ac:dyDescent="0.2">
      <c r="A79" s="38"/>
      <c r="B79" s="39"/>
      <c r="C79" s="272"/>
      <c r="D79" s="39"/>
      <c r="E79" s="40"/>
      <c r="F79" s="40"/>
      <c r="G79" s="40"/>
      <c r="H79" s="39"/>
      <c r="I79" s="40"/>
      <c r="J79" s="39"/>
      <c r="K79" s="40"/>
      <c r="L79" s="39"/>
      <c r="M79" s="40"/>
    </row>
    <row r="80" spans="1:14" x14ac:dyDescent="0.2">
      <c r="A80" s="38"/>
      <c r="B80" s="39"/>
      <c r="C80" s="272"/>
      <c r="D80" s="39"/>
      <c r="E80" s="40"/>
      <c r="F80" s="40"/>
      <c r="G80" s="40"/>
      <c r="H80" s="39"/>
      <c r="I80" s="40"/>
      <c r="J80" s="39"/>
      <c r="K80" s="40"/>
      <c r="L80" s="39"/>
      <c r="M80" s="40"/>
    </row>
    <row r="81" spans="1:13" x14ac:dyDescent="0.2">
      <c r="A81" s="38"/>
      <c r="B81" s="39"/>
      <c r="C81" s="272"/>
      <c r="D81" s="39"/>
      <c r="E81" s="40"/>
      <c r="F81" s="40"/>
      <c r="G81" s="40"/>
      <c r="H81" s="39"/>
      <c r="I81" s="40"/>
      <c r="J81" s="39"/>
      <c r="K81" s="40"/>
      <c r="L81" s="39"/>
      <c r="M81" s="40"/>
    </row>
    <row r="82" spans="1:13" x14ac:dyDescent="0.2">
      <c r="A82" s="38"/>
      <c r="B82" s="39"/>
      <c r="C82" s="272"/>
      <c r="D82" s="39"/>
      <c r="E82" s="40"/>
      <c r="F82" s="40"/>
      <c r="G82" s="40"/>
      <c r="H82" s="39"/>
      <c r="I82" s="40"/>
      <c r="J82" s="39"/>
      <c r="K82" s="40"/>
      <c r="L82" s="39"/>
      <c r="M82" s="40"/>
    </row>
    <row r="83" spans="1:13" x14ac:dyDescent="0.2">
      <c r="A83" s="38"/>
      <c r="B83" s="39"/>
      <c r="C83" s="272"/>
      <c r="D83" s="39"/>
      <c r="E83" s="40"/>
      <c r="F83" s="40"/>
      <c r="G83" s="40"/>
      <c r="H83" s="39"/>
      <c r="I83" s="40"/>
      <c r="J83" s="39"/>
      <c r="K83" s="40"/>
      <c r="L83" s="39"/>
      <c r="M83" s="40"/>
    </row>
  </sheetData>
  <mergeCells count="8">
    <mergeCell ref="L3:M3"/>
    <mergeCell ref="A76:B76"/>
    <mergeCell ref="L78:M78"/>
    <mergeCell ref="A1:M2"/>
    <mergeCell ref="D3:E3"/>
    <mergeCell ref="F3:G3"/>
    <mergeCell ref="H3:I3"/>
    <mergeCell ref="J3:K3"/>
  </mergeCells>
  <printOptions horizontalCentered="1" verticalCentered="1"/>
  <pageMargins left="0.31496062992125984" right="0.51181102362204722" top="1.1417322834645669" bottom="0.55118110236220474" header="0.31496062992125984" footer="0.31496062992125984"/>
  <pageSetup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I20"/>
  <sheetViews>
    <sheetView view="pageBreakPreview" zoomScale="124" zoomScaleNormal="115" zoomScaleSheetLayoutView="124" workbookViewId="0">
      <selection activeCell="B7" sqref="B7"/>
    </sheetView>
  </sheetViews>
  <sheetFormatPr baseColWidth="10" defaultRowHeight="12.75" x14ac:dyDescent="0.2"/>
  <cols>
    <col min="1" max="1" width="7.140625" customWidth="1"/>
    <col min="2" max="2" width="42.7109375" customWidth="1"/>
    <col min="3" max="3" width="13.28515625" bestFit="1" customWidth="1"/>
  </cols>
  <sheetData>
    <row r="1" spans="1:9" s="181" customFormat="1" ht="103.5" customHeight="1" x14ac:dyDescent="0.2">
      <c r="A1" s="1452" t="s">
        <v>1151</v>
      </c>
      <c r="B1" s="1453"/>
      <c r="C1" s="1453"/>
    </row>
    <row r="2" spans="1:9" ht="18" x14ac:dyDescent="0.2">
      <c r="A2" s="182"/>
      <c r="B2" s="182"/>
      <c r="C2" s="182"/>
    </row>
    <row r="3" spans="1:9" ht="22.5" x14ac:dyDescent="0.2">
      <c r="A3" s="183" t="s">
        <v>55</v>
      </c>
      <c r="B3" s="184" t="s">
        <v>56</v>
      </c>
      <c r="C3" s="184" t="s">
        <v>1184</v>
      </c>
    </row>
    <row r="4" spans="1:9" ht="25.35" customHeight="1" x14ac:dyDescent="0.2">
      <c r="A4" s="185"/>
      <c r="B4" s="186" t="s">
        <v>57</v>
      </c>
      <c r="C4" s="187">
        <f>C5</f>
        <v>2149259.4000000004</v>
      </c>
    </row>
    <row r="5" spans="1:9" ht="25.35" customHeight="1" x14ac:dyDescent="0.2">
      <c r="A5" s="188" t="s">
        <v>99</v>
      </c>
      <c r="B5" s="189" t="s">
        <v>100</v>
      </c>
      <c r="C5" s="190">
        <f>C6</f>
        <v>2149259.4000000004</v>
      </c>
      <c r="I5" t="s">
        <v>58</v>
      </c>
    </row>
    <row r="6" spans="1:9" ht="33.75" customHeight="1" x14ac:dyDescent="0.2">
      <c r="A6" s="191">
        <v>162</v>
      </c>
      <c r="B6" s="192" t="s">
        <v>102</v>
      </c>
      <c r="C6" s="193">
        <f>C7+C8+C9</f>
        <v>2149259.4000000004</v>
      </c>
    </row>
    <row r="7" spans="1:9" ht="32.25" customHeight="1" x14ac:dyDescent="0.2">
      <c r="A7" s="194">
        <v>1620701</v>
      </c>
      <c r="B7" s="195" t="s">
        <v>446</v>
      </c>
      <c r="C7" s="196">
        <v>642152.01</v>
      </c>
    </row>
    <row r="8" spans="1:9" ht="32.25" customHeight="1" x14ac:dyDescent="0.2">
      <c r="A8" s="194">
        <v>1620701</v>
      </c>
      <c r="B8" s="195" t="s">
        <v>376</v>
      </c>
      <c r="C8" s="196">
        <v>320000.03000000003</v>
      </c>
    </row>
    <row r="9" spans="1:9" ht="32.25" customHeight="1" x14ac:dyDescent="0.2">
      <c r="A9" s="194">
        <v>1620703</v>
      </c>
      <c r="B9" s="195" t="s">
        <v>447</v>
      </c>
      <c r="C9" s="498">
        <v>1187107.3600000001</v>
      </c>
    </row>
    <row r="10" spans="1:9" ht="32.25" customHeight="1" x14ac:dyDescent="0.2">
      <c r="A10" s="185"/>
      <c r="B10" s="186" t="s">
        <v>57</v>
      </c>
      <c r="C10" s="187">
        <f>C11</f>
        <v>29598.3</v>
      </c>
    </row>
    <row r="11" spans="1:9" ht="32.25" customHeight="1" x14ac:dyDescent="0.2">
      <c r="A11" s="188">
        <v>22</v>
      </c>
      <c r="B11" s="189" t="s">
        <v>961</v>
      </c>
      <c r="C11" s="190">
        <f>C12</f>
        <v>29598.3</v>
      </c>
    </row>
    <row r="12" spans="1:9" ht="32.25" customHeight="1" x14ac:dyDescent="0.2">
      <c r="A12" s="191">
        <v>162</v>
      </c>
      <c r="B12" s="192" t="s">
        <v>962</v>
      </c>
      <c r="C12" s="193">
        <f>+C13</f>
        <v>29598.3</v>
      </c>
    </row>
    <row r="13" spans="1:9" ht="32.25" customHeight="1" x14ac:dyDescent="0.2">
      <c r="A13" s="194">
        <v>2223110</v>
      </c>
      <c r="B13" s="195" t="s">
        <v>963</v>
      </c>
      <c r="C13" s="196">
        <v>29598.3</v>
      </c>
    </row>
    <row r="14" spans="1:9" x14ac:dyDescent="0.2">
      <c r="A14" s="38"/>
      <c r="B14" s="39"/>
      <c r="C14" s="40"/>
    </row>
    <row r="15" spans="1:9" ht="20.25" x14ac:dyDescent="0.2">
      <c r="A15" s="38"/>
      <c r="B15" s="39"/>
      <c r="C15" s="121"/>
    </row>
    <row r="16" spans="1:9" x14ac:dyDescent="0.2">
      <c r="A16" s="38"/>
      <c r="B16" s="39"/>
      <c r="C16" s="40"/>
    </row>
    <row r="17" spans="1:3" x14ac:dyDescent="0.2">
      <c r="A17" s="38"/>
      <c r="B17" s="39"/>
      <c r="C17" s="40"/>
    </row>
    <row r="18" spans="1:3" x14ac:dyDescent="0.2">
      <c r="A18" s="38"/>
      <c r="B18" s="39"/>
      <c r="C18" s="40"/>
    </row>
    <row r="19" spans="1:3" x14ac:dyDescent="0.2">
      <c r="A19" s="38"/>
      <c r="B19" s="39"/>
      <c r="C19" s="40"/>
    </row>
    <row r="20" spans="1:3" x14ac:dyDescent="0.2">
      <c r="A20" s="38"/>
      <c r="B20" s="39"/>
      <c r="C20" s="40"/>
    </row>
  </sheetData>
  <mergeCells count="1">
    <mergeCell ref="A1:C1"/>
  </mergeCells>
  <printOptions horizontalCentered="1" verticalCentered="1"/>
  <pageMargins left="0.9055118110236221" right="0.59055118110236227" top="0.55118110236220474" bottom="0.55118110236220474" header="0" footer="0"/>
  <pageSetup scale="125" firstPageNumber="0" orientation="portrait" r:id="rId1"/>
  <headerFooter alignWithMargins="0"/>
  <rowBreaks count="1" manualBreakCount="1">
    <brk id="13" max="16383" man="1"/>
  </rowBreaks>
  <colBreaks count="1" manualBreakCount="1">
    <brk id="3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47"/>
  <sheetViews>
    <sheetView view="pageBreakPreview" topLeftCell="A39" zoomScaleNormal="70" zoomScaleSheetLayoutView="100" workbookViewId="0">
      <selection activeCell="G19" sqref="G19:G35"/>
    </sheetView>
  </sheetViews>
  <sheetFormatPr baseColWidth="10" defaultRowHeight="15" x14ac:dyDescent="0.3"/>
  <cols>
    <col min="1" max="1" width="4.42578125" style="75" customWidth="1"/>
    <col min="2" max="2" width="6.85546875" style="75" customWidth="1"/>
    <col min="3" max="3" width="4.42578125" style="76" customWidth="1"/>
    <col min="4" max="4" width="5.42578125" style="1" customWidth="1"/>
    <col min="5" max="5" width="6.140625" style="1" customWidth="1"/>
    <col min="6" max="6" width="11" style="1" customWidth="1"/>
    <col min="7" max="7" width="44.7109375" style="216" customWidth="1"/>
    <col min="8" max="8" width="17.28515625" style="3" customWidth="1"/>
  </cols>
  <sheetData>
    <row r="1" spans="1:8" ht="18" x14ac:dyDescent="0.35">
      <c r="A1" s="1472" t="s">
        <v>1143</v>
      </c>
      <c r="B1" s="1473"/>
      <c r="C1" s="1473"/>
      <c r="D1" s="1473"/>
      <c r="E1" s="1473"/>
      <c r="F1" s="1473"/>
      <c r="G1" s="1473"/>
      <c r="H1" s="1474"/>
    </row>
    <row r="2" spans="1:8" ht="18" x14ac:dyDescent="0.35">
      <c r="A2" s="1475" t="s">
        <v>1152</v>
      </c>
      <c r="B2" s="1476"/>
      <c r="C2" s="1476"/>
      <c r="D2" s="1476"/>
      <c r="E2" s="1476"/>
      <c r="F2" s="1476"/>
      <c r="G2" s="1476"/>
      <c r="H2" s="1477"/>
    </row>
    <row r="3" spans="1:8" ht="18" x14ac:dyDescent="0.35">
      <c r="A3" s="1475" t="s">
        <v>516</v>
      </c>
      <c r="B3" s="1476"/>
      <c r="C3" s="1476"/>
      <c r="D3" s="1476"/>
      <c r="E3" s="1476"/>
      <c r="F3" s="1476"/>
      <c r="G3" s="1476"/>
      <c r="H3" s="1477"/>
    </row>
    <row r="4" spans="1:8" ht="13.35" customHeight="1" x14ac:dyDescent="0.35">
      <c r="A4" s="1478"/>
      <c r="B4" s="1479"/>
      <c r="C4" s="1479"/>
      <c r="D4" s="1479"/>
      <c r="E4" s="1479"/>
      <c r="F4" s="1479"/>
      <c r="G4" s="1479"/>
      <c r="H4" s="1480"/>
    </row>
    <row r="5" spans="1:8" ht="18" x14ac:dyDescent="0.35">
      <c r="A5" s="1478" t="s">
        <v>129</v>
      </c>
      <c r="B5" s="1479"/>
      <c r="C5" s="1479"/>
      <c r="D5" s="1479"/>
      <c r="E5" s="1479"/>
      <c r="F5" s="1479"/>
      <c r="G5" s="1479"/>
      <c r="H5" s="1480"/>
    </row>
    <row r="6" spans="1:8" ht="13.35" customHeight="1" x14ac:dyDescent="0.35">
      <c r="A6" s="1458"/>
      <c r="B6" s="1459"/>
      <c r="C6" s="1459"/>
      <c r="D6" s="1459"/>
      <c r="E6" s="1459"/>
      <c r="F6" s="1459"/>
      <c r="G6" s="1459"/>
      <c r="H6" s="1460"/>
    </row>
    <row r="7" spans="1:8" ht="18" x14ac:dyDescent="0.2">
      <c r="A7" s="1461" t="s">
        <v>170</v>
      </c>
      <c r="B7" s="1462"/>
      <c r="C7" s="1462"/>
      <c r="D7" s="1462"/>
      <c r="E7" s="1462"/>
      <c r="F7" s="1462"/>
      <c r="G7" s="1462"/>
      <c r="H7" s="1463"/>
    </row>
    <row r="8" spans="1:8" ht="31.35" customHeight="1" x14ac:dyDescent="0.25">
      <c r="A8" s="1464" t="s">
        <v>853</v>
      </c>
      <c r="B8" s="1465"/>
      <c r="C8" s="1465"/>
      <c r="D8" s="1465"/>
      <c r="E8" s="1465"/>
      <c r="F8" s="1465"/>
      <c r="G8" s="1465"/>
      <c r="H8" s="1466"/>
    </row>
    <row r="9" spans="1:8" ht="12" customHeight="1" x14ac:dyDescent="0.25">
      <c r="A9" s="648"/>
      <c r="B9" s="219"/>
      <c r="C9" s="219"/>
      <c r="D9" s="219"/>
      <c r="E9" s="219"/>
      <c r="F9" s="219"/>
      <c r="G9" s="220"/>
      <c r="H9" s="649"/>
    </row>
    <row r="10" spans="1:8" x14ac:dyDescent="0.35">
      <c r="A10" s="1467" t="s">
        <v>171</v>
      </c>
      <c r="B10" s="1468"/>
      <c r="C10" s="1468"/>
      <c r="D10" s="1468"/>
      <c r="E10" s="1468"/>
      <c r="F10" s="1468"/>
      <c r="G10" s="1469" t="s">
        <v>172</v>
      </c>
      <c r="H10" s="1481" t="s">
        <v>173</v>
      </c>
    </row>
    <row r="11" spans="1:8" ht="125.45" customHeight="1" x14ac:dyDescent="0.2">
      <c r="A11" s="650" t="s">
        <v>174</v>
      </c>
      <c r="B11" s="217" t="s">
        <v>175</v>
      </c>
      <c r="C11" s="217" t="s">
        <v>176</v>
      </c>
      <c r="D11" s="217" t="s">
        <v>177</v>
      </c>
      <c r="E11" s="217" t="s">
        <v>178</v>
      </c>
      <c r="F11" s="217" t="s">
        <v>179</v>
      </c>
      <c r="G11" s="1469"/>
      <c r="H11" s="1481"/>
    </row>
    <row r="12" spans="1:8" ht="25.35" customHeight="1" x14ac:dyDescent="0.2">
      <c r="A12" s="143">
        <v>1</v>
      </c>
      <c r="B12" s="106" t="s">
        <v>180</v>
      </c>
      <c r="C12" s="106" t="s">
        <v>180</v>
      </c>
      <c r="D12" s="106" t="s">
        <v>185</v>
      </c>
      <c r="E12" s="106" t="s">
        <v>186</v>
      </c>
      <c r="F12" s="106" t="str">
        <f>'FUNCIONAMIENTO-FOND PROPIOS-FAM'!A9</f>
        <v>51101</v>
      </c>
      <c r="G12" s="137" t="str">
        <f>'FUNCIONAMIENTO-FOND PROPIOS-FAM'!B9</f>
        <v>Sueldos</v>
      </c>
      <c r="H12" s="144">
        <f>+'RESUMEN '!G40</f>
        <v>676906.8</v>
      </c>
    </row>
    <row r="13" spans="1:8" ht="25.35" customHeight="1" x14ac:dyDescent="0.2">
      <c r="A13" s="143">
        <v>1</v>
      </c>
      <c r="B13" s="106" t="s">
        <v>180</v>
      </c>
      <c r="C13" s="106" t="s">
        <v>180</v>
      </c>
      <c r="D13" s="106" t="s">
        <v>185</v>
      </c>
      <c r="E13" s="106" t="s">
        <v>186</v>
      </c>
      <c r="F13" s="106">
        <f>'FUNCIONAMIENTO-FOND PROPIOS-FAM'!A11</f>
        <v>51103</v>
      </c>
      <c r="G13" s="137" t="str">
        <f>'FUNCIONAMIENTO-FOND PROPIOS-FAM'!B11</f>
        <v>Aguinaldos</v>
      </c>
      <c r="H13" s="144">
        <f>+'RESUMEN '!M40</f>
        <v>84316.6</v>
      </c>
    </row>
    <row r="14" spans="1:8" ht="25.35" customHeight="1" x14ac:dyDescent="0.2">
      <c r="A14" s="143">
        <v>1</v>
      </c>
      <c r="B14" s="106" t="s">
        <v>180</v>
      </c>
      <c r="C14" s="106" t="s">
        <v>180</v>
      </c>
      <c r="D14" s="106" t="s">
        <v>185</v>
      </c>
      <c r="E14" s="106" t="s">
        <v>186</v>
      </c>
      <c r="F14" s="106" t="str">
        <f>'FUNCIONAMIENTO-FOND PROPIOS-FAM'!A13</f>
        <v>51107</v>
      </c>
      <c r="G14" s="137" t="s">
        <v>880</v>
      </c>
      <c r="H14" s="144">
        <f>+'RESUMEN '!N15</f>
        <v>3272.1450000000004</v>
      </c>
    </row>
    <row r="15" spans="1:8" ht="37.5" customHeight="1" x14ac:dyDescent="0.2">
      <c r="A15" s="651">
        <v>1</v>
      </c>
      <c r="B15" s="106" t="s">
        <v>180</v>
      </c>
      <c r="C15" s="106" t="s">
        <v>180</v>
      </c>
      <c r="D15" s="133" t="s">
        <v>185</v>
      </c>
      <c r="E15" s="133" t="s">
        <v>186</v>
      </c>
      <c r="F15" s="106">
        <f>'FUNCIONAMIENTO-FOND PROPIOS-FAM'!A15</f>
        <v>51401</v>
      </c>
      <c r="G15" s="137" t="str">
        <f>'FUNCIONAMIENTO-FOND PROPIOS-FAM'!B15</f>
        <v>Por Remuneraciones Permanentes ISSS\IPSFA</v>
      </c>
      <c r="H15" s="144">
        <f>+'RESUMEN '!H40+'RESUMEN '!K40+'RESUMEN '!O40+'RESUMEN '!Q40</f>
        <v>53064.345674999982</v>
      </c>
    </row>
    <row r="16" spans="1:8" ht="25.35" customHeight="1" x14ac:dyDescent="0.2">
      <c r="A16" s="143">
        <v>1</v>
      </c>
      <c r="B16" s="106" t="s">
        <v>180</v>
      </c>
      <c r="C16" s="106" t="s">
        <v>180</v>
      </c>
      <c r="D16" s="106" t="s">
        <v>185</v>
      </c>
      <c r="E16" s="106" t="s">
        <v>186</v>
      </c>
      <c r="F16" s="106">
        <f>'FUNCIONAMIENTO-FOND PROPIOS-FAM'!A16</f>
        <v>51501</v>
      </c>
      <c r="G16" s="137" t="str">
        <f>'FUNCIONAMIENTO-FOND PROPIOS-FAM'!B16</f>
        <v>Por Remuneraciones Permanentes AFPs</v>
      </c>
      <c r="H16" s="144">
        <f>+'RESUMEN '!I9+'RESUMEN '!I10+'RESUMEN '!I11+'RESUMEN '!I12+'RESUMEN '!I13+'RESUMEN '!I14+'RESUMEN '!P9</f>
        <v>56913.915718749973</v>
      </c>
    </row>
    <row r="17" spans="1:10" ht="25.35" customHeight="1" x14ac:dyDescent="0.2">
      <c r="A17" s="143">
        <v>1</v>
      </c>
      <c r="B17" s="106" t="s">
        <v>180</v>
      </c>
      <c r="C17" s="106" t="s">
        <v>180</v>
      </c>
      <c r="D17" s="106" t="s">
        <v>185</v>
      </c>
      <c r="E17" s="106" t="s">
        <v>186</v>
      </c>
      <c r="F17" s="106" t="s">
        <v>277</v>
      </c>
      <c r="G17" s="137" t="s">
        <v>1012</v>
      </c>
      <c r="H17" s="144">
        <v>20487</v>
      </c>
    </row>
    <row r="18" spans="1:10" ht="25.35" customHeight="1" x14ac:dyDescent="0.25">
      <c r="A18" s="1456" t="s">
        <v>16</v>
      </c>
      <c r="B18" s="1457"/>
      <c r="C18" s="1457"/>
      <c r="D18" s="1457"/>
      <c r="E18" s="1457"/>
      <c r="F18" s="1457"/>
      <c r="G18" s="1457"/>
      <c r="H18" s="652">
        <f>SUM(H12:H17)</f>
        <v>894960.80639375001</v>
      </c>
    </row>
    <row r="19" spans="1:10" ht="25.35" customHeight="1" x14ac:dyDescent="0.2">
      <c r="A19" s="143">
        <v>1</v>
      </c>
      <c r="B19" s="106" t="s">
        <v>180</v>
      </c>
      <c r="C19" s="106" t="s">
        <v>180</v>
      </c>
      <c r="D19" s="106" t="s">
        <v>185</v>
      </c>
      <c r="E19" s="106" t="s">
        <v>186</v>
      </c>
      <c r="F19" s="106" t="s">
        <v>260</v>
      </c>
      <c r="G19" s="568" t="s">
        <v>886</v>
      </c>
      <c r="H19" s="455">
        <v>11000</v>
      </c>
      <c r="I19" s="1470"/>
      <c r="J19" s="1471"/>
    </row>
    <row r="20" spans="1:10" ht="25.35" customHeight="1" x14ac:dyDescent="0.2">
      <c r="A20" s="143">
        <v>1</v>
      </c>
      <c r="B20" s="106" t="s">
        <v>180</v>
      </c>
      <c r="C20" s="106" t="s">
        <v>180</v>
      </c>
      <c r="D20" s="106" t="s">
        <v>185</v>
      </c>
      <c r="E20" s="106" t="s">
        <v>186</v>
      </c>
      <c r="F20" s="106" t="s">
        <v>264</v>
      </c>
      <c r="G20" s="568" t="s">
        <v>892</v>
      </c>
      <c r="H20" s="455">
        <v>5245.25</v>
      </c>
    </row>
    <row r="21" spans="1:10" ht="25.35" customHeight="1" x14ac:dyDescent="0.2">
      <c r="A21" s="143">
        <v>1</v>
      </c>
      <c r="B21" s="106" t="s">
        <v>180</v>
      </c>
      <c r="C21" s="106" t="s">
        <v>180</v>
      </c>
      <c r="D21" s="106" t="s">
        <v>185</v>
      </c>
      <c r="E21" s="106" t="s">
        <v>186</v>
      </c>
      <c r="F21" s="213" t="s">
        <v>923</v>
      </c>
      <c r="G21" s="568" t="s">
        <v>924</v>
      </c>
      <c r="H21" s="141">
        <v>20000</v>
      </c>
    </row>
    <row r="22" spans="1:10" ht="25.35" customHeight="1" x14ac:dyDescent="0.2">
      <c r="A22" s="143">
        <v>1</v>
      </c>
      <c r="B22" s="106" t="s">
        <v>180</v>
      </c>
      <c r="C22" s="106" t="s">
        <v>180</v>
      </c>
      <c r="D22" s="106" t="s">
        <v>185</v>
      </c>
      <c r="E22" s="106" t="s">
        <v>186</v>
      </c>
      <c r="F22" s="213" t="s">
        <v>1112</v>
      </c>
      <c r="G22" s="568" t="s">
        <v>1113</v>
      </c>
      <c r="H22" s="141">
        <v>1150</v>
      </c>
    </row>
    <row r="23" spans="1:10" ht="25.35" customHeight="1" x14ac:dyDescent="0.2">
      <c r="A23" s="143">
        <v>1</v>
      </c>
      <c r="B23" s="106" t="s">
        <v>180</v>
      </c>
      <c r="C23" s="106" t="s">
        <v>180</v>
      </c>
      <c r="D23" s="106" t="s">
        <v>185</v>
      </c>
      <c r="E23" s="106" t="s">
        <v>186</v>
      </c>
      <c r="F23" s="213" t="s">
        <v>261</v>
      </c>
      <c r="G23" s="568" t="s">
        <v>1111</v>
      </c>
      <c r="H23" s="141">
        <v>4.75</v>
      </c>
    </row>
    <row r="24" spans="1:10" ht="25.35" customHeight="1" x14ac:dyDescent="0.2">
      <c r="A24" s="143">
        <v>1</v>
      </c>
      <c r="B24" s="106" t="s">
        <v>180</v>
      </c>
      <c r="C24" s="106" t="s">
        <v>180</v>
      </c>
      <c r="D24" s="106" t="s">
        <v>185</v>
      </c>
      <c r="E24" s="106" t="s">
        <v>186</v>
      </c>
      <c r="F24" s="213" t="s">
        <v>921</v>
      </c>
      <c r="G24" s="568" t="s">
        <v>287</v>
      </c>
      <c r="H24" s="141">
        <v>20000</v>
      </c>
    </row>
    <row r="25" spans="1:10" ht="25.35" customHeight="1" x14ac:dyDescent="0.2">
      <c r="A25" s="143">
        <v>1</v>
      </c>
      <c r="B25" s="106" t="s">
        <v>180</v>
      </c>
      <c r="C25" s="106" t="s">
        <v>180</v>
      </c>
      <c r="D25" s="106" t="s">
        <v>185</v>
      </c>
      <c r="E25" s="106" t="s">
        <v>186</v>
      </c>
      <c r="F25" s="213" t="s">
        <v>922</v>
      </c>
      <c r="G25" s="568" t="s">
        <v>140</v>
      </c>
      <c r="H25" s="141">
        <v>15000</v>
      </c>
    </row>
    <row r="26" spans="1:10" ht="25.35" customHeight="1" x14ac:dyDescent="0.2">
      <c r="A26" s="143">
        <v>1</v>
      </c>
      <c r="B26" s="106" t="s">
        <v>180</v>
      </c>
      <c r="C26" s="106" t="s">
        <v>180</v>
      </c>
      <c r="D26" s="106" t="s">
        <v>185</v>
      </c>
      <c r="E26" s="106" t="s">
        <v>186</v>
      </c>
      <c r="F26" s="106" t="s">
        <v>365</v>
      </c>
      <c r="G26" s="568" t="s">
        <v>907</v>
      </c>
      <c r="H26" s="141">
        <v>6030.91</v>
      </c>
    </row>
    <row r="27" spans="1:10" ht="25.35" customHeight="1" x14ac:dyDescent="0.2">
      <c r="A27" s="453">
        <v>1</v>
      </c>
      <c r="B27" s="213" t="s">
        <v>180</v>
      </c>
      <c r="C27" s="213" t="s">
        <v>180</v>
      </c>
      <c r="D27" s="213" t="s">
        <v>185</v>
      </c>
      <c r="E27" s="213" t="s">
        <v>186</v>
      </c>
      <c r="F27" s="213" t="s">
        <v>867</v>
      </c>
      <c r="G27" s="568" t="s">
        <v>920</v>
      </c>
      <c r="H27" s="141">
        <v>3000</v>
      </c>
    </row>
    <row r="28" spans="1:10" ht="25.35" customHeight="1" x14ac:dyDescent="0.2">
      <c r="A28" s="453">
        <v>1</v>
      </c>
      <c r="B28" s="213" t="s">
        <v>180</v>
      </c>
      <c r="C28" s="213" t="s">
        <v>180</v>
      </c>
      <c r="D28" s="213" t="s">
        <v>185</v>
      </c>
      <c r="E28" s="213" t="s">
        <v>186</v>
      </c>
      <c r="F28" s="213" t="s">
        <v>444</v>
      </c>
      <c r="G28" s="568" t="s">
        <v>942</v>
      </c>
      <c r="H28" s="141">
        <v>2210</v>
      </c>
    </row>
    <row r="29" spans="1:10" ht="36" customHeight="1" x14ac:dyDescent="0.2">
      <c r="A29" s="453">
        <v>1</v>
      </c>
      <c r="B29" s="213" t="s">
        <v>180</v>
      </c>
      <c r="C29" s="213" t="s">
        <v>180</v>
      </c>
      <c r="D29" s="213" t="s">
        <v>185</v>
      </c>
      <c r="E29" s="213" t="s">
        <v>186</v>
      </c>
      <c r="F29" s="213" t="s">
        <v>444</v>
      </c>
      <c r="G29" s="1033" t="s">
        <v>1025</v>
      </c>
      <c r="H29" s="141">
        <v>12000</v>
      </c>
    </row>
    <row r="30" spans="1:10" ht="25.35" customHeight="1" x14ac:dyDescent="0.2">
      <c r="A30" s="143">
        <v>1</v>
      </c>
      <c r="B30" s="106" t="s">
        <v>180</v>
      </c>
      <c r="C30" s="106" t="s">
        <v>180</v>
      </c>
      <c r="D30" s="106" t="s">
        <v>185</v>
      </c>
      <c r="E30" s="106" t="s">
        <v>186</v>
      </c>
      <c r="F30" s="213" t="s">
        <v>883</v>
      </c>
      <c r="G30" s="214" t="s">
        <v>928</v>
      </c>
      <c r="H30" s="141">
        <v>6468.12</v>
      </c>
    </row>
    <row r="31" spans="1:10" ht="25.5" customHeight="1" x14ac:dyDescent="0.2">
      <c r="A31" s="143">
        <v>1</v>
      </c>
      <c r="B31" s="106" t="s">
        <v>180</v>
      </c>
      <c r="C31" s="106" t="s">
        <v>180</v>
      </c>
      <c r="D31" s="106" t="s">
        <v>185</v>
      </c>
      <c r="E31" s="106" t="s">
        <v>186</v>
      </c>
      <c r="F31" s="213" t="s">
        <v>847</v>
      </c>
      <c r="G31" s="214" t="s">
        <v>147</v>
      </c>
      <c r="H31" s="141">
        <v>84000</v>
      </c>
    </row>
    <row r="32" spans="1:10" ht="35.25" customHeight="1" x14ac:dyDescent="0.2">
      <c r="A32" s="453">
        <v>1</v>
      </c>
      <c r="B32" s="213" t="s">
        <v>180</v>
      </c>
      <c r="C32" s="213" t="s">
        <v>180</v>
      </c>
      <c r="D32" s="213" t="s">
        <v>185</v>
      </c>
      <c r="E32" s="213" t="s">
        <v>186</v>
      </c>
      <c r="F32" s="213" t="s">
        <v>918</v>
      </c>
      <c r="G32" s="214" t="s">
        <v>919</v>
      </c>
      <c r="H32" s="141">
        <v>10500</v>
      </c>
    </row>
    <row r="33" spans="1:8" ht="28.5" customHeight="1" x14ac:dyDescent="0.2">
      <c r="A33" s="143">
        <v>1</v>
      </c>
      <c r="B33" s="106" t="s">
        <v>180</v>
      </c>
      <c r="C33" s="106" t="s">
        <v>180</v>
      </c>
      <c r="D33" s="106" t="s">
        <v>185</v>
      </c>
      <c r="E33" s="106" t="s">
        <v>186</v>
      </c>
      <c r="F33" s="213" t="s">
        <v>1007</v>
      </c>
      <c r="G33" s="214" t="s">
        <v>1114</v>
      </c>
      <c r="H33" s="141">
        <v>1190</v>
      </c>
    </row>
    <row r="34" spans="1:8" ht="33" customHeight="1" x14ac:dyDescent="0.2">
      <c r="A34" s="143">
        <v>1</v>
      </c>
      <c r="B34" s="106" t="s">
        <v>180</v>
      </c>
      <c r="C34" s="106" t="s">
        <v>180</v>
      </c>
      <c r="D34" s="106" t="s">
        <v>185</v>
      </c>
      <c r="E34" s="106" t="s">
        <v>186</v>
      </c>
      <c r="F34" s="213" t="s">
        <v>530</v>
      </c>
      <c r="G34" s="214" t="s">
        <v>1011</v>
      </c>
      <c r="H34" s="141">
        <v>12345.84</v>
      </c>
    </row>
    <row r="35" spans="1:8" ht="34.5" customHeight="1" x14ac:dyDescent="0.2">
      <c r="A35" s="143">
        <v>1</v>
      </c>
      <c r="B35" s="106" t="s">
        <v>180</v>
      </c>
      <c r="C35" s="106" t="s">
        <v>180</v>
      </c>
      <c r="D35" s="106" t="s">
        <v>185</v>
      </c>
      <c r="E35" s="106" t="s">
        <v>186</v>
      </c>
      <c r="F35" s="213">
        <f>'FUNCIONAMIENTO-FOND PROPIOS-FAM'!A52</f>
        <v>54399</v>
      </c>
      <c r="G35" s="214" t="s">
        <v>1115</v>
      </c>
      <c r="H35" s="141">
        <v>1509.47</v>
      </c>
    </row>
    <row r="36" spans="1:8" ht="25.35" customHeight="1" x14ac:dyDescent="0.25">
      <c r="A36" s="1456" t="s">
        <v>16</v>
      </c>
      <c r="B36" s="1457"/>
      <c r="C36" s="1457"/>
      <c r="D36" s="1457"/>
      <c r="E36" s="1457"/>
      <c r="F36" s="1457"/>
      <c r="G36" s="1457"/>
      <c r="H36" s="653">
        <f>+H19+H20+H21+H22+H23+H24+H25+H26+H27+H28+H29+H30+H31+H32+H33+H34+H35</f>
        <v>211654.34</v>
      </c>
    </row>
    <row r="37" spans="1:8" ht="38.1" customHeight="1" x14ac:dyDescent="0.2">
      <c r="A37" s="143">
        <v>1</v>
      </c>
      <c r="B37" s="106" t="s">
        <v>180</v>
      </c>
      <c r="C37" s="106" t="s">
        <v>180</v>
      </c>
      <c r="D37" s="106" t="s">
        <v>185</v>
      </c>
      <c r="E37" s="106" t="s">
        <v>186</v>
      </c>
      <c r="F37" s="106">
        <f>'FUNCIONAMIENTO-FOND PROPIOS-FAM'!A58</f>
        <v>55601</v>
      </c>
      <c r="G37" s="135" t="str">
        <f>'FUNCIONAMIENTO-FOND PROPIOS-FAM'!B58</f>
        <v xml:space="preserve">Primas y Gastos de Seguros de Personas </v>
      </c>
      <c r="H37" s="455">
        <v>36000</v>
      </c>
    </row>
    <row r="38" spans="1:8" ht="25.35" customHeight="1" x14ac:dyDescent="0.2">
      <c r="A38" s="143">
        <v>1</v>
      </c>
      <c r="B38" s="106" t="s">
        <v>180</v>
      </c>
      <c r="C38" s="106" t="s">
        <v>180</v>
      </c>
      <c r="D38" s="106" t="s">
        <v>185</v>
      </c>
      <c r="E38" s="106" t="s">
        <v>186</v>
      </c>
      <c r="F38" s="106">
        <f>'FUNCIONAMIENTO-FOND PROPIOS-FAM'!A59</f>
        <v>55602</v>
      </c>
      <c r="G38" s="135" t="str">
        <f>'FUNCIONAMIENTO-FOND PROPIOS-FAM'!B59</f>
        <v>Primas y Gastos de Seguros de Bienes</v>
      </c>
      <c r="H38" s="455">
        <v>15890.88</v>
      </c>
    </row>
    <row r="39" spans="1:8" ht="25.35" customHeight="1" x14ac:dyDescent="0.2">
      <c r="A39" s="143">
        <v>1</v>
      </c>
      <c r="B39" s="106" t="s">
        <v>180</v>
      </c>
      <c r="C39" s="106" t="s">
        <v>180</v>
      </c>
      <c r="D39" s="106" t="s">
        <v>185</v>
      </c>
      <c r="E39" s="106" t="s">
        <v>186</v>
      </c>
      <c r="F39" s="106" t="s">
        <v>1137</v>
      </c>
      <c r="G39" s="135" t="s">
        <v>1138</v>
      </c>
      <c r="H39" s="455">
        <v>500</v>
      </c>
    </row>
    <row r="40" spans="1:8" ht="25.35" customHeight="1" x14ac:dyDescent="0.2">
      <c r="A40" s="143">
        <v>1</v>
      </c>
      <c r="B40" s="106" t="s">
        <v>180</v>
      </c>
      <c r="C40" s="106" t="s">
        <v>180</v>
      </c>
      <c r="D40" s="106" t="s">
        <v>185</v>
      </c>
      <c r="E40" s="106" t="s">
        <v>186</v>
      </c>
      <c r="F40" s="106" t="s">
        <v>1135</v>
      </c>
      <c r="G40" s="135" t="s">
        <v>1136</v>
      </c>
      <c r="H40" s="455">
        <v>1000</v>
      </c>
    </row>
    <row r="41" spans="1:8" ht="25.35" customHeight="1" x14ac:dyDescent="0.25">
      <c r="A41" s="1456" t="s">
        <v>16</v>
      </c>
      <c r="B41" s="1457"/>
      <c r="C41" s="1457"/>
      <c r="D41" s="1457"/>
      <c r="E41" s="1457"/>
      <c r="F41" s="1457"/>
      <c r="G41" s="1457"/>
      <c r="H41" s="454">
        <f>SUM(H37:H40)</f>
        <v>53390.879999999997</v>
      </c>
    </row>
    <row r="42" spans="1:8" ht="39" customHeight="1" x14ac:dyDescent="0.2">
      <c r="A42" s="143">
        <v>1</v>
      </c>
      <c r="B42" s="106" t="s">
        <v>180</v>
      </c>
      <c r="C42" s="106" t="s">
        <v>180</v>
      </c>
      <c r="D42" s="106" t="s">
        <v>185</v>
      </c>
      <c r="E42" s="106" t="s">
        <v>186</v>
      </c>
      <c r="F42" s="106" t="s">
        <v>255</v>
      </c>
      <c r="G42" s="135" t="s">
        <v>1027</v>
      </c>
      <c r="H42" s="141">
        <f>7700+5000</f>
        <v>12700</v>
      </c>
    </row>
    <row r="43" spans="1:8" ht="25.35" customHeight="1" x14ac:dyDescent="0.2">
      <c r="A43" s="143">
        <v>1</v>
      </c>
      <c r="B43" s="106" t="s">
        <v>180</v>
      </c>
      <c r="C43" s="106" t="s">
        <v>180</v>
      </c>
      <c r="D43" s="106" t="s">
        <v>185</v>
      </c>
      <c r="E43" s="106" t="s">
        <v>186</v>
      </c>
      <c r="F43" s="106" t="s">
        <v>893</v>
      </c>
      <c r="G43" s="135" t="s">
        <v>898</v>
      </c>
      <c r="H43" s="455">
        <v>5426.4</v>
      </c>
    </row>
    <row r="44" spans="1:8" ht="25.35" customHeight="1" x14ac:dyDescent="0.25">
      <c r="A44" s="1456" t="s">
        <v>16</v>
      </c>
      <c r="B44" s="1457"/>
      <c r="C44" s="1457"/>
      <c r="D44" s="1457"/>
      <c r="E44" s="1457"/>
      <c r="F44" s="1457"/>
      <c r="G44" s="1457"/>
      <c r="H44" s="454">
        <f>+H43+H42</f>
        <v>18126.400000000001</v>
      </c>
    </row>
    <row r="45" spans="1:8" ht="25.35" customHeight="1" x14ac:dyDescent="0.2">
      <c r="A45" s="143">
        <v>1</v>
      </c>
      <c r="B45" s="106" t="s">
        <v>180</v>
      </c>
      <c r="C45" s="106" t="s">
        <v>180</v>
      </c>
      <c r="D45" s="106" t="s">
        <v>185</v>
      </c>
      <c r="E45" s="106" t="s">
        <v>186</v>
      </c>
      <c r="F45" s="106" t="str">
        <f>'FUNCIONAMIENTO-FOND PROPIOS-FAM'!A78</f>
        <v>72101</v>
      </c>
      <c r="G45" s="135" t="str">
        <f>'FUNCIONAMIENTO-FOND PROPIOS-FAM'!B78</f>
        <v xml:space="preserve">Cuentas por pagar de años anteriores </v>
      </c>
      <c r="H45" s="141">
        <v>232317.26</v>
      </c>
    </row>
    <row r="46" spans="1:8" ht="25.35" customHeight="1" x14ac:dyDescent="0.25">
      <c r="A46" s="1456" t="s">
        <v>16</v>
      </c>
      <c r="B46" s="1457"/>
      <c r="C46" s="1457"/>
      <c r="D46" s="1457"/>
      <c r="E46" s="1457"/>
      <c r="F46" s="1457"/>
      <c r="G46" s="1457"/>
      <c r="H46" s="653">
        <f>SUM(H45)</f>
        <v>232317.26</v>
      </c>
    </row>
    <row r="47" spans="1:8" ht="25.35" customHeight="1" thickBot="1" x14ac:dyDescent="0.3">
      <c r="A47" s="1454" t="s">
        <v>169</v>
      </c>
      <c r="B47" s="1455"/>
      <c r="C47" s="1455"/>
      <c r="D47" s="1455"/>
      <c r="E47" s="1455"/>
      <c r="F47" s="1455"/>
      <c r="G47" s="1455"/>
      <c r="H47" s="654">
        <f>H18+H36+H41+H46+H44</f>
        <v>1410449.6863937499</v>
      </c>
    </row>
  </sheetData>
  <mergeCells count="18">
    <mergeCell ref="I19:J19"/>
    <mergeCell ref="A44:G44"/>
    <mergeCell ref="A1:H1"/>
    <mergeCell ref="A2:H2"/>
    <mergeCell ref="A3:H3"/>
    <mergeCell ref="A4:H4"/>
    <mergeCell ref="A5:H5"/>
    <mergeCell ref="H10:H11"/>
    <mergeCell ref="A47:G47"/>
    <mergeCell ref="A18:G18"/>
    <mergeCell ref="A36:G36"/>
    <mergeCell ref="A41:G41"/>
    <mergeCell ref="A6:H6"/>
    <mergeCell ref="A7:H7"/>
    <mergeCell ref="A8:H8"/>
    <mergeCell ref="A10:F10"/>
    <mergeCell ref="G10:G11"/>
    <mergeCell ref="A46:G46"/>
  </mergeCells>
  <printOptions horizontalCentered="1" verticalCentered="1"/>
  <pageMargins left="0.98425196850393704" right="0.39370078740157483" top="0.51181102362204722" bottom="0.47244094488188981" header="0" footer="0"/>
  <pageSetup scale="85" firstPageNumber="0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24"/>
  <sheetViews>
    <sheetView view="pageBreakPreview" topLeftCell="A16" zoomScaleNormal="100" zoomScaleSheetLayoutView="100" workbookViewId="0">
      <selection activeCell="G20" sqref="G20"/>
    </sheetView>
  </sheetViews>
  <sheetFormatPr baseColWidth="10" defaultRowHeight="15" x14ac:dyDescent="0.3"/>
  <cols>
    <col min="1" max="1" width="4.42578125" style="75" customWidth="1"/>
    <col min="2" max="2" width="6.85546875" style="75" customWidth="1"/>
    <col min="3" max="3" width="4.42578125" style="76" customWidth="1"/>
    <col min="4" max="4" width="5.42578125" style="1" customWidth="1"/>
    <col min="5" max="5" width="6.140625" style="1" customWidth="1"/>
    <col min="6" max="6" width="11" style="1" customWidth="1"/>
    <col min="7" max="7" width="43.140625" style="216" customWidth="1"/>
    <col min="8" max="8" width="17.28515625" style="3" customWidth="1"/>
  </cols>
  <sheetData>
    <row r="1" spans="1:8" ht="18" x14ac:dyDescent="0.35">
      <c r="A1" s="1472" t="s">
        <v>1143</v>
      </c>
      <c r="B1" s="1473"/>
      <c r="C1" s="1473"/>
      <c r="D1" s="1473"/>
      <c r="E1" s="1473"/>
      <c r="F1" s="1473"/>
      <c r="G1" s="1473"/>
      <c r="H1" s="1474"/>
    </row>
    <row r="2" spans="1:8" ht="18" x14ac:dyDescent="0.35">
      <c r="A2" s="1475" t="s">
        <v>1152</v>
      </c>
      <c r="B2" s="1476"/>
      <c r="C2" s="1476"/>
      <c r="D2" s="1476"/>
      <c r="E2" s="1476"/>
      <c r="F2" s="1476"/>
      <c r="G2" s="1476"/>
      <c r="H2" s="1477"/>
    </row>
    <row r="3" spans="1:8" ht="18" x14ac:dyDescent="0.35">
      <c r="A3" s="1490" t="s">
        <v>516</v>
      </c>
      <c r="B3" s="1476"/>
      <c r="C3" s="1476"/>
      <c r="D3" s="1476"/>
      <c r="E3" s="1476"/>
      <c r="F3" s="1476"/>
      <c r="G3" s="1476"/>
      <c r="H3" s="1491"/>
    </row>
    <row r="4" spans="1:8" ht="13.35" customHeight="1" x14ac:dyDescent="0.35">
      <c r="A4" s="1492"/>
      <c r="B4" s="1479"/>
      <c r="C4" s="1479"/>
      <c r="D4" s="1479"/>
      <c r="E4" s="1479"/>
      <c r="F4" s="1479"/>
      <c r="G4" s="1479"/>
      <c r="H4" s="1493"/>
    </row>
    <row r="5" spans="1:8" ht="18" x14ac:dyDescent="0.35">
      <c r="A5" s="1492" t="s">
        <v>129</v>
      </c>
      <c r="B5" s="1479"/>
      <c r="C5" s="1479"/>
      <c r="D5" s="1479"/>
      <c r="E5" s="1479"/>
      <c r="F5" s="1479"/>
      <c r="G5" s="1479"/>
      <c r="H5" s="1493"/>
    </row>
    <row r="6" spans="1:8" ht="13.35" customHeight="1" x14ac:dyDescent="0.35">
      <c r="A6" s="1488"/>
      <c r="B6" s="1459"/>
      <c r="C6" s="1459"/>
      <c r="D6" s="1459"/>
      <c r="E6" s="1459"/>
      <c r="F6" s="1459"/>
      <c r="G6" s="1459"/>
      <c r="H6" s="1489"/>
    </row>
    <row r="7" spans="1:8" ht="18" x14ac:dyDescent="0.2">
      <c r="A7" s="1483" t="s">
        <v>170</v>
      </c>
      <c r="B7" s="1462"/>
      <c r="C7" s="1462"/>
      <c r="D7" s="1462"/>
      <c r="E7" s="1462"/>
      <c r="F7" s="1462"/>
      <c r="G7" s="1462"/>
      <c r="H7" s="1484"/>
    </row>
    <row r="8" spans="1:8" ht="31.35" customHeight="1" x14ac:dyDescent="0.25">
      <c r="A8" s="1485" t="s">
        <v>854</v>
      </c>
      <c r="B8" s="1465"/>
      <c r="C8" s="1465"/>
      <c r="D8" s="1465"/>
      <c r="E8" s="1465"/>
      <c r="F8" s="1465"/>
      <c r="G8" s="1465"/>
      <c r="H8" s="1486"/>
    </row>
    <row r="9" spans="1:8" ht="12" customHeight="1" x14ac:dyDescent="0.25">
      <c r="A9" s="218"/>
      <c r="B9" s="219"/>
      <c r="C9" s="219"/>
      <c r="D9" s="219"/>
      <c r="E9" s="219"/>
      <c r="F9" s="219"/>
      <c r="G9" s="220"/>
      <c r="H9" s="221"/>
    </row>
    <row r="10" spans="1:8" x14ac:dyDescent="0.35">
      <c r="A10" s="1468" t="s">
        <v>171</v>
      </c>
      <c r="B10" s="1468"/>
      <c r="C10" s="1468"/>
      <c r="D10" s="1468"/>
      <c r="E10" s="1468"/>
      <c r="F10" s="1468"/>
      <c r="G10" s="1469" t="s">
        <v>172</v>
      </c>
      <c r="H10" s="1487" t="s">
        <v>173</v>
      </c>
    </row>
    <row r="11" spans="1:8" ht="125.45" customHeight="1" x14ac:dyDescent="0.2">
      <c r="A11" s="217" t="s">
        <v>174</v>
      </c>
      <c r="B11" s="217" t="s">
        <v>175</v>
      </c>
      <c r="C11" s="217" t="s">
        <v>176</v>
      </c>
      <c r="D11" s="217" t="s">
        <v>177</v>
      </c>
      <c r="E11" s="217" t="s">
        <v>178</v>
      </c>
      <c r="F11" s="217" t="s">
        <v>179</v>
      </c>
      <c r="G11" s="1469"/>
      <c r="H11" s="1487"/>
    </row>
    <row r="12" spans="1:8" ht="25.35" customHeight="1" x14ac:dyDescent="0.2">
      <c r="A12" s="131">
        <v>1</v>
      </c>
      <c r="B12" s="106" t="s">
        <v>180</v>
      </c>
      <c r="C12" s="106" t="s">
        <v>184</v>
      </c>
      <c r="D12" s="106" t="s">
        <v>185</v>
      </c>
      <c r="E12" s="106" t="s">
        <v>186</v>
      </c>
      <c r="F12" s="106" t="str">
        <f>'FUNCIONAMIENTO-FOND PROPIOS-FAM'!A9</f>
        <v>51101</v>
      </c>
      <c r="G12" s="137" t="str">
        <f>'FUNCIONAMIENTO-FOND PROPIOS-FAM'!B9</f>
        <v>Sueldos</v>
      </c>
      <c r="H12" s="105">
        <f>+'RESUMEN '!G42</f>
        <v>332251.12</v>
      </c>
    </row>
    <row r="13" spans="1:8" ht="25.35" customHeight="1" x14ac:dyDescent="0.2">
      <c r="A13" s="131">
        <v>1</v>
      </c>
      <c r="B13" s="106" t="s">
        <v>180</v>
      </c>
      <c r="C13" s="106" t="s">
        <v>184</v>
      </c>
      <c r="D13" s="106" t="s">
        <v>185</v>
      </c>
      <c r="E13" s="106" t="s">
        <v>186</v>
      </c>
      <c r="F13" s="106">
        <f>'FUNCIONAMIENTO-FOND PROPIOS-FAM'!A11</f>
        <v>51103</v>
      </c>
      <c r="G13" s="137" t="str">
        <f>'FUNCIONAMIENTO-FOND PROPIOS-FAM'!B11</f>
        <v>Aguinaldos</v>
      </c>
      <c r="H13" s="105">
        <f>+'RESUMEN '!M42</f>
        <v>41526.14</v>
      </c>
    </row>
    <row r="14" spans="1:8" ht="25.35" customHeight="1" x14ac:dyDescent="0.2">
      <c r="A14" s="131">
        <v>1</v>
      </c>
      <c r="B14" s="106" t="s">
        <v>180</v>
      </c>
      <c r="C14" s="106" t="s">
        <v>184</v>
      </c>
      <c r="D14" s="106" t="s">
        <v>185</v>
      </c>
      <c r="E14" s="106" t="s">
        <v>186</v>
      </c>
      <c r="F14" s="106" t="str">
        <f>'FUNCIONAMIENTO-FOND PROPIOS-FAM'!A13</f>
        <v>51107</v>
      </c>
      <c r="G14" s="137" t="str">
        <f>'FUNCIONAMIENTO-FOND PROPIOS-FAM'!B13</f>
        <v>Beneficios Adicionales</v>
      </c>
      <c r="H14" s="105">
        <v>0</v>
      </c>
    </row>
    <row r="15" spans="1:8" ht="38.25" customHeight="1" x14ac:dyDescent="0.2">
      <c r="A15" s="131">
        <v>1</v>
      </c>
      <c r="B15" s="106" t="s">
        <v>180</v>
      </c>
      <c r="C15" s="106" t="s">
        <v>184</v>
      </c>
      <c r="D15" s="106" t="s">
        <v>185</v>
      </c>
      <c r="E15" s="106" t="s">
        <v>186</v>
      </c>
      <c r="F15" s="106">
        <f>'FUNCIONAMIENTO-FOND PROPIOS-FAM'!A15</f>
        <v>51401</v>
      </c>
      <c r="G15" s="137" t="str">
        <f>'FUNCIONAMIENTO-FOND PROPIOS-FAM'!B15</f>
        <v>Por Remuneraciones Permanentes ISSS\IPSFA</v>
      </c>
      <c r="H15" s="105">
        <f>+'RESUMEN '!H42+'RESUMEN '!J42+'RESUMEN '!K42+'RESUMEN '!O42+'RESUMEN '!Q42</f>
        <v>25758.010000000006</v>
      </c>
    </row>
    <row r="16" spans="1:8" ht="36" customHeight="1" x14ac:dyDescent="0.2">
      <c r="A16" s="131">
        <v>1</v>
      </c>
      <c r="B16" s="106" t="s">
        <v>180</v>
      </c>
      <c r="C16" s="106" t="s">
        <v>184</v>
      </c>
      <c r="D16" s="106" t="s">
        <v>185</v>
      </c>
      <c r="E16" s="106" t="s">
        <v>186</v>
      </c>
      <c r="F16" s="106">
        <f>'FUNCIONAMIENTO-FOND PROPIOS-FAM'!A16</f>
        <v>51501</v>
      </c>
      <c r="G16" s="137" t="str">
        <f>'FUNCIONAMIENTO-FOND PROPIOS-FAM'!B16</f>
        <v>Por Remuneraciones Permanentes AFPs</v>
      </c>
      <c r="H16" s="105">
        <f>+'RESUMEN '!I42+'RESUMEN '!P42</f>
        <v>29072.159999999989</v>
      </c>
    </row>
    <row r="17" spans="1:8" ht="36" customHeight="1" x14ac:dyDescent="0.25">
      <c r="A17" s="1457" t="s">
        <v>16</v>
      </c>
      <c r="B17" s="1457"/>
      <c r="C17" s="1457"/>
      <c r="D17" s="1457"/>
      <c r="E17" s="1457"/>
      <c r="F17" s="1457"/>
      <c r="G17" s="1457"/>
      <c r="H17" s="215">
        <f>SUM(H12:H16)</f>
        <v>428607.43</v>
      </c>
    </row>
    <row r="18" spans="1:8" ht="36" customHeight="1" x14ac:dyDescent="0.2">
      <c r="A18" s="131">
        <v>1</v>
      </c>
      <c r="B18" s="106" t="s">
        <v>180</v>
      </c>
      <c r="C18" s="106" t="s">
        <v>184</v>
      </c>
      <c r="D18" s="106" t="s">
        <v>185</v>
      </c>
      <c r="E18" s="106" t="s">
        <v>186</v>
      </c>
      <c r="F18" s="106" t="s">
        <v>365</v>
      </c>
      <c r="G18" s="135" t="s">
        <v>139</v>
      </c>
      <c r="H18" s="130">
        <v>794.87</v>
      </c>
    </row>
    <row r="19" spans="1:8" ht="36" customHeight="1" x14ac:dyDescent="0.2">
      <c r="A19" s="131">
        <v>1</v>
      </c>
      <c r="B19" s="106" t="s">
        <v>180</v>
      </c>
      <c r="C19" s="106" t="s">
        <v>184</v>
      </c>
      <c r="D19" s="106" t="s">
        <v>185</v>
      </c>
      <c r="E19" s="106" t="s">
        <v>186</v>
      </c>
      <c r="F19" s="106" t="s">
        <v>948</v>
      </c>
      <c r="G19" s="135" t="s">
        <v>949</v>
      </c>
      <c r="H19" s="130">
        <v>10857.6</v>
      </c>
    </row>
    <row r="20" spans="1:8" ht="36" customHeight="1" x14ac:dyDescent="0.2">
      <c r="A20" s="131">
        <v>1</v>
      </c>
      <c r="B20" s="106" t="s">
        <v>180</v>
      </c>
      <c r="C20" s="106" t="s">
        <v>184</v>
      </c>
      <c r="D20" s="106" t="s">
        <v>185</v>
      </c>
      <c r="E20" s="106" t="s">
        <v>186</v>
      </c>
      <c r="F20" s="106" t="s">
        <v>945</v>
      </c>
      <c r="G20" s="135" t="s">
        <v>947</v>
      </c>
      <c r="H20" s="130">
        <v>0</v>
      </c>
    </row>
    <row r="21" spans="1:8" ht="36" customHeight="1" x14ac:dyDescent="0.2">
      <c r="A21" s="131">
        <v>1</v>
      </c>
      <c r="B21" s="106" t="s">
        <v>180</v>
      </c>
      <c r="C21" s="106" t="s">
        <v>184</v>
      </c>
      <c r="D21" s="106" t="s">
        <v>185</v>
      </c>
      <c r="E21" s="106" t="s">
        <v>186</v>
      </c>
      <c r="F21" s="106" t="s">
        <v>187</v>
      </c>
      <c r="G21" s="135" t="s">
        <v>884</v>
      </c>
      <c r="H21" s="130"/>
    </row>
    <row r="22" spans="1:8" ht="36" customHeight="1" x14ac:dyDescent="0.2">
      <c r="A22" s="131">
        <v>1</v>
      </c>
      <c r="B22" s="106" t="s">
        <v>180</v>
      </c>
      <c r="C22" s="106" t="s">
        <v>184</v>
      </c>
      <c r="D22" s="106" t="s">
        <v>185</v>
      </c>
      <c r="E22" s="106" t="s">
        <v>186</v>
      </c>
      <c r="F22" s="106" t="s">
        <v>996</v>
      </c>
      <c r="G22" s="135" t="s">
        <v>155</v>
      </c>
      <c r="H22" s="130">
        <v>500</v>
      </c>
    </row>
    <row r="23" spans="1:8" ht="25.35" customHeight="1" x14ac:dyDescent="0.25">
      <c r="A23" s="1457" t="s">
        <v>16</v>
      </c>
      <c r="B23" s="1457"/>
      <c r="C23" s="1457"/>
      <c r="D23" s="1457"/>
      <c r="E23" s="1457"/>
      <c r="F23" s="1457"/>
      <c r="G23" s="1457"/>
      <c r="H23" s="215">
        <f>SUM(H18:H22)</f>
        <v>12152.470000000001</v>
      </c>
    </row>
    <row r="24" spans="1:8" ht="25.35" customHeight="1" x14ac:dyDescent="0.25">
      <c r="A24" s="1482" t="s">
        <v>169</v>
      </c>
      <c r="B24" s="1482"/>
      <c r="C24" s="1482"/>
      <c r="D24" s="1482"/>
      <c r="E24" s="1482"/>
      <c r="F24" s="1482"/>
      <c r="G24" s="1482"/>
      <c r="H24" s="134">
        <f>+H23+H17</f>
        <v>440759.9</v>
      </c>
    </row>
  </sheetData>
  <mergeCells count="14">
    <mergeCell ref="A6:H6"/>
    <mergeCell ref="A1:H1"/>
    <mergeCell ref="A2:H2"/>
    <mergeCell ref="A3:H3"/>
    <mergeCell ref="A4:H4"/>
    <mergeCell ref="A5:H5"/>
    <mergeCell ref="A24:G24"/>
    <mergeCell ref="A7:H7"/>
    <mergeCell ref="A8:H8"/>
    <mergeCell ref="A10:F10"/>
    <mergeCell ref="G10:G11"/>
    <mergeCell ref="H10:H11"/>
    <mergeCell ref="A23:G23"/>
    <mergeCell ref="A17:G17"/>
  </mergeCells>
  <pageMargins left="0.7" right="0.7" top="0.75" bottom="0.75" header="0.3" footer="0.3"/>
  <pageSetup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29"/>
  <sheetViews>
    <sheetView view="pageBreakPreview" topLeftCell="A16" zoomScale="118" zoomScaleNormal="100" zoomScaleSheetLayoutView="118" workbookViewId="0">
      <selection activeCell="H27" sqref="H27"/>
    </sheetView>
  </sheetViews>
  <sheetFormatPr baseColWidth="10" defaultRowHeight="15" x14ac:dyDescent="0.3"/>
  <cols>
    <col min="1" max="1" width="4.42578125" style="75" customWidth="1"/>
    <col min="2" max="2" width="6.85546875" style="75" customWidth="1"/>
    <col min="3" max="3" width="4.42578125" style="76" customWidth="1"/>
    <col min="4" max="4" width="5.42578125" style="1" customWidth="1"/>
    <col min="5" max="5" width="6.140625" style="1" customWidth="1"/>
    <col min="6" max="6" width="11" style="1" customWidth="1"/>
    <col min="7" max="7" width="43.140625" style="216" customWidth="1"/>
    <col min="8" max="8" width="17.28515625" style="3" customWidth="1"/>
  </cols>
  <sheetData>
    <row r="1" spans="1:8" ht="18" x14ac:dyDescent="0.35">
      <c r="A1" s="1472" t="s">
        <v>1143</v>
      </c>
      <c r="B1" s="1473"/>
      <c r="C1" s="1473"/>
      <c r="D1" s="1473"/>
      <c r="E1" s="1473"/>
      <c r="F1" s="1473"/>
      <c r="G1" s="1473"/>
      <c r="H1" s="1474"/>
    </row>
    <row r="2" spans="1:8" ht="18" x14ac:dyDescent="0.35">
      <c r="A2" s="1475" t="s">
        <v>1152</v>
      </c>
      <c r="B2" s="1476"/>
      <c r="C2" s="1476"/>
      <c r="D2" s="1476"/>
      <c r="E2" s="1476"/>
      <c r="F2" s="1476"/>
      <c r="G2" s="1476"/>
      <c r="H2" s="1477"/>
    </row>
    <row r="3" spans="1:8" ht="18" x14ac:dyDescent="0.35">
      <c r="A3" s="1475" t="s">
        <v>516</v>
      </c>
      <c r="B3" s="1476"/>
      <c r="C3" s="1476"/>
      <c r="D3" s="1476"/>
      <c r="E3" s="1476"/>
      <c r="F3" s="1476"/>
      <c r="G3" s="1476"/>
      <c r="H3" s="1477"/>
    </row>
    <row r="4" spans="1:8" ht="13.35" customHeight="1" x14ac:dyDescent="0.35">
      <c r="A4" s="1478"/>
      <c r="B4" s="1479"/>
      <c r="C4" s="1479"/>
      <c r="D4" s="1479"/>
      <c r="E4" s="1479"/>
      <c r="F4" s="1479"/>
      <c r="G4" s="1479"/>
      <c r="H4" s="1480"/>
    </row>
    <row r="5" spans="1:8" ht="18" x14ac:dyDescent="0.35">
      <c r="A5" s="1478" t="s">
        <v>129</v>
      </c>
      <c r="B5" s="1479"/>
      <c r="C5" s="1479"/>
      <c r="D5" s="1479"/>
      <c r="E5" s="1479"/>
      <c r="F5" s="1479"/>
      <c r="G5" s="1479"/>
      <c r="H5" s="1480"/>
    </row>
    <row r="6" spans="1:8" ht="13.35" customHeight="1" x14ac:dyDescent="0.35">
      <c r="A6" s="1458"/>
      <c r="B6" s="1459"/>
      <c r="C6" s="1459"/>
      <c r="D6" s="1459"/>
      <c r="E6" s="1459"/>
      <c r="F6" s="1459"/>
      <c r="G6" s="1459"/>
      <c r="H6" s="1460"/>
    </row>
    <row r="7" spans="1:8" ht="16.5" x14ac:dyDescent="0.2">
      <c r="A7" s="1494" t="s">
        <v>170</v>
      </c>
      <c r="B7" s="1495"/>
      <c r="C7" s="1495"/>
      <c r="D7" s="1495"/>
      <c r="E7" s="1495"/>
      <c r="F7" s="1495"/>
      <c r="G7" s="1495"/>
      <c r="H7" s="1496"/>
    </row>
    <row r="8" spans="1:8" ht="20.25" customHeight="1" x14ac:dyDescent="0.25">
      <c r="A8" s="1497" t="s">
        <v>1161</v>
      </c>
      <c r="B8" s="1498"/>
      <c r="C8" s="1498"/>
      <c r="D8" s="1498"/>
      <c r="E8" s="1498"/>
      <c r="F8" s="1498"/>
      <c r="G8" s="1498"/>
      <c r="H8" s="1499"/>
    </row>
    <row r="9" spans="1:8" ht="12" customHeight="1" x14ac:dyDescent="0.25">
      <c r="A9" s="648"/>
      <c r="B9" s="219"/>
      <c r="C9" s="219"/>
      <c r="D9" s="219"/>
      <c r="E9" s="219"/>
      <c r="F9" s="219"/>
      <c r="G9" s="220"/>
      <c r="H9" s="649"/>
    </row>
    <row r="10" spans="1:8" x14ac:dyDescent="0.35">
      <c r="A10" s="1467" t="s">
        <v>171</v>
      </c>
      <c r="B10" s="1468"/>
      <c r="C10" s="1468"/>
      <c r="D10" s="1468"/>
      <c r="E10" s="1468"/>
      <c r="F10" s="1468"/>
      <c r="G10" s="1469" t="s">
        <v>172</v>
      </c>
      <c r="H10" s="1481" t="s">
        <v>173</v>
      </c>
    </row>
    <row r="11" spans="1:8" ht="125.45" customHeight="1" x14ac:dyDescent="0.2">
      <c r="A11" s="650" t="s">
        <v>174</v>
      </c>
      <c r="B11" s="217" t="s">
        <v>175</v>
      </c>
      <c r="C11" s="217" t="s">
        <v>176</v>
      </c>
      <c r="D11" s="217" t="s">
        <v>177</v>
      </c>
      <c r="E11" s="217" t="s">
        <v>178</v>
      </c>
      <c r="F11" s="217" t="s">
        <v>179</v>
      </c>
      <c r="G11" s="1469"/>
      <c r="H11" s="1481"/>
    </row>
    <row r="12" spans="1:8" ht="25.35" customHeight="1" x14ac:dyDescent="0.2">
      <c r="A12" s="143">
        <v>1</v>
      </c>
      <c r="B12" s="106" t="s">
        <v>184</v>
      </c>
      <c r="C12" s="106" t="s">
        <v>180</v>
      </c>
      <c r="D12" s="106" t="s">
        <v>185</v>
      </c>
      <c r="E12" s="106" t="s">
        <v>186</v>
      </c>
      <c r="F12" s="106" t="str">
        <f>'FUNCIONAMIENTO-FOND PROPIOS-FAM'!A9</f>
        <v>51101</v>
      </c>
      <c r="G12" s="137" t="str">
        <f>'FUNCIONAMIENTO-FOND PROPIOS-FAM'!B9</f>
        <v>Sueldos</v>
      </c>
      <c r="H12" s="144">
        <f>+'RESUMEN '!G43</f>
        <v>261708</v>
      </c>
    </row>
    <row r="13" spans="1:8" ht="25.35" customHeight="1" x14ac:dyDescent="0.2">
      <c r="A13" s="143">
        <v>1</v>
      </c>
      <c r="B13" s="106" t="s">
        <v>184</v>
      </c>
      <c r="C13" s="106" t="s">
        <v>180</v>
      </c>
      <c r="D13" s="106" t="s">
        <v>185</v>
      </c>
      <c r="E13" s="106" t="s">
        <v>186</v>
      </c>
      <c r="F13" s="106">
        <f>'FUNCIONAMIENTO-FOND PROPIOS-FAM'!A11</f>
        <v>51103</v>
      </c>
      <c r="G13" s="137" t="str">
        <f>'FUNCIONAMIENTO-FOND PROPIOS-FAM'!B11</f>
        <v>Aguinaldos</v>
      </c>
      <c r="H13" s="144">
        <f>+'RESUMEN '!M43</f>
        <v>32880.333333333336</v>
      </c>
    </row>
    <row r="14" spans="1:8" ht="25.35" customHeight="1" x14ac:dyDescent="0.2">
      <c r="A14" s="143">
        <v>1</v>
      </c>
      <c r="B14" s="106" t="s">
        <v>184</v>
      </c>
      <c r="C14" s="106" t="s">
        <v>180</v>
      </c>
      <c r="D14" s="106" t="s">
        <v>185</v>
      </c>
      <c r="E14" s="106" t="s">
        <v>186</v>
      </c>
      <c r="F14" s="106" t="str">
        <f>'FUNCIONAMIENTO-FOND PROPIOS-FAM'!A13</f>
        <v>51107</v>
      </c>
      <c r="G14" s="137" t="str">
        <f>'FUNCIONAMIENTO-FOND PROPIOS-FAM'!B13</f>
        <v>Beneficios Adicionales</v>
      </c>
      <c r="H14" s="144">
        <v>0</v>
      </c>
    </row>
    <row r="15" spans="1:8" ht="35.25" customHeight="1" x14ac:dyDescent="0.2">
      <c r="A15" s="143">
        <v>1</v>
      </c>
      <c r="B15" s="106" t="s">
        <v>184</v>
      </c>
      <c r="C15" s="106" t="s">
        <v>180</v>
      </c>
      <c r="D15" s="106" t="s">
        <v>185</v>
      </c>
      <c r="E15" s="106" t="s">
        <v>186</v>
      </c>
      <c r="F15" s="106">
        <f>'FUNCIONAMIENTO-FOND PROPIOS-FAM'!A15</f>
        <v>51401</v>
      </c>
      <c r="G15" s="137" t="str">
        <f>'FUNCIONAMIENTO-FOND PROPIOS-FAM'!B15</f>
        <v>Por Remuneraciones Permanentes ISSS\IPSFA</v>
      </c>
      <c r="H15" s="144">
        <f>+'RESUMEN '!H43+'RESUMEN '!K43</f>
        <v>22240.480000000003</v>
      </c>
    </row>
    <row r="16" spans="1:8" ht="39" customHeight="1" x14ac:dyDescent="0.2">
      <c r="A16" s="143">
        <v>1</v>
      </c>
      <c r="B16" s="106" t="s">
        <v>184</v>
      </c>
      <c r="C16" s="106" t="s">
        <v>180</v>
      </c>
      <c r="D16" s="106" t="s">
        <v>185</v>
      </c>
      <c r="E16" s="106" t="s">
        <v>186</v>
      </c>
      <c r="F16" s="106">
        <f>'FUNCIONAMIENTO-FOND PROPIOS-FAM'!A16</f>
        <v>51501</v>
      </c>
      <c r="G16" s="137" t="str">
        <f>'FUNCIONAMIENTO-FOND PROPIOS-FAM'!B16</f>
        <v>Por Remuneraciones Permanentes AFPs</v>
      </c>
      <c r="H16" s="144">
        <f>+'RESUMEN '!I43</f>
        <v>22411.959999999995</v>
      </c>
    </row>
    <row r="17" spans="1:8" ht="25.35" customHeight="1" x14ac:dyDescent="0.25">
      <c r="A17" s="1456" t="s">
        <v>16</v>
      </c>
      <c r="B17" s="1457"/>
      <c r="C17" s="1457"/>
      <c r="D17" s="1457"/>
      <c r="E17" s="1457"/>
      <c r="F17" s="1457"/>
      <c r="G17" s="1457"/>
      <c r="H17" s="652">
        <f>SUM(H12:H16)</f>
        <v>339240.77333333332</v>
      </c>
    </row>
    <row r="18" spans="1:8" ht="25.35" customHeight="1" x14ac:dyDescent="0.2">
      <c r="A18" s="651">
        <v>1</v>
      </c>
      <c r="B18" s="106" t="s">
        <v>184</v>
      </c>
      <c r="C18" s="106" t="s">
        <v>180</v>
      </c>
      <c r="D18" s="133" t="s">
        <v>185</v>
      </c>
      <c r="E18" s="133" t="s">
        <v>186</v>
      </c>
      <c r="F18" s="106" t="s">
        <v>260</v>
      </c>
      <c r="G18" s="137" t="s">
        <v>1019</v>
      </c>
      <c r="H18" s="144">
        <v>14350</v>
      </c>
    </row>
    <row r="19" spans="1:8" ht="25.35" customHeight="1" x14ac:dyDescent="0.2">
      <c r="A19" s="1034">
        <v>1</v>
      </c>
      <c r="B19" s="213" t="s">
        <v>184</v>
      </c>
      <c r="C19" s="213" t="s">
        <v>180</v>
      </c>
      <c r="D19" s="1035" t="s">
        <v>185</v>
      </c>
      <c r="E19" s="1035" t="s">
        <v>186</v>
      </c>
      <c r="F19" s="213" t="s">
        <v>1119</v>
      </c>
      <c r="G19" s="1033" t="s">
        <v>1139</v>
      </c>
      <c r="H19" s="144">
        <v>2099.62</v>
      </c>
    </row>
    <row r="20" spans="1:8" ht="25.35" customHeight="1" x14ac:dyDescent="0.2">
      <c r="A20" s="1034">
        <v>1</v>
      </c>
      <c r="B20" s="213" t="s">
        <v>184</v>
      </c>
      <c r="C20" s="213" t="s">
        <v>180</v>
      </c>
      <c r="D20" s="1035" t="s">
        <v>185</v>
      </c>
      <c r="E20" s="1035" t="s">
        <v>186</v>
      </c>
      <c r="F20" s="213" t="s">
        <v>332</v>
      </c>
      <c r="G20" s="1033" t="s">
        <v>1026</v>
      </c>
      <c r="H20" s="144">
        <v>445</v>
      </c>
    </row>
    <row r="21" spans="1:8" ht="25.35" customHeight="1" x14ac:dyDescent="0.2">
      <c r="A21" s="453">
        <v>1</v>
      </c>
      <c r="B21" s="213" t="s">
        <v>184</v>
      </c>
      <c r="C21" s="213" t="s">
        <v>180</v>
      </c>
      <c r="D21" s="213" t="s">
        <v>185</v>
      </c>
      <c r="E21" s="213" t="s">
        <v>186</v>
      </c>
      <c r="F21" s="213" t="s">
        <v>444</v>
      </c>
      <c r="G21" s="1033" t="s">
        <v>942</v>
      </c>
      <c r="H21" s="144">
        <f>7030+3000</f>
        <v>10030</v>
      </c>
    </row>
    <row r="22" spans="1:8" ht="25.35" customHeight="1" x14ac:dyDescent="0.2">
      <c r="A22" s="453">
        <v>1</v>
      </c>
      <c r="B22" s="213" t="s">
        <v>184</v>
      </c>
      <c r="C22" s="213" t="s">
        <v>180</v>
      </c>
      <c r="D22" s="213" t="s">
        <v>185</v>
      </c>
      <c r="E22" s="213" t="s">
        <v>186</v>
      </c>
      <c r="F22" s="213" t="s">
        <v>1017</v>
      </c>
      <c r="G22" s="1033" t="s">
        <v>1020</v>
      </c>
      <c r="H22" s="144">
        <v>2000</v>
      </c>
    </row>
    <row r="23" spans="1:8" ht="30" customHeight="1" x14ac:dyDescent="0.2">
      <c r="A23" s="453">
        <v>1</v>
      </c>
      <c r="B23" s="213" t="s">
        <v>184</v>
      </c>
      <c r="C23" s="213" t="s">
        <v>180</v>
      </c>
      <c r="D23" s="213" t="s">
        <v>185</v>
      </c>
      <c r="E23" s="213" t="s">
        <v>186</v>
      </c>
      <c r="F23" s="213" t="s">
        <v>530</v>
      </c>
      <c r="G23" s="1033" t="s">
        <v>1021</v>
      </c>
      <c r="H23" s="144">
        <v>5670</v>
      </c>
    </row>
    <row r="24" spans="1:8" ht="33" customHeight="1" x14ac:dyDescent="0.2">
      <c r="A24" s="453">
        <v>1</v>
      </c>
      <c r="B24" s="213" t="s">
        <v>184</v>
      </c>
      <c r="C24" s="213" t="s">
        <v>180</v>
      </c>
      <c r="D24" s="213" t="s">
        <v>185</v>
      </c>
      <c r="E24" s="213" t="s">
        <v>186</v>
      </c>
      <c r="F24" s="213" t="s">
        <v>1008</v>
      </c>
      <c r="G24" s="1033" t="s">
        <v>1022</v>
      </c>
      <c r="H24" s="144">
        <v>86500</v>
      </c>
    </row>
    <row r="25" spans="1:8" ht="25.35" customHeight="1" x14ac:dyDescent="0.2">
      <c r="A25" s="453">
        <v>1</v>
      </c>
      <c r="B25" s="213" t="s">
        <v>184</v>
      </c>
      <c r="C25" s="213" t="s">
        <v>180</v>
      </c>
      <c r="D25" s="213" t="s">
        <v>185</v>
      </c>
      <c r="E25" s="213" t="s">
        <v>186</v>
      </c>
      <c r="F25" s="213" t="s">
        <v>262</v>
      </c>
      <c r="G25" s="1033" t="s">
        <v>1024</v>
      </c>
      <c r="H25" s="144">
        <v>10950</v>
      </c>
    </row>
    <row r="26" spans="1:8" ht="25.35" customHeight="1" x14ac:dyDescent="0.2">
      <c r="A26" s="453">
        <v>1</v>
      </c>
      <c r="B26" s="213" t="s">
        <v>184</v>
      </c>
      <c r="C26" s="213" t="s">
        <v>180</v>
      </c>
      <c r="D26" s="213" t="s">
        <v>185</v>
      </c>
      <c r="E26" s="213" t="s">
        <v>186</v>
      </c>
      <c r="F26" s="213" t="s">
        <v>263</v>
      </c>
      <c r="G26" s="1033" t="s">
        <v>1023</v>
      </c>
      <c r="H26" s="144">
        <v>500</v>
      </c>
    </row>
    <row r="27" spans="1:8" ht="25.35" customHeight="1" x14ac:dyDescent="0.2">
      <c r="A27" s="1034">
        <v>1</v>
      </c>
      <c r="B27" s="213" t="s">
        <v>184</v>
      </c>
      <c r="C27" s="213" t="s">
        <v>180</v>
      </c>
      <c r="D27" s="1035" t="s">
        <v>185</v>
      </c>
      <c r="E27" s="1035" t="s">
        <v>186</v>
      </c>
      <c r="F27" s="213" t="s">
        <v>1141</v>
      </c>
      <c r="G27" s="1033" t="s">
        <v>1140</v>
      </c>
      <c r="H27" s="144">
        <v>895</v>
      </c>
    </row>
    <row r="28" spans="1:8" ht="25.35" customHeight="1" x14ac:dyDescent="0.25">
      <c r="A28" s="1456" t="s">
        <v>1018</v>
      </c>
      <c r="B28" s="1457"/>
      <c r="C28" s="1457"/>
      <c r="D28" s="1457"/>
      <c r="E28" s="1457"/>
      <c r="F28" s="1457"/>
      <c r="G28" s="1457"/>
      <c r="H28" s="652">
        <f>+H18+H19+H20+H21+H22+H23+H24+H25+H26+H27</f>
        <v>133439.62</v>
      </c>
    </row>
    <row r="29" spans="1:8" ht="25.35" customHeight="1" thickBot="1" x14ac:dyDescent="0.3">
      <c r="A29" s="1454" t="s">
        <v>169</v>
      </c>
      <c r="B29" s="1455"/>
      <c r="C29" s="1455"/>
      <c r="D29" s="1455"/>
      <c r="E29" s="1455"/>
      <c r="F29" s="1455"/>
      <c r="G29" s="1455"/>
      <c r="H29" s="654">
        <f>H17+H28</f>
        <v>472680.39333333331</v>
      </c>
    </row>
  </sheetData>
  <mergeCells count="14">
    <mergeCell ref="A6:H6"/>
    <mergeCell ref="A1:H1"/>
    <mergeCell ref="A2:H2"/>
    <mergeCell ref="A3:H3"/>
    <mergeCell ref="A4:H4"/>
    <mergeCell ref="A5:H5"/>
    <mergeCell ref="A29:G29"/>
    <mergeCell ref="A7:H7"/>
    <mergeCell ref="A8:H8"/>
    <mergeCell ref="A10:F10"/>
    <mergeCell ref="G10:G11"/>
    <mergeCell ref="H10:H11"/>
    <mergeCell ref="A17:G17"/>
    <mergeCell ref="A28:G28"/>
  </mergeCells>
  <pageMargins left="0.70866141732283472" right="0.70866141732283472" top="0.74803149606299213" bottom="0.55118110236220474" header="0.31496062992125984" footer="0.31496062992125984"/>
  <pageSetup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H19"/>
  <sheetViews>
    <sheetView view="pageBreakPreview" topLeftCell="A4" zoomScale="124" zoomScaleNormal="70" zoomScaleSheetLayoutView="124" workbookViewId="0">
      <selection activeCell="G24" sqref="G24"/>
    </sheetView>
  </sheetViews>
  <sheetFormatPr baseColWidth="10" defaultRowHeight="15" x14ac:dyDescent="0.3"/>
  <cols>
    <col min="1" max="2" width="4.42578125" style="75" customWidth="1"/>
    <col min="3" max="3" width="4.42578125" style="76" customWidth="1"/>
    <col min="4" max="4" width="5.140625" style="1" customWidth="1"/>
    <col min="5" max="5" width="6.140625" style="1" customWidth="1"/>
    <col min="6" max="6" width="9.42578125" style="1" customWidth="1"/>
    <col min="7" max="7" width="58.42578125" style="2" customWidth="1"/>
    <col min="8" max="8" width="17.28515625" style="424" customWidth="1"/>
  </cols>
  <sheetData>
    <row r="1" spans="1:8" ht="18" x14ac:dyDescent="0.35">
      <c r="A1" s="1472" t="s">
        <v>1143</v>
      </c>
      <c r="B1" s="1473"/>
      <c r="C1" s="1473"/>
      <c r="D1" s="1473"/>
      <c r="E1" s="1473"/>
      <c r="F1" s="1473"/>
      <c r="G1" s="1473"/>
      <c r="H1" s="1474"/>
    </row>
    <row r="2" spans="1:8" ht="18" x14ac:dyDescent="0.35">
      <c r="A2" s="1475" t="s">
        <v>1149</v>
      </c>
      <c r="B2" s="1476"/>
      <c r="C2" s="1476"/>
      <c r="D2" s="1476"/>
      <c r="E2" s="1476"/>
      <c r="F2" s="1476"/>
      <c r="G2" s="1476"/>
      <c r="H2" s="1477"/>
    </row>
    <row r="3" spans="1:8" ht="18.75" x14ac:dyDescent="0.3">
      <c r="A3" s="1397" t="s">
        <v>516</v>
      </c>
      <c r="B3" s="1398"/>
      <c r="C3" s="1398"/>
      <c r="D3" s="1398"/>
      <c r="E3" s="1398"/>
      <c r="F3" s="1398"/>
      <c r="G3" s="1398"/>
      <c r="H3" s="1399"/>
    </row>
    <row r="4" spans="1:8" ht="2.1" customHeight="1" x14ac:dyDescent="0.3">
      <c r="A4" s="1394"/>
      <c r="B4" s="1395"/>
      <c r="C4" s="1395"/>
      <c r="D4" s="1395"/>
      <c r="E4" s="1395"/>
      <c r="F4" s="1395"/>
      <c r="G4" s="1395"/>
      <c r="H4" s="1396"/>
    </row>
    <row r="5" spans="1:8" ht="18.75" x14ac:dyDescent="0.3">
      <c r="A5" s="1394" t="s">
        <v>129</v>
      </c>
      <c r="B5" s="1395"/>
      <c r="C5" s="1395"/>
      <c r="D5" s="1395"/>
      <c r="E5" s="1395"/>
      <c r="F5" s="1395"/>
      <c r="G5" s="1395"/>
      <c r="H5" s="1396"/>
    </row>
    <row r="6" spans="1:8" ht="18.75" x14ac:dyDescent="0.3">
      <c r="A6" s="1500"/>
      <c r="B6" s="1501"/>
      <c r="C6" s="1501"/>
      <c r="D6" s="1501"/>
      <c r="E6" s="1501"/>
      <c r="F6" s="1501"/>
      <c r="G6" s="1501"/>
      <c r="H6" s="1502"/>
    </row>
    <row r="7" spans="1:8" ht="18.75" x14ac:dyDescent="0.3">
      <c r="A7" s="1397" t="s">
        <v>170</v>
      </c>
      <c r="B7" s="1398"/>
      <c r="C7" s="1398"/>
      <c r="D7" s="1398"/>
      <c r="E7" s="1398"/>
      <c r="F7" s="1398"/>
      <c r="G7" s="1398"/>
      <c r="H7" s="1399"/>
    </row>
    <row r="8" spans="1:8" ht="18" x14ac:dyDescent="0.2">
      <c r="A8" s="1505" t="s">
        <v>855</v>
      </c>
      <c r="B8" s="1506"/>
      <c r="C8" s="1506"/>
      <c r="D8" s="1506"/>
      <c r="E8" s="1506"/>
      <c r="F8" s="1506"/>
      <c r="G8" s="1506"/>
      <c r="H8" s="1507"/>
    </row>
    <row r="9" spans="1:8" ht="18.75" x14ac:dyDescent="0.3">
      <c r="A9" s="142"/>
      <c r="B9" s="138"/>
      <c r="C9" s="138"/>
      <c r="D9" s="138"/>
      <c r="E9" s="138"/>
      <c r="F9" s="138"/>
      <c r="G9" s="138"/>
      <c r="H9" s="422"/>
    </row>
    <row r="10" spans="1:8" x14ac:dyDescent="0.3">
      <c r="A10" s="1508" t="s">
        <v>171</v>
      </c>
      <c r="B10" s="1509"/>
      <c r="C10" s="1509"/>
      <c r="D10" s="1509"/>
      <c r="E10" s="1509"/>
      <c r="F10" s="1509"/>
      <c r="G10" s="1510" t="s">
        <v>172</v>
      </c>
      <c r="H10" s="1511" t="s">
        <v>173</v>
      </c>
    </row>
    <row r="11" spans="1:8" ht="140.1" customHeight="1" x14ac:dyDescent="0.2">
      <c r="A11" s="222" t="s">
        <v>174</v>
      </c>
      <c r="B11" s="217" t="s">
        <v>175</v>
      </c>
      <c r="C11" s="212" t="s">
        <v>176</v>
      </c>
      <c r="D11" s="212" t="s">
        <v>177</v>
      </c>
      <c r="E11" s="212" t="s">
        <v>178</v>
      </c>
      <c r="F11" s="212" t="s">
        <v>179</v>
      </c>
      <c r="G11" s="1510"/>
      <c r="H11" s="1511"/>
    </row>
    <row r="12" spans="1:8" ht="25.35" customHeight="1" x14ac:dyDescent="0.2">
      <c r="A12" s="143">
        <v>1</v>
      </c>
      <c r="B12" s="106" t="s">
        <v>184</v>
      </c>
      <c r="C12" s="106" t="s">
        <v>184</v>
      </c>
      <c r="D12" s="106" t="s">
        <v>185</v>
      </c>
      <c r="E12" s="106" t="s">
        <v>186</v>
      </c>
      <c r="F12" s="106" t="str">
        <f>'FUNCIONAMIENTO-FOND PROPIOS-FAM'!A9</f>
        <v>51101</v>
      </c>
      <c r="G12" s="136" t="str">
        <f>'FUNCIONAMIENTO-FOND PROPIOS-FAM'!B9</f>
        <v>Sueldos</v>
      </c>
      <c r="H12" s="144">
        <f>+'RESUMEN '!G44</f>
        <v>105925.76000000001</v>
      </c>
    </row>
    <row r="13" spans="1:8" ht="25.35" customHeight="1" x14ac:dyDescent="0.2">
      <c r="A13" s="143">
        <v>1</v>
      </c>
      <c r="B13" s="106" t="s">
        <v>184</v>
      </c>
      <c r="C13" s="106" t="s">
        <v>184</v>
      </c>
      <c r="D13" s="106" t="s">
        <v>185</v>
      </c>
      <c r="E13" s="106" t="s">
        <v>186</v>
      </c>
      <c r="F13" s="106">
        <f>'FUNCIONAMIENTO-FOND PROPIOS-FAM'!A11</f>
        <v>51103</v>
      </c>
      <c r="G13" s="136" t="str">
        <f>'FUNCIONAMIENTO-FOND PROPIOS-FAM'!B11</f>
        <v>Aguinaldos</v>
      </c>
      <c r="H13" s="144">
        <f>+'RESUMEN '!M44</f>
        <v>13365.720000000001</v>
      </c>
    </row>
    <row r="14" spans="1:8" ht="36" customHeight="1" x14ac:dyDescent="0.2">
      <c r="A14" s="143">
        <v>1</v>
      </c>
      <c r="B14" s="106" t="s">
        <v>184</v>
      </c>
      <c r="C14" s="106" t="s">
        <v>184</v>
      </c>
      <c r="D14" s="106" t="s">
        <v>185</v>
      </c>
      <c r="E14" s="106" t="s">
        <v>186</v>
      </c>
      <c r="F14" s="106" t="str">
        <f>'FUNCIONAMIENTO-FOND PROPIOS-FAM'!A13</f>
        <v>51107</v>
      </c>
      <c r="G14" s="136" t="str">
        <f>'FUNCIONAMIENTO-FOND PROPIOS-FAM'!B13</f>
        <v>Beneficios Adicionales</v>
      </c>
      <c r="H14" s="144">
        <v>0</v>
      </c>
    </row>
    <row r="15" spans="1:8" ht="25.35" customHeight="1" x14ac:dyDescent="0.2">
      <c r="A15" s="143">
        <v>1</v>
      </c>
      <c r="B15" s="106" t="s">
        <v>184</v>
      </c>
      <c r="C15" s="106" t="s">
        <v>184</v>
      </c>
      <c r="D15" s="106" t="s">
        <v>185</v>
      </c>
      <c r="E15" s="106" t="s">
        <v>186</v>
      </c>
      <c r="F15" s="106" t="str">
        <f>'FUNCIONAMIENTO-FOND PROPIOS-FAM'!A14</f>
        <v>51301</v>
      </c>
      <c r="G15" s="136" t="str">
        <f>'FUNCIONAMIENTO-FOND PROPIOS-FAM'!B14</f>
        <v>Horas extraordinarias</v>
      </c>
      <c r="H15" s="144">
        <v>0</v>
      </c>
    </row>
    <row r="16" spans="1:8" ht="25.35" customHeight="1" x14ac:dyDescent="0.2">
      <c r="A16" s="143">
        <v>1</v>
      </c>
      <c r="B16" s="106" t="s">
        <v>184</v>
      </c>
      <c r="C16" s="106" t="s">
        <v>184</v>
      </c>
      <c r="D16" s="106" t="s">
        <v>185</v>
      </c>
      <c r="E16" s="106" t="s">
        <v>186</v>
      </c>
      <c r="F16" s="106">
        <f>'FUNCIONAMIENTO-FOND PROPIOS-FAM'!A15</f>
        <v>51401</v>
      </c>
      <c r="G16" s="136" t="str">
        <f>'FUNCIONAMIENTO-FOND PROPIOS-FAM'!B15</f>
        <v>Por Remuneraciones Permanentes ISSS\IPSFA</v>
      </c>
      <c r="H16" s="144">
        <f>+'RESUMEN '!H44+'RESUMEN '!J44</f>
        <v>9151.8799999999992</v>
      </c>
    </row>
    <row r="17" spans="1:8" ht="25.35" customHeight="1" x14ac:dyDescent="0.2">
      <c r="A17" s="143">
        <v>1</v>
      </c>
      <c r="B17" s="106" t="s">
        <v>184</v>
      </c>
      <c r="C17" s="106" t="s">
        <v>184</v>
      </c>
      <c r="D17" s="106" t="s">
        <v>185</v>
      </c>
      <c r="E17" s="106" t="s">
        <v>186</v>
      </c>
      <c r="F17" s="106">
        <f>'FUNCIONAMIENTO-FOND PROPIOS-FAM'!A16</f>
        <v>51501</v>
      </c>
      <c r="G17" s="136" t="str">
        <f>'FUNCIONAMIENTO-FOND PROPIOS-FAM'!B16</f>
        <v>Por Remuneraciones Permanentes AFPs</v>
      </c>
      <c r="H17" s="144">
        <f>+'RESUMEN '!I44</f>
        <v>8780.9000000000015</v>
      </c>
    </row>
    <row r="18" spans="1:8" ht="35.25" customHeight="1" x14ac:dyDescent="0.25">
      <c r="A18" s="1456" t="s">
        <v>325</v>
      </c>
      <c r="B18" s="1457"/>
      <c r="C18" s="1457"/>
      <c r="D18" s="1457"/>
      <c r="E18" s="1457"/>
      <c r="F18" s="1457"/>
      <c r="G18" s="1457"/>
      <c r="H18" s="423">
        <f>SUM(H12:H17)</f>
        <v>137224.26</v>
      </c>
    </row>
    <row r="19" spans="1:8" ht="26.45" customHeight="1" thickBot="1" x14ac:dyDescent="0.25">
      <c r="A19" s="1503" t="str">
        <f>'FUNCIONAMIENTO-FOND PROPIOS-FAM'!B80</f>
        <v>TOTAL EGRESOS</v>
      </c>
      <c r="B19" s="1504"/>
      <c r="C19" s="1504"/>
      <c r="D19" s="1504"/>
      <c r="E19" s="1504"/>
      <c r="F19" s="1504"/>
      <c r="G19" s="1504"/>
      <c r="H19" s="223">
        <f>H18</f>
        <v>137224.26</v>
      </c>
    </row>
  </sheetData>
  <mergeCells count="13">
    <mergeCell ref="A6:H6"/>
    <mergeCell ref="A19:G19"/>
    <mergeCell ref="A7:H7"/>
    <mergeCell ref="A18:G18"/>
    <mergeCell ref="A8:H8"/>
    <mergeCell ref="A10:F10"/>
    <mergeCell ref="G10:G11"/>
    <mergeCell ref="H10:H11"/>
    <mergeCell ref="A1:H1"/>
    <mergeCell ref="A2:H2"/>
    <mergeCell ref="A3:H3"/>
    <mergeCell ref="A4:H4"/>
    <mergeCell ref="A5:H5"/>
  </mergeCells>
  <printOptions horizontalCentered="1" verticalCentered="1"/>
  <pageMargins left="0.74803149606299213" right="0.6692913385826772" top="0.47244094488188981" bottom="0.39370078740157483" header="0" footer="0"/>
  <pageSetup scale="80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5"/>
  <sheetViews>
    <sheetView view="pageBreakPreview" topLeftCell="A13" zoomScale="124" zoomScaleNormal="100" zoomScaleSheetLayoutView="124" workbookViewId="0">
      <selection activeCell="L16" sqref="L16"/>
    </sheetView>
  </sheetViews>
  <sheetFormatPr baseColWidth="10" defaultRowHeight="15" x14ac:dyDescent="0.3"/>
  <cols>
    <col min="1" max="1" width="4.42578125" style="75" customWidth="1"/>
    <col min="2" max="2" width="6.85546875" style="75" customWidth="1"/>
    <col min="3" max="3" width="4.42578125" style="76" customWidth="1"/>
    <col min="4" max="4" width="5.42578125" style="1" customWidth="1"/>
    <col min="5" max="5" width="6.140625" style="1" customWidth="1"/>
    <col min="6" max="6" width="11" style="1" customWidth="1"/>
    <col min="7" max="7" width="43.140625" style="216" customWidth="1"/>
    <col min="8" max="8" width="17.28515625" style="3" customWidth="1"/>
  </cols>
  <sheetData>
    <row r="1" spans="1:8" ht="18" x14ac:dyDescent="0.35">
      <c r="A1" s="1472" t="s">
        <v>1143</v>
      </c>
      <c r="B1" s="1473"/>
      <c r="C1" s="1473"/>
      <c r="D1" s="1473"/>
      <c r="E1" s="1473"/>
      <c r="F1" s="1473"/>
      <c r="G1" s="1473"/>
      <c r="H1" s="1474"/>
    </row>
    <row r="2" spans="1:8" ht="18" x14ac:dyDescent="0.35">
      <c r="A2" s="1475" t="s">
        <v>1149</v>
      </c>
      <c r="B2" s="1476"/>
      <c r="C2" s="1476"/>
      <c r="D2" s="1476"/>
      <c r="E2" s="1476"/>
      <c r="F2" s="1476"/>
      <c r="G2" s="1476"/>
      <c r="H2" s="1477"/>
    </row>
    <row r="3" spans="1:8" ht="18" x14ac:dyDescent="0.35">
      <c r="A3" s="1475" t="s">
        <v>516</v>
      </c>
      <c r="B3" s="1476"/>
      <c r="C3" s="1476"/>
      <c r="D3" s="1476"/>
      <c r="E3" s="1476"/>
      <c r="F3" s="1476"/>
      <c r="G3" s="1476"/>
      <c r="H3" s="1477"/>
    </row>
    <row r="4" spans="1:8" ht="13.35" customHeight="1" x14ac:dyDescent="0.35">
      <c r="A4" s="1478"/>
      <c r="B4" s="1479"/>
      <c r="C4" s="1479"/>
      <c r="D4" s="1479"/>
      <c r="E4" s="1479"/>
      <c r="F4" s="1479"/>
      <c r="G4" s="1479"/>
      <c r="H4" s="1480"/>
    </row>
    <row r="5" spans="1:8" ht="18" x14ac:dyDescent="0.35">
      <c r="A5" s="1478" t="s">
        <v>129</v>
      </c>
      <c r="B5" s="1479"/>
      <c r="C5" s="1479"/>
      <c r="D5" s="1479"/>
      <c r="E5" s="1479"/>
      <c r="F5" s="1479"/>
      <c r="G5" s="1479"/>
      <c r="H5" s="1480"/>
    </row>
    <row r="6" spans="1:8" ht="13.35" customHeight="1" x14ac:dyDescent="0.35">
      <c r="A6" s="1458"/>
      <c r="B6" s="1459"/>
      <c r="C6" s="1459"/>
      <c r="D6" s="1459"/>
      <c r="E6" s="1459"/>
      <c r="F6" s="1459"/>
      <c r="G6" s="1459"/>
      <c r="H6" s="1460"/>
    </row>
    <row r="7" spans="1:8" ht="18" x14ac:dyDescent="0.2">
      <c r="A7" s="1461" t="s">
        <v>170</v>
      </c>
      <c r="B7" s="1462"/>
      <c r="C7" s="1462"/>
      <c r="D7" s="1462"/>
      <c r="E7" s="1462"/>
      <c r="F7" s="1462"/>
      <c r="G7" s="1462"/>
      <c r="H7" s="1463"/>
    </row>
    <row r="8" spans="1:8" ht="31.35" customHeight="1" x14ac:dyDescent="0.25">
      <c r="A8" s="1464" t="s">
        <v>851</v>
      </c>
      <c r="B8" s="1465"/>
      <c r="C8" s="1465"/>
      <c r="D8" s="1465"/>
      <c r="E8" s="1465"/>
      <c r="F8" s="1465"/>
      <c r="G8" s="1465"/>
      <c r="H8" s="1466"/>
    </row>
    <row r="9" spans="1:8" ht="12" customHeight="1" x14ac:dyDescent="0.25">
      <c r="A9" s="648"/>
      <c r="B9" s="219"/>
      <c r="C9" s="219"/>
      <c r="D9" s="219"/>
      <c r="E9" s="219"/>
      <c r="F9" s="219"/>
      <c r="G9" s="220"/>
      <c r="H9" s="649"/>
    </row>
    <row r="10" spans="1:8" x14ac:dyDescent="0.35">
      <c r="A10" s="1467" t="s">
        <v>171</v>
      </c>
      <c r="B10" s="1468"/>
      <c r="C10" s="1468"/>
      <c r="D10" s="1468"/>
      <c r="E10" s="1468"/>
      <c r="F10" s="1468"/>
      <c r="G10" s="1469" t="s">
        <v>172</v>
      </c>
      <c r="H10" s="1481" t="s">
        <v>173</v>
      </c>
    </row>
    <row r="11" spans="1:8" ht="125.45" customHeight="1" x14ac:dyDescent="0.2">
      <c r="A11" s="650" t="s">
        <v>174</v>
      </c>
      <c r="B11" s="217" t="s">
        <v>175</v>
      </c>
      <c r="C11" s="217" t="s">
        <v>176</v>
      </c>
      <c r="D11" s="217" t="s">
        <v>177</v>
      </c>
      <c r="E11" s="217" t="s">
        <v>178</v>
      </c>
      <c r="F11" s="217" t="s">
        <v>179</v>
      </c>
      <c r="G11" s="1469"/>
      <c r="H11" s="1481"/>
    </row>
    <row r="12" spans="1:8" ht="25.35" customHeight="1" x14ac:dyDescent="0.2">
      <c r="A12" s="143">
        <v>1</v>
      </c>
      <c r="B12" s="106" t="s">
        <v>184</v>
      </c>
      <c r="C12" s="106" t="s">
        <v>342</v>
      </c>
      <c r="D12" s="106" t="s">
        <v>185</v>
      </c>
      <c r="E12" s="106" t="s">
        <v>186</v>
      </c>
      <c r="F12" s="106" t="str">
        <f>'FUNCIONAMIENTO-FOND PROPIOS-FAM'!A9</f>
        <v>51101</v>
      </c>
      <c r="G12" s="137" t="str">
        <f>'FUNCIONAMIENTO-FOND PROPIOS-FAM'!B9</f>
        <v>Sueldos</v>
      </c>
      <c r="H12" s="144">
        <f>+'RESUMEN '!G45</f>
        <v>632890.32000000007</v>
      </c>
    </row>
    <row r="13" spans="1:8" ht="25.35" customHeight="1" x14ac:dyDescent="0.2">
      <c r="A13" s="143">
        <v>1</v>
      </c>
      <c r="B13" s="106" t="s">
        <v>184</v>
      </c>
      <c r="C13" s="106" t="s">
        <v>342</v>
      </c>
      <c r="D13" s="106" t="s">
        <v>185</v>
      </c>
      <c r="E13" s="106" t="s">
        <v>186</v>
      </c>
      <c r="F13" s="106">
        <f>'FUNCIONAMIENTO-FOND PROPIOS-FAM'!A11</f>
        <v>51103</v>
      </c>
      <c r="G13" s="137" t="str">
        <f>'FUNCIONAMIENTO-FOND PROPIOS-FAM'!B11</f>
        <v>Aguinaldos</v>
      </c>
      <c r="H13" s="144">
        <f>+'RESUMEN '!M45</f>
        <v>78694.290000000008</v>
      </c>
    </row>
    <row r="14" spans="1:8" ht="25.35" customHeight="1" x14ac:dyDescent="0.2">
      <c r="A14" s="143">
        <v>1</v>
      </c>
      <c r="B14" s="106" t="s">
        <v>184</v>
      </c>
      <c r="C14" s="106" t="s">
        <v>342</v>
      </c>
      <c r="D14" s="106" t="s">
        <v>185</v>
      </c>
      <c r="E14" s="106" t="s">
        <v>186</v>
      </c>
      <c r="F14" s="106" t="str">
        <f>'FUNCIONAMIENTO-FOND PROPIOS-FAM'!A13</f>
        <v>51107</v>
      </c>
      <c r="G14" s="137" t="s">
        <v>879</v>
      </c>
      <c r="H14" s="144">
        <f>+'RESUMEN '!N45</f>
        <v>11235.179999999997</v>
      </c>
    </row>
    <row r="15" spans="1:8" ht="31.5" customHeight="1" x14ac:dyDescent="0.2">
      <c r="A15" s="651">
        <v>1</v>
      </c>
      <c r="B15" s="106" t="s">
        <v>184</v>
      </c>
      <c r="C15" s="106" t="s">
        <v>342</v>
      </c>
      <c r="D15" s="133" t="s">
        <v>185</v>
      </c>
      <c r="E15" s="133" t="s">
        <v>186</v>
      </c>
      <c r="F15" s="106">
        <f>'FUNCIONAMIENTO-FOND PROPIOS-FAM'!A15</f>
        <v>51401</v>
      </c>
      <c r="G15" s="137" t="s">
        <v>852</v>
      </c>
      <c r="H15" s="144">
        <f>+'RESUMEN '!H45+'RESUMEN '!K45+'RESUMEN '!O45+'RESUMEN '!Q45</f>
        <v>56290.261100000003</v>
      </c>
    </row>
    <row r="16" spans="1:8" ht="25.35" customHeight="1" x14ac:dyDescent="0.2">
      <c r="A16" s="143">
        <v>1</v>
      </c>
      <c r="B16" s="106" t="s">
        <v>184</v>
      </c>
      <c r="C16" s="106" t="s">
        <v>342</v>
      </c>
      <c r="D16" s="106" t="s">
        <v>185</v>
      </c>
      <c r="E16" s="106" t="s">
        <v>186</v>
      </c>
      <c r="F16" s="106">
        <f>'FUNCIONAMIENTO-FOND PROPIOS-FAM'!A16</f>
        <v>51501</v>
      </c>
      <c r="G16" s="137" t="str">
        <f>'FUNCIONAMIENTO-FOND PROPIOS-FAM'!B16</f>
        <v>Por Remuneraciones Permanentes AFPs</v>
      </c>
      <c r="H16" s="144">
        <f>+'RESUMEN '!I45+'RESUMEN '!P45</f>
        <v>53920.299499999994</v>
      </c>
    </row>
    <row r="17" spans="1:8" ht="25.35" customHeight="1" thickBot="1" x14ac:dyDescent="0.3">
      <c r="A17" s="1514" t="s">
        <v>16</v>
      </c>
      <c r="B17" s="1515"/>
      <c r="C17" s="1515"/>
      <c r="D17" s="1515"/>
      <c r="E17" s="1515"/>
      <c r="F17" s="1515"/>
      <c r="G17" s="1515"/>
      <c r="H17" s="655">
        <f>SUM(H12:H16)</f>
        <v>833030.35060000012</v>
      </c>
    </row>
    <row r="18" spans="1:8" ht="25.35" customHeight="1" thickBot="1" x14ac:dyDescent="0.3">
      <c r="A18" s="1516" t="s">
        <v>939</v>
      </c>
      <c r="B18" s="1517"/>
      <c r="C18" s="1517"/>
      <c r="D18" s="1517"/>
      <c r="E18" s="1517"/>
      <c r="F18" s="1517"/>
      <c r="G18" s="1517"/>
      <c r="H18" s="1518"/>
    </row>
    <row r="19" spans="1:8" ht="25.35" customHeight="1" x14ac:dyDescent="0.2">
      <c r="A19" s="578">
        <v>1</v>
      </c>
      <c r="B19" s="579" t="s">
        <v>184</v>
      </c>
      <c r="C19" s="579" t="s">
        <v>342</v>
      </c>
      <c r="D19" s="579" t="s">
        <v>185</v>
      </c>
      <c r="E19" s="579" t="s">
        <v>186</v>
      </c>
      <c r="F19" s="579" t="s">
        <v>365</v>
      </c>
      <c r="G19" s="602" t="s">
        <v>907</v>
      </c>
      <c r="H19" s="656">
        <v>13174.22</v>
      </c>
    </row>
    <row r="20" spans="1:8" ht="25.35" customHeight="1" x14ac:dyDescent="0.2">
      <c r="A20" s="578">
        <v>1</v>
      </c>
      <c r="B20" s="579" t="s">
        <v>184</v>
      </c>
      <c r="C20" s="579" t="s">
        <v>342</v>
      </c>
      <c r="D20" s="579" t="s">
        <v>185</v>
      </c>
      <c r="E20" s="579" t="s">
        <v>186</v>
      </c>
      <c r="F20" s="579" t="s">
        <v>161</v>
      </c>
      <c r="G20" s="602" t="s">
        <v>906</v>
      </c>
      <c r="H20" s="656">
        <v>30000</v>
      </c>
    </row>
    <row r="21" spans="1:8" ht="25.35" customHeight="1" x14ac:dyDescent="0.2">
      <c r="A21" s="578">
        <v>1</v>
      </c>
      <c r="B21" s="579" t="s">
        <v>184</v>
      </c>
      <c r="C21" s="579" t="s">
        <v>342</v>
      </c>
      <c r="D21" s="579" t="s">
        <v>185</v>
      </c>
      <c r="E21" s="579" t="s">
        <v>186</v>
      </c>
      <c r="F21" s="579" t="s">
        <v>977</v>
      </c>
      <c r="G21" s="602" t="s">
        <v>978</v>
      </c>
      <c r="H21" s="656">
        <v>4000</v>
      </c>
    </row>
    <row r="22" spans="1:8" ht="25.35" customHeight="1" thickBot="1" x14ac:dyDescent="0.3">
      <c r="A22" s="1514" t="s">
        <v>16</v>
      </c>
      <c r="B22" s="1515"/>
      <c r="C22" s="1515"/>
      <c r="D22" s="1515"/>
      <c r="E22" s="1515"/>
      <c r="F22" s="1515"/>
      <c r="G22" s="1515"/>
      <c r="H22" s="655">
        <f>SUM(H19:H21)</f>
        <v>47174.22</v>
      </c>
    </row>
    <row r="23" spans="1:8" ht="25.35" customHeight="1" thickBot="1" x14ac:dyDescent="0.3">
      <c r="A23" s="1512" t="s">
        <v>169</v>
      </c>
      <c r="B23" s="1513"/>
      <c r="C23" s="1513"/>
      <c r="D23" s="1513"/>
      <c r="E23" s="1513"/>
      <c r="F23" s="1513"/>
      <c r="G23" s="1513"/>
      <c r="H23" s="665">
        <f>H22+H17</f>
        <v>880204.57060000009</v>
      </c>
    </row>
    <row r="24" spans="1:8" x14ac:dyDescent="0.3">
      <c r="A24" s="657"/>
      <c r="H24" s="658"/>
    </row>
    <row r="25" spans="1:8" x14ac:dyDescent="0.3">
      <c r="A25" s="657"/>
      <c r="H25" s="658"/>
    </row>
    <row r="26" spans="1:8" x14ac:dyDescent="0.3">
      <c r="A26" s="657"/>
      <c r="H26" s="658"/>
    </row>
    <row r="27" spans="1:8" x14ac:dyDescent="0.3">
      <c r="A27" s="657"/>
      <c r="H27" s="658"/>
    </row>
    <row r="28" spans="1:8" x14ac:dyDescent="0.3">
      <c r="A28" s="657"/>
      <c r="H28" s="658"/>
    </row>
    <row r="29" spans="1:8" x14ac:dyDescent="0.3">
      <c r="A29" s="657"/>
      <c r="H29" s="658"/>
    </row>
    <row r="30" spans="1:8" x14ac:dyDescent="0.3">
      <c r="A30" s="657"/>
      <c r="H30" s="658"/>
    </row>
    <row r="31" spans="1:8" x14ac:dyDescent="0.3">
      <c r="A31" s="657"/>
      <c r="H31" s="658"/>
    </row>
    <row r="32" spans="1:8" ht="15.75" thickBot="1" x14ac:dyDescent="0.35">
      <c r="A32" s="659"/>
      <c r="B32" s="660"/>
      <c r="C32" s="661"/>
      <c r="D32" s="662"/>
      <c r="E32" s="662"/>
      <c r="F32" s="662"/>
      <c r="G32" s="663"/>
      <c r="H32" s="664"/>
    </row>
    <row r="33" spans="7:8" ht="21" x14ac:dyDescent="0.35">
      <c r="G33" s="824">
        <f>+'0101 F.P DIRECCION Y ADM SUP'!H47+'0102 F.P.AD.FINANC Y TRIBUTARIA'!H24+'0201 F.P. BINESTAR SOCIAL'!H29+'0202 SERV.INTERNOS'!H19+'0203 SERV. EXTERNOS'!H23</f>
        <v>3341318.8103270829</v>
      </c>
      <c r="H33" s="319"/>
    </row>
    <row r="34" spans="7:8" x14ac:dyDescent="0.3">
      <c r="G34" s="318"/>
      <c r="H34" s="320"/>
    </row>
    <row r="35" spans="7:8" ht="21" x14ac:dyDescent="0.35">
      <c r="G35" s="823">
        <f>+G33-'CONSOLIDADO DE INGRESOS 8'!H76</f>
        <v>-2.0729154348373413E-3</v>
      </c>
    </row>
  </sheetData>
  <mergeCells count="15">
    <mergeCell ref="A6:H6"/>
    <mergeCell ref="A1:H1"/>
    <mergeCell ref="A2:H2"/>
    <mergeCell ref="A3:H3"/>
    <mergeCell ref="A4:H4"/>
    <mergeCell ref="A5:H5"/>
    <mergeCell ref="A23:G23"/>
    <mergeCell ref="A7:H7"/>
    <mergeCell ref="A8:H8"/>
    <mergeCell ref="A10:F10"/>
    <mergeCell ref="G10:G11"/>
    <mergeCell ref="H10:H11"/>
    <mergeCell ref="A22:G22"/>
    <mergeCell ref="A17:G17"/>
    <mergeCell ref="A18:H18"/>
  </mergeCells>
  <pageMargins left="0.7" right="0.7" top="0.75" bottom="0.75" header="0.3" footer="0.3"/>
  <pageSetup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84"/>
  <sheetViews>
    <sheetView view="pageBreakPreview" topLeftCell="A61" zoomScale="106" zoomScaleNormal="85" zoomScaleSheetLayoutView="106" workbookViewId="0">
      <selection activeCell="E79" sqref="E79"/>
    </sheetView>
  </sheetViews>
  <sheetFormatPr baseColWidth="10" defaultRowHeight="12.75" x14ac:dyDescent="0.2"/>
  <cols>
    <col min="1" max="1" width="11.42578125" customWidth="1"/>
    <col min="2" max="2" width="33.7109375" customWidth="1"/>
    <col min="3" max="3" width="15.7109375" customWidth="1"/>
    <col min="4" max="4" width="17.28515625" style="94" customWidth="1"/>
    <col min="5" max="5" width="17.140625" customWidth="1"/>
    <col min="6" max="6" width="17.42578125" customWidth="1"/>
  </cols>
  <sheetData>
    <row r="1" spans="1:13" ht="19.5" x14ac:dyDescent="0.35">
      <c r="A1" s="1472" t="s">
        <v>1143</v>
      </c>
      <c r="B1" s="1473"/>
      <c r="C1" s="1473"/>
      <c r="D1" s="1473"/>
      <c r="E1" s="1473"/>
      <c r="F1" s="1474"/>
      <c r="G1" s="832"/>
      <c r="H1" s="833"/>
      <c r="I1" s="197"/>
      <c r="J1" s="197"/>
      <c r="K1" s="197"/>
      <c r="L1" s="197"/>
      <c r="M1" s="197"/>
    </row>
    <row r="2" spans="1:13" ht="19.5" x14ac:dyDescent="0.35">
      <c r="A2" s="1475" t="s">
        <v>1152</v>
      </c>
      <c r="B2" s="1476"/>
      <c r="C2" s="1476"/>
      <c r="D2" s="1476"/>
      <c r="E2" s="1476"/>
      <c r="F2" s="1477"/>
      <c r="G2" s="834"/>
      <c r="H2" s="835"/>
      <c r="I2" s="197"/>
      <c r="J2" s="197"/>
      <c r="K2" s="197"/>
      <c r="L2" s="197"/>
      <c r="M2" s="197"/>
    </row>
    <row r="3" spans="1:13" ht="18.75" x14ac:dyDescent="0.3">
      <c r="A3" s="1394" t="s">
        <v>516</v>
      </c>
      <c r="B3" s="1395"/>
      <c r="C3" s="1395"/>
      <c r="D3" s="1395"/>
      <c r="E3" s="1395"/>
      <c r="F3" s="1396"/>
      <c r="G3" s="197"/>
      <c r="H3" s="197"/>
      <c r="I3" s="197"/>
      <c r="J3" s="197"/>
      <c r="K3" s="197"/>
      <c r="L3" s="197"/>
      <c r="M3" s="197"/>
    </row>
    <row r="4" spans="1:13" ht="18.75" x14ac:dyDescent="0.3">
      <c r="A4" s="1394" t="s">
        <v>129</v>
      </c>
      <c r="B4" s="1395"/>
      <c r="C4" s="1395"/>
      <c r="D4" s="1395"/>
      <c r="E4" s="1395"/>
      <c r="F4" s="1396"/>
      <c r="G4" s="197"/>
      <c r="H4" s="197"/>
      <c r="I4" s="197"/>
      <c r="J4" s="197"/>
      <c r="K4" s="197"/>
      <c r="L4" s="197"/>
      <c r="M4" s="197"/>
    </row>
    <row r="5" spans="1:13" x14ac:dyDescent="0.2">
      <c r="A5" s="984"/>
      <c r="F5" s="985"/>
    </row>
    <row r="6" spans="1:13" ht="32.25" customHeight="1" x14ac:dyDescent="0.3">
      <c r="A6" s="1519" t="s">
        <v>517</v>
      </c>
      <c r="B6" s="1520"/>
      <c r="C6" s="1520"/>
      <c r="D6" s="1520"/>
      <c r="E6" s="1520"/>
      <c r="F6" s="1521"/>
    </row>
    <row r="7" spans="1:13" ht="15.75" x14ac:dyDescent="0.25">
      <c r="A7" s="1159"/>
      <c r="B7" s="204"/>
      <c r="C7" s="204"/>
      <c r="D7" s="411"/>
      <c r="E7" s="204"/>
      <c r="F7" s="1160"/>
    </row>
    <row r="8" spans="1:13" ht="51" customHeight="1" x14ac:dyDescent="0.2">
      <c r="A8" s="1161" t="s">
        <v>340</v>
      </c>
      <c r="B8" s="210" t="s">
        <v>339</v>
      </c>
      <c r="C8" s="205" t="s">
        <v>378</v>
      </c>
      <c r="D8" s="400" t="s">
        <v>401</v>
      </c>
      <c r="E8" s="211" t="s">
        <v>237</v>
      </c>
      <c r="F8" s="1162" t="s">
        <v>238</v>
      </c>
    </row>
    <row r="9" spans="1:13" ht="25.35" customHeight="1" x14ac:dyDescent="0.2">
      <c r="A9" s="457" t="str">
        <f>'CONSOLIDADO DE EGRESO 12'!A12</f>
        <v>51101</v>
      </c>
      <c r="B9" s="135" t="str">
        <f>'CONSOLIDADO DE EGRESO 12'!B12</f>
        <v>Sueldos</v>
      </c>
      <c r="C9" s="101">
        <v>0</v>
      </c>
      <c r="D9" s="200">
        <v>0</v>
      </c>
      <c r="E9" s="105">
        <f>+'0101 F.P DIRECCION Y ADM SUP'!H12+'0102 F.P.AD.FINANC Y TRIBUTARIA'!H12+'0201 F.P. BINESTAR SOCIAL'!H12+'0202 SERV.INTERNOS'!H12+'0203 SERV. EXTERNOS'!H12</f>
        <v>2009682</v>
      </c>
      <c r="F9" s="1163">
        <f>SUM(C9:E9)</f>
        <v>2009682</v>
      </c>
    </row>
    <row r="10" spans="1:13" ht="25.35" customHeight="1" x14ac:dyDescent="0.2">
      <c r="A10" s="457" t="s">
        <v>452</v>
      </c>
      <c r="B10" s="135" t="s">
        <v>453</v>
      </c>
      <c r="C10" s="101">
        <v>0</v>
      </c>
      <c r="D10" s="200"/>
      <c r="E10" s="105">
        <v>0</v>
      </c>
      <c r="F10" s="1163">
        <f t="shared" ref="F10:F20" si="0">SUM(C10:E10)</f>
        <v>0</v>
      </c>
    </row>
    <row r="11" spans="1:13" ht="25.35" customHeight="1" x14ac:dyDescent="0.2">
      <c r="A11" s="457">
        <f>'CONSOLIDADO DE EGRESO 12'!A13</f>
        <v>51103</v>
      </c>
      <c r="B11" s="135" t="str">
        <f>'CONSOLIDADO DE EGRESO 12'!B13</f>
        <v>Aguinaldos</v>
      </c>
      <c r="C11" s="101">
        <v>0</v>
      </c>
      <c r="D11" s="200">
        <v>0</v>
      </c>
      <c r="E11" s="105">
        <f>+'0101 F.P DIRECCION Y ADM SUP'!H13+'0102 F.P.AD.FINANC Y TRIBUTARIA'!H13+'0201 F.P. BINESTAR SOCIAL'!H13+'0202 SERV.INTERNOS'!H13+'0203 SERV. EXTERNOS'!H13</f>
        <v>250783.08333333334</v>
      </c>
      <c r="F11" s="1163">
        <f t="shared" si="0"/>
        <v>250783.08333333334</v>
      </c>
    </row>
    <row r="12" spans="1:13" ht="25.35" customHeight="1" x14ac:dyDescent="0.2">
      <c r="A12" s="457">
        <f>'CONSOLIDADO DE EGRESO 12'!A14</f>
        <v>51105</v>
      </c>
      <c r="B12" s="135" t="str">
        <f>'CONSOLIDADO DE EGRESO 12'!B14</f>
        <v>Dietas</v>
      </c>
      <c r="C12" s="101">
        <v>0</v>
      </c>
      <c r="D12" s="200">
        <f>+'1.5% LIBRE DISPONIBILIDAD 2024'!H11</f>
        <v>158400</v>
      </c>
      <c r="E12" s="105"/>
      <c r="F12" s="1163">
        <f t="shared" si="0"/>
        <v>158400</v>
      </c>
    </row>
    <row r="13" spans="1:13" ht="25.35" customHeight="1" x14ac:dyDescent="0.2">
      <c r="A13" s="457" t="str">
        <f>'CONSOLIDADO DE EGRESO 12'!A15</f>
        <v>51107</v>
      </c>
      <c r="B13" s="135" t="str">
        <f>'CONSOLIDADO DE EGRESO 12'!B15</f>
        <v>Beneficios Adicionales</v>
      </c>
      <c r="C13" s="101">
        <v>0</v>
      </c>
      <c r="D13" s="200">
        <f>+'1.5% LIBRE DISPONIBILIDAD 2024'!H12+'1.5% LIBRE DISPONIBILIDAD 2024'!H13+'1.5% LIBRE DISPONIBILIDAD 2024'!H14+'1.5% LIBRE DISPONIBILIDAD 2024'!H15</f>
        <v>156390</v>
      </c>
      <c r="E13" s="105">
        <f>+'0101 F.P DIRECCION Y ADM SUP'!H14+'0102 F.P.AD.FINANC Y TRIBUTARIA'!H14+'0201 F.P. BINESTAR SOCIAL'!H14+'0202 SERV.INTERNOS'!H14+'0203 SERV. EXTERNOS'!H14</f>
        <v>14507.324999999997</v>
      </c>
      <c r="F13" s="1163">
        <f t="shared" si="0"/>
        <v>170897.32500000001</v>
      </c>
    </row>
    <row r="14" spans="1:13" ht="29.25" customHeight="1" x14ac:dyDescent="0.2">
      <c r="A14" s="457" t="str">
        <f>'CONSOLIDADO DE EGRESO 12'!A17</f>
        <v>51301</v>
      </c>
      <c r="B14" s="135" t="str">
        <f>'CONSOLIDADO DE EGRESO 12'!B17</f>
        <v>Horas extraordinarias</v>
      </c>
      <c r="C14" s="101">
        <v>0</v>
      </c>
      <c r="D14" s="200">
        <v>0</v>
      </c>
      <c r="E14" s="105">
        <f>+'0202 SERV.INTERNOS'!H15</f>
        <v>0</v>
      </c>
      <c r="F14" s="1163">
        <f t="shared" si="0"/>
        <v>0</v>
      </c>
    </row>
    <row r="15" spans="1:13" ht="29.25" customHeight="1" x14ac:dyDescent="0.2">
      <c r="A15" s="457">
        <f>'CONSOLIDADO DE EGRESO 12'!A18</f>
        <v>51401</v>
      </c>
      <c r="B15" s="135" t="str">
        <f>'CONSOLIDADO DE EGRESO 12'!B18</f>
        <v>Por Remuneraciones Permanentes ISSS\IPSFA</v>
      </c>
      <c r="C15" s="101">
        <v>0</v>
      </c>
      <c r="D15" s="200">
        <f>+'1.5% LIBRE DISPONIBILIDAD 2024'!H16</f>
        <v>6120</v>
      </c>
      <c r="E15" s="105">
        <f>+'0101 F.P DIRECCION Y ADM SUP'!H15+'0102 F.P.AD.FINANC Y TRIBUTARIA'!H15+'0201 F.P. BINESTAR SOCIAL'!H15+'0202 SERV.INTERNOS'!H16+'0203 SERV. EXTERNOS'!H15</f>
        <v>166504.97677499999</v>
      </c>
      <c r="F15" s="1163">
        <f t="shared" si="0"/>
        <v>172624.97677499999</v>
      </c>
    </row>
    <row r="16" spans="1:13" ht="30.75" customHeight="1" x14ac:dyDescent="0.2">
      <c r="A16" s="457">
        <f>'CONSOLIDADO DE EGRESO 12'!A19</f>
        <v>51501</v>
      </c>
      <c r="B16" s="135" t="str">
        <f>'CONSOLIDADO DE EGRESO 12'!B19</f>
        <v>Por Remuneraciones Permanentes AFPs</v>
      </c>
      <c r="C16" s="101">
        <v>0</v>
      </c>
      <c r="D16" s="200">
        <f>+'1.5% LIBRE DISPONIBILIDAD 2024'!H17</f>
        <v>13860</v>
      </c>
      <c r="E16" s="105">
        <f>+'0101 F.P DIRECCION Y ADM SUP'!H16+'0102 F.P.AD.FINANC Y TRIBUTARIA'!H16+'0201 F.P. BINESTAR SOCIAL'!H16+'0202 SERV.INTERNOS'!H17+'0203 SERV. EXTERNOS'!H16</f>
        <v>171099.23521874993</v>
      </c>
      <c r="F16" s="1163">
        <f t="shared" si="0"/>
        <v>184959.23521874993</v>
      </c>
    </row>
    <row r="17" spans="1:6" ht="36.75" customHeight="1" x14ac:dyDescent="0.2">
      <c r="A17" s="457">
        <f>'CONSOLIDADO DE EGRESO 12'!A20</f>
        <v>51601</v>
      </c>
      <c r="B17" s="135" t="str">
        <f>'CONSOLIDADO DE EGRESO 12'!B20</f>
        <v xml:space="preserve">Por prestacion de Servicios en el paìs (Gastos de Representacion) </v>
      </c>
      <c r="C17" s="101">
        <v>0</v>
      </c>
      <c r="D17" s="200">
        <v>0</v>
      </c>
      <c r="E17" s="105">
        <v>0</v>
      </c>
      <c r="F17" s="1163">
        <f t="shared" si="0"/>
        <v>0</v>
      </c>
    </row>
    <row r="18" spans="1:6" ht="36.75" customHeight="1" x14ac:dyDescent="0.2">
      <c r="A18" s="457">
        <f>'CONSOLIDADO DE EGRESO 12'!A21</f>
        <v>51602</v>
      </c>
      <c r="B18" s="135" t="str">
        <f>'CONSOLIDADO DE EGRESO 12'!B21</f>
        <v>Por prestacion de servicios en el exterior</v>
      </c>
      <c r="C18" s="101">
        <v>0</v>
      </c>
      <c r="D18" s="200">
        <v>0</v>
      </c>
      <c r="E18" s="105">
        <v>0</v>
      </c>
      <c r="F18" s="1163">
        <f t="shared" si="0"/>
        <v>0</v>
      </c>
    </row>
    <row r="19" spans="1:6" ht="38.25" customHeight="1" x14ac:dyDescent="0.2">
      <c r="A19" s="457" t="str">
        <f>'CONSOLIDADO DE EGRESO 12'!A22</f>
        <v>51701</v>
      </c>
      <c r="B19" s="135" t="str">
        <f>'CONSOLIDADO DE EGRESO 12'!B22</f>
        <v>Al Personal de Servicios Permanentes (Indemnizaciones)</v>
      </c>
      <c r="C19" s="101">
        <v>0</v>
      </c>
      <c r="D19" s="200">
        <v>0</v>
      </c>
      <c r="E19" s="105">
        <f>+'0101 F.P DIRECCION Y ADM SUP'!H17</f>
        <v>20487</v>
      </c>
      <c r="F19" s="1163">
        <f t="shared" si="0"/>
        <v>20487</v>
      </c>
    </row>
    <row r="20" spans="1:6" ht="38.25" customHeight="1" x14ac:dyDescent="0.2">
      <c r="A20" s="457" t="s">
        <v>363</v>
      </c>
      <c r="B20" s="135" t="s">
        <v>367</v>
      </c>
      <c r="C20" s="101">
        <v>0</v>
      </c>
      <c r="D20" s="200">
        <v>0</v>
      </c>
      <c r="E20" s="105">
        <v>0</v>
      </c>
      <c r="F20" s="1163">
        <f t="shared" si="0"/>
        <v>0</v>
      </c>
    </row>
    <row r="21" spans="1:6" ht="25.35" customHeight="1" x14ac:dyDescent="0.25">
      <c r="A21" s="463"/>
      <c r="B21" s="203" t="s">
        <v>136</v>
      </c>
      <c r="C21" s="208">
        <f>SUM(C9:C20)</f>
        <v>0</v>
      </c>
      <c r="D21" s="208">
        <f>+D9+D11+D12+D13+D14+D15+D16+D17+D18+D19</f>
        <v>334770</v>
      </c>
      <c r="E21" s="208">
        <f>SUM(E9:E20)</f>
        <v>2633063.6203270834</v>
      </c>
      <c r="F21" s="1164">
        <f>SUM(F9:F20)</f>
        <v>2967833.6203270834</v>
      </c>
    </row>
    <row r="22" spans="1:6" ht="33.75" customHeight="1" x14ac:dyDescent="0.2">
      <c r="A22" s="460" t="str">
        <f>'CONSOLIDADO DE EGRESO 12'!A25</f>
        <v>54101</v>
      </c>
      <c r="B22" s="139" t="str">
        <f>'CONSOLIDADO DE EGRESO 12'!B25</f>
        <v>Productos Alimenticios para Personas</v>
      </c>
      <c r="C22" s="102">
        <f>+'PROG-FAM'!C41</f>
        <v>8200</v>
      </c>
      <c r="D22" s="412">
        <f>+'1.5% LIBRE DISPONIBILIDAD 2024'!H19</f>
        <v>15000</v>
      </c>
      <c r="E22" s="102">
        <f>+'0101 F.P DIRECCION Y ADM SUP'!H19+'0201 F.P. BINESTAR SOCIAL'!H18</f>
        <v>25350</v>
      </c>
      <c r="F22" s="1163">
        <f t="shared" ref="F22:F56" si="1">SUM(C22:E22)</f>
        <v>48550</v>
      </c>
    </row>
    <row r="23" spans="1:6" ht="33.75" customHeight="1" x14ac:dyDescent="0.2">
      <c r="A23" s="460" t="s">
        <v>1117</v>
      </c>
      <c r="B23" s="139" t="s">
        <v>1162</v>
      </c>
      <c r="C23" s="102"/>
      <c r="D23" s="412">
        <f>+'1.5% LIBRE DISPONIBILIDAD 2024'!H20</f>
        <v>2000</v>
      </c>
      <c r="E23" s="102"/>
      <c r="F23" s="1163"/>
    </row>
    <row r="24" spans="1:6" ht="31.5" customHeight="1" x14ac:dyDescent="0.2">
      <c r="A24" s="460" t="str">
        <f>'CONSOLIDADO DE EGRESO 12'!A27</f>
        <v>54103</v>
      </c>
      <c r="B24" s="139" t="str">
        <f>'CONSOLIDADO DE EGRESO 12'!B27</f>
        <v xml:space="preserve">Productos Agropecuarios y Forestales </v>
      </c>
      <c r="C24" s="102">
        <f>+'PROG-FAM'!C42</f>
        <v>204</v>
      </c>
      <c r="D24" s="412">
        <v>0</v>
      </c>
      <c r="E24" s="102">
        <f>+'0101 F.P DIRECCION Y ADM SUP'!H20</f>
        <v>5245.25</v>
      </c>
      <c r="F24" s="1163">
        <f t="shared" si="1"/>
        <v>5449.25</v>
      </c>
    </row>
    <row r="25" spans="1:6" ht="25.35" customHeight="1" x14ac:dyDescent="0.2">
      <c r="A25" s="460">
        <f>'CONSOLIDADO DE EGRESO 12'!A28</f>
        <v>54104</v>
      </c>
      <c r="B25" s="139" t="str">
        <f>'CONSOLIDADO DE EGRESO 12'!B28</f>
        <v>Productos Textiles y Vestuarios</v>
      </c>
      <c r="C25" s="102">
        <f>+'PROG-FAM'!C43</f>
        <v>27296.46</v>
      </c>
      <c r="D25" s="412">
        <f>+'1.5% LIBRE DISPONIBILIDAD 2024'!H21</f>
        <v>92670</v>
      </c>
      <c r="E25" s="102">
        <v>0</v>
      </c>
      <c r="F25" s="1163">
        <f t="shared" si="1"/>
        <v>119966.45999999999</v>
      </c>
    </row>
    <row r="26" spans="1:6" ht="25.35" customHeight="1" x14ac:dyDescent="0.2">
      <c r="A26" s="460">
        <f>'CONSOLIDADO DE EGRESO 12'!A29</f>
        <v>54105</v>
      </c>
      <c r="B26" s="139" t="str">
        <f>'CONSOLIDADO DE EGRESO 12'!B29</f>
        <v>Productos de papel y Carton</v>
      </c>
      <c r="C26" s="102"/>
      <c r="D26" s="412">
        <v>0</v>
      </c>
      <c r="E26" s="102">
        <f>+'0101 F.P DIRECCION Y ADM SUP'!H21</f>
        <v>20000</v>
      </c>
      <c r="F26" s="1163">
        <f t="shared" si="1"/>
        <v>20000</v>
      </c>
    </row>
    <row r="27" spans="1:6" ht="32.25" customHeight="1" x14ac:dyDescent="0.2">
      <c r="A27" s="460" t="str">
        <f>'CONSOLIDADO DE EGRESO 12'!A30</f>
        <v>54106</v>
      </c>
      <c r="B27" s="139" t="str">
        <f>'CONSOLIDADO DE EGRESO 12'!B30</f>
        <v>Productos de Cuero y Caucho</v>
      </c>
      <c r="C27" s="102">
        <f>+'PROG-FAM'!C44</f>
        <v>6000</v>
      </c>
      <c r="D27" s="412">
        <f>+'1.5% LIBRE DISPONIBILIDAD 2024'!H22</f>
        <v>200</v>
      </c>
      <c r="E27" s="102">
        <v>0</v>
      </c>
      <c r="F27" s="1163">
        <f t="shared" si="1"/>
        <v>6200</v>
      </c>
    </row>
    <row r="28" spans="1:6" ht="44.25" customHeight="1" x14ac:dyDescent="0.2">
      <c r="A28" s="460">
        <f>'CONSOLIDADO DE EGRESO 12'!A31</f>
        <v>54107</v>
      </c>
      <c r="B28" s="139" t="str">
        <f>'CONSOLIDADO DE EGRESO 12'!B31</f>
        <v xml:space="preserve">Productos Químicos  </v>
      </c>
      <c r="C28" s="102">
        <f>+'PROG-FAM'!C45</f>
        <v>280</v>
      </c>
      <c r="D28" s="412">
        <f>+'1.5% LIBRE DISPONIBILIDAD 2024'!H23</f>
        <v>1315.9</v>
      </c>
      <c r="E28" s="102">
        <f>+'0101 F.P DIRECCION Y ADM SUP'!H22</f>
        <v>1150</v>
      </c>
      <c r="F28" s="1163">
        <f t="shared" si="1"/>
        <v>2745.9</v>
      </c>
    </row>
    <row r="29" spans="1:6" ht="44.25" customHeight="1" x14ac:dyDescent="0.2">
      <c r="A29" s="460" t="s">
        <v>1119</v>
      </c>
      <c r="B29" s="139" t="s">
        <v>1139</v>
      </c>
      <c r="C29" s="102"/>
      <c r="D29" s="412">
        <f>+'1.5% LIBRE DISPONIBILIDAD 2024'!H24</f>
        <v>2350</v>
      </c>
      <c r="E29" s="102">
        <f>+'0201 F.P. BINESTAR SOCIAL'!H19</f>
        <v>2099.62</v>
      </c>
      <c r="F29" s="1163"/>
    </row>
    <row r="30" spans="1:6" ht="25.35" customHeight="1" x14ac:dyDescent="0.2">
      <c r="A30" s="460" t="str">
        <f>'CONSOLIDADO DE EGRESO 12'!A33</f>
        <v>54109</v>
      </c>
      <c r="B30" s="139" t="str">
        <f>'CONSOLIDADO DE EGRESO 12'!B33</f>
        <v>Llantas y Neumáticos</v>
      </c>
      <c r="C30" s="102">
        <f>+'PROG-FAM'!C46</f>
        <v>20000</v>
      </c>
      <c r="D30" s="412">
        <v>0</v>
      </c>
      <c r="E30" s="102">
        <v>0</v>
      </c>
      <c r="F30" s="1163">
        <f t="shared" si="1"/>
        <v>20000</v>
      </c>
    </row>
    <row r="31" spans="1:6" ht="25.35" customHeight="1" x14ac:dyDescent="0.2">
      <c r="A31" s="460">
        <f>'CONSOLIDADO DE EGRESO 12'!A34</f>
        <v>54110</v>
      </c>
      <c r="B31" s="139" t="str">
        <f>'CONSOLIDADO DE EGRESO 12'!B34</f>
        <v>Combustibles y Lubricantes</v>
      </c>
      <c r="C31" s="102">
        <f>+'PROG-FAM'!C47</f>
        <v>56000</v>
      </c>
      <c r="D31" s="412">
        <v>0</v>
      </c>
      <c r="E31" s="102">
        <f>+'0101 F.P DIRECCION Y ADM SUP'!H26+'0102 F.P.AD.FINANC Y TRIBUTARIA'!H18+'0203 SERV. EXTERNOS'!H19</f>
        <v>20000</v>
      </c>
      <c r="F31" s="1163">
        <f t="shared" si="1"/>
        <v>76000</v>
      </c>
    </row>
    <row r="32" spans="1:6" ht="45" customHeight="1" x14ac:dyDescent="0.2">
      <c r="A32" s="460" t="str">
        <f>'CONSOLIDADO DE EGRESO 12'!A36</f>
        <v>54112</v>
      </c>
      <c r="B32" s="139" t="str">
        <f>'CONSOLIDADO DE EGRESO 12'!B36</f>
        <v>Minerales  Metálicos y Productos Derivados (alambre, hierro y otros)</v>
      </c>
      <c r="C32" s="102">
        <f>+'PROG-FAM'!C48</f>
        <v>6295</v>
      </c>
      <c r="D32" s="412">
        <f>+'1.5% LIBRE DISPONIBILIDAD 2024'!H25</f>
        <v>150</v>
      </c>
      <c r="E32" s="102">
        <f>+'0101 F.P DIRECCION Y ADM SUP'!H23</f>
        <v>4.75</v>
      </c>
      <c r="F32" s="1163">
        <f t="shared" si="1"/>
        <v>6449.75</v>
      </c>
    </row>
    <row r="33" spans="1:6" ht="45" customHeight="1" x14ac:dyDescent="0.2">
      <c r="A33" s="460" t="s">
        <v>332</v>
      </c>
      <c r="B33" s="139" t="s">
        <v>937</v>
      </c>
      <c r="C33" s="102">
        <f>+'PROG-FAM'!C49</f>
        <v>50</v>
      </c>
      <c r="D33" s="412">
        <v>0</v>
      </c>
      <c r="E33" s="102">
        <f>+'0201 F.P. BINESTAR SOCIAL'!H20</f>
        <v>445</v>
      </c>
      <c r="F33" s="1163">
        <f t="shared" si="1"/>
        <v>495</v>
      </c>
    </row>
    <row r="34" spans="1:6" ht="34.5" customHeight="1" x14ac:dyDescent="0.2">
      <c r="A34" s="460">
        <f>'CONSOLIDADO DE EGRESO 12'!A38</f>
        <v>54114</v>
      </c>
      <c r="B34" s="139" t="str">
        <f>'CONSOLIDADO DE EGRESO 12'!B38</f>
        <v>Materiales de Oficina</v>
      </c>
      <c r="C34" s="102">
        <v>0</v>
      </c>
      <c r="D34" s="412">
        <v>0</v>
      </c>
      <c r="E34" s="102">
        <f>+'0101 F.P DIRECCION Y ADM SUP'!H24</f>
        <v>20000</v>
      </c>
      <c r="F34" s="1163">
        <f t="shared" si="1"/>
        <v>20000</v>
      </c>
    </row>
    <row r="35" spans="1:6" ht="25.35" customHeight="1" x14ac:dyDescent="0.2">
      <c r="A35" s="460">
        <f>'CONSOLIDADO DE EGRESO 12'!A39</f>
        <v>54115</v>
      </c>
      <c r="B35" s="139" t="str">
        <f>'CONSOLIDADO DE EGRESO 12'!B39</f>
        <v>Materiales Informaticos</v>
      </c>
      <c r="C35" s="102">
        <v>0</v>
      </c>
      <c r="D35" s="412">
        <v>0</v>
      </c>
      <c r="E35" s="102">
        <f>+'0101 F.P DIRECCION Y ADM SUP'!H25</f>
        <v>15000</v>
      </c>
      <c r="F35" s="1163">
        <f t="shared" si="1"/>
        <v>15000</v>
      </c>
    </row>
    <row r="36" spans="1:6" ht="31.5" customHeight="1" x14ac:dyDescent="0.2">
      <c r="A36" s="460">
        <f>'CONSOLIDADO DE EGRESO 12'!A42</f>
        <v>54118</v>
      </c>
      <c r="B36" s="139" t="str">
        <f>'CONSOLIDADO DE EGRESO 12'!B42</f>
        <v>Herramientas, Repuestos  y accesorios.</v>
      </c>
      <c r="C36" s="102">
        <f>+'PROG-FAM'!C50</f>
        <v>20065</v>
      </c>
      <c r="D36" s="412">
        <f>+'1.5% LIBRE DISPONIBILIDAD 2024'!H26</f>
        <v>910</v>
      </c>
      <c r="E36" s="102">
        <f>+'0101 F.P DIRECCION Y ADM SUP'!H27</f>
        <v>3000</v>
      </c>
      <c r="F36" s="1163">
        <f t="shared" si="1"/>
        <v>23975</v>
      </c>
    </row>
    <row r="37" spans="1:6" ht="25.35" customHeight="1" x14ac:dyDescent="0.2">
      <c r="A37" s="460">
        <f>'CONSOLIDADO DE EGRESO 12'!A43</f>
        <v>54119</v>
      </c>
      <c r="B37" s="139" t="str">
        <f>'CONSOLIDADO DE EGRESO 12'!B43</f>
        <v>materiales electricos</v>
      </c>
      <c r="C37" s="102">
        <f>+'PROG-FAM'!C51</f>
        <v>0</v>
      </c>
      <c r="D37" s="412">
        <v>0</v>
      </c>
      <c r="E37" s="102">
        <v>0</v>
      </c>
      <c r="F37" s="1163">
        <f t="shared" si="1"/>
        <v>0</v>
      </c>
    </row>
    <row r="38" spans="1:6" ht="25.35" customHeight="1" x14ac:dyDescent="0.2">
      <c r="A38" s="460">
        <f>'CONSOLIDADO DE EGRESO 12'!A44</f>
        <v>54121</v>
      </c>
      <c r="B38" s="139" t="str">
        <f>'CONSOLIDADO DE EGRESO 12'!B44</f>
        <v>Especies Municipales</v>
      </c>
      <c r="C38" s="102">
        <v>0</v>
      </c>
      <c r="D38" s="412">
        <v>0</v>
      </c>
      <c r="E38" s="102">
        <f>+'0102 F.P.AD.FINANC Y TRIBUTARIA'!H19</f>
        <v>10857.6</v>
      </c>
      <c r="F38" s="1163">
        <f t="shared" si="1"/>
        <v>10857.6</v>
      </c>
    </row>
    <row r="39" spans="1:6" ht="32.25" customHeight="1" x14ac:dyDescent="0.2">
      <c r="A39" s="460">
        <f>'CONSOLIDADO DE EGRESO 12'!A45</f>
        <v>54199</v>
      </c>
      <c r="B39" s="139" t="str">
        <f>'CONSOLIDADO DE EGRESO 12'!B45</f>
        <v>Bienes de usos y consumos diversos</v>
      </c>
      <c r="C39" s="102">
        <f>+'PROG-FAM'!C52</f>
        <v>9851</v>
      </c>
      <c r="D39" s="412">
        <f>+'1.5% LIBRE DISPONIBILIDAD 2024'!H27</f>
        <v>11484</v>
      </c>
      <c r="E39" s="102">
        <f>+'0101 F.P DIRECCION Y ADM SUP'!H28+'0101 F.P DIRECCION Y ADM SUP'!H29+'0201 F.P. BINESTAR SOCIAL'!H21</f>
        <v>24240</v>
      </c>
      <c r="F39" s="1163">
        <f t="shared" si="1"/>
        <v>45575</v>
      </c>
    </row>
    <row r="40" spans="1:6" ht="25.35" customHeight="1" x14ac:dyDescent="0.2">
      <c r="A40" s="460">
        <f>'CONSOLIDADO DE EGRESO 12'!A46</f>
        <v>54201</v>
      </c>
      <c r="B40" s="139" t="str">
        <f>'CONSOLIDADO DE EGRESO 12'!B46</f>
        <v>Servicios de Energia Electrica</v>
      </c>
      <c r="C40" s="102">
        <f>+'PROG-FAM'!C53</f>
        <v>108000</v>
      </c>
      <c r="D40" s="412">
        <f>+'1.5% LIBRE DISPONIBILIDAD 2024'!H28</f>
        <v>600</v>
      </c>
      <c r="E40" s="102">
        <v>0</v>
      </c>
      <c r="F40" s="1163">
        <f t="shared" si="1"/>
        <v>108600</v>
      </c>
    </row>
    <row r="41" spans="1:6" ht="25.35" customHeight="1" x14ac:dyDescent="0.2">
      <c r="A41" s="460">
        <f>'CONSOLIDADO DE EGRESO 12'!A47</f>
        <v>54202</v>
      </c>
      <c r="B41" s="139" t="str">
        <f>'CONSOLIDADO DE EGRESO 12'!B47</f>
        <v>Servicios de Agua</v>
      </c>
      <c r="C41" s="102">
        <f>+'PROG-FAM'!C54</f>
        <v>0</v>
      </c>
      <c r="D41" s="412">
        <f>+'1.5% LIBRE DISPONIBILIDAD 2024'!H29</f>
        <v>7269.39</v>
      </c>
      <c r="E41" s="102">
        <v>0</v>
      </c>
      <c r="F41" s="1163">
        <f t="shared" si="1"/>
        <v>7269.39</v>
      </c>
    </row>
    <row r="42" spans="1:6" ht="34.5" customHeight="1" x14ac:dyDescent="0.2">
      <c r="A42" s="460">
        <f>'CONSOLIDADO DE EGRESO 12'!A48</f>
        <v>54203</v>
      </c>
      <c r="B42" s="139" t="str">
        <f>'CONSOLIDADO DE EGRESO 12'!B48</f>
        <v>Servicios de Telecomunicaciones</v>
      </c>
      <c r="C42" s="102">
        <v>0</v>
      </c>
      <c r="D42" s="412">
        <f>+'1.5% LIBRE DISPONIBILIDAD 2024'!H30</f>
        <v>75780</v>
      </c>
      <c r="E42" s="102">
        <f>+'0101 F.P DIRECCION Y ADM SUP'!H30</f>
        <v>6468.12</v>
      </c>
      <c r="F42" s="1163">
        <f t="shared" si="1"/>
        <v>82248.12</v>
      </c>
    </row>
    <row r="43" spans="1:6" ht="25.35" customHeight="1" x14ac:dyDescent="0.2">
      <c r="A43" s="460">
        <f>'CONSOLIDADO DE EGRESO 12'!A49</f>
        <v>54205</v>
      </c>
      <c r="B43" s="139" t="str">
        <f>'CONSOLIDADO DE EGRESO 12'!B49</f>
        <v>Alumbrado Publico</v>
      </c>
      <c r="C43" s="102">
        <f>+'PROG-FAM'!C55</f>
        <v>53480.38</v>
      </c>
      <c r="D43" s="412">
        <v>0</v>
      </c>
      <c r="E43" s="102">
        <f>+'0101 F.P DIRECCION Y ADM SUP'!H31</f>
        <v>84000</v>
      </c>
      <c r="F43" s="1163">
        <f t="shared" si="1"/>
        <v>137480.38</v>
      </c>
    </row>
    <row r="44" spans="1:6" ht="28.5" customHeight="1" x14ac:dyDescent="0.2">
      <c r="A44" s="460">
        <f>'CONSOLIDADO DE EGRESO 12'!A50</f>
        <v>54301</v>
      </c>
      <c r="B44" s="139" t="str">
        <f>'CONSOLIDADO DE EGRESO 12'!B50</f>
        <v>Mantenimiento y Reparaciones de bienes muebles</v>
      </c>
      <c r="C44" s="102">
        <v>0</v>
      </c>
      <c r="D44" s="412">
        <v>0</v>
      </c>
      <c r="E44" s="102">
        <f>+'0101 F.P DIRECCION Y ADM SUP'!H32</f>
        <v>10500</v>
      </c>
      <c r="F44" s="1163">
        <f t="shared" si="1"/>
        <v>10500</v>
      </c>
    </row>
    <row r="45" spans="1:6" ht="30.75" customHeight="1" x14ac:dyDescent="0.2">
      <c r="A45" s="460" t="str">
        <f>'CONSOLIDADO DE EGRESO 12'!A51</f>
        <v>54302</v>
      </c>
      <c r="B45" s="139" t="str">
        <f>'CONSOLIDADO DE EGRESO 12'!B51</f>
        <v>Mantenimiento y Rep.de Vehiculos</v>
      </c>
      <c r="C45" s="102">
        <f>+'PROG-FAM'!C56</f>
        <v>30000</v>
      </c>
      <c r="D45" s="412">
        <v>0</v>
      </c>
      <c r="E45" s="102">
        <f>+'0203 SERV. EXTERNOS'!H20</f>
        <v>30000</v>
      </c>
      <c r="F45" s="1163">
        <f t="shared" si="1"/>
        <v>60000</v>
      </c>
    </row>
    <row r="46" spans="1:6" ht="30.75" customHeight="1" x14ac:dyDescent="0.2">
      <c r="A46" s="460">
        <f>'CONSOLIDADO DE EGRESO 12'!A52</f>
        <v>54304</v>
      </c>
      <c r="B46" s="139" t="str">
        <f>'CONSOLIDADO DE EGRESO 12'!B52</f>
        <v>Transportes, Fletes y Almacenamientos</v>
      </c>
      <c r="C46" s="102">
        <f>+'PROG-FAM'!C58</f>
        <v>5000</v>
      </c>
      <c r="D46" s="412">
        <v>0</v>
      </c>
      <c r="E46" s="102">
        <f>+'0101 F.P DIRECCION Y ADM SUP'!H33</f>
        <v>1190</v>
      </c>
      <c r="F46" s="1163">
        <f>SUM(C46:E46)</f>
        <v>6190</v>
      </c>
    </row>
    <row r="47" spans="1:6" ht="30.75" customHeight="1" x14ac:dyDescent="0.2">
      <c r="A47" s="460" t="s">
        <v>1017</v>
      </c>
      <c r="B47" s="139" t="s">
        <v>1165</v>
      </c>
      <c r="C47" s="102"/>
      <c r="D47" s="412"/>
      <c r="E47" s="102">
        <f>+'0201 F.P. BINESTAR SOCIAL'!H22</f>
        <v>2000</v>
      </c>
      <c r="F47" s="1163"/>
    </row>
    <row r="48" spans="1:6" ht="30.75" customHeight="1" x14ac:dyDescent="0.2">
      <c r="A48" s="460" t="s">
        <v>977</v>
      </c>
      <c r="B48" s="139" t="s">
        <v>978</v>
      </c>
      <c r="C48" s="102">
        <v>0</v>
      </c>
      <c r="D48" s="412">
        <v>0</v>
      </c>
      <c r="E48" s="102">
        <f>+'0203 SERV. EXTERNOS'!H21</f>
        <v>4000</v>
      </c>
      <c r="F48" s="1163">
        <f t="shared" si="1"/>
        <v>4000</v>
      </c>
    </row>
    <row r="49" spans="1:6" ht="33.75" customHeight="1" x14ac:dyDescent="0.2">
      <c r="A49" s="460">
        <f>'CONSOLIDADO DE EGRESO 12'!A55</f>
        <v>54313</v>
      </c>
      <c r="B49" s="139" t="str">
        <f>'CONSOLIDADO DE EGRESO 12'!B55</f>
        <v>Impresiones, Publicaciones y Reproducciones</v>
      </c>
      <c r="C49" s="102">
        <f>+'PROG-FAM'!C59</f>
        <v>300</v>
      </c>
      <c r="D49" s="412"/>
      <c r="E49" s="102">
        <f>+'0101 F.P DIRECCION Y ADM SUP'!H34+'0201 F.P. BINESTAR SOCIAL'!H23</f>
        <v>18015.84</v>
      </c>
      <c r="F49" s="1163">
        <f t="shared" si="1"/>
        <v>18315.84</v>
      </c>
    </row>
    <row r="50" spans="1:6" ht="28.5" customHeight="1" x14ac:dyDescent="0.2">
      <c r="A50" s="460">
        <f>'CONSOLIDADO DE EGRESO 12'!A57</f>
        <v>54316</v>
      </c>
      <c r="B50" s="139" t="str">
        <f>'CONSOLIDADO DE EGRESO 12'!B57</f>
        <v xml:space="preserve">Arrendamiento de bienes muebles </v>
      </c>
      <c r="C50" s="102">
        <v>0</v>
      </c>
      <c r="D50" s="412">
        <f>+'1.5% LIBRE DISPONIBILIDAD 2024'!H32</f>
        <v>8800</v>
      </c>
      <c r="E50" s="102">
        <v>0</v>
      </c>
      <c r="F50" s="1163">
        <f t="shared" si="1"/>
        <v>8800</v>
      </c>
    </row>
    <row r="51" spans="1:6" ht="28.5" customHeight="1" x14ac:dyDescent="0.2">
      <c r="A51" s="460" t="s">
        <v>872</v>
      </c>
      <c r="B51" s="139" t="s">
        <v>873</v>
      </c>
      <c r="C51" s="102"/>
      <c r="D51" s="412">
        <f>+'1.5% LIBRE DISPONIBILIDAD 2024'!H33+'1.5% LIBRE DISPONIBILIDAD 2024'!H41</f>
        <v>5413.72</v>
      </c>
      <c r="E51" s="102">
        <v>0</v>
      </c>
      <c r="F51" s="1163">
        <f t="shared" si="1"/>
        <v>5413.72</v>
      </c>
    </row>
    <row r="52" spans="1:6" ht="29.25" customHeight="1" x14ac:dyDescent="0.2">
      <c r="A52" s="460">
        <f>'CONSOLIDADO DE EGRESO 12'!A59</f>
        <v>54399</v>
      </c>
      <c r="B52" s="139" t="str">
        <f>'CONSOLIDADO DE EGRESO 12'!B59</f>
        <v>Servicios Generales y arrendamientos diversos</v>
      </c>
      <c r="C52" s="102">
        <f>+'PROG-FAM'!C60</f>
        <v>18708.54</v>
      </c>
      <c r="D52" s="412"/>
      <c r="E52" s="102">
        <f>+'0101 F.P DIRECCION Y ADM SUP'!H35+'0201 F.P. BINESTAR SOCIAL'!H24</f>
        <v>88009.47</v>
      </c>
      <c r="F52" s="1163">
        <f t="shared" si="1"/>
        <v>106718.01000000001</v>
      </c>
    </row>
    <row r="53" spans="1:6" ht="25.35" customHeight="1" x14ac:dyDescent="0.2">
      <c r="A53" s="460">
        <f>'CONSOLIDADO DE EGRESO 12'!A62</f>
        <v>54503</v>
      </c>
      <c r="B53" s="139" t="str">
        <f>'CONSOLIDADO DE EGRESO 12'!B62</f>
        <v>Servicios Juridicos</v>
      </c>
      <c r="C53" s="102">
        <v>0</v>
      </c>
      <c r="D53" s="412">
        <v>0</v>
      </c>
      <c r="E53" s="102">
        <f>+'0102 F.P.AD.FINANC Y TRIBUTARIA'!H20</f>
        <v>0</v>
      </c>
      <c r="F53" s="1163">
        <f t="shared" si="1"/>
        <v>0</v>
      </c>
    </row>
    <row r="54" spans="1:6" ht="36" customHeight="1" x14ac:dyDescent="0.2">
      <c r="A54" s="460" t="str">
        <f>'CONSOLIDADO DE EGRESO 12'!A63</f>
        <v>54504</v>
      </c>
      <c r="B54" s="139" t="str">
        <f>'CONSOLIDADO DE EGRESO 12'!B63</f>
        <v>Servicios de Contabilidad y Auditoría (Externa)</v>
      </c>
      <c r="C54" s="102">
        <v>0</v>
      </c>
      <c r="D54" s="412"/>
      <c r="E54" s="102">
        <f>+'0102 F.P.AD.FINANC Y TRIBUTARIA'!H21</f>
        <v>0</v>
      </c>
      <c r="F54" s="1163">
        <f t="shared" si="1"/>
        <v>0</v>
      </c>
    </row>
    <row r="55" spans="1:6" ht="36" customHeight="1" x14ac:dyDescent="0.2">
      <c r="A55" s="460" t="s">
        <v>896</v>
      </c>
      <c r="B55" s="136" t="s">
        <v>897</v>
      </c>
      <c r="C55" s="102"/>
      <c r="D55" s="412">
        <f>+'1.5% LIBRE DISPONIBILIDAD 2024'!H46</f>
        <v>3465</v>
      </c>
      <c r="E55" s="102">
        <v>0</v>
      </c>
      <c r="F55" s="1163">
        <f t="shared" si="1"/>
        <v>3465</v>
      </c>
    </row>
    <row r="56" spans="1:6" ht="25.35" customHeight="1" x14ac:dyDescent="0.2">
      <c r="A56" s="460" t="s">
        <v>345</v>
      </c>
      <c r="B56" s="139" t="s">
        <v>346</v>
      </c>
      <c r="C56" s="102"/>
      <c r="D56" s="412">
        <f>+'1.5% LIBRE DISPONIBILIDAD 2024'!H49</f>
        <v>156276.70000000001</v>
      </c>
      <c r="E56" s="102">
        <v>0</v>
      </c>
      <c r="F56" s="1163">
        <f t="shared" si="1"/>
        <v>156276.70000000001</v>
      </c>
    </row>
    <row r="57" spans="1:6" ht="25.35" customHeight="1" x14ac:dyDescent="0.25">
      <c r="A57" s="463"/>
      <c r="B57" s="203" t="s">
        <v>152</v>
      </c>
      <c r="C57" s="209">
        <f>SUM(C22:C56)</f>
        <v>369730.37999999995</v>
      </c>
      <c r="D57" s="209">
        <f>SUM(D22:D56)</f>
        <v>383684.71</v>
      </c>
      <c r="E57" s="209">
        <f>SUM(E22:E56)</f>
        <v>391575.65</v>
      </c>
      <c r="F57" s="1165">
        <f>SUM(F22:F56)</f>
        <v>1136541.1199999999</v>
      </c>
    </row>
    <row r="58" spans="1:6" ht="36.75" customHeight="1" x14ac:dyDescent="0.2">
      <c r="A58" s="459">
        <f>'CONSOLIDADO DE EGRESO 12'!A68</f>
        <v>55601</v>
      </c>
      <c r="B58" s="140" t="str">
        <f>'CONSOLIDADO DE EGRESO 12'!B68</f>
        <v xml:space="preserve">Primas y Gastos de Seguros de Personas </v>
      </c>
      <c r="C58" s="104">
        <v>0</v>
      </c>
      <c r="D58" s="358">
        <v>0</v>
      </c>
      <c r="E58" s="102">
        <f>+'0101 F.P DIRECCION Y ADM SUP'!H37</f>
        <v>36000</v>
      </c>
      <c r="F58" s="1163">
        <f t="shared" ref="F58:F80" si="2">SUM(C58:E58)</f>
        <v>36000</v>
      </c>
    </row>
    <row r="59" spans="1:6" ht="30.75" customHeight="1" x14ac:dyDescent="0.2">
      <c r="A59" s="459">
        <f>'CONSOLIDADO DE EGRESO 12'!A69</f>
        <v>55602</v>
      </c>
      <c r="B59" s="140" t="str">
        <f>'CONSOLIDADO DE EGRESO 12'!B69</f>
        <v>Primas y Gastos de Seguros de Bienes</v>
      </c>
      <c r="C59" s="104">
        <v>0</v>
      </c>
      <c r="D59" s="358">
        <v>0</v>
      </c>
      <c r="E59" s="102">
        <f>+'0101 F.P DIRECCION Y ADM SUP'!H38</f>
        <v>15890.88</v>
      </c>
      <c r="F59" s="1163">
        <f t="shared" si="2"/>
        <v>15890.88</v>
      </c>
    </row>
    <row r="60" spans="1:6" ht="30.75" customHeight="1" x14ac:dyDescent="0.2">
      <c r="A60" s="459">
        <v>55603</v>
      </c>
      <c r="B60" s="140" t="s">
        <v>1163</v>
      </c>
      <c r="C60" s="104"/>
      <c r="D60" s="358">
        <f>+'1.5% LIBRE DISPONIBILIDAD 2024'!H42</f>
        <v>500</v>
      </c>
      <c r="E60" s="102">
        <f>+'0102 F.P.AD.FINANC Y TRIBUTARIA'!H22</f>
        <v>500</v>
      </c>
      <c r="F60" s="1163"/>
    </row>
    <row r="61" spans="1:6" ht="30.75" customHeight="1" x14ac:dyDescent="0.2">
      <c r="A61" s="459">
        <v>55703</v>
      </c>
      <c r="B61" s="140" t="s">
        <v>1138</v>
      </c>
      <c r="C61" s="104"/>
      <c r="D61" s="358"/>
      <c r="E61" s="102">
        <f>+'0101 F.P DIRECCION Y ADM SUP'!H39</f>
        <v>500</v>
      </c>
      <c r="F61" s="1163"/>
    </row>
    <row r="62" spans="1:6" ht="30.75" customHeight="1" x14ac:dyDescent="0.2">
      <c r="A62" s="459">
        <v>55799</v>
      </c>
      <c r="B62" s="140" t="s">
        <v>1166</v>
      </c>
      <c r="C62" s="104"/>
      <c r="D62" s="358"/>
      <c r="E62" s="102">
        <f>+'0101 F.P DIRECCION Y ADM SUP'!H40</f>
        <v>1000</v>
      </c>
      <c r="F62" s="1163"/>
    </row>
    <row r="63" spans="1:6" ht="25.35" customHeight="1" x14ac:dyDescent="0.25">
      <c r="A63" s="463"/>
      <c r="B63" s="203" t="s">
        <v>156</v>
      </c>
      <c r="C63" s="209">
        <f>SUM(C58:C59)</f>
        <v>0</v>
      </c>
      <c r="D63" s="209">
        <f>SUM(D58:D60)</f>
        <v>500</v>
      </c>
      <c r="E63" s="209">
        <f>SUM(E58:E62)</f>
        <v>53890.879999999997</v>
      </c>
      <c r="F63" s="1164">
        <f t="shared" si="2"/>
        <v>54390.879999999997</v>
      </c>
    </row>
    <row r="64" spans="1:6" ht="31.5" customHeight="1" x14ac:dyDescent="0.2">
      <c r="A64" s="459" t="str">
        <f>+'CONSOLIDADO DE EGRESO 12'!A75</f>
        <v>56303</v>
      </c>
      <c r="B64" s="140" t="str">
        <f>+'CONSOLIDADO DE EGRESO 12'!B75</f>
        <v>A Organismos sin Fines de Lucro</v>
      </c>
      <c r="C64" s="104">
        <f>+'PROG-FAM'!C63</f>
        <v>12750</v>
      </c>
      <c r="D64" s="358"/>
      <c r="E64" s="104">
        <f>+'0201 F.P. BINESTAR SOCIAL'!H25</f>
        <v>10950</v>
      </c>
      <c r="F64" s="1163"/>
    </row>
    <row r="65" spans="1:6" ht="31.5" customHeight="1" x14ac:dyDescent="0.2">
      <c r="A65" s="459">
        <v>54304</v>
      </c>
      <c r="B65" s="140" t="s">
        <v>1167</v>
      </c>
      <c r="C65" s="104"/>
      <c r="D65" s="358"/>
      <c r="E65" s="104">
        <f>+'0201 F.P. BINESTAR SOCIAL'!H26</f>
        <v>500</v>
      </c>
      <c r="F65" s="1163"/>
    </row>
    <row r="66" spans="1:6" ht="25.35" customHeight="1" x14ac:dyDescent="0.2">
      <c r="A66" s="459">
        <v>56305</v>
      </c>
      <c r="B66" s="140" t="s">
        <v>246</v>
      </c>
      <c r="C66" s="104">
        <f>+'PROG-FAM'!C57</f>
        <v>32400</v>
      </c>
      <c r="D66" s="358"/>
      <c r="E66" s="104"/>
      <c r="F66" s="1163">
        <f>+C66+D66+E66</f>
        <v>32400</v>
      </c>
    </row>
    <row r="67" spans="1:6" ht="25.35" customHeight="1" x14ac:dyDescent="0.25">
      <c r="A67" s="463"/>
      <c r="B67" s="203" t="s">
        <v>157</v>
      </c>
      <c r="C67" s="209">
        <f>SUM(C64:C66)</f>
        <v>45150</v>
      </c>
      <c r="D67" s="209">
        <f>SUM(D66:D66)</f>
        <v>0</v>
      </c>
      <c r="E67" s="209">
        <f>SUM(E64:E66)</f>
        <v>11450</v>
      </c>
      <c r="F67" s="1164">
        <f t="shared" si="2"/>
        <v>56600</v>
      </c>
    </row>
    <row r="68" spans="1:6" ht="25.35" customHeight="1" thickBot="1" x14ac:dyDescent="0.25">
      <c r="A68" s="1126" t="s">
        <v>255</v>
      </c>
      <c r="B68" s="1102" t="s">
        <v>998</v>
      </c>
      <c r="C68" s="104"/>
      <c r="D68" s="104">
        <f>+'1.5% LIBRE DISPONIBILIDAD 2024'!H34+'1.5% LIBRE DISPONIBILIDAD 2024'!H43</f>
        <v>10000</v>
      </c>
      <c r="E68" s="104"/>
      <c r="F68" s="1166"/>
    </row>
    <row r="69" spans="1:6" ht="25.35" customHeight="1" x14ac:dyDescent="0.2">
      <c r="A69" s="460">
        <v>61103</v>
      </c>
      <c r="B69" s="139" t="s">
        <v>1142</v>
      </c>
      <c r="C69" s="104"/>
      <c r="D69" s="104"/>
      <c r="E69" s="104">
        <f>+'0201 F.P. BINESTAR SOCIAL'!H27</f>
        <v>895</v>
      </c>
      <c r="F69" s="1166"/>
    </row>
    <row r="70" spans="1:6" ht="25.35" customHeight="1" x14ac:dyDescent="0.2">
      <c r="A70" s="460">
        <v>61104</v>
      </c>
      <c r="B70" s="139" t="s">
        <v>1164</v>
      </c>
      <c r="C70" s="104"/>
      <c r="D70" s="104">
        <f>+'1.5% LIBRE DISPONIBILIDAD 2024'!H35</f>
        <v>15000</v>
      </c>
      <c r="E70" s="104" t="s">
        <v>1168</v>
      </c>
      <c r="F70" s="1166"/>
    </row>
    <row r="71" spans="1:6" ht="25.35" customHeight="1" x14ac:dyDescent="0.2">
      <c r="A71" s="460" t="s">
        <v>296</v>
      </c>
      <c r="B71" s="139" t="s">
        <v>297</v>
      </c>
      <c r="C71" s="104"/>
      <c r="D71" s="104"/>
      <c r="E71" s="104"/>
      <c r="F71" s="1166"/>
    </row>
    <row r="72" spans="1:6" ht="30.75" customHeight="1" x14ac:dyDescent="0.2">
      <c r="A72" s="460" t="s">
        <v>1052</v>
      </c>
      <c r="B72" s="139" t="s">
        <v>1053</v>
      </c>
      <c r="C72" s="104">
        <f>+'PROG-FAM'!C62</f>
        <v>10000</v>
      </c>
      <c r="D72" s="358"/>
      <c r="E72" s="104"/>
      <c r="F72" s="1163"/>
    </row>
    <row r="73" spans="1:6" ht="25.35" customHeight="1" x14ac:dyDescent="0.2">
      <c r="A73" s="460" t="str">
        <f>'CONSOLIDADO DE EGRESO 12'!A86</f>
        <v>61199</v>
      </c>
      <c r="B73" s="139" t="str">
        <f>'CONSOLIDADO DE EGRESO 12'!B86</f>
        <v>Bienes Muebles Diversos</v>
      </c>
      <c r="C73" s="104"/>
      <c r="D73" s="358">
        <f>+'1.5% LIBRE DISPONIBILIDAD 2024'!H36+'1.5% LIBRE DISPONIBILIDAD 2024'!H50</f>
        <v>2307</v>
      </c>
      <c r="E73" s="104">
        <f>+'0101 F.P DIRECCION Y ADM SUP'!H42</f>
        <v>12700</v>
      </c>
      <c r="F73" s="1163">
        <f t="shared" si="2"/>
        <v>15007</v>
      </c>
    </row>
    <row r="74" spans="1:6" ht="25.35" customHeight="1" x14ac:dyDescent="0.2">
      <c r="A74" s="460" t="s">
        <v>893</v>
      </c>
      <c r="B74" s="139" t="s">
        <v>406</v>
      </c>
      <c r="C74" s="104"/>
      <c r="D74" s="358"/>
      <c r="E74" s="104">
        <f>+'0101 F.P DIRECCION Y ADM SUP'!H43</f>
        <v>5426.4</v>
      </c>
      <c r="F74" s="1163">
        <f t="shared" si="2"/>
        <v>5426.4</v>
      </c>
    </row>
    <row r="75" spans="1:6" ht="30.75" customHeight="1" x14ac:dyDescent="0.2">
      <c r="A75" s="460" t="s">
        <v>279</v>
      </c>
      <c r="B75" s="139" t="s">
        <v>868</v>
      </c>
      <c r="C75" s="104">
        <f>+'PROG-FAM'!C61</f>
        <v>0</v>
      </c>
      <c r="D75" s="358"/>
      <c r="E75" s="104"/>
      <c r="F75" s="1163">
        <f t="shared" si="2"/>
        <v>0</v>
      </c>
    </row>
    <row r="76" spans="1:6" ht="25.35" customHeight="1" x14ac:dyDescent="0.2">
      <c r="A76" s="453">
        <v>61699</v>
      </c>
      <c r="B76" s="410" t="s">
        <v>251</v>
      </c>
      <c r="C76" s="104">
        <v>0</v>
      </c>
      <c r="D76" s="358"/>
      <c r="E76" s="104"/>
      <c r="F76" s="1163">
        <f t="shared" si="2"/>
        <v>0</v>
      </c>
    </row>
    <row r="77" spans="1:6" ht="25.35" customHeight="1" x14ac:dyDescent="0.25">
      <c r="A77" s="463"/>
      <c r="B77" s="201" t="s">
        <v>324</v>
      </c>
      <c r="C77" s="202">
        <f>+C72+C73+C74+C75+C76</f>
        <v>10000</v>
      </c>
      <c r="D77" s="202">
        <f>SUM(D68:D76)</f>
        <v>27307</v>
      </c>
      <c r="E77" s="202">
        <f>+E74+E73+E69</f>
        <v>19021.400000000001</v>
      </c>
      <c r="F77" s="1164">
        <f t="shared" si="2"/>
        <v>56328.4</v>
      </c>
    </row>
    <row r="78" spans="1:6" ht="31.5" customHeight="1" x14ac:dyDescent="0.2">
      <c r="A78" s="465" t="s">
        <v>167</v>
      </c>
      <c r="B78" s="103" t="s">
        <v>288</v>
      </c>
      <c r="C78" s="101">
        <f>+'PROG-FAM'!C64</f>
        <v>29811.15</v>
      </c>
      <c r="D78" s="200">
        <f>+'1.5% LIBRE DISPONIBILIDAD 2024'!H38</f>
        <v>76730.03</v>
      </c>
      <c r="E78" s="102">
        <f>+'0101 F.P DIRECCION Y ADM SUP'!H45</f>
        <v>232317.26</v>
      </c>
      <c r="F78" s="1163">
        <f t="shared" si="2"/>
        <v>338858.44</v>
      </c>
    </row>
    <row r="79" spans="1:6" ht="24.75" customHeight="1" x14ac:dyDescent="0.25">
      <c r="A79" s="1167"/>
      <c r="B79" s="201" t="s">
        <v>168</v>
      </c>
      <c r="C79" s="202">
        <f>SUM(C78:C78)</f>
        <v>29811.15</v>
      </c>
      <c r="D79" s="202">
        <f>SUM(D78:D78)</f>
        <v>76730.03</v>
      </c>
      <c r="E79" s="202">
        <f>+E78</f>
        <v>232317.26</v>
      </c>
      <c r="F79" s="1164">
        <f t="shared" si="2"/>
        <v>338858.44</v>
      </c>
    </row>
    <row r="80" spans="1:6" ht="33" customHeight="1" x14ac:dyDescent="0.2">
      <c r="A80" s="1168"/>
      <c r="B80" s="206" t="s">
        <v>169</v>
      </c>
      <c r="C80" s="207">
        <f>SUM(C21+C57+C63+C67+C77+C79)</f>
        <v>454691.52999999997</v>
      </c>
      <c r="D80" s="207">
        <f>+D21+D57+D63+D77+D79</f>
        <v>822991.74</v>
      </c>
      <c r="E80" s="207">
        <f>+E21+E57+E63+E67+E77+E79</f>
        <v>3341318.8103270829</v>
      </c>
      <c r="F80" s="1169">
        <f t="shared" si="2"/>
        <v>4619002.0803270824</v>
      </c>
    </row>
    <row r="81" spans="1:6" ht="57" customHeight="1" thickBot="1" x14ac:dyDescent="0.35">
      <c r="A81" s="1131"/>
      <c r="B81" s="1132"/>
      <c r="C81" s="1170" t="s">
        <v>378</v>
      </c>
      <c r="D81" s="1171" t="s">
        <v>401</v>
      </c>
      <c r="E81" s="1172" t="s">
        <v>237</v>
      </c>
      <c r="F81" s="1173" t="s">
        <v>238</v>
      </c>
    </row>
    <row r="82" spans="1:6" x14ac:dyDescent="0.2">
      <c r="E82" s="107"/>
    </row>
    <row r="83" spans="1:6" x14ac:dyDescent="0.2">
      <c r="E83" s="108"/>
    </row>
    <row r="84" spans="1:6" x14ac:dyDescent="0.2">
      <c r="C84" s="108"/>
      <c r="D84" s="413"/>
      <c r="E84" s="108"/>
      <c r="F84" s="108"/>
    </row>
  </sheetData>
  <mergeCells count="5">
    <mergeCell ref="A6:F6"/>
    <mergeCell ref="A1:F1"/>
    <mergeCell ref="A2:F2"/>
    <mergeCell ref="A3:F3"/>
    <mergeCell ref="A4:F4"/>
  </mergeCells>
  <phoneticPr fontId="35" type="noConversion"/>
  <printOptions horizontalCentered="1" verticalCentered="1"/>
  <pageMargins left="0.74803149606299213" right="0.62992125984251968" top="0.74803149606299213" bottom="0.31496062992125984" header="0" footer="0"/>
  <pageSetup scale="95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411"/>
  <sheetViews>
    <sheetView view="pageBreakPreview" topLeftCell="A67" zoomScale="148" zoomScaleNormal="85" zoomScaleSheetLayoutView="148" workbookViewId="0">
      <selection activeCell="G29" sqref="G29"/>
    </sheetView>
  </sheetViews>
  <sheetFormatPr baseColWidth="10" defaultRowHeight="12.75" x14ac:dyDescent="0.2"/>
  <cols>
    <col min="1" max="1" width="6.28515625" style="94" bestFit="1" customWidth="1"/>
    <col min="2" max="2" width="9.28515625" style="94" customWidth="1"/>
    <col min="3" max="3" width="30.28515625" style="94" customWidth="1"/>
    <col min="4" max="4" width="10.5703125" style="94" customWidth="1"/>
    <col min="5" max="5" width="20.7109375" style="94" bestFit="1" customWidth="1"/>
    <col min="6" max="6" width="13.7109375" style="94" customWidth="1"/>
    <col min="7" max="7" width="15.85546875" style="94" customWidth="1"/>
    <col min="8" max="16384" width="11.42578125" style="94"/>
  </cols>
  <sheetData>
    <row r="1" spans="1:7" ht="35.1" customHeight="1" x14ac:dyDescent="0.2">
      <c r="A1" s="1202" t="s">
        <v>926</v>
      </c>
      <c r="B1" s="1203"/>
      <c r="C1" s="1203"/>
      <c r="D1" s="1203"/>
      <c r="E1" s="1203"/>
      <c r="F1" s="1203"/>
      <c r="G1" s="1204"/>
    </row>
    <row r="2" spans="1:7" ht="35.1" customHeight="1" x14ac:dyDescent="0.2">
      <c r="A2" s="1193" t="s">
        <v>1144</v>
      </c>
      <c r="B2" s="1194"/>
      <c r="C2" s="1194"/>
      <c r="D2" s="1194"/>
      <c r="E2" s="1194"/>
      <c r="F2" s="1194"/>
      <c r="G2" s="1195"/>
    </row>
    <row r="3" spans="1:7" x14ac:dyDescent="0.2">
      <c r="A3" s="1205" t="s">
        <v>337</v>
      </c>
      <c r="B3" s="1206" t="s">
        <v>204</v>
      </c>
      <c r="C3" s="1207"/>
      <c r="D3" s="1208" t="s">
        <v>215</v>
      </c>
      <c r="E3" s="228" t="s">
        <v>216</v>
      </c>
      <c r="F3" s="229" t="s">
        <v>217</v>
      </c>
      <c r="G3" s="251" t="s">
        <v>218</v>
      </c>
    </row>
    <row r="4" spans="1:7" ht="33.75" x14ac:dyDescent="0.2">
      <c r="A4" s="1205"/>
      <c r="B4" s="345" t="s">
        <v>205</v>
      </c>
      <c r="C4" s="407" t="s">
        <v>219</v>
      </c>
      <c r="D4" s="1208"/>
      <c r="E4" s="1208" t="s">
        <v>508</v>
      </c>
      <c r="F4" s="229" t="s">
        <v>220</v>
      </c>
      <c r="G4" s="251" t="s">
        <v>221</v>
      </c>
    </row>
    <row r="5" spans="1:7" x14ac:dyDescent="0.2">
      <c r="A5" s="1205"/>
      <c r="B5" s="1209" t="s">
        <v>206</v>
      </c>
      <c r="C5" s="1210"/>
      <c r="D5" s="1208"/>
      <c r="E5" s="1208"/>
      <c r="F5" s="227" t="s">
        <v>509</v>
      </c>
      <c r="G5" s="252" t="s">
        <v>509</v>
      </c>
    </row>
    <row r="6" spans="1:7" ht="35.1" customHeight="1" x14ac:dyDescent="0.2">
      <c r="A6" s="347" t="s">
        <v>180</v>
      </c>
      <c r="B6" s="1216" t="s">
        <v>222</v>
      </c>
      <c r="C6" s="1216"/>
      <c r="D6" s="1216"/>
      <c r="E6" s="1216"/>
      <c r="F6" s="1216"/>
      <c r="G6" s="1217"/>
    </row>
    <row r="7" spans="1:7" ht="57" customHeight="1" x14ac:dyDescent="0.2">
      <c r="A7" s="1213"/>
      <c r="B7" s="1226" t="s">
        <v>241</v>
      </c>
      <c r="C7" s="1227"/>
      <c r="D7" s="230"/>
      <c r="E7" s="230"/>
      <c r="F7" s="230"/>
      <c r="G7" s="253"/>
    </row>
    <row r="8" spans="1:7" ht="57" customHeight="1" x14ac:dyDescent="0.2">
      <c r="A8" s="1213"/>
      <c r="B8" s="499"/>
      <c r="C8" s="344" t="s">
        <v>733</v>
      </c>
      <c r="D8" s="231">
        <v>1</v>
      </c>
      <c r="E8" s="232">
        <v>2200</v>
      </c>
      <c r="F8" s="233">
        <f>D8*E8</f>
        <v>2200</v>
      </c>
      <c r="G8" s="255">
        <f>F8*9</f>
        <v>19800</v>
      </c>
    </row>
    <row r="9" spans="1:7" ht="57" customHeight="1" x14ac:dyDescent="0.2">
      <c r="A9" s="1213"/>
      <c r="B9" s="499"/>
      <c r="C9" s="344" t="s">
        <v>733</v>
      </c>
      <c r="D9" s="231">
        <v>1</v>
      </c>
      <c r="E9" s="232">
        <v>2200</v>
      </c>
      <c r="F9" s="233">
        <f t="shared" ref="F9:F15" si="0">D9*E9</f>
        <v>2200</v>
      </c>
      <c r="G9" s="255">
        <f t="shared" ref="G9:G15" si="1">F9*9</f>
        <v>19800</v>
      </c>
    </row>
    <row r="10" spans="1:7" ht="57" customHeight="1" x14ac:dyDescent="0.2">
      <c r="A10" s="1213"/>
      <c r="B10" s="499"/>
      <c r="C10" s="344" t="s">
        <v>733</v>
      </c>
      <c r="D10" s="231">
        <v>1</v>
      </c>
      <c r="E10" s="232">
        <v>2200</v>
      </c>
      <c r="F10" s="233">
        <f t="shared" si="0"/>
        <v>2200</v>
      </c>
      <c r="G10" s="255">
        <f t="shared" si="1"/>
        <v>19800</v>
      </c>
    </row>
    <row r="11" spans="1:7" ht="57" customHeight="1" x14ac:dyDescent="0.2">
      <c r="A11" s="1213"/>
      <c r="B11" s="499"/>
      <c r="C11" s="344" t="s">
        <v>733</v>
      </c>
      <c r="D11" s="231">
        <v>1</v>
      </c>
      <c r="E11" s="232">
        <v>2200</v>
      </c>
      <c r="F11" s="233">
        <f t="shared" si="0"/>
        <v>2200</v>
      </c>
      <c r="G11" s="255">
        <f t="shared" si="1"/>
        <v>19800</v>
      </c>
    </row>
    <row r="12" spans="1:7" ht="57" customHeight="1" x14ac:dyDescent="0.2">
      <c r="A12" s="1213"/>
      <c r="B12" s="499"/>
      <c r="C12" s="344" t="s">
        <v>993</v>
      </c>
      <c r="D12" s="231">
        <v>1</v>
      </c>
      <c r="E12" s="232">
        <v>2200</v>
      </c>
      <c r="F12" s="233">
        <f t="shared" si="0"/>
        <v>2200</v>
      </c>
      <c r="G12" s="255">
        <f t="shared" si="1"/>
        <v>19800</v>
      </c>
    </row>
    <row r="13" spans="1:7" ht="57" customHeight="1" x14ac:dyDescent="0.2">
      <c r="A13" s="1213"/>
      <c r="B13" s="499"/>
      <c r="C13" s="344" t="s">
        <v>993</v>
      </c>
      <c r="D13" s="231">
        <v>1</v>
      </c>
      <c r="E13" s="232">
        <v>2200</v>
      </c>
      <c r="F13" s="233">
        <f t="shared" si="0"/>
        <v>2200</v>
      </c>
      <c r="G13" s="255">
        <f t="shared" si="1"/>
        <v>19800</v>
      </c>
    </row>
    <row r="14" spans="1:7" ht="57" customHeight="1" x14ac:dyDescent="0.2">
      <c r="A14" s="1213"/>
      <c r="B14" s="499"/>
      <c r="C14" s="344" t="s">
        <v>993</v>
      </c>
      <c r="D14" s="231">
        <v>1</v>
      </c>
      <c r="E14" s="232">
        <v>2200</v>
      </c>
      <c r="F14" s="233">
        <f t="shared" si="0"/>
        <v>2200</v>
      </c>
      <c r="G14" s="255">
        <f t="shared" si="1"/>
        <v>19800</v>
      </c>
    </row>
    <row r="15" spans="1:7" ht="57" customHeight="1" x14ac:dyDescent="0.2">
      <c r="A15" s="1213"/>
      <c r="B15" s="499"/>
      <c r="C15" s="344" t="s">
        <v>993</v>
      </c>
      <c r="D15" s="231">
        <v>1</v>
      </c>
      <c r="E15" s="232">
        <v>2200</v>
      </c>
      <c r="F15" s="233">
        <f t="shared" si="0"/>
        <v>2200</v>
      </c>
      <c r="G15" s="255">
        <f t="shared" si="1"/>
        <v>19800</v>
      </c>
    </row>
    <row r="16" spans="1:7" ht="57" customHeight="1" x14ac:dyDescent="0.2">
      <c r="A16" s="1213"/>
      <c r="B16" s="499"/>
      <c r="C16" s="592" t="s">
        <v>739</v>
      </c>
      <c r="D16" s="590">
        <f>+D8+D9+D10+D12+D11+D13+D14+D15</f>
        <v>8</v>
      </c>
      <c r="E16" s="591">
        <f>+E8+E9+E10+E11+E12+E13+E14+E15</f>
        <v>17600</v>
      </c>
      <c r="F16" s="591">
        <f>+F8+F9+F10+F11+F12+F13+F14+F15</f>
        <v>17600</v>
      </c>
      <c r="G16" s="836">
        <f>+G8+G9+G10+G11+G12+G13+G14+G15</f>
        <v>158400</v>
      </c>
    </row>
    <row r="17" spans="1:8" ht="57" customHeight="1" x14ac:dyDescent="0.2">
      <c r="A17" s="1213"/>
      <c r="B17" s="346"/>
      <c r="C17" s="344" t="s">
        <v>223</v>
      </c>
      <c r="D17" s="231">
        <v>1</v>
      </c>
      <c r="E17" s="232">
        <v>3500</v>
      </c>
      <c r="F17" s="233">
        <v>3500</v>
      </c>
      <c r="G17" s="255">
        <f>F17*8</f>
        <v>28000</v>
      </c>
    </row>
    <row r="18" spans="1:8" ht="40.35" customHeight="1" x14ac:dyDescent="0.2">
      <c r="A18" s="1213"/>
      <c r="B18" s="300"/>
      <c r="C18" s="344" t="s">
        <v>561</v>
      </c>
      <c r="D18" s="231">
        <v>1</v>
      </c>
      <c r="E18" s="232">
        <v>500</v>
      </c>
      <c r="F18" s="233">
        <f>D18*E18</f>
        <v>500</v>
      </c>
      <c r="G18" s="255">
        <f>F18*6</f>
        <v>3000</v>
      </c>
      <c r="H18" s="94" t="s">
        <v>1063</v>
      </c>
    </row>
    <row r="19" spans="1:8" ht="40.35" customHeight="1" x14ac:dyDescent="0.2">
      <c r="A19" s="1213"/>
      <c r="B19" s="300"/>
      <c r="C19" s="592" t="s">
        <v>741</v>
      </c>
      <c r="D19" s="590">
        <f>+D17+D18</f>
        <v>2</v>
      </c>
      <c r="E19" s="591">
        <f>+E17+E18</f>
        <v>4000</v>
      </c>
      <c r="F19" s="591">
        <f>+F17+F18</f>
        <v>4000</v>
      </c>
      <c r="G19" s="836">
        <f>+G17+G18</f>
        <v>31000</v>
      </c>
    </row>
    <row r="20" spans="1:8" ht="40.35" customHeight="1" x14ac:dyDescent="0.2">
      <c r="A20" s="1213"/>
      <c r="B20" s="300"/>
      <c r="C20" s="344" t="s">
        <v>1033</v>
      </c>
      <c r="D20" s="231">
        <v>1</v>
      </c>
      <c r="E20" s="232">
        <v>1600</v>
      </c>
      <c r="F20" s="233">
        <f>D20*E20</f>
        <v>1600</v>
      </c>
      <c r="G20" s="255">
        <f>F20*8</f>
        <v>12800</v>
      </c>
    </row>
    <row r="21" spans="1:8" ht="40.35" customHeight="1" x14ac:dyDescent="0.2">
      <c r="A21" s="1213"/>
      <c r="B21" s="300"/>
      <c r="C21" s="344" t="s">
        <v>622</v>
      </c>
      <c r="D21" s="231">
        <v>1</v>
      </c>
      <c r="E21" s="232">
        <v>1250</v>
      </c>
      <c r="F21" s="233">
        <f>D21*E21</f>
        <v>1250</v>
      </c>
      <c r="G21" s="255">
        <f>F21*8</f>
        <v>10000</v>
      </c>
    </row>
    <row r="22" spans="1:8" ht="40.35" customHeight="1" x14ac:dyDescent="0.2">
      <c r="A22" s="1213"/>
      <c r="B22" s="300"/>
      <c r="C22" s="344" t="s">
        <v>1055</v>
      </c>
      <c r="D22" s="231">
        <v>1</v>
      </c>
      <c r="E22" s="232">
        <v>700</v>
      </c>
      <c r="F22" s="233">
        <f>D22*E22</f>
        <v>700</v>
      </c>
      <c r="G22" s="255">
        <f>F22*1</f>
        <v>700</v>
      </c>
      <c r="H22" s="94" t="s">
        <v>1056</v>
      </c>
    </row>
    <row r="23" spans="1:8" ht="40.35" customHeight="1" x14ac:dyDescent="0.2">
      <c r="A23" s="1213"/>
      <c r="B23" s="300"/>
      <c r="C23" s="344" t="s">
        <v>752</v>
      </c>
      <c r="D23" s="231">
        <v>1</v>
      </c>
      <c r="E23" s="232">
        <v>500</v>
      </c>
      <c r="F23" s="233">
        <f>D23*E23</f>
        <v>500</v>
      </c>
      <c r="G23" s="255">
        <f>F23*7</f>
        <v>3500</v>
      </c>
      <c r="H23" s="94" t="s">
        <v>1054</v>
      </c>
    </row>
    <row r="24" spans="1:8" ht="40.35" customHeight="1" x14ac:dyDescent="0.2">
      <c r="A24" s="1213"/>
      <c r="B24" s="300"/>
      <c r="C24" s="592" t="s">
        <v>740</v>
      </c>
      <c r="D24" s="590">
        <f>+D20+D21+D22+D23</f>
        <v>4</v>
      </c>
      <c r="E24" s="591">
        <f>+E20+E21+E22+E23</f>
        <v>4050</v>
      </c>
      <c r="F24" s="591">
        <f>+F20+F21+F22+F23</f>
        <v>4050</v>
      </c>
      <c r="G24" s="836">
        <f>+G20+G21+G22+G23</f>
        <v>27000</v>
      </c>
    </row>
    <row r="25" spans="1:8" ht="40.35" customHeight="1" x14ac:dyDescent="0.2">
      <c r="A25" s="1213"/>
      <c r="B25" s="300"/>
      <c r="C25" s="344" t="s">
        <v>292</v>
      </c>
      <c r="D25" s="231">
        <v>1</v>
      </c>
      <c r="E25" s="232">
        <v>1100</v>
      </c>
      <c r="F25" s="232">
        <f>D25*E25</f>
        <v>1100</v>
      </c>
      <c r="G25" s="255">
        <f>F25*8</f>
        <v>8800</v>
      </c>
    </row>
    <row r="26" spans="1:8" ht="40.35" customHeight="1" x14ac:dyDescent="0.2">
      <c r="A26" s="1213"/>
      <c r="B26" s="300"/>
      <c r="C26" s="344" t="s">
        <v>742</v>
      </c>
      <c r="D26" s="231">
        <v>1</v>
      </c>
      <c r="E26" s="232">
        <v>647</v>
      </c>
      <c r="F26" s="232">
        <f>D26*E26</f>
        <v>647</v>
      </c>
      <c r="G26" s="255">
        <f>F26*8</f>
        <v>5176</v>
      </c>
    </row>
    <row r="27" spans="1:8" ht="40.35" customHeight="1" x14ac:dyDescent="0.2">
      <c r="A27" s="1213"/>
      <c r="B27" s="300"/>
      <c r="C27" s="344" t="s">
        <v>743</v>
      </c>
      <c r="D27" s="231">
        <v>1</v>
      </c>
      <c r="E27" s="232">
        <v>697</v>
      </c>
      <c r="F27" s="232">
        <f>D27*E27</f>
        <v>697</v>
      </c>
      <c r="G27" s="255">
        <f>F27*8</f>
        <v>5576</v>
      </c>
    </row>
    <row r="28" spans="1:8" ht="40.35" customHeight="1" x14ac:dyDescent="0.2">
      <c r="A28" s="1213"/>
      <c r="B28" s="300"/>
      <c r="C28" s="592" t="s">
        <v>744</v>
      </c>
      <c r="D28" s="590">
        <f>+D25+D26+D27</f>
        <v>3</v>
      </c>
      <c r="E28" s="591">
        <f>+E25+E26+E27</f>
        <v>2444</v>
      </c>
      <c r="F28" s="591">
        <f>+F25+F26+F27</f>
        <v>2444</v>
      </c>
      <c r="G28" s="836">
        <f>+G25+G26+G27</f>
        <v>19552</v>
      </c>
    </row>
    <row r="29" spans="1:8" ht="40.35" customHeight="1" x14ac:dyDescent="0.2">
      <c r="A29" s="1213"/>
      <c r="B29" s="300"/>
      <c r="C29" s="344" t="s">
        <v>1070</v>
      </c>
      <c r="D29" s="231">
        <v>1</v>
      </c>
      <c r="E29" s="232">
        <v>1200</v>
      </c>
      <c r="F29" s="232">
        <f>D29*E29</f>
        <v>1200</v>
      </c>
      <c r="G29" s="255">
        <f>F29*8</f>
        <v>9600</v>
      </c>
    </row>
    <row r="30" spans="1:8" ht="40.35" customHeight="1" x14ac:dyDescent="0.2">
      <c r="A30" s="1213"/>
      <c r="B30" s="300"/>
      <c r="C30" s="592" t="s">
        <v>1071</v>
      </c>
      <c r="D30" s="590">
        <f>+D29</f>
        <v>1</v>
      </c>
      <c r="E30" s="591">
        <f>+E29</f>
        <v>1200</v>
      </c>
      <c r="F30" s="591">
        <f>+F29</f>
        <v>1200</v>
      </c>
      <c r="G30" s="836">
        <f>+G29</f>
        <v>9600</v>
      </c>
    </row>
    <row r="31" spans="1:8" ht="40.35" customHeight="1" x14ac:dyDescent="0.2">
      <c r="A31" s="1213"/>
      <c r="B31" s="300"/>
      <c r="C31" s="344" t="s">
        <v>291</v>
      </c>
      <c r="D31" s="231">
        <v>1</v>
      </c>
      <c r="E31" s="232">
        <v>5000</v>
      </c>
      <c r="F31" s="233">
        <f>D31*E31</f>
        <v>5000</v>
      </c>
      <c r="G31" s="255">
        <f>F31*8</f>
        <v>40000</v>
      </c>
    </row>
    <row r="32" spans="1:8" ht="40.35" customHeight="1" x14ac:dyDescent="0.2">
      <c r="A32" s="1213"/>
      <c r="B32" s="300"/>
      <c r="C32" s="344" t="s">
        <v>708</v>
      </c>
      <c r="D32" s="231">
        <v>1</v>
      </c>
      <c r="E32" s="232">
        <v>800</v>
      </c>
      <c r="F32" s="233">
        <f>D32*E32</f>
        <v>800</v>
      </c>
      <c r="G32" s="255">
        <f>F32*7</f>
        <v>5600</v>
      </c>
      <c r="H32" s="94" t="s">
        <v>1054</v>
      </c>
    </row>
    <row r="33" spans="1:8" ht="40.35" customHeight="1" x14ac:dyDescent="0.2">
      <c r="A33" s="1213"/>
      <c r="B33" s="300"/>
      <c r="C33" s="344" t="s">
        <v>1032</v>
      </c>
      <c r="D33" s="231">
        <v>1</v>
      </c>
      <c r="E33" s="232">
        <v>500</v>
      </c>
      <c r="F33" s="233">
        <f>D33*E33</f>
        <v>500</v>
      </c>
      <c r="G33" s="255">
        <f>F33*7</f>
        <v>3500</v>
      </c>
      <c r="H33" s="94" t="s">
        <v>1054</v>
      </c>
    </row>
    <row r="34" spans="1:8" ht="40.35" customHeight="1" x14ac:dyDescent="0.2">
      <c r="A34" s="1213"/>
      <c r="B34" s="300"/>
      <c r="C34" s="592" t="s">
        <v>745</v>
      </c>
      <c r="D34" s="590">
        <f>+D31+D32+D33</f>
        <v>3</v>
      </c>
      <c r="E34" s="591">
        <f>+E31+E32+E33</f>
        <v>6300</v>
      </c>
      <c r="F34" s="591">
        <f>+F31+F32+F33</f>
        <v>6300</v>
      </c>
      <c r="G34" s="836">
        <f>+G31+G32+G33</f>
        <v>49100</v>
      </c>
    </row>
    <row r="35" spans="1:8" ht="40.35" customHeight="1" x14ac:dyDescent="0.2">
      <c r="A35" s="1213"/>
      <c r="B35" s="300"/>
      <c r="C35" s="344" t="s">
        <v>562</v>
      </c>
      <c r="D35" s="231">
        <v>1</v>
      </c>
      <c r="E35" s="232">
        <v>1300</v>
      </c>
      <c r="F35" s="232">
        <v>1300</v>
      </c>
      <c r="G35" s="255">
        <f>F35*7</f>
        <v>9100</v>
      </c>
      <c r="H35" s="94" t="s">
        <v>1054</v>
      </c>
    </row>
    <row r="36" spans="1:8" ht="40.35" customHeight="1" x14ac:dyDescent="0.2">
      <c r="A36" s="1213"/>
      <c r="B36" s="249"/>
      <c r="C36" s="344" t="s">
        <v>708</v>
      </c>
      <c r="D36" s="250">
        <v>1</v>
      </c>
      <c r="E36" s="311">
        <v>1000</v>
      </c>
      <c r="F36" s="311">
        <f>D36*E36</f>
        <v>1000</v>
      </c>
      <c r="G36" s="255">
        <f>F36*8</f>
        <v>8000</v>
      </c>
    </row>
    <row r="37" spans="1:8" ht="40.35" customHeight="1" x14ac:dyDescent="0.2">
      <c r="A37" s="1214"/>
      <c r="B37" s="300"/>
      <c r="C37" s="592" t="s">
        <v>746</v>
      </c>
      <c r="D37" s="590">
        <f>+D35+D36</f>
        <v>2</v>
      </c>
      <c r="E37" s="591">
        <f>+E36+E35</f>
        <v>2300</v>
      </c>
      <c r="F37" s="591">
        <f>+F36+F35</f>
        <v>2300</v>
      </c>
      <c r="G37" s="836">
        <f>+G36+G35</f>
        <v>17100</v>
      </c>
    </row>
    <row r="38" spans="1:8" ht="40.35" customHeight="1" x14ac:dyDescent="0.2">
      <c r="A38" s="1214"/>
      <c r="B38" s="300"/>
      <c r="C38" s="344" t="s">
        <v>563</v>
      </c>
      <c r="D38" s="231">
        <v>1</v>
      </c>
      <c r="E38" s="232">
        <v>1000</v>
      </c>
      <c r="F38" s="232">
        <f t="shared" ref="F38:F85" si="2">D38*E38</f>
        <v>1000</v>
      </c>
      <c r="G38" s="255">
        <f>F38*7</f>
        <v>7000</v>
      </c>
      <c r="H38" s="94" t="s">
        <v>1054</v>
      </c>
    </row>
    <row r="39" spans="1:8" ht="40.35" customHeight="1" x14ac:dyDescent="0.2">
      <c r="A39" s="1214"/>
      <c r="B39" s="300"/>
      <c r="C39" s="344" t="s">
        <v>708</v>
      </c>
      <c r="D39" s="231">
        <v>1</v>
      </c>
      <c r="E39" s="232">
        <v>700</v>
      </c>
      <c r="F39" s="232">
        <v>700</v>
      </c>
      <c r="G39" s="255">
        <f>F39*7</f>
        <v>4900</v>
      </c>
      <c r="H39" s="94" t="s">
        <v>1054</v>
      </c>
    </row>
    <row r="40" spans="1:8" ht="40.35" customHeight="1" x14ac:dyDescent="0.2">
      <c r="A40" s="1214"/>
      <c r="B40" s="300"/>
      <c r="C40" s="344" t="s">
        <v>752</v>
      </c>
      <c r="D40" s="231">
        <v>1</v>
      </c>
      <c r="E40" s="232">
        <v>500</v>
      </c>
      <c r="F40" s="232">
        <v>500</v>
      </c>
      <c r="G40" s="255">
        <f>F40*1</f>
        <v>500</v>
      </c>
      <c r="H40" s="94" t="s">
        <v>1057</v>
      </c>
    </row>
    <row r="41" spans="1:8" ht="40.35" customHeight="1" x14ac:dyDescent="0.2">
      <c r="A41" s="1214"/>
      <c r="B41" s="300"/>
      <c r="C41" s="344" t="s">
        <v>749</v>
      </c>
      <c r="D41" s="231">
        <v>1</v>
      </c>
      <c r="E41" s="232">
        <v>775</v>
      </c>
      <c r="F41" s="232">
        <f t="shared" si="2"/>
        <v>775</v>
      </c>
      <c r="G41" s="255">
        <f>F41*8</f>
        <v>6200</v>
      </c>
    </row>
    <row r="42" spans="1:8" ht="40.35" customHeight="1" x14ac:dyDescent="0.2">
      <c r="A42" s="1214"/>
      <c r="B42" s="300"/>
      <c r="C42" s="344" t="s">
        <v>743</v>
      </c>
      <c r="D42" s="231">
        <v>1</v>
      </c>
      <c r="E42" s="232">
        <v>547</v>
      </c>
      <c r="F42" s="232">
        <f t="shared" si="2"/>
        <v>547</v>
      </c>
      <c r="G42" s="255">
        <f>F42*8</f>
        <v>4376</v>
      </c>
    </row>
    <row r="43" spans="1:8" ht="40.35" customHeight="1" x14ac:dyDescent="0.2">
      <c r="A43" s="1214"/>
      <c r="B43" s="300"/>
      <c r="C43" s="592" t="s">
        <v>748</v>
      </c>
      <c r="D43" s="590">
        <f>+D38+D39+D40+D41+D42</f>
        <v>5</v>
      </c>
      <c r="E43" s="591">
        <f>+E38+E39+E40+E41+E42</f>
        <v>3522</v>
      </c>
      <c r="F43" s="591">
        <f>+F38+F39+F40+F41+F42</f>
        <v>3522</v>
      </c>
      <c r="G43" s="836">
        <f>+G38+G39+G40+G41+G42</f>
        <v>22976</v>
      </c>
    </row>
    <row r="44" spans="1:8" ht="40.35" customHeight="1" x14ac:dyDescent="0.2">
      <c r="A44" s="1214"/>
      <c r="B44" s="300"/>
      <c r="C44" s="344" t="s">
        <v>564</v>
      </c>
      <c r="D44" s="231">
        <v>1</v>
      </c>
      <c r="E44" s="232">
        <v>780</v>
      </c>
      <c r="F44" s="232">
        <f t="shared" si="2"/>
        <v>780</v>
      </c>
      <c r="G44" s="255">
        <f>F44*8</f>
        <v>6240</v>
      </c>
    </row>
    <row r="45" spans="1:8" ht="40.35" customHeight="1" x14ac:dyDescent="0.2">
      <c r="A45" s="1214"/>
      <c r="B45" s="300"/>
      <c r="C45" s="344" t="s">
        <v>869</v>
      </c>
      <c r="D45" s="231">
        <v>1</v>
      </c>
      <c r="E45" s="232">
        <v>700</v>
      </c>
      <c r="F45" s="232">
        <f t="shared" si="2"/>
        <v>700</v>
      </c>
      <c r="G45" s="255">
        <f>F45*6</f>
        <v>4200</v>
      </c>
      <c r="H45" s="94" t="s">
        <v>1067</v>
      </c>
    </row>
    <row r="46" spans="1:8" ht="40.35" customHeight="1" x14ac:dyDescent="0.2">
      <c r="A46" s="1214"/>
      <c r="B46" s="300"/>
      <c r="C46" s="344" t="s">
        <v>750</v>
      </c>
      <c r="D46" s="231">
        <v>1</v>
      </c>
      <c r="E46" s="232">
        <v>597</v>
      </c>
      <c r="F46" s="232">
        <f>D46*E46</f>
        <v>597</v>
      </c>
      <c r="G46" s="255">
        <f>F46*8</f>
        <v>4776</v>
      </c>
    </row>
    <row r="47" spans="1:8" ht="40.35" customHeight="1" x14ac:dyDescent="0.2">
      <c r="A47" s="1214"/>
      <c r="B47" s="300"/>
      <c r="C47" s="344" t="s">
        <v>751</v>
      </c>
      <c r="D47" s="231">
        <v>1</v>
      </c>
      <c r="E47" s="232">
        <v>597</v>
      </c>
      <c r="F47" s="232">
        <f>D47*E47</f>
        <v>597</v>
      </c>
      <c r="G47" s="255">
        <f>F47*8</f>
        <v>4776</v>
      </c>
    </row>
    <row r="48" spans="1:8" ht="40.35" customHeight="1" x14ac:dyDescent="0.2">
      <c r="A48" s="1214"/>
      <c r="B48" s="300"/>
      <c r="C48" s="592" t="s">
        <v>870</v>
      </c>
      <c r="D48" s="590">
        <f>+D44+D45+D46+D47</f>
        <v>4</v>
      </c>
      <c r="E48" s="591">
        <f>+E44+E46+E45+E47</f>
        <v>2674</v>
      </c>
      <c r="F48" s="591">
        <f>+F44+F46+F45+F47</f>
        <v>2674</v>
      </c>
      <c r="G48" s="836">
        <f>+G44+G46+G45+G47</f>
        <v>19992</v>
      </c>
    </row>
    <row r="49" spans="1:7" ht="40.35" customHeight="1" x14ac:dyDescent="0.2">
      <c r="A49" s="1214"/>
      <c r="B49" s="300"/>
      <c r="C49" s="344" t="s">
        <v>565</v>
      </c>
      <c r="D49" s="231">
        <v>1</v>
      </c>
      <c r="E49" s="232">
        <v>800</v>
      </c>
      <c r="F49" s="232">
        <f t="shared" si="2"/>
        <v>800</v>
      </c>
      <c r="G49" s="255">
        <f>F49*8</f>
        <v>6400</v>
      </c>
    </row>
    <row r="50" spans="1:7" ht="40.35" customHeight="1" x14ac:dyDescent="0.2">
      <c r="A50" s="1214"/>
      <c r="B50" s="300"/>
      <c r="C50" s="344" t="s">
        <v>566</v>
      </c>
      <c r="D50" s="231">
        <v>1</v>
      </c>
      <c r="E50" s="232">
        <v>597</v>
      </c>
      <c r="F50" s="232">
        <f t="shared" si="2"/>
        <v>597</v>
      </c>
      <c r="G50" s="255">
        <f>F50*8</f>
        <v>4776</v>
      </c>
    </row>
    <row r="51" spans="1:7" ht="40.35" customHeight="1" x14ac:dyDescent="0.2">
      <c r="A51" s="1214"/>
      <c r="B51" s="300"/>
      <c r="C51" s="592" t="s">
        <v>753</v>
      </c>
      <c r="D51" s="590">
        <f>+D49+D50</f>
        <v>2</v>
      </c>
      <c r="E51" s="591">
        <f>+E49+E50</f>
        <v>1397</v>
      </c>
      <c r="F51" s="591">
        <f>+F49+F50</f>
        <v>1397</v>
      </c>
      <c r="G51" s="836">
        <f>+G49+G50</f>
        <v>11176</v>
      </c>
    </row>
    <row r="52" spans="1:7" ht="40.35" customHeight="1" x14ac:dyDescent="0.2">
      <c r="A52" s="1214"/>
      <c r="B52" s="300"/>
      <c r="C52" s="344" t="s">
        <v>343</v>
      </c>
      <c r="D52" s="231">
        <v>1</v>
      </c>
      <c r="E52" s="232">
        <v>1000</v>
      </c>
      <c r="F52" s="232">
        <f t="shared" si="2"/>
        <v>1000</v>
      </c>
      <c r="G52" s="255">
        <f>F52*8</f>
        <v>8000</v>
      </c>
    </row>
    <row r="53" spans="1:7" ht="40.35" customHeight="1" x14ac:dyDescent="0.2">
      <c r="A53" s="1214"/>
      <c r="B53" s="300"/>
      <c r="C53" s="344" t="s">
        <v>567</v>
      </c>
      <c r="D53" s="231">
        <v>1</v>
      </c>
      <c r="E53" s="232">
        <v>800</v>
      </c>
      <c r="F53" s="232">
        <f t="shared" si="2"/>
        <v>800</v>
      </c>
      <c r="G53" s="255">
        <f t="shared" ref="G53:G68" si="3">F53*8</f>
        <v>6400</v>
      </c>
    </row>
    <row r="54" spans="1:7" ht="40.35" customHeight="1" x14ac:dyDescent="0.2">
      <c r="A54" s="1214"/>
      <c r="B54" s="300"/>
      <c r="C54" s="344" t="s">
        <v>568</v>
      </c>
      <c r="D54" s="231">
        <v>1</v>
      </c>
      <c r="E54" s="232">
        <v>517</v>
      </c>
      <c r="F54" s="232">
        <f t="shared" si="2"/>
        <v>517</v>
      </c>
      <c r="G54" s="255">
        <f t="shared" si="3"/>
        <v>4136</v>
      </c>
    </row>
    <row r="55" spans="1:7" ht="40.35" customHeight="1" x14ac:dyDescent="0.2">
      <c r="A55" s="1214"/>
      <c r="B55" s="300"/>
      <c r="C55" s="344" t="s">
        <v>569</v>
      </c>
      <c r="D55" s="231">
        <v>1</v>
      </c>
      <c r="E55" s="232">
        <v>697</v>
      </c>
      <c r="F55" s="232">
        <f t="shared" si="2"/>
        <v>697</v>
      </c>
      <c r="G55" s="255">
        <f t="shared" si="3"/>
        <v>5576</v>
      </c>
    </row>
    <row r="56" spans="1:7" ht="40.35" customHeight="1" x14ac:dyDescent="0.2">
      <c r="A56" s="1214"/>
      <c r="B56" s="300"/>
      <c r="C56" s="344" t="s">
        <v>570</v>
      </c>
      <c r="D56" s="231">
        <v>1</v>
      </c>
      <c r="E56" s="232">
        <v>735.15</v>
      </c>
      <c r="F56" s="232">
        <f t="shared" si="2"/>
        <v>735.15</v>
      </c>
      <c r="G56" s="255">
        <f t="shared" si="3"/>
        <v>5881.2</v>
      </c>
    </row>
    <row r="57" spans="1:7" ht="40.35" customHeight="1" x14ac:dyDescent="0.2">
      <c r="A57" s="1214"/>
      <c r="B57" s="300"/>
      <c r="C57" s="344" t="s">
        <v>570</v>
      </c>
      <c r="D57" s="231">
        <v>1</v>
      </c>
      <c r="E57" s="232">
        <v>735.15</v>
      </c>
      <c r="F57" s="232">
        <f t="shared" si="2"/>
        <v>735.15</v>
      </c>
      <c r="G57" s="255">
        <f t="shared" si="3"/>
        <v>5881.2</v>
      </c>
    </row>
    <row r="58" spans="1:7" ht="40.35" customHeight="1" x14ac:dyDescent="0.2">
      <c r="A58" s="1214"/>
      <c r="B58" s="300"/>
      <c r="C58" s="344" t="s">
        <v>571</v>
      </c>
      <c r="D58" s="231">
        <v>1</v>
      </c>
      <c r="E58" s="232">
        <v>677</v>
      </c>
      <c r="F58" s="232">
        <f t="shared" si="2"/>
        <v>677</v>
      </c>
      <c r="G58" s="255">
        <f t="shared" si="3"/>
        <v>5416</v>
      </c>
    </row>
    <row r="59" spans="1:7" ht="40.35" customHeight="1" x14ac:dyDescent="0.2">
      <c r="A59" s="1214"/>
      <c r="B59" s="300"/>
      <c r="C59" s="344" t="s">
        <v>571</v>
      </c>
      <c r="D59" s="231">
        <v>1</v>
      </c>
      <c r="E59" s="232">
        <v>650</v>
      </c>
      <c r="F59" s="232">
        <f t="shared" si="2"/>
        <v>650</v>
      </c>
      <c r="G59" s="255">
        <f t="shared" si="3"/>
        <v>5200</v>
      </c>
    </row>
    <row r="60" spans="1:7" ht="40.35" customHeight="1" x14ac:dyDescent="0.2">
      <c r="A60" s="1214"/>
      <c r="B60" s="300"/>
      <c r="C60" s="344" t="s">
        <v>571</v>
      </c>
      <c r="D60" s="231">
        <v>1</v>
      </c>
      <c r="E60" s="232">
        <v>600</v>
      </c>
      <c r="F60" s="232">
        <f t="shared" si="2"/>
        <v>600</v>
      </c>
      <c r="G60" s="255">
        <f t="shared" si="3"/>
        <v>4800</v>
      </c>
    </row>
    <row r="61" spans="1:7" ht="40.35" customHeight="1" x14ac:dyDescent="0.2">
      <c r="A61" s="1214"/>
      <c r="B61" s="300"/>
      <c r="C61" s="344" t="s">
        <v>572</v>
      </c>
      <c r="D61" s="231">
        <v>1</v>
      </c>
      <c r="E61" s="232">
        <v>900</v>
      </c>
      <c r="F61" s="232">
        <f>D61*E61</f>
        <v>900</v>
      </c>
      <c r="G61" s="255">
        <f t="shared" si="3"/>
        <v>7200</v>
      </c>
    </row>
    <row r="62" spans="1:7" ht="40.35" customHeight="1" x14ac:dyDescent="0.2">
      <c r="A62" s="1214"/>
      <c r="B62" s="300"/>
      <c r="C62" s="344" t="s">
        <v>572</v>
      </c>
      <c r="D62" s="231">
        <v>8</v>
      </c>
      <c r="E62" s="232">
        <v>597</v>
      </c>
      <c r="F62" s="232">
        <f t="shared" si="2"/>
        <v>4776</v>
      </c>
      <c r="G62" s="255">
        <f t="shared" si="3"/>
        <v>38208</v>
      </c>
    </row>
    <row r="63" spans="1:7" ht="40.35" customHeight="1" x14ac:dyDescent="0.2">
      <c r="A63" s="1214"/>
      <c r="B63" s="300"/>
      <c r="C63" s="344" t="s">
        <v>572</v>
      </c>
      <c r="D63" s="231">
        <v>2</v>
      </c>
      <c r="E63" s="232">
        <v>597</v>
      </c>
      <c r="F63" s="232">
        <f t="shared" si="2"/>
        <v>1194</v>
      </c>
      <c r="G63" s="255">
        <f t="shared" si="3"/>
        <v>9552</v>
      </c>
    </row>
    <row r="64" spans="1:7" ht="40.35" customHeight="1" x14ac:dyDescent="0.2">
      <c r="A64" s="1214"/>
      <c r="B64" s="300"/>
      <c r="C64" s="344" t="s">
        <v>573</v>
      </c>
      <c r="D64" s="231">
        <v>2</v>
      </c>
      <c r="E64" s="232">
        <v>547</v>
      </c>
      <c r="F64" s="232">
        <f>D64*E64</f>
        <v>1094</v>
      </c>
      <c r="G64" s="255">
        <f t="shared" si="3"/>
        <v>8752</v>
      </c>
    </row>
    <row r="65" spans="1:9" ht="40.35" customHeight="1" x14ac:dyDescent="0.2">
      <c r="A65" s="1214"/>
      <c r="B65" s="300"/>
      <c r="C65" s="344" t="s">
        <v>574</v>
      </c>
      <c r="D65" s="231">
        <v>3</v>
      </c>
      <c r="E65" s="232">
        <v>517</v>
      </c>
      <c r="F65" s="232">
        <f t="shared" si="2"/>
        <v>1551</v>
      </c>
      <c r="G65" s="255">
        <f t="shared" si="3"/>
        <v>12408</v>
      </c>
    </row>
    <row r="66" spans="1:9" ht="40.35" customHeight="1" x14ac:dyDescent="0.2">
      <c r="A66" s="1214"/>
      <c r="B66" s="300"/>
      <c r="C66" s="344" t="s">
        <v>574</v>
      </c>
      <c r="D66" s="231">
        <v>1</v>
      </c>
      <c r="E66" s="232">
        <v>517</v>
      </c>
      <c r="F66" s="232">
        <f>D66*E66</f>
        <v>517</v>
      </c>
      <c r="G66" s="255">
        <f t="shared" si="3"/>
        <v>4136</v>
      </c>
    </row>
    <row r="67" spans="1:9" ht="40.35" customHeight="1" x14ac:dyDescent="0.2">
      <c r="A67" s="1214"/>
      <c r="B67" s="300"/>
      <c r="C67" s="344" t="s">
        <v>575</v>
      </c>
      <c r="D67" s="231">
        <v>1</v>
      </c>
      <c r="E67" s="232">
        <v>467</v>
      </c>
      <c r="F67" s="232">
        <f t="shared" si="2"/>
        <v>467</v>
      </c>
      <c r="G67" s="255">
        <f t="shared" si="3"/>
        <v>3736</v>
      </c>
    </row>
    <row r="68" spans="1:9" ht="40.35" customHeight="1" x14ac:dyDescent="0.2">
      <c r="A68" s="1214"/>
      <c r="B68" s="300"/>
      <c r="C68" s="344" t="s">
        <v>575</v>
      </c>
      <c r="D68" s="231">
        <v>12</v>
      </c>
      <c r="E68" s="232">
        <v>417</v>
      </c>
      <c r="F68" s="232">
        <f t="shared" si="2"/>
        <v>5004</v>
      </c>
      <c r="G68" s="255">
        <f t="shared" si="3"/>
        <v>40032</v>
      </c>
    </row>
    <row r="69" spans="1:9" ht="40.35" customHeight="1" x14ac:dyDescent="0.2">
      <c r="A69" s="1214"/>
      <c r="B69" s="300"/>
      <c r="C69" s="344" t="s">
        <v>575</v>
      </c>
      <c r="D69" s="231">
        <v>1</v>
      </c>
      <c r="E69" s="232">
        <v>417</v>
      </c>
      <c r="F69" s="232">
        <f>D69*E69</f>
        <v>417</v>
      </c>
      <c r="G69" s="255">
        <f>F69*8</f>
        <v>3336</v>
      </c>
    </row>
    <row r="70" spans="1:9" ht="40.35" customHeight="1" x14ac:dyDescent="0.2">
      <c r="A70" s="1214"/>
      <c r="B70" s="300"/>
      <c r="C70" s="344" t="s">
        <v>575</v>
      </c>
      <c r="D70" s="231">
        <v>1</v>
      </c>
      <c r="E70" s="232">
        <v>417</v>
      </c>
      <c r="F70" s="232">
        <f>D70*E70</f>
        <v>417</v>
      </c>
      <c r="G70" s="255">
        <f>F70*1</f>
        <v>417</v>
      </c>
      <c r="H70" s="94" t="s">
        <v>1068</v>
      </c>
    </row>
    <row r="71" spans="1:9" ht="40.35" customHeight="1" x14ac:dyDescent="0.2">
      <c r="A71" s="1214"/>
      <c r="B71" s="300"/>
      <c r="C71" s="344" t="s">
        <v>575</v>
      </c>
      <c r="D71" s="231">
        <v>10</v>
      </c>
      <c r="E71" s="232">
        <v>417</v>
      </c>
      <c r="F71" s="232">
        <f>D71*E71</f>
        <v>4170</v>
      </c>
      <c r="G71" s="255">
        <f>F71*2</f>
        <v>8340</v>
      </c>
      <c r="H71" s="94" t="s">
        <v>1069</v>
      </c>
    </row>
    <row r="72" spans="1:9" ht="40.35" customHeight="1" x14ac:dyDescent="0.2">
      <c r="A72" s="1214"/>
      <c r="B72" s="300"/>
      <c r="C72" s="592" t="s">
        <v>754</v>
      </c>
      <c r="D72" s="590">
        <f>+D52+D53+D54+D55+D56+D57+D58+D59+D60+D61+D62+D63+D64+D65+D66+D67+D68+D69+D71+D70</f>
        <v>51</v>
      </c>
      <c r="E72" s="591">
        <f>+E52+E53+E54+E55+E56+E57+E58+E59+E60+E61+E62+E63+E64+E65+E66+E67+E68+E71+E69+E70</f>
        <v>12221.3</v>
      </c>
      <c r="F72" s="591">
        <f>+F52+F53+F54+F55+F56+F57+F58+F59+F60+F61+F62+F63+F64+F65+F66+F67+F68+F71+F69+F70</f>
        <v>26918.3</v>
      </c>
      <c r="G72" s="836">
        <f>+G52+G53+G54+G55+G56+G57+G58+G59+G60+G61+G62+G63+G64+G65+G66+G67+G68+G71+G69+G70</f>
        <v>187407.4</v>
      </c>
    </row>
    <row r="73" spans="1:9" ht="40.35" customHeight="1" x14ac:dyDescent="0.2">
      <c r="A73" s="1214"/>
      <c r="B73" s="300"/>
      <c r="C73" s="344" t="s">
        <v>576</v>
      </c>
      <c r="D73" s="231">
        <v>1</v>
      </c>
      <c r="E73" s="232">
        <v>1025</v>
      </c>
      <c r="F73" s="232">
        <f t="shared" si="2"/>
        <v>1025</v>
      </c>
      <c r="G73" s="255">
        <f>F73*8</f>
        <v>8200</v>
      </c>
    </row>
    <row r="74" spans="1:9" ht="40.35" customHeight="1" x14ac:dyDescent="0.2">
      <c r="A74" s="1214"/>
      <c r="B74" s="300"/>
      <c r="C74" s="344" t="s">
        <v>742</v>
      </c>
      <c r="D74" s="231">
        <v>1</v>
      </c>
      <c r="E74" s="232">
        <v>500</v>
      </c>
      <c r="F74" s="232">
        <f t="shared" si="2"/>
        <v>500</v>
      </c>
      <c r="G74" s="255">
        <f>F74*8</f>
        <v>4000</v>
      </c>
    </row>
    <row r="75" spans="1:9" ht="40.35" customHeight="1" x14ac:dyDescent="0.2">
      <c r="A75" s="1214"/>
      <c r="B75" s="300"/>
      <c r="C75" s="344" t="s">
        <v>756</v>
      </c>
      <c r="D75" s="231">
        <v>1</v>
      </c>
      <c r="E75" s="232">
        <v>700</v>
      </c>
      <c r="F75" s="232">
        <f t="shared" si="2"/>
        <v>700</v>
      </c>
      <c r="G75" s="255">
        <f>F75*8</f>
        <v>5600</v>
      </c>
    </row>
    <row r="76" spans="1:9" ht="40.35" customHeight="1" x14ac:dyDescent="0.2">
      <c r="A76" s="1214"/>
      <c r="B76" s="300"/>
      <c r="C76" s="344" t="s">
        <v>750</v>
      </c>
      <c r="D76" s="231">
        <v>1</v>
      </c>
      <c r="E76" s="232">
        <v>500</v>
      </c>
      <c r="F76" s="232">
        <f t="shared" si="2"/>
        <v>500</v>
      </c>
      <c r="G76" s="255">
        <f>F76*8</f>
        <v>4000</v>
      </c>
    </row>
    <row r="77" spans="1:9" ht="40.35" customHeight="1" x14ac:dyDescent="0.2">
      <c r="A77" s="1214"/>
      <c r="B77" s="300"/>
      <c r="C77" s="344" t="s">
        <v>751</v>
      </c>
      <c r="D77" s="231">
        <v>2</v>
      </c>
      <c r="E77" s="232">
        <v>417</v>
      </c>
      <c r="F77" s="232">
        <f t="shared" si="2"/>
        <v>834</v>
      </c>
      <c r="G77" s="255">
        <f>F77*8</f>
        <v>6672</v>
      </c>
    </row>
    <row r="78" spans="1:9" ht="40.35" customHeight="1" x14ac:dyDescent="0.2">
      <c r="A78" s="1214"/>
      <c r="B78" s="300"/>
      <c r="C78" s="592" t="s">
        <v>755</v>
      </c>
      <c r="D78" s="590">
        <f>+D73+D74+D75+D76+D77</f>
        <v>6</v>
      </c>
      <c r="E78" s="591">
        <f>+E73+E74+E75+E76+E77</f>
        <v>3142</v>
      </c>
      <c r="F78" s="591">
        <f>+F73+F74+F75+F76+F77</f>
        <v>3559</v>
      </c>
      <c r="G78" s="836">
        <f>+G73+G74+G75+G76+G77</f>
        <v>28472</v>
      </c>
    </row>
    <row r="79" spans="1:9" ht="40.35" customHeight="1" x14ac:dyDescent="0.2">
      <c r="A79" s="1214"/>
      <c r="B79" s="300"/>
      <c r="C79" s="344" t="s">
        <v>577</v>
      </c>
      <c r="D79" s="231">
        <v>1</v>
      </c>
      <c r="E79" s="232">
        <v>800</v>
      </c>
      <c r="F79" s="232">
        <f t="shared" si="2"/>
        <v>800</v>
      </c>
      <c r="G79" s="255">
        <f>F79*8</f>
        <v>6400</v>
      </c>
    </row>
    <row r="80" spans="1:9" ht="40.35" customHeight="1" x14ac:dyDescent="0.2">
      <c r="A80" s="1214"/>
      <c r="B80" s="300"/>
      <c r="C80" s="344" t="s">
        <v>578</v>
      </c>
      <c r="D80" s="231">
        <v>1</v>
      </c>
      <c r="E80" s="232">
        <v>697</v>
      </c>
      <c r="F80" s="232">
        <f t="shared" si="2"/>
        <v>697</v>
      </c>
      <c r="G80" s="255">
        <f>F80*7</f>
        <v>4879</v>
      </c>
      <c r="H80" s="94" t="s">
        <v>1058</v>
      </c>
      <c r="I80" s="94" t="s">
        <v>1124</v>
      </c>
    </row>
    <row r="81" spans="1:9" ht="40.35" customHeight="1" x14ac:dyDescent="0.2">
      <c r="A81" s="1214"/>
      <c r="B81" s="300"/>
      <c r="C81" s="344" t="s">
        <v>1123</v>
      </c>
      <c r="D81" s="231">
        <v>1</v>
      </c>
      <c r="E81" s="232">
        <v>697</v>
      </c>
      <c r="F81" s="232">
        <f>D81*E81</f>
        <v>697</v>
      </c>
      <c r="G81" s="255">
        <f>F81*2</f>
        <v>1394</v>
      </c>
      <c r="H81" s="94" t="s">
        <v>1122</v>
      </c>
      <c r="I81" s="94" t="s">
        <v>1124</v>
      </c>
    </row>
    <row r="82" spans="1:9" ht="40.35" customHeight="1" x14ac:dyDescent="0.2">
      <c r="A82" s="1214"/>
      <c r="B82" s="300"/>
      <c r="C82" s="344" t="s">
        <v>579</v>
      </c>
      <c r="D82" s="231">
        <v>1</v>
      </c>
      <c r="E82" s="232">
        <v>697</v>
      </c>
      <c r="F82" s="232">
        <f t="shared" si="2"/>
        <v>697</v>
      </c>
      <c r="G82" s="255">
        <f>F82*8</f>
        <v>5576</v>
      </c>
    </row>
    <row r="83" spans="1:9" ht="40.35" customHeight="1" x14ac:dyDescent="0.2">
      <c r="A83" s="1214"/>
      <c r="B83" s="300"/>
      <c r="C83" s="592" t="s">
        <v>757</v>
      </c>
      <c r="D83" s="590">
        <f>+D79+D80+D82+D81</f>
        <v>4</v>
      </c>
      <c r="E83" s="591">
        <f>+E79+E80+E82+E81</f>
        <v>2891</v>
      </c>
      <c r="F83" s="591">
        <f>+F79+F80+F82+F81</f>
        <v>2891</v>
      </c>
      <c r="G83" s="836">
        <f>+G79+G80+G82+G81</f>
        <v>18249</v>
      </c>
    </row>
    <row r="84" spans="1:9" ht="40.35" customHeight="1" x14ac:dyDescent="0.2">
      <c r="A84" s="1214"/>
      <c r="B84" s="300"/>
      <c r="C84" s="344" t="s">
        <v>580</v>
      </c>
      <c r="D84" s="231">
        <v>1</v>
      </c>
      <c r="E84" s="232">
        <v>900</v>
      </c>
      <c r="F84" s="232">
        <f t="shared" si="2"/>
        <v>900</v>
      </c>
      <c r="G84" s="255">
        <f>F84*8</f>
        <v>7200</v>
      </c>
    </row>
    <row r="85" spans="1:9" ht="40.35" customHeight="1" x14ac:dyDescent="0.2">
      <c r="A85" s="1214"/>
      <c r="B85" s="300"/>
      <c r="C85" s="344" t="s">
        <v>581</v>
      </c>
      <c r="D85" s="231">
        <v>1</v>
      </c>
      <c r="E85" s="232">
        <v>417</v>
      </c>
      <c r="F85" s="232">
        <f t="shared" si="2"/>
        <v>417</v>
      </c>
      <c r="G85" s="255">
        <f>F85*8</f>
        <v>3336</v>
      </c>
    </row>
    <row r="86" spans="1:9" ht="40.35" customHeight="1" x14ac:dyDescent="0.2">
      <c r="A86" s="1214"/>
      <c r="B86" s="300"/>
      <c r="C86" s="592" t="s">
        <v>871</v>
      </c>
      <c r="D86" s="590">
        <f>+D84+D85</f>
        <v>2</v>
      </c>
      <c r="E86" s="591">
        <f>+E84+E85</f>
        <v>1317</v>
      </c>
      <c r="F86" s="591">
        <f>+F84+F85</f>
        <v>1317</v>
      </c>
      <c r="G86" s="836">
        <f>+G84+G85</f>
        <v>10536</v>
      </c>
    </row>
    <row r="87" spans="1:9" ht="40.35" customHeight="1" x14ac:dyDescent="0.2">
      <c r="A87" s="1214"/>
      <c r="B87" s="300"/>
      <c r="C87" s="344" t="s">
        <v>582</v>
      </c>
      <c r="D87" s="231">
        <v>1</v>
      </c>
      <c r="E87" s="232">
        <v>1000</v>
      </c>
      <c r="F87" s="232">
        <f t="shared" ref="F87:F125" si="4">D87*E87</f>
        <v>1000</v>
      </c>
      <c r="G87" s="255">
        <f>F87*8</f>
        <v>8000</v>
      </c>
    </row>
    <row r="88" spans="1:9" ht="40.35" customHeight="1" x14ac:dyDescent="0.2">
      <c r="A88" s="1214"/>
      <c r="B88" s="300"/>
      <c r="C88" s="344" t="s">
        <v>583</v>
      </c>
      <c r="D88" s="231">
        <v>1</v>
      </c>
      <c r="E88" s="232">
        <v>500</v>
      </c>
      <c r="F88" s="232">
        <f t="shared" si="4"/>
        <v>500</v>
      </c>
      <c r="G88" s="255">
        <f>F88*8</f>
        <v>4000</v>
      </c>
    </row>
    <row r="89" spans="1:9" ht="40.35" customHeight="1" x14ac:dyDescent="0.2">
      <c r="A89" s="1214"/>
      <c r="B89" s="300"/>
      <c r="C89" s="592" t="s">
        <v>758</v>
      </c>
      <c r="D89" s="590">
        <f>+D87+D88</f>
        <v>2</v>
      </c>
      <c r="E89" s="591">
        <f>+E87+E88</f>
        <v>1500</v>
      </c>
      <c r="F89" s="591">
        <f>+F87+F88</f>
        <v>1500</v>
      </c>
      <c r="G89" s="836">
        <f>+G87+G88</f>
        <v>12000</v>
      </c>
    </row>
    <row r="90" spans="1:9" ht="40.35" customHeight="1" x14ac:dyDescent="0.2">
      <c r="A90" s="1214"/>
      <c r="B90" s="300"/>
      <c r="C90" s="344" t="s">
        <v>584</v>
      </c>
      <c r="D90" s="231">
        <v>1</v>
      </c>
      <c r="E90" s="232">
        <v>1900</v>
      </c>
      <c r="F90" s="232">
        <f t="shared" si="4"/>
        <v>1900</v>
      </c>
      <c r="G90" s="255">
        <f>F90*8</f>
        <v>15200</v>
      </c>
    </row>
    <row r="91" spans="1:9" ht="40.35" customHeight="1" x14ac:dyDescent="0.2">
      <c r="A91" s="1214"/>
      <c r="B91" s="300"/>
      <c r="C91" s="344" t="s">
        <v>1044</v>
      </c>
      <c r="D91" s="231">
        <v>1</v>
      </c>
      <c r="E91" s="232">
        <v>1000</v>
      </c>
      <c r="F91" s="232">
        <f>+E91*D91</f>
        <v>1000</v>
      </c>
      <c r="G91" s="671">
        <f>+F91*8</f>
        <v>8000</v>
      </c>
    </row>
    <row r="92" spans="1:9" ht="40.35" customHeight="1" x14ac:dyDescent="0.2">
      <c r="A92" s="1214"/>
      <c r="B92" s="300"/>
      <c r="C92" s="344" t="s">
        <v>585</v>
      </c>
      <c r="D92" s="231">
        <v>1</v>
      </c>
      <c r="E92" s="232">
        <v>800</v>
      </c>
      <c r="F92" s="232">
        <f t="shared" si="4"/>
        <v>800</v>
      </c>
      <c r="G92" s="255">
        <f>F92*8</f>
        <v>6400</v>
      </c>
    </row>
    <row r="93" spans="1:9" ht="40.35" customHeight="1" x14ac:dyDescent="0.2">
      <c r="A93" s="1214"/>
      <c r="B93" s="300"/>
      <c r="C93" s="592" t="s">
        <v>759</v>
      </c>
      <c r="D93" s="590">
        <f>+D90+D92+D91</f>
        <v>3</v>
      </c>
      <c r="E93" s="591">
        <f>+E90+E92+E91</f>
        <v>3700</v>
      </c>
      <c r="F93" s="591">
        <f>+F90+F92+F91</f>
        <v>3700</v>
      </c>
      <c r="G93" s="836">
        <f>+G90+G92+G91</f>
        <v>29600</v>
      </c>
    </row>
    <row r="94" spans="1:9" ht="40.35" customHeight="1" x14ac:dyDescent="0.2">
      <c r="A94" s="1214"/>
      <c r="B94" s="300"/>
      <c r="C94" s="344" t="s">
        <v>587</v>
      </c>
      <c r="D94" s="231">
        <v>1</v>
      </c>
      <c r="E94" s="232">
        <v>1600</v>
      </c>
      <c r="F94" s="232">
        <v>1600</v>
      </c>
      <c r="G94" s="255">
        <f>F94*8</f>
        <v>12800</v>
      </c>
    </row>
    <row r="95" spans="1:9" ht="40.35" customHeight="1" x14ac:dyDescent="0.2">
      <c r="A95" s="1214"/>
      <c r="B95" s="300"/>
      <c r="C95" s="344" t="s">
        <v>1031</v>
      </c>
      <c r="D95" s="231">
        <v>1</v>
      </c>
      <c r="E95" s="232">
        <v>1200</v>
      </c>
      <c r="F95" s="232">
        <v>1200</v>
      </c>
      <c r="G95" s="255">
        <f>F95*7</f>
        <v>8400</v>
      </c>
      <c r="H95" s="94" t="s">
        <v>1058</v>
      </c>
    </row>
    <row r="96" spans="1:9" ht="40.35" customHeight="1" x14ac:dyDescent="0.2">
      <c r="A96" s="1214"/>
      <c r="B96" s="300"/>
      <c r="C96" s="344" t="s">
        <v>622</v>
      </c>
      <c r="D96" s="231">
        <v>1</v>
      </c>
      <c r="E96" s="232">
        <v>1000</v>
      </c>
      <c r="F96" s="232">
        <v>1000</v>
      </c>
      <c r="G96" s="255">
        <f>F96*1</f>
        <v>1000</v>
      </c>
      <c r="H96" s="94" t="s">
        <v>1056</v>
      </c>
    </row>
    <row r="97" spans="1:8" ht="40.35" customHeight="1" x14ac:dyDescent="0.2">
      <c r="A97" s="1214"/>
      <c r="B97" s="300"/>
      <c r="C97" s="344" t="s">
        <v>1055</v>
      </c>
      <c r="D97" s="231">
        <v>1</v>
      </c>
      <c r="E97" s="232">
        <v>880</v>
      </c>
      <c r="F97" s="232">
        <v>880</v>
      </c>
      <c r="G97" s="255">
        <f>F97*7</f>
        <v>6160</v>
      </c>
      <c r="H97" s="94" t="s">
        <v>1054</v>
      </c>
    </row>
    <row r="98" spans="1:8" ht="40.35" customHeight="1" x14ac:dyDescent="0.2">
      <c r="A98" s="1214"/>
      <c r="B98" s="300"/>
      <c r="C98" s="344" t="s">
        <v>1059</v>
      </c>
      <c r="D98" s="231">
        <v>1</v>
      </c>
      <c r="E98" s="232">
        <v>780</v>
      </c>
      <c r="F98" s="232">
        <f t="shared" si="4"/>
        <v>780</v>
      </c>
      <c r="G98" s="255">
        <f>F98*1</f>
        <v>780</v>
      </c>
      <c r="H98" s="94" t="s">
        <v>1056</v>
      </c>
    </row>
    <row r="99" spans="1:8" ht="40.35" customHeight="1" x14ac:dyDescent="0.2">
      <c r="A99" s="1214"/>
      <c r="B99" s="300"/>
      <c r="C99" s="344" t="s">
        <v>1060</v>
      </c>
      <c r="D99" s="231">
        <v>1</v>
      </c>
      <c r="E99" s="232">
        <v>600</v>
      </c>
      <c r="F99" s="232">
        <f>D99*E99</f>
        <v>600</v>
      </c>
      <c r="G99" s="255">
        <f>F99*7</f>
        <v>4200</v>
      </c>
      <c r="H99" s="94" t="s">
        <v>1054</v>
      </c>
    </row>
    <row r="100" spans="1:8" ht="40.35" customHeight="1" x14ac:dyDescent="0.2">
      <c r="A100" s="1214"/>
      <c r="B100" s="300"/>
      <c r="C100" s="344" t="s">
        <v>1039</v>
      </c>
      <c r="D100" s="231">
        <v>1</v>
      </c>
      <c r="E100" s="232">
        <v>600</v>
      </c>
      <c r="F100" s="232">
        <f>D100*E100</f>
        <v>600</v>
      </c>
      <c r="G100" s="255">
        <f>F100*1</f>
        <v>600</v>
      </c>
      <c r="H100" s="94" t="s">
        <v>1056</v>
      </c>
    </row>
    <row r="101" spans="1:8" ht="40.35" customHeight="1" x14ac:dyDescent="0.2">
      <c r="A101" s="1214"/>
      <c r="B101" s="300"/>
      <c r="C101" s="344" t="s">
        <v>1040</v>
      </c>
      <c r="D101" s="231">
        <v>1</v>
      </c>
      <c r="E101" s="232">
        <v>417</v>
      </c>
      <c r="F101" s="232">
        <f t="shared" si="4"/>
        <v>417</v>
      </c>
      <c r="G101" s="255">
        <f>F101*8</f>
        <v>3336</v>
      </c>
    </row>
    <row r="102" spans="1:8" ht="40.35" customHeight="1" x14ac:dyDescent="0.2">
      <c r="A102" s="1214"/>
      <c r="B102" s="300"/>
      <c r="C102" s="344" t="s">
        <v>1049</v>
      </c>
      <c r="D102" s="231">
        <v>1</v>
      </c>
      <c r="E102" s="232">
        <v>417</v>
      </c>
      <c r="F102" s="232">
        <f t="shared" si="4"/>
        <v>417</v>
      </c>
      <c r="G102" s="255">
        <f>F102*8</f>
        <v>3336</v>
      </c>
    </row>
    <row r="103" spans="1:8" ht="40.35" customHeight="1" x14ac:dyDescent="0.2">
      <c r="A103" s="1214"/>
      <c r="B103" s="300"/>
      <c r="C103" s="592" t="s">
        <v>760</v>
      </c>
      <c r="D103" s="590">
        <f>+D94+D95+D96+D97+D98+D99+D100+D101+D102</f>
        <v>9</v>
      </c>
      <c r="E103" s="591">
        <f>+E94+E95+E96+E97+E98+E99+E100+E101+E102</f>
        <v>7494</v>
      </c>
      <c r="F103" s="591">
        <f>+F94+F95+F96+F97+F98+F99+F100+F101+F102</f>
        <v>7494</v>
      </c>
      <c r="G103" s="836">
        <f>+G94+G95+G96+G97+G98+G99+G100+G101+G102</f>
        <v>40612</v>
      </c>
    </row>
    <row r="104" spans="1:8" ht="40.35" customHeight="1" x14ac:dyDescent="0.2">
      <c r="A104" s="1214"/>
      <c r="B104" s="300"/>
      <c r="C104" s="344" t="s">
        <v>588</v>
      </c>
      <c r="D104" s="231">
        <v>1</v>
      </c>
      <c r="E104" s="232">
        <v>800</v>
      </c>
      <c r="F104" s="232">
        <f t="shared" si="4"/>
        <v>800</v>
      </c>
      <c r="G104" s="255">
        <f>F104*8</f>
        <v>6400</v>
      </c>
    </row>
    <row r="105" spans="1:8" ht="40.35" customHeight="1" x14ac:dyDescent="0.2">
      <c r="A105" s="1214"/>
      <c r="B105" s="300"/>
      <c r="C105" s="344" t="s">
        <v>734</v>
      </c>
      <c r="D105" s="231">
        <v>1</v>
      </c>
      <c r="E105" s="232">
        <v>847</v>
      </c>
      <c r="F105" s="232">
        <f t="shared" si="4"/>
        <v>847</v>
      </c>
      <c r="G105" s="255">
        <f t="shared" ref="G105:G113" si="5">F105*8</f>
        <v>6776</v>
      </c>
    </row>
    <row r="106" spans="1:8" ht="40.35" customHeight="1" x14ac:dyDescent="0.2">
      <c r="A106" s="1214"/>
      <c r="B106" s="300"/>
      <c r="C106" s="344" t="s">
        <v>589</v>
      </c>
      <c r="D106" s="231">
        <v>1</v>
      </c>
      <c r="E106" s="232">
        <v>700</v>
      </c>
      <c r="F106" s="232">
        <f t="shared" si="4"/>
        <v>700</v>
      </c>
      <c r="G106" s="255">
        <f t="shared" si="5"/>
        <v>5600</v>
      </c>
    </row>
    <row r="107" spans="1:8" ht="40.35" customHeight="1" x14ac:dyDescent="0.2">
      <c r="A107" s="1214"/>
      <c r="B107" s="300"/>
      <c r="C107" s="344" t="s">
        <v>590</v>
      </c>
      <c r="D107" s="231">
        <v>1</v>
      </c>
      <c r="E107" s="232">
        <v>597</v>
      </c>
      <c r="F107" s="232">
        <f t="shared" si="4"/>
        <v>597</v>
      </c>
      <c r="G107" s="255">
        <f t="shared" si="5"/>
        <v>4776</v>
      </c>
    </row>
    <row r="108" spans="1:8" ht="40.35" customHeight="1" x14ac:dyDescent="0.2">
      <c r="A108" s="1214"/>
      <c r="B108" s="300"/>
      <c r="C108" s="344" t="s">
        <v>591</v>
      </c>
      <c r="D108" s="231">
        <v>1</v>
      </c>
      <c r="E108" s="232">
        <v>735.15</v>
      </c>
      <c r="F108" s="232">
        <f t="shared" si="4"/>
        <v>735.15</v>
      </c>
      <c r="G108" s="255">
        <f t="shared" si="5"/>
        <v>5881.2</v>
      </c>
    </row>
    <row r="109" spans="1:8" ht="40.35" customHeight="1" x14ac:dyDescent="0.2">
      <c r="A109" s="1214"/>
      <c r="B109" s="300"/>
      <c r="C109" s="344" t="s">
        <v>591</v>
      </c>
      <c r="D109" s="231">
        <v>1</v>
      </c>
      <c r="E109" s="232">
        <v>712.29</v>
      </c>
      <c r="F109" s="232">
        <f t="shared" si="4"/>
        <v>712.29</v>
      </c>
      <c r="G109" s="255">
        <f t="shared" si="5"/>
        <v>5698.32</v>
      </c>
    </row>
    <row r="110" spans="1:8" ht="40.35" customHeight="1" x14ac:dyDescent="0.2">
      <c r="A110" s="1214"/>
      <c r="B110" s="300"/>
      <c r="C110" s="344" t="s">
        <v>591</v>
      </c>
      <c r="D110" s="231">
        <v>1</v>
      </c>
      <c r="E110" s="232">
        <v>677</v>
      </c>
      <c r="F110" s="232">
        <f t="shared" si="4"/>
        <v>677</v>
      </c>
      <c r="G110" s="255">
        <f t="shared" si="5"/>
        <v>5416</v>
      </c>
    </row>
    <row r="111" spans="1:8" ht="40.35" customHeight="1" x14ac:dyDescent="0.2">
      <c r="A111" s="1214"/>
      <c r="B111" s="300"/>
      <c r="C111" s="344" t="s">
        <v>592</v>
      </c>
      <c r="D111" s="231">
        <v>2</v>
      </c>
      <c r="E111" s="232">
        <v>597</v>
      </c>
      <c r="F111" s="232">
        <f t="shared" si="4"/>
        <v>1194</v>
      </c>
      <c r="G111" s="255">
        <f t="shared" si="5"/>
        <v>9552</v>
      </c>
    </row>
    <row r="112" spans="1:8" ht="40.35" customHeight="1" x14ac:dyDescent="0.2">
      <c r="A112" s="1214"/>
      <c r="B112" s="300"/>
      <c r="C112" s="344" t="s">
        <v>592</v>
      </c>
      <c r="D112" s="231">
        <v>1</v>
      </c>
      <c r="E112" s="232">
        <v>517</v>
      </c>
      <c r="F112" s="232">
        <f t="shared" si="4"/>
        <v>517</v>
      </c>
      <c r="G112" s="255">
        <f t="shared" si="5"/>
        <v>4136</v>
      </c>
    </row>
    <row r="113" spans="1:8" ht="40.35" customHeight="1" x14ac:dyDescent="0.2">
      <c r="A113" s="1214"/>
      <c r="B113" s="300"/>
      <c r="C113" s="344" t="s">
        <v>593</v>
      </c>
      <c r="D113" s="231">
        <v>5</v>
      </c>
      <c r="E113" s="232">
        <v>417</v>
      </c>
      <c r="F113" s="232">
        <f t="shared" si="4"/>
        <v>2085</v>
      </c>
      <c r="G113" s="255">
        <f t="shared" si="5"/>
        <v>16680</v>
      </c>
    </row>
    <row r="114" spans="1:8" ht="40.35" customHeight="1" x14ac:dyDescent="0.2">
      <c r="A114" s="1214"/>
      <c r="B114" s="300"/>
      <c r="C114" s="344" t="s">
        <v>593</v>
      </c>
      <c r="D114" s="231">
        <v>4</v>
      </c>
      <c r="E114" s="232">
        <v>417</v>
      </c>
      <c r="F114" s="232">
        <f>D114*E114</f>
        <v>1668</v>
      </c>
      <c r="G114" s="255">
        <f>F114*5</f>
        <v>8340</v>
      </c>
      <c r="H114" s="94" t="s">
        <v>1072</v>
      </c>
    </row>
    <row r="115" spans="1:8" ht="40.35" customHeight="1" x14ac:dyDescent="0.2">
      <c r="A115" s="1214"/>
      <c r="B115" s="300"/>
      <c r="C115" s="592" t="s">
        <v>761</v>
      </c>
      <c r="D115" s="590">
        <f>+D104+D105+D106+D107+D108+D109+D110+D111+D112+D113+D114</f>
        <v>19</v>
      </c>
      <c r="E115" s="591">
        <f>+E104+E105+E106+E107+E108+E109+E110+E111+E112+E113+E114</f>
        <v>7016.4400000000005</v>
      </c>
      <c r="F115" s="591">
        <f>+F104+F105+F106+F107+F108+F109+F110+F111+F112+F113+F114</f>
        <v>10532.44</v>
      </c>
      <c r="G115" s="836">
        <f>+G104+G105+G106+G107+G108+G109+G110+G111+G112+G113+G114</f>
        <v>79255.520000000004</v>
      </c>
    </row>
    <row r="116" spans="1:8" ht="40.35" customHeight="1" x14ac:dyDescent="0.2">
      <c r="A116" s="1214"/>
      <c r="B116" s="300"/>
      <c r="C116" s="344" t="s">
        <v>735</v>
      </c>
      <c r="D116" s="231">
        <v>1</v>
      </c>
      <c r="E116" s="232">
        <v>725</v>
      </c>
      <c r="F116" s="232">
        <f t="shared" si="4"/>
        <v>725</v>
      </c>
      <c r="G116" s="255">
        <f>F116*8</f>
        <v>5800</v>
      </c>
    </row>
    <row r="117" spans="1:8" ht="40.35" customHeight="1" x14ac:dyDescent="0.2">
      <c r="A117" s="1214"/>
      <c r="B117" s="300"/>
      <c r="C117" s="592" t="s">
        <v>736</v>
      </c>
      <c r="D117" s="590">
        <f>+D116</f>
        <v>1</v>
      </c>
      <c r="E117" s="591">
        <f>+E116</f>
        <v>725</v>
      </c>
      <c r="F117" s="591">
        <f>+F116</f>
        <v>725</v>
      </c>
      <c r="G117" s="836">
        <f>+G116</f>
        <v>5800</v>
      </c>
    </row>
    <row r="118" spans="1:8" ht="40.35" customHeight="1" x14ac:dyDescent="0.2">
      <c r="A118" s="1214"/>
      <c r="B118" s="300"/>
      <c r="C118" s="344" t="s">
        <v>980</v>
      </c>
      <c r="D118" s="231">
        <v>1</v>
      </c>
      <c r="E118" s="232">
        <v>814.86</v>
      </c>
      <c r="F118" s="232">
        <f t="shared" si="4"/>
        <v>814.86</v>
      </c>
      <c r="G118" s="255">
        <f>F118*8</f>
        <v>6518.88</v>
      </c>
    </row>
    <row r="119" spans="1:8" ht="40.35" customHeight="1" x14ac:dyDescent="0.2">
      <c r="A119" s="1214"/>
      <c r="B119" s="300"/>
      <c r="C119" s="344" t="s">
        <v>981</v>
      </c>
      <c r="D119" s="231">
        <v>1</v>
      </c>
      <c r="E119" s="232">
        <v>735</v>
      </c>
      <c r="F119" s="232">
        <f t="shared" si="4"/>
        <v>735</v>
      </c>
      <c r="G119" s="255">
        <f>F119*8</f>
        <v>5880</v>
      </c>
    </row>
    <row r="120" spans="1:8" ht="40.35" customHeight="1" x14ac:dyDescent="0.2">
      <c r="A120" s="1214"/>
      <c r="B120" s="300"/>
      <c r="C120" s="344" t="s">
        <v>981</v>
      </c>
      <c r="D120" s="231">
        <v>1</v>
      </c>
      <c r="E120" s="232">
        <v>677</v>
      </c>
      <c r="F120" s="232">
        <f t="shared" si="4"/>
        <v>677</v>
      </c>
      <c r="G120" s="255">
        <f>F120*8</f>
        <v>5416</v>
      </c>
    </row>
    <row r="121" spans="1:8" ht="40.35" customHeight="1" x14ac:dyDescent="0.2">
      <c r="A121" s="1214"/>
      <c r="B121" s="300"/>
      <c r="C121" s="344" t="s">
        <v>982</v>
      </c>
      <c r="D121" s="231">
        <v>1</v>
      </c>
      <c r="E121" s="232">
        <v>607</v>
      </c>
      <c r="F121" s="232">
        <f t="shared" si="4"/>
        <v>607</v>
      </c>
      <c r="G121" s="255">
        <f>F121*8</f>
        <v>4856</v>
      </c>
    </row>
    <row r="122" spans="1:8" ht="40.35" customHeight="1" x14ac:dyDescent="0.2">
      <c r="A122" s="1214"/>
      <c r="B122" s="300"/>
      <c r="C122" s="344" t="s">
        <v>983</v>
      </c>
      <c r="D122" s="231">
        <v>1</v>
      </c>
      <c r="E122" s="232">
        <v>417</v>
      </c>
      <c r="F122" s="232">
        <f t="shared" si="4"/>
        <v>417</v>
      </c>
      <c r="G122" s="255">
        <f>F122*8</f>
        <v>3336</v>
      </c>
    </row>
    <row r="123" spans="1:8" ht="40.35" customHeight="1" x14ac:dyDescent="0.2">
      <c r="A123" s="1214"/>
      <c r="B123" s="300"/>
      <c r="C123" s="592" t="s">
        <v>737</v>
      </c>
      <c r="D123" s="590">
        <f>+D118+D119+D120+D121+D122</f>
        <v>5</v>
      </c>
      <c r="E123" s="591">
        <f>+E118+E119+E120+E121+E122</f>
        <v>3250.86</v>
      </c>
      <c r="F123" s="591">
        <f>+F118+F119+F120+F121+F122</f>
        <v>3250.86</v>
      </c>
      <c r="G123" s="836">
        <f>+G118+G119+G120+G121+G122</f>
        <v>26006.880000000001</v>
      </c>
    </row>
    <row r="124" spans="1:8" ht="40.35" customHeight="1" x14ac:dyDescent="0.2">
      <c r="A124" s="1214"/>
      <c r="B124" s="300"/>
      <c r="C124" s="344" t="s">
        <v>594</v>
      </c>
      <c r="D124" s="231">
        <v>1</v>
      </c>
      <c r="E124" s="232">
        <v>1000</v>
      </c>
      <c r="F124" s="232">
        <f t="shared" si="4"/>
        <v>1000</v>
      </c>
      <c r="G124" s="255">
        <f>F124*8</f>
        <v>8000</v>
      </c>
    </row>
    <row r="125" spans="1:8" ht="40.35" customHeight="1" x14ac:dyDescent="0.2">
      <c r="A125" s="1214"/>
      <c r="B125" s="300"/>
      <c r="C125" s="344" t="s">
        <v>595</v>
      </c>
      <c r="D125" s="231">
        <v>1</v>
      </c>
      <c r="E125" s="232">
        <v>842</v>
      </c>
      <c r="F125" s="232">
        <f t="shared" si="4"/>
        <v>842</v>
      </c>
      <c r="G125" s="255">
        <f>F125*8</f>
        <v>6736</v>
      </c>
    </row>
    <row r="126" spans="1:8" ht="40.35" customHeight="1" x14ac:dyDescent="0.2">
      <c r="A126" s="1214"/>
      <c r="B126" s="300"/>
      <c r="C126" s="344" t="s">
        <v>1061</v>
      </c>
      <c r="D126" s="231">
        <v>1</v>
      </c>
      <c r="E126" s="232">
        <v>1000</v>
      </c>
      <c r="F126" s="232">
        <f>D126*E126</f>
        <v>1000</v>
      </c>
      <c r="G126" s="255">
        <f>F126*1</f>
        <v>1000</v>
      </c>
      <c r="H126" s="94" t="s">
        <v>1057</v>
      </c>
    </row>
    <row r="127" spans="1:8" ht="40.35" customHeight="1" x14ac:dyDescent="0.2">
      <c r="A127" s="1214"/>
      <c r="B127" s="300"/>
      <c r="C127" s="344" t="s">
        <v>596</v>
      </c>
      <c r="D127" s="231">
        <v>1</v>
      </c>
      <c r="E127" s="232">
        <v>792</v>
      </c>
      <c r="F127" s="232">
        <f>D127*E127</f>
        <v>792</v>
      </c>
      <c r="G127" s="255">
        <f>F127*8</f>
        <v>6336</v>
      </c>
    </row>
    <row r="128" spans="1:8" ht="40.35" customHeight="1" x14ac:dyDescent="0.2">
      <c r="A128" s="1214"/>
      <c r="B128" s="300"/>
      <c r="C128" s="344" t="s">
        <v>597</v>
      </c>
      <c r="D128" s="231">
        <v>1</v>
      </c>
      <c r="E128" s="232">
        <v>550</v>
      </c>
      <c r="F128" s="232">
        <f>D128*E128</f>
        <v>550</v>
      </c>
      <c r="G128" s="255">
        <f>F128*8</f>
        <v>4400</v>
      </c>
    </row>
    <row r="129" spans="1:7" ht="40.35" customHeight="1" x14ac:dyDescent="0.2">
      <c r="A129" s="1214"/>
      <c r="B129" s="300"/>
      <c r="C129" s="344" t="s">
        <v>598</v>
      </c>
      <c r="D129" s="231">
        <v>1</v>
      </c>
      <c r="E129" s="232">
        <v>500</v>
      </c>
      <c r="F129" s="232">
        <f>D129*E129</f>
        <v>500</v>
      </c>
      <c r="G129" s="255">
        <f>F129*8</f>
        <v>4000</v>
      </c>
    </row>
    <row r="130" spans="1:7" ht="40.35" customHeight="1" thickBot="1" x14ac:dyDescent="0.25">
      <c r="A130" s="1214"/>
      <c r="B130" s="249"/>
      <c r="C130" s="589" t="s">
        <v>738</v>
      </c>
      <c r="D130" s="848">
        <f>+D124+D125+D126+D127+D128+D129</f>
        <v>6</v>
      </c>
      <c r="E130" s="849">
        <f>+E124+E125+E126+E127+E128+E129</f>
        <v>4684</v>
      </c>
      <c r="F130" s="849">
        <f>+F124+F125+F126+F127+F128+F129</f>
        <v>4684</v>
      </c>
      <c r="G130" s="850">
        <f>+G124+G125+G126+G127+G128+G129</f>
        <v>30472</v>
      </c>
    </row>
    <row r="131" spans="1:7" ht="40.35" customHeight="1" thickBot="1" x14ac:dyDescent="0.25">
      <c r="A131" s="1215"/>
      <c r="B131" s="314"/>
      <c r="C131" s="851" t="s">
        <v>224</v>
      </c>
      <c r="D131" s="852">
        <f>+D19+D24+D28+D34+D37+D43+D48+D51+D72+D78+D83+D86+D89+D93+D103+D115+D117+D123+D130+D30</f>
        <v>134</v>
      </c>
      <c r="E131" s="601">
        <f>+E19+E24+E28+E34+E37+E43+E48+E51+E72+E78+E83+E86+E89+E93+E103+E115+E117+E123+E130+E30</f>
        <v>75828.600000000006</v>
      </c>
      <c r="F131" s="601">
        <f>+F19+F24+F28+F34+F37+F43+F48+F51+F72+F78+F83+F86+F89+F93+F103+F115+F117+F123+F130+F30</f>
        <v>94458.6</v>
      </c>
      <c r="G131" s="842">
        <f>+G19+G24+G28+G34+G37+G43+G48+G51+G72+G78+G83+G86+G89+G93+G103+G115+G117+G123+G130+G30</f>
        <v>675906.8</v>
      </c>
    </row>
    <row r="132" spans="1:7" ht="43.35" customHeight="1" x14ac:dyDescent="0.2">
      <c r="A132" s="689"/>
      <c r="B132" s="1224" t="s">
        <v>599</v>
      </c>
      <c r="C132" s="1225"/>
      <c r="D132" s="690"/>
      <c r="E132" s="690"/>
      <c r="F132" s="690"/>
      <c r="G132" s="691"/>
    </row>
    <row r="133" spans="1:7" ht="43.35" customHeight="1" x14ac:dyDescent="0.2">
      <c r="A133" s="254"/>
      <c r="B133" s="300"/>
      <c r="C133" s="344" t="s">
        <v>560</v>
      </c>
      <c r="D133" s="231">
        <v>1</v>
      </c>
      <c r="E133" s="232">
        <v>1600</v>
      </c>
      <c r="F133" s="232">
        <f>D133*E133</f>
        <v>1600</v>
      </c>
      <c r="G133" s="255">
        <f>F133*8</f>
        <v>12800</v>
      </c>
    </row>
    <row r="134" spans="1:7" ht="43.35" customHeight="1" x14ac:dyDescent="0.2">
      <c r="A134" s="254"/>
      <c r="B134" s="300"/>
      <c r="C134" s="344" t="s">
        <v>600</v>
      </c>
      <c r="D134" s="234">
        <v>1</v>
      </c>
      <c r="E134" s="235">
        <v>759.57</v>
      </c>
      <c r="F134" s="232">
        <f>D134*E134</f>
        <v>759.57</v>
      </c>
      <c r="G134" s="255">
        <f t="shared" ref="G134:G140" si="6">F134*8</f>
        <v>6076.56</v>
      </c>
    </row>
    <row r="135" spans="1:7" ht="43.35" customHeight="1" x14ac:dyDescent="0.2">
      <c r="A135" s="254"/>
      <c r="B135" s="300"/>
      <c r="C135" s="344" t="s">
        <v>984</v>
      </c>
      <c r="D135" s="234">
        <v>1</v>
      </c>
      <c r="E135" s="235">
        <v>700</v>
      </c>
      <c r="F135" s="232">
        <f>D135*E135</f>
        <v>700</v>
      </c>
      <c r="G135" s="255">
        <f t="shared" si="6"/>
        <v>5600</v>
      </c>
    </row>
    <row r="136" spans="1:7" ht="43.35" customHeight="1" x14ac:dyDescent="0.2">
      <c r="A136" s="500"/>
      <c r="B136" s="300"/>
      <c r="C136" s="344" t="s">
        <v>762</v>
      </c>
      <c r="D136" s="234">
        <v>1</v>
      </c>
      <c r="E136" s="235">
        <v>597</v>
      </c>
      <c r="F136" s="232">
        <f t="shared" ref="F136:F168" si="7">D136*E136</f>
        <v>597</v>
      </c>
      <c r="G136" s="255">
        <f t="shared" si="6"/>
        <v>4776</v>
      </c>
    </row>
    <row r="137" spans="1:7" ht="43.35" customHeight="1" x14ac:dyDescent="0.2">
      <c r="A137" s="500"/>
      <c r="B137" s="300"/>
      <c r="C137" s="344" t="s">
        <v>762</v>
      </c>
      <c r="D137" s="234">
        <v>1</v>
      </c>
      <c r="E137" s="235">
        <v>417</v>
      </c>
      <c r="F137" s="232">
        <f>D137*E137</f>
        <v>417</v>
      </c>
      <c r="G137" s="255">
        <f>F137*1</f>
        <v>417</v>
      </c>
    </row>
    <row r="138" spans="1:7" ht="43.35" customHeight="1" x14ac:dyDescent="0.2">
      <c r="A138" s="254"/>
      <c r="B138" s="300"/>
      <c r="C138" s="344" t="s">
        <v>762</v>
      </c>
      <c r="D138" s="234">
        <v>1</v>
      </c>
      <c r="E138" s="235">
        <v>517</v>
      </c>
      <c r="F138" s="232">
        <f t="shared" si="7"/>
        <v>517</v>
      </c>
      <c r="G138" s="255">
        <f>F138*7</f>
        <v>3619</v>
      </c>
    </row>
    <row r="139" spans="1:7" ht="43.35" customHeight="1" x14ac:dyDescent="0.2">
      <c r="A139" s="254"/>
      <c r="B139" s="300"/>
      <c r="C139" s="344" t="s">
        <v>601</v>
      </c>
      <c r="D139" s="234">
        <v>1</v>
      </c>
      <c r="E139" s="235">
        <v>800</v>
      </c>
      <c r="F139" s="232">
        <f t="shared" si="7"/>
        <v>800</v>
      </c>
      <c r="G139" s="255">
        <f t="shared" si="6"/>
        <v>6400</v>
      </c>
    </row>
    <row r="140" spans="1:7" ht="43.35" customHeight="1" x14ac:dyDescent="0.2">
      <c r="A140" s="254"/>
      <c r="B140" s="300"/>
      <c r="C140" s="344" t="s">
        <v>602</v>
      </c>
      <c r="D140" s="234">
        <v>1</v>
      </c>
      <c r="E140" s="235">
        <v>547</v>
      </c>
      <c r="F140" s="232">
        <f t="shared" si="7"/>
        <v>547</v>
      </c>
      <c r="G140" s="255">
        <f t="shared" si="6"/>
        <v>4376</v>
      </c>
    </row>
    <row r="141" spans="1:7" ht="43.35" customHeight="1" x14ac:dyDescent="0.2">
      <c r="A141" s="254"/>
      <c r="B141" s="300"/>
      <c r="C141" s="592" t="s">
        <v>763</v>
      </c>
      <c r="D141" s="596">
        <f>+D133+D134+D135+D136+D138+D139+D140+D137</f>
        <v>8</v>
      </c>
      <c r="E141" s="597">
        <f>+E133+E134+E135+E136+E138+E139+E140+E137</f>
        <v>5937.57</v>
      </c>
      <c r="F141" s="597">
        <f>+F133+F134+F135+F136+F138+F139+F140+F137</f>
        <v>5937.57</v>
      </c>
      <c r="G141" s="837">
        <f>+G133+G134+G135+G136+G138+G139+G140+G137</f>
        <v>44064.56</v>
      </c>
    </row>
    <row r="142" spans="1:7" ht="43.35" customHeight="1" x14ac:dyDescent="0.2">
      <c r="A142" s="254"/>
      <c r="B142" s="300"/>
      <c r="C142" s="344" t="s">
        <v>603</v>
      </c>
      <c r="D142" s="234">
        <v>1</v>
      </c>
      <c r="E142" s="235">
        <v>1100</v>
      </c>
      <c r="F142" s="232">
        <f t="shared" si="7"/>
        <v>1100</v>
      </c>
      <c r="G142" s="255">
        <f>F142*8</f>
        <v>8800</v>
      </c>
    </row>
    <row r="143" spans="1:7" ht="43.35" customHeight="1" x14ac:dyDescent="0.2">
      <c r="A143" s="254"/>
      <c r="B143" s="300"/>
      <c r="C143" s="344" t="s">
        <v>985</v>
      </c>
      <c r="D143" s="234">
        <v>1</v>
      </c>
      <c r="E143" s="235">
        <v>800</v>
      </c>
      <c r="F143" s="232">
        <f t="shared" si="7"/>
        <v>800</v>
      </c>
      <c r="G143" s="255">
        <f t="shared" ref="G143:G160" si="8">F143*8</f>
        <v>6400</v>
      </c>
    </row>
    <row r="144" spans="1:7" ht="43.35" customHeight="1" x14ac:dyDescent="0.2">
      <c r="A144" s="254"/>
      <c r="B144" s="300"/>
      <c r="C144" s="344" t="s">
        <v>986</v>
      </c>
      <c r="D144" s="234">
        <v>1</v>
      </c>
      <c r="E144" s="235">
        <v>677</v>
      </c>
      <c r="F144" s="232">
        <f t="shared" si="7"/>
        <v>677</v>
      </c>
      <c r="G144" s="255">
        <f t="shared" si="8"/>
        <v>5416</v>
      </c>
    </row>
    <row r="145" spans="1:7" ht="43.35" customHeight="1" x14ac:dyDescent="0.2">
      <c r="A145" s="254"/>
      <c r="B145" s="300"/>
      <c r="C145" s="344" t="s">
        <v>604</v>
      </c>
      <c r="D145" s="234">
        <v>1</v>
      </c>
      <c r="E145" s="235">
        <v>725</v>
      </c>
      <c r="F145" s="232">
        <f t="shared" si="7"/>
        <v>725</v>
      </c>
      <c r="G145" s="255">
        <f t="shared" si="8"/>
        <v>5800</v>
      </c>
    </row>
    <row r="146" spans="1:7" ht="43.35" customHeight="1" x14ac:dyDescent="0.2">
      <c r="A146" s="254"/>
      <c r="B146" s="300"/>
      <c r="C146" s="344" t="s">
        <v>605</v>
      </c>
      <c r="D146" s="234">
        <v>1</v>
      </c>
      <c r="E146" s="235">
        <v>600</v>
      </c>
      <c r="F146" s="232">
        <f t="shared" si="7"/>
        <v>600</v>
      </c>
      <c r="G146" s="255">
        <f t="shared" si="8"/>
        <v>4800</v>
      </c>
    </row>
    <row r="147" spans="1:7" ht="43.35" customHeight="1" x14ac:dyDescent="0.2">
      <c r="A147" s="254"/>
      <c r="B147" s="300"/>
      <c r="C147" s="344" t="s">
        <v>987</v>
      </c>
      <c r="D147" s="234">
        <v>1</v>
      </c>
      <c r="E147" s="235">
        <v>615</v>
      </c>
      <c r="F147" s="232">
        <f t="shared" si="7"/>
        <v>615</v>
      </c>
      <c r="G147" s="255">
        <f t="shared" si="8"/>
        <v>4920</v>
      </c>
    </row>
    <row r="148" spans="1:7" ht="43.35" customHeight="1" x14ac:dyDescent="0.2">
      <c r="A148" s="254"/>
      <c r="B148" s="300"/>
      <c r="C148" s="344" t="s">
        <v>606</v>
      </c>
      <c r="D148" s="234">
        <v>1</v>
      </c>
      <c r="E148" s="235">
        <v>702</v>
      </c>
      <c r="F148" s="232">
        <f t="shared" si="7"/>
        <v>702</v>
      </c>
      <c r="G148" s="255">
        <f t="shared" si="8"/>
        <v>5616</v>
      </c>
    </row>
    <row r="149" spans="1:7" ht="43.35" customHeight="1" x14ac:dyDescent="0.2">
      <c r="A149" s="254"/>
      <c r="B149" s="300"/>
      <c r="C149" s="344" t="s">
        <v>607</v>
      </c>
      <c r="D149" s="234">
        <v>1</v>
      </c>
      <c r="E149" s="235">
        <v>775</v>
      </c>
      <c r="F149" s="232">
        <f t="shared" si="7"/>
        <v>775</v>
      </c>
      <c r="G149" s="255">
        <f t="shared" si="8"/>
        <v>6200</v>
      </c>
    </row>
    <row r="150" spans="1:7" ht="43.35" customHeight="1" x14ac:dyDescent="0.2">
      <c r="A150" s="254"/>
      <c r="B150" s="300"/>
      <c r="C150" s="344" t="s">
        <v>608</v>
      </c>
      <c r="D150" s="234">
        <v>1</v>
      </c>
      <c r="E150" s="235">
        <v>1025</v>
      </c>
      <c r="F150" s="232">
        <f>D150*E150</f>
        <v>1025</v>
      </c>
      <c r="G150" s="255">
        <f>F150*8</f>
        <v>8200</v>
      </c>
    </row>
    <row r="151" spans="1:7" ht="43.35" customHeight="1" x14ac:dyDescent="0.2">
      <c r="A151" s="254"/>
      <c r="B151" s="300"/>
      <c r="C151" s="503" t="s">
        <v>609</v>
      </c>
      <c r="D151" s="687">
        <v>1</v>
      </c>
      <c r="E151" s="688">
        <v>700</v>
      </c>
      <c r="F151" s="312">
        <f>D151*E151</f>
        <v>700</v>
      </c>
      <c r="G151" s="255">
        <f>F151*8</f>
        <v>5600</v>
      </c>
    </row>
    <row r="152" spans="1:7" ht="43.35" customHeight="1" thickBot="1" x14ac:dyDescent="0.25">
      <c r="A152" s="254"/>
      <c r="B152" s="300"/>
      <c r="C152" s="758" t="s">
        <v>610</v>
      </c>
      <c r="D152" s="692">
        <v>1</v>
      </c>
      <c r="E152" s="693">
        <v>647</v>
      </c>
      <c r="F152" s="694">
        <f>D152*E152</f>
        <v>647</v>
      </c>
      <c r="G152" s="255">
        <f>F152*8</f>
        <v>5176</v>
      </c>
    </row>
    <row r="153" spans="1:7" ht="43.35" customHeight="1" x14ac:dyDescent="0.2">
      <c r="A153" s="254"/>
      <c r="B153" s="300"/>
      <c r="C153" s="344" t="s">
        <v>1045</v>
      </c>
      <c r="D153" s="234">
        <v>1</v>
      </c>
      <c r="E153" s="235">
        <v>597</v>
      </c>
      <c r="F153" s="232">
        <f t="shared" si="7"/>
        <v>597</v>
      </c>
      <c r="G153" s="255">
        <f t="shared" si="8"/>
        <v>4776</v>
      </c>
    </row>
    <row r="154" spans="1:7" ht="43.35" customHeight="1" x14ac:dyDescent="0.2">
      <c r="A154" s="254"/>
      <c r="B154" s="300"/>
      <c r="C154" s="344" t="s">
        <v>1046</v>
      </c>
      <c r="D154" s="234">
        <v>1</v>
      </c>
      <c r="E154" s="235">
        <v>547</v>
      </c>
      <c r="F154" s="232">
        <f t="shared" si="7"/>
        <v>547</v>
      </c>
      <c r="G154" s="255">
        <f t="shared" si="8"/>
        <v>4376</v>
      </c>
    </row>
    <row r="155" spans="1:7" ht="43.35" customHeight="1" x14ac:dyDescent="0.2">
      <c r="A155" s="254"/>
      <c r="B155" s="300"/>
      <c r="C155" s="344" t="s">
        <v>612</v>
      </c>
      <c r="D155" s="234">
        <v>1</v>
      </c>
      <c r="E155" s="235">
        <v>827</v>
      </c>
      <c r="F155" s="232">
        <f t="shared" si="7"/>
        <v>827</v>
      </c>
      <c r="G155" s="255">
        <f t="shared" si="8"/>
        <v>6616</v>
      </c>
    </row>
    <row r="156" spans="1:7" ht="43.35" customHeight="1" x14ac:dyDescent="0.2">
      <c r="A156" s="254"/>
      <c r="B156" s="300"/>
      <c r="C156" s="344" t="s">
        <v>611</v>
      </c>
      <c r="D156" s="234">
        <v>1</v>
      </c>
      <c r="E156" s="235">
        <v>697</v>
      </c>
      <c r="F156" s="232">
        <f t="shared" si="7"/>
        <v>697</v>
      </c>
      <c r="G156" s="255">
        <f t="shared" si="8"/>
        <v>5576</v>
      </c>
    </row>
    <row r="157" spans="1:7" ht="43.35" customHeight="1" x14ac:dyDescent="0.2">
      <c r="A157" s="254"/>
      <c r="B157" s="300"/>
      <c r="C157" s="344" t="s">
        <v>613</v>
      </c>
      <c r="D157" s="234">
        <v>1</v>
      </c>
      <c r="E157" s="235">
        <v>597</v>
      </c>
      <c r="F157" s="232">
        <f t="shared" si="7"/>
        <v>597</v>
      </c>
      <c r="G157" s="255">
        <f t="shared" si="8"/>
        <v>4776</v>
      </c>
    </row>
    <row r="158" spans="1:7" ht="43.35" customHeight="1" x14ac:dyDescent="0.2">
      <c r="A158" s="254"/>
      <c r="B158" s="300"/>
      <c r="C158" s="344" t="s">
        <v>614</v>
      </c>
      <c r="D158" s="234">
        <v>1</v>
      </c>
      <c r="E158" s="235">
        <v>1300</v>
      </c>
      <c r="F158" s="232">
        <f t="shared" si="7"/>
        <v>1300</v>
      </c>
      <c r="G158" s="255">
        <f t="shared" si="8"/>
        <v>10400</v>
      </c>
    </row>
    <row r="159" spans="1:7" ht="43.35" customHeight="1" x14ac:dyDescent="0.2">
      <c r="A159" s="254"/>
      <c r="B159" s="300"/>
      <c r="C159" s="344" t="s">
        <v>615</v>
      </c>
      <c r="D159" s="234">
        <v>1</v>
      </c>
      <c r="E159" s="235">
        <v>597</v>
      </c>
      <c r="F159" s="232">
        <f t="shared" si="7"/>
        <v>597</v>
      </c>
      <c r="G159" s="255">
        <f t="shared" si="8"/>
        <v>4776</v>
      </c>
    </row>
    <row r="160" spans="1:7" ht="43.35" customHeight="1" x14ac:dyDescent="0.2">
      <c r="A160" s="254"/>
      <c r="B160" s="300"/>
      <c r="C160" s="344" t="s">
        <v>1041</v>
      </c>
      <c r="D160" s="234">
        <v>2</v>
      </c>
      <c r="E160" s="235">
        <v>417</v>
      </c>
      <c r="F160" s="232">
        <f t="shared" si="7"/>
        <v>834</v>
      </c>
      <c r="G160" s="255">
        <f t="shared" si="8"/>
        <v>6672</v>
      </c>
    </row>
    <row r="161" spans="1:8" ht="43.35" customHeight="1" x14ac:dyDescent="0.2">
      <c r="A161" s="254"/>
      <c r="B161" s="300"/>
      <c r="C161" s="592" t="s">
        <v>764</v>
      </c>
      <c r="D161" s="596">
        <f>+D142+D143+D144+D145+D146+D147+D148+D149+D153+D152+D151+D154+D155+D156+D157+D158+D159+D160+D150</f>
        <v>20</v>
      </c>
      <c r="E161" s="597">
        <f>+E142+E143+E144+E145+E146+E147+E148+E149+E150+E151+E152+E153+E154+E155+E157+E158+E159+E160+E156</f>
        <v>13945</v>
      </c>
      <c r="F161" s="597">
        <f>+F142+F143+F144+F145+F146+F147+F148+F149+F150+F151+F152+F153+F154+F155+F157+F158+F159+F160+F156</f>
        <v>14362</v>
      </c>
      <c r="G161" s="837">
        <f>+G142+G143+G144+G145+G146+G147+G148+G149+G150+G151+G152+G153+G154+G155+G157+G158+G159+G160+G156</f>
        <v>114896</v>
      </c>
    </row>
    <row r="162" spans="1:8" ht="43.35" customHeight="1" x14ac:dyDescent="0.2">
      <c r="A162" s="254"/>
      <c r="B162" s="300"/>
      <c r="C162" s="344" t="s">
        <v>766</v>
      </c>
      <c r="D162" s="234">
        <v>1</v>
      </c>
      <c r="E162" s="235">
        <v>1900</v>
      </c>
      <c r="F162" s="232">
        <f>D162*E162</f>
        <v>1900</v>
      </c>
      <c r="G162" s="255">
        <f>F162*8</f>
        <v>15200</v>
      </c>
    </row>
    <row r="163" spans="1:8" ht="43.35" customHeight="1" x14ac:dyDescent="0.2">
      <c r="A163" s="254"/>
      <c r="B163" s="300"/>
      <c r="C163" s="344" t="s">
        <v>708</v>
      </c>
      <c r="D163" s="234">
        <v>1</v>
      </c>
      <c r="E163" s="235">
        <v>1025</v>
      </c>
      <c r="F163" s="232">
        <f>D163*E163</f>
        <v>1025</v>
      </c>
      <c r="G163" s="255">
        <f>F163*7</f>
        <v>7175</v>
      </c>
      <c r="H163" s="94" t="s">
        <v>1058</v>
      </c>
    </row>
    <row r="164" spans="1:8" ht="43.35" customHeight="1" x14ac:dyDescent="0.2">
      <c r="A164" s="254"/>
      <c r="B164" s="300"/>
      <c r="C164" s="344" t="s">
        <v>586</v>
      </c>
      <c r="D164" s="231">
        <v>1</v>
      </c>
      <c r="E164" s="232">
        <v>1300</v>
      </c>
      <c r="F164" s="232">
        <f>D164*E164</f>
        <v>1300</v>
      </c>
      <c r="G164" s="255">
        <f>F164*8</f>
        <v>10400</v>
      </c>
    </row>
    <row r="165" spans="1:8" ht="43.35" customHeight="1" x14ac:dyDescent="0.2">
      <c r="A165" s="254"/>
      <c r="B165" s="300"/>
      <c r="C165" s="592" t="s">
        <v>767</v>
      </c>
      <c r="D165" s="596">
        <f>+D162+D163+D164</f>
        <v>3</v>
      </c>
      <c r="E165" s="597">
        <f>+E162+E163+E164</f>
        <v>4225</v>
      </c>
      <c r="F165" s="597">
        <f>+F162+F163+F164</f>
        <v>4225</v>
      </c>
      <c r="G165" s="837">
        <f>+G162+G163+G164</f>
        <v>32775</v>
      </c>
    </row>
    <row r="166" spans="1:8" ht="43.35" customHeight="1" x14ac:dyDescent="0.2">
      <c r="A166" s="254"/>
      <c r="B166" s="300"/>
      <c r="C166" s="344" t="s">
        <v>616</v>
      </c>
      <c r="D166" s="234">
        <v>1</v>
      </c>
      <c r="E166" s="235">
        <v>1300</v>
      </c>
      <c r="F166" s="232">
        <f t="shared" si="7"/>
        <v>1300</v>
      </c>
      <c r="G166" s="255">
        <f>F166*8</f>
        <v>10400</v>
      </c>
    </row>
    <row r="167" spans="1:8" ht="43.35" customHeight="1" x14ac:dyDescent="0.2">
      <c r="A167" s="254"/>
      <c r="B167" s="300"/>
      <c r="C167" s="344" t="s">
        <v>372</v>
      </c>
      <c r="D167" s="234">
        <v>1</v>
      </c>
      <c r="E167" s="235">
        <v>800</v>
      </c>
      <c r="F167" s="232">
        <f t="shared" si="7"/>
        <v>800</v>
      </c>
      <c r="G167" s="255">
        <f>F167*8</f>
        <v>6400</v>
      </c>
    </row>
    <row r="168" spans="1:8" ht="43.35" customHeight="1" x14ac:dyDescent="0.2">
      <c r="A168" s="254"/>
      <c r="B168" s="300"/>
      <c r="C168" s="344" t="s">
        <v>617</v>
      </c>
      <c r="D168" s="234">
        <v>1</v>
      </c>
      <c r="E168" s="235">
        <v>600</v>
      </c>
      <c r="F168" s="232">
        <f t="shared" si="7"/>
        <v>600</v>
      </c>
      <c r="G168" s="255">
        <f>F168*8</f>
        <v>4800</v>
      </c>
    </row>
    <row r="169" spans="1:8" ht="43.35" customHeight="1" x14ac:dyDescent="0.2">
      <c r="A169" s="254"/>
      <c r="B169" s="300"/>
      <c r="C169" s="592" t="s">
        <v>765</v>
      </c>
      <c r="D169" s="596">
        <f>+D166+D167+D168</f>
        <v>3</v>
      </c>
      <c r="E169" s="597">
        <f>+E166+E167+E168</f>
        <v>2700</v>
      </c>
      <c r="F169" s="597">
        <f>+F166+F167+F168</f>
        <v>2700</v>
      </c>
      <c r="G169" s="837">
        <f>+G166+G167+G168</f>
        <v>21600</v>
      </c>
    </row>
    <row r="170" spans="1:8" ht="38.1" customHeight="1" x14ac:dyDescent="0.2">
      <c r="A170" s="254"/>
      <c r="B170" s="300"/>
      <c r="C170" s="344" t="s">
        <v>618</v>
      </c>
      <c r="D170" s="231">
        <v>1</v>
      </c>
      <c r="E170" s="232">
        <v>1800</v>
      </c>
      <c r="F170" s="232">
        <f>D170*E170</f>
        <v>1800</v>
      </c>
      <c r="G170" s="255">
        <f>F170*8</f>
        <v>14400</v>
      </c>
    </row>
    <row r="171" spans="1:8" ht="38.1" customHeight="1" x14ac:dyDescent="0.2">
      <c r="A171" s="254"/>
      <c r="B171" s="300"/>
      <c r="C171" s="344" t="s">
        <v>619</v>
      </c>
      <c r="D171" s="231">
        <v>1</v>
      </c>
      <c r="E171" s="232">
        <v>759.57</v>
      </c>
      <c r="F171" s="232">
        <f t="shared" ref="F171:F183" si="9">D171*E171</f>
        <v>759.57</v>
      </c>
      <c r="G171" s="255">
        <f t="shared" ref="G171:G183" si="10">F171*8</f>
        <v>6076.56</v>
      </c>
    </row>
    <row r="172" spans="1:8" ht="40.35" customHeight="1" x14ac:dyDescent="0.2">
      <c r="A172" s="254"/>
      <c r="B172" s="300"/>
      <c r="C172" s="344" t="s">
        <v>620</v>
      </c>
      <c r="D172" s="231">
        <v>1</v>
      </c>
      <c r="E172" s="232">
        <v>800</v>
      </c>
      <c r="F172" s="232">
        <f t="shared" si="9"/>
        <v>800</v>
      </c>
      <c r="G172" s="255">
        <f t="shared" si="10"/>
        <v>6400</v>
      </c>
    </row>
    <row r="173" spans="1:8" ht="40.35" customHeight="1" x14ac:dyDescent="0.2">
      <c r="A173" s="254"/>
      <c r="B173" s="300"/>
      <c r="C173" s="344" t="s">
        <v>621</v>
      </c>
      <c r="D173" s="231">
        <v>2</v>
      </c>
      <c r="E173" s="232">
        <v>600</v>
      </c>
      <c r="F173" s="232">
        <f t="shared" si="9"/>
        <v>1200</v>
      </c>
      <c r="G173" s="255">
        <f t="shared" si="10"/>
        <v>9600</v>
      </c>
    </row>
    <row r="174" spans="1:8" ht="40.35" customHeight="1" x14ac:dyDescent="0.2">
      <c r="A174" s="254"/>
      <c r="B174" s="300"/>
      <c r="C174" s="344" t="s">
        <v>622</v>
      </c>
      <c r="D174" s="231">
        <v>1</v>
      </c>
      <c r="E174" s="232">
        <v>1025</v>
      </c>
      <c r="F174" s="232">
        <f t="shared" si="9"/>
        <v>1025</v>
      </c>
      <c r="G174" s="255">
        <f>F174*1</f>
        <v>1025</v>
      </c>
      <c r="H174" s="94" t="s">
        <v>1062</v>
      </c>
    </row>
    <row r="175" spans="1:8" ht="40.35" customHeight="1" x14ac:dyDescent="0.2">
      <c r="A175" s="254"/>
      <c r="B175" s="300"/>
      <c r="C175" s="344" t="s">
        <v>1055</v>
      </c>
      <c r="D175" s="231">
        <v>1</v>
      </c>
      <c r="E175" s="232">
        <v>1000</v>
      </c>
      <c r="F175" s="232">
        <f>D175*E175</f>
        <v>1000</v>
      </c>
      <c r="G175" s="255">
        <f>F175*8</f>
        <v>8000</v>
      </c>
    </row>
    <row r="176" spans="1:8" ht="40.35" customHeight="1" x14ac:dyDescent="0.2">
      <c r="A176" s="254"/>
      <c r="B176" s="300"/>
      <c r="C176" s="344" t="s">
        <v>623</v>
      </c>
      <c r="D176" s="231">
        <v>1</v>
      </c>
      <c r="E176" s="232">
        <v>697</v>
      </c>
      <c r="F176" s="232">
        <f>D176*E176</f>
        <v>697</v>
      </c>
      <c r="G176" s="255">
        <f>F176*8</f>
        <v>5576</v>
      </c>
    </row>
    <row r="177" spans="1:8" ht="40.35" customHeight="1" x14ac:dyDescent="0.2">
      <c r="A177" s="254"/>
      <c r="B177" s="300"/>
      <c r="C177" s="344" t="s">
        <v>623</v>
      </c>
      <c r="D177" s="231">
        <v>1</v>
      </c>
      <c r="E177" s="232">
        <v>800</v>
      </c>
      <c r="F177" s="232">
        <f t="shared" si="9"/>
        <v>800</v>
      </c>
      <c r="G177" s="255">
        <f t="shared" si="10"/>
        <v>6400</v>
      </c>
    </row>
    <row r="178" spans="1:8" ht="40.35" customHeight="1" x14ac:dyDescent="0.2">
      <c r="A178" s="254"/>
      <c r="B178" s="300"/>
      <c r="C178" s="344" t="s">
        <v>623</v>
      </c>
      <c r="D178" s="231">
        <v>1</v>
      </c>
      <c r="E178" s="232">
        <v>727</v>
      </c>
      <c r="F178" s="232">
        <f t="shared" si="9"/>
        <v>727</v>
      </c>
      <c r="G178" s="255">
        <f t="shared" si="10"/>
        <v>5816</v>
      </c>
    </row>
    <row r="179" spans="1:8" ht="40.35" customHeight="1" x14ac:dyDescent="0.2">
      <c r="A179" s="254"/>
      <c r="B179" s="300"/>
      <c r="C179" s="344" t="s">
        <v>624</v>
      </c>
      <c r="D179" s="231">
        <v>1</v>
      </c>
      <c r="E179" s="232">
        <v>697</v>
      </c>
      <c r="F179" s="232">
        <f t="shared" si="9"/>
        <v>697</v>
      </c>
      <c r="G179" s="255">
        <f t="shared" si="10"/>
        <v>5576</v>
      </c>
    </row>
    <row r="180" spans="1:8" ht="40.35" customHeight="1" x14ac:dyDescent="0.2">
      <c r="A180" s="254"/>
      <c r="B180" s="300"/>
      <c r="C180" s="344" t="s">
        <v>625</v>
      </c>
      <c r="D180" s="231">
        <v>1</v>
      </c>
      <c r="E180" s="232">
        <v>727</v>
      </c>
      <c r="F180" s="232">
        <f t="shared" si="9"/>
        <v>727</v>
      </c>
      <c r="G180" s="255">
        <f t="shared" si="10"/>
        <v>5816</v>
      </c>
    </row>
    <row r="181" spans="1:8" ht="40.35" customHeight="1" x14ac:dyDescent="0.2">
      <c r="A181" s="254"/>
      <c r="B181" s="300"/>
      <c r="C181" s="344" t="s">
        <v>1048</v>
      </c>
      <c r="D181" s="231">
        <v>1</v>
      </c>
      <c r="E181" s="232">
        <v>417</v>
      </c>
      <c r="F181" s="232">
        <f>D181*E181</f>
        <v>417</v>
      </c>
      <c r="G181" s="255">
        <f>F181*1</f>
        <v>417</v>
      </c>
      <c r="H181" s="94" t="s">
        <v>1062</v>
      </c>
    </row>
    <row r="182" spans="1:8" ht="40.35" customHeight="1" x14ac:dyDescent="0.2">
      <c r="A182" s="254"/>
      <c r="B182" s="300"/>
      <c r="C182" s="344" t="s">
        <v>1034</v>
      </c>
      <c r="D182" s="231">
        <v>1</v>
      </c>
      <c r="E182" s="232">
        <v>600</v>
      </c>
      <c r="F182" s="232">
        <f t="shared" si="9"/>
        <v>600</v>
      </c>
      <c r="G182" s="255">
        <f>F182*7</f>
        <v>4200</v>
      </c>
      <c r="H182" s="94" t="s">
        <v>1054</v>
      </c>
    </row>
    <row r="183" spans="1:8" ht="40.35" customHeight="1" x14ac:dyDescent="0.2">
      <c r="A183" s="254"/>
      <c r="B183" s="300"/>
      <c r="C183" s="344" t="s">
        <v>626</v>
      </c>
      <c r="D183" s="231">
        <v>1</v>
      </c>
      <c r="E183" s="232">
        <v>677</v>
      </c>
      <c r="F183" s="232">
        <f t="shared" si="9"/>
        <v>677</v>
      </c>
      <c r="G183" s="255">
        <f t="shared" si="10"/>
        <v>5416</v>
      </c>
    </row>
    <row r="184" spans="1:8" ht="40.35" customHeight="1" x14ac:dyDescent="0.2">
      <c r="A184" s="254"/>
      <c r="B184" s="300"/>
      <c r="C184" s="592" t="s">
        <v>768</v>
      </c>
      <c r="D184" s="590">
        <f>+D170+D171+D172+D173+D174+D175+D176+D177+D178+D179+D180+D181+D182+D183</f>
        <v>15</v>
      </c>
      <c r="E184" s="591">
        <f>+E170+E171+E172+E173+E174+E175+E176+E177+E178+E179+E180+E181+E182+E183</f>
        <v>11326.57</v>
      </c>
      <c r="F184" s="591">
        <f>+F170+F171+F172+F173+F174+F175+F176+F177+F178+F179+F180+F181+F182+F183</f>
        <v>11926.57</v>
      </c>
      <c r="G184" s="836">
        <f>+G170+G171+G172+G173+G174+G175+G176+G177+G178+G179+G180+G181+G182+G183</f>
        <v>84718.56</v>
      </c>
    </row>
    <row r="185" spans="1:8" ht="40.35" customHeight="1" x14ac:dyDescent="0.2">
      <c r="A185" s="254"/>
      <c r="B185" s="300"/>
      <c r="C185" s="344" t="s">
        <v>627</v>
      </c>
      <c r="D185" s="231">
        <v>1</v>
      </c>
      <c r="E185" s="232">
        <v>1300</v>
      </c>
      <c r="F185" s="232">
        <f>D185*E185</f>
        <v>1300</v>
      </c>
      <c r="G185" s="255">
        <f>F185*8</f>
        <v>10400</v>
      </c>
    </row>
    <row r="186" spans="1:8" ht="40.35" customHeight="1" x14ac:dyDescent="0.2">
      <c r="A186" s="254"/>
      <c r="B186" s="300"/>
      <c r="C186" s="344" t="s">
        <v>628</v>
      </c>
      <c r="D186" s="231">
        <v>1</v>
      </c>
      <c r="E186" s="232">
        <v>837</v>
      </c>
      <c r="F186" s="232">
        <f>D186*E186</f>
        <v>837</v>
      </c>
      <c r="G186" s="255">
        <f>F186*8</f>
        <v>6696</v>
      </c>
    </row>
    <row r="187" spans="1:8" ht="40.35" customHeight="1" x14ac:dyDescent="0.2">
      <c r="A187" s="254"/>
      <c r="B187" s="300"/>
      <c r="C187" s="344" t="s">
        <v>629</v>
      </c>
      <c r="D187" s="231">
        <v>1</v>
      </c>
      <c r="E187" s="232">
        <v>797</v>
      </c>
      <c r="F187" s="232">
        <f>D187*E187</f>
        <v>797</v>
      </c>
      <c r="G187" s="255">
        <f>F187*8</f>
        <v>6376</v>
      </c>
    </row>
    <row r="188" spans="1:8" ht="40.35" customHeight="1" x14ac:dyDescent="0.2">
      <c r="A188" s="254"/>
      <c r="B188" s="300"/>
      <c r="C188" s="344" t="s">
        <v>1042</v>
      </c>
      <c r="D188" s="234">
        <v>1</v>
      </c>
      <c r="E188" s="235">
        <v>700</v>
      </c>
      <c r="F188" s="232">
        <f>D188*E188</f>
        <v>700</v>
      </c>
      <c r="G188" s="255">
        <f>F188*7</f>
        <v>4900</v>
      </c>
      <c r="H188" s="94" t="s">
        <v>1054</v>
      </c>
    </row>
    <row r="189" spans="1:8" ht="40.35" customHeight="1" x14ac:dyDescent="0.2">
      <c r="A189" s="504"/>
      <c r="B189" s="300"/>
      <c r="C189" s="344" t="s">
        <v>1043</v>
      </c>
      <c r="D189" s="234">
        <v>1</v>
      </c>
      <c r="E189" s="235">
        <v>600</v>
      </c>
      <c r="F189" s="232">
        <f>D189*E189</f>
        <v>600</v>
      </c>
      <c r="G189" s="255">
        <f>F189*8</f>
        <v>4800</v>
      </c>
    </row>
    <row r="190" spans="1:8" ht="40.35" customHeight="1" x14ac:dyDescent="0.2">
      <c r="A190" s="504"/>
      <c r="B190" s="300"/>
      <c r="C190" s="592" t="s">
        <v>769</v>
      </c>
      <c r="D190" s="596">
        <f>+D185+D186+D187+D188+D189</f>
        <v>5</v>
      </c>
      <c r="E190" s="597">
        <f>+E185+E186+E187+E188+E189</f>
        <v>4234</v>
      </c>
      <c r="F190" s="597">
        <f>+F185+F186+F187+F188+F189</f>
        <v>4234</v>
      </c>
      <c r="G190" s="837">
        <f>+G185+G186+G187+G188+G189</f>
        <v>33172</v>
      </c>
    </row>
    <row r="191" spans="1:8" ht="40.35" customHeight="1" thickBot="1" x14ac:dyDescent="0.25">
      <c r="A191" s="504"/>
      <c r="B191" s="507"/>
      <c r="C191" s="508" t="s">
        <v>224</v>
      </c>
      <c r="D191" s="316">
        <f>+D141+D161+D165+D169+D184+D190</f>
        <v>54</v>
      </c>
      <c r="E191" s="509">
        <f>+E141+E161+E165+E169+E184+E190</f>
        <v>42368.14</v>
      </c>
      <c r="F191" s="509">
        <f>+F141+F161+F165+F169+F184+F190</f>
        <v>43385.14</v>
      </c>
      <c r="G191" s="838">
        <f>+G141+G161+G165+G169+G184+G190</f>
        <v>331226.12</v>
      </c>
    </row>
    <row r="192" spans="1:8" ht="49.35" customHeight="1" x14ac:dyDescent="0.2">
      <c r="A192" s="501"/>
      <c r="B192" s="1218" t="s">
        <v>630</v>
      </c>
      <c r="C192" s="1219"/>
      <c r="D192" s="593"/>
      <c r="E192" s="594"/>
      <c r="F192" s="594"/>
      <c r="G192" s="595"/>
    </row>
    <row r="193" spans="1:9" ht="40.35" customHeight="1" x14ac:dyDescent="0.2">
      <c r="A193" s="1213"/>
      <c r="B193" s="300"/>
      <c r="C193" s="344" t="s">
        <v>1065</v>
      </c>
      <c r="D193" s="231">
        <v>1</v>
      </c>
      <c r="E193" s="232">
        <v>1000</v>
      </c>
      <c r="F193" s="232">
        <f t="shared" ref="F193:F198" si="11">D193*E193</f>
        <v>1000</v>
      </c>
      <c r="G193" s="255">
        <f>F193*7</f>
        <v>7000</v>
      </c>
      <c r="H193" s="94" t="s">
        <v>1058</v>
      </c>
    </row>
    <row r="194" spans="1:9" ht="40.35" customHeight="1" x14ac:dyDescent="0.2">
      <c r="A194" s="1213"/>
      <c r="B194" s="300"/>
      <c r="C194" s="344" t="s">
        <v>631</v>
      </c>
      <c r="D194" s="231">
        <v>1</v>
      </c>
      <c r="E194" s="232">
        <v>1000</v>
      </c>
      <c r="F194" s="232">
        <f t="shared" si="11"/>
        <v>1000</v>
      </c>
      <c r="G194" s="255">
        <f>F194*8</f>
        <v>8000</v>
      </c>
    </row>
    <row r="195" spans="1:9" ht="40.35" customHeight="1" x14ac:dyDescent="0.2">
      <c r="A195" s="1213"/>
      <c r="B195" s="300"/>
      <c r="C195" s="344" t="s">
        <v>632</v>
      </c>
      <c r="D195" s="231">
        <v>1</v>
      </c>
      <c r="E195" s="232">
        <v>500</v>
      </c>
      <c r="F195" s="232">
        <f t="shared" si="11"/>
        <v>500</v>
      </c>
      <c r="G195" s="255">
        <f>F195*8</f>
        <v>4000</v>
      </c>
    </row>
    <row r="196" spans="1:9" ht="40.35" customHeight="1" x14ac:dyDescent="0.2">
      <c r="A196" s="1213"/>
      <c r="B196" s="300"/>
      <c r="C196" s="344" t="s">
        <v>633</v>
      </c>
      <c r="D196" s="231">
        <v>1</v>
      </c>
      <c r="E196" s="232">
        <v>700</v>
      </c>
      <c r="F196" s="232">
        <f t="shared" si="11"/>
        <v>700</v>
      </c>
      <c r="G196" s="255">
        <f>F196*8</f>
        <v>5600</v>
      </c>
    </row>
    <row r="197" spans="1:9" ht="40.35" customHeight="1" x14ac:dyDescent="0.2">
      <c r="A197" s="1213"/>
      <c r="B197" s="300"/>
      <c r="C197" s="344" t="s">
        <v>634</v>
      </c>
      <c r="D197" s="231">
        <v>1</v>
      </c>
      <c r="E197" s="232">
        <v>697</v>
      </c>
      <c r="F197" s="233">
        <f t="shared" si="11"/>
        <v>697</v>
      </c>
      <c r="G197" s="255">
        <f>F197*8</f>
        <v>5576</v>
      </c>
    </row>
    <row r="198" spans="1:9" ht="40.35" customHeight="1" x14ac:dyDescent="0.2">
      <c r="A198" s="1213"/>
      <c r="B198" s="300"/>
      <c r="C198" s="344" t="s">
        <v>635</v>
      </c>
      <c r="D198" s="231">
        <v>1</v>
      </c>
      <c r="E198" s="232">
        <v>677</v>
      </c>
      <c r="F198" s="232">
        <f t="shared" si="11"/>
        <v>677</v>
      </c>
      <c r="G198" s="255">
        <f>F198*8</f>
        <v>5416</v>
      </c>
    </row>
    <row r="199" spans="1:9" ht="45" customHeight="1" x14ac:dyDescent="0.2">
      <c r="A199" s="1213"/>
      <c r="B199" s="300"/>
      <c r="C199" s="592" t="s">
        <v>770</v>
      </c>
      <c r="D199" s="590">
        <f>+D193+D194+D195+D196+D197+D198</f>
        <v>6</v>
      </c>
      <c r="E199" s="591">
        <f>+E193+E194+E195+E196+E197+E198</f>
        <v>4574</v>
      </c>
      <c r="F199" s="591">
        <f>+F193+F194+F195+F196+F197+F198</f>
        <v>4574</v>
      </c>
      <c r="G199" s="836">
        <f>+G193+G194+G195+G196+G197+G198</f>
        <v>35592</v>
      </c>
    </row>
    <row r="200" spans="1:9" ht="40.35" customHeight="1" x14ac:dyDescent="0.2">
      <c r="A200" s="1213"/>
      <c r="B200" s="300"/>
      <c r="C200" s="344" t="s">
        <v>636</v>
      </c>
      <c r="D200" s="231">
        <v>1</v>
      </c>
      <c r="E200" s="232">
        <v>1000</v>
      </c>
      <c r="F200" s="232">
        <f t="shared" ref="F200:F211" si="12">D200*E200</f>
        <v>1000</v>
      </c>
      <c r="G200" s="255">
        <f>F200*8</f>
        <v>8000</v>
      </c>
    </row>
    <row r="201" spans="1:9" ht="40.35" customHeight="1" x14ac:dyDescent="0.2">
      <c r="A201" s="1213"/>
      <c r="B201" s="300"/>
      <c r="C201" s="344" t="s">
        <v>637</v>
      </c>
      <c r="D201" s="234">
        <v>1</v>
      </c>
      <c r="E201" s="235">
        <v>700</v>
      </c>
      <c r="F201" s="233">
        <f t="shared" si="12"/>
        <v>700</v>
      </c>
      <c r="G201" s="255">
        <f t="shared" ref="G201:G211" si="13">F201*8</f>
        <v>5600</v>
      </c>
    </row>
    <row r="202" spans="1:9" ht="40.35" customHeight="1" x14ac:dyDescent="0.2">
      <c r="A202" s="1213"/>
      <c r="B202" s="300"/>
      <c r="C202" s="344" t="s">
        <v>638</v>
      </c>
      <c r="D202" s="231">
        <v>1</v>
      </c>
      <c r="E202" s="232">
        <v>697</v>
      </c>
      <c r="F202" s="232">
        <f t="shared" si="12"/>
        <v>697</v>
      </c>
      <c r="G202" s="255">
        <f t="shared" si="13"/>
        <v>5576</v>
      </c>
    </row>
    <row r="203" spans="1:9" ht="40.35" customHeight="1" x14ac:dyDescent="0.2">
      <c r="A203" s="1213"/>
      <c r="B203" s="300"/>
      <c r="C203" s="344" t="s">
        <v>638</v>
      </c>
      <c r="D203" s="231">
        <v>2</v>
      </c>
      <c r="E203" s="232">
        <v>597</v>
      </c>
      <c r="F203" s="232">
        <f t="shared" si="12"/>
        <v>1194</v>
      </c>
      <c r="G203" s="255">
        <f t="shared" si="13"/>
        <v>9552</v>
      </c>
    </row>
    <row r="204" spans="1:9" ht="40.35" customHeight="1" x14ac:dyDescent="0.2">
      <c r="A204" s="1213"/>
      <c r="B204" s="300"/>
      <c r="C204" s="344" t="s">
        <v>638</v>
      </c>
      <c r="D204" s="146">
        <v>1</v>
      </c>
      <c r="E204" s="147">
        <v>742</v>
      </c>
      <c r="F204" s="232">
        <f t="shared" si="12"/>
        <v>742</v>
      </c>
      <c r="G204" s="255">
        <f t="shared" si="13"/>
        <v>5936</v>
      </c>
    </row>
    <row r="205" spans="1:9" ht="40.35" customHeight="1" x14ac:dyDescent="0.2">
      <c r="A205" s="432"/>
      <c r="B205" s="300"/>
      <c r="C205" s="344" t="s">
        <v>639</v>
      </c>
      <c r="D205" s="231">
        <v>2</v>
      </c>
      <c r="E205" s="232">
        <v>517</v>
      </c>
      <c r="F205" s="232">
        <f t="shared" si="12"/>
        <v>1034</v>
      </c>
      <c r="G205" s="255">
        <f t="shared" si="13"/>
        <v>8272</v>
      </c>
    </row>
    <row r="206" spans="1:9" ht="40.35" customHeight="1" x14ac:dyDescent="0.2">
      <c r="A206" s="433"/>
      <c r="B206" s="300"/>
      <c r="C206" s="344" t="s">
        <v>639</v>
      </c>
      <c r="D206" s="231">
        <v>1</v>
      </c>
      <c r="E206" s="232">
        <v>517</v>
      </c>
      <c r="F206" s="232">
        <f t="shared" si="12"/>
        <v>517</v>
      </c>
      <c r="G206" s="255">
        <f>F206*1</f>
        <v>517</v>
      </c>
      <c r="H206" s="94" t="s">
        <v>1068</v>
      </c>
      <c r="I206" s="94" t="s">
        <v>1124</v>
      </c>
    </row>
    <row r="207" spans="1:9" ht="40.35" customHeight="1" x14ac:dyDescent="0.2">
      <c r="A207" s="433"/>
      <c r="B207" s="300"/>
      <c r="C207" s="344" t="s">
        <v>639</v>
      </c>
      <c r="D207" s="231">
        <v>1</v>
      </c>
      <c r="E207" s="232">
        <v>417</v>
      </c>
      <c r="F207" s="232">
        <f t="shared" si="12"/>
        <v>417</v>
      </c>
      <c r="G207" s="255">
        <f>F207*7</f>
        <v>2919</v>
      </c>
      <c r="H207" s="94" t="s">
        <v>1058</v>
      </c>
      <c r="I207" s="94" t="s">
        <v>1124</v>
      </c>
    </row>
    <row r="208" spans="1:9" ht="40.35" customHeight="1" x14ac:dyDescent="0.2">
      <c r="A208" s="433"/>
      <c r="B208" s="300"/>
      <c r="C208" s="344" t="s">
        <v>639</v>
      </c>
      <c r="D208" s="231">
        <v>1</v>
      </c>
      <c r="E208" s="232">
        <v>500</v>
      </c>
      <c r="F208" s="232">
        <f t="shared" si="12"/>
        <v>500</v>
      </c>
      <c r="G208" s="255">
        <f t="shared" si="13"/>
        <v>4000</v>
      </c>
    </row>
    <row r="209" spans="1:8" ht="40.35" customHeight="1" x14ac:dyDescent="0.2">
      <c r="A209" s="433"/>
      <c r="B209" s="300"/>
      <c r="C209" s="344" t="s">
        <v>639</v>
      </c>
      <c r="D209" s="231">
        <v>1</v>
      </c>
      <c r="E209" s="232">
        <v>567</v>
      </c>
      <c r="F209" s="232">
        <f t="shared" si="12"/>
        <v>567</v>
      </c>
      <c r="G209" s="255">
        <f t="shared" si="13"/>
        <v>4536</v>
      </c>
    </row>
    <row r="210" spans="1:8" ht="40.35" customHeight="1" x14ac:dyDescent="0.2">
      <c r="A210" s="433"/>
      <c r="B210" s="300"/>
      <c r="C210" s="344" t="s">
        <v>639</v>
      </c>
      <c r="D210" s="231">
        <v>1</v>
      </c>
      <c r="E210" s="232">
        <v>700</v>
      </c>
      <c r="F210" s="232">
        <f t="shared" si="12"/>
        <v>700</v>
      </c>
      <c r="G210" s="255">
        <f>F210*4</f>
        <v>2800</v>
      </c>
      <c r="H210" s="94" t="s">
        <v>1064</v>
      </c>
    </row>
    <row r="211" spans="1:8" ht="40.35" customHeight="1" x14ac:dyDescent="0.2">
      <c r="A211" s="433"/>
      <c r="B211" s="300"/>
      <c r="C211" s="344" t="s">
        <v>640</v>
      </c>
      <c r="D211" s="231">
        <v>2</v>
      </c>
      <c r="E211" s="232">
        <v>417</v>
      </c>
      <c r="F211" s="232">
        <f t="shared" si="12"/>
        <v>834</v>
      </c>
      <c r="G211" s="255">
        <f t="shared" si="13"/>
        <v>6672</v>
      </c>
    </row>
    <row r="212" spans="1:8" ht="40.35" customHeight="1" thickBot="1" x14ac:dyDescent="0.25">
      <c r="A212" s="433"/>
      <c r="B212" s="249"/>
      <c r="C212" s="589" t="s">
        <v>771</v>
      </c>
      <c r="D212" s="848">
        <f>+D200+D201+D202+D203+D204+D205+D206+D208+D209+D210+D211+D207</f>
        <v>15</v>
      </c>
      <c r="E212" s="849">
        <f>+E200+E201+E202+E203+E204+E205+E206+E208+E209+E210+E211+E207</f>
        <v>7371</v>
      </c>
      <c r="F212" s="849">
        <f>+F200+F201+F202+F203+F204+F205+F206+F208+F209+F210+F211+F207</f>
        <v>8902</v>
      </c>
      <c r="G212" s="850">
        <f>+G200+G201+G202+G203+G204+G205+G206+G208+G209+G210+G211+G207</f>
        <v>64380</v>
      </c>
    </row>
    <row r="213" spans="1:8" ht="40.35" customHeight="1" x14ac:dyDescent="0.2">
      <c r="A213" s="434"/>
      <c r="B213" s="857"/>
      <c r="C213" s="844" t="s">
        <v>894</v>
      </c>
      <c r="D213" s="845">
        <v>1</v>
      </c>
      <c r="E213" s="846">
        <v>1300</v>
      </c>
      <c r="F213" s="846">
        <f>D213*E213</f>
        <v>1300</v>
      </c>
      <c r="G213" s="847">
        <f>F213*8</f>
        <v>10400</v>
      </c>
    </row>
    <row r="214" spans="1:8" ht="40.35" customHeight="1" x14ac:dyDescent="0.2">
      <c r="A214" s="434"/>
      <c r="B214" s="858"/>
      <c r="C214" s="344" t="s">
        <v>641</v>
      </c>
      <c r="D214" s="231">
        <v>1</v>
      </c>
      <c r="E214" s="232">
        <v>777</v>
      </c>
      <c r="F214" s="232">
        <f>D214*E214</f>
        <v>777</v>
      </c>
      <c r="G214" s="255">
        <f>F214*8</f>
        <v>6216</v>
      </c>
    </row>
    <row r="215" spans="1:8" ht="40.35" customHeight="1" x14ac:dyDescent="0.2">
      <c r="A215" s="434"/>
      <c r="B215" s="858"/>
      <c r="C215" s="344" t="s">
        <v>642</v>
      </c>
      <c r="D215" s="231">
        <v>1</v>
      </c>
      <c r="E215" s="232">
        <v>780</v>
      </c>
      <c r="F215" s="232">
        <f>D215*E215</f>
        <v>780</v>
      </c>
      <c r="G215" s="255">
        <f>F215*8</f>
        <v>6240</v>
      </c>
    </row>
    <row r="216" spans="1:8" ht="40.35" customHeight="1" x14ac:dyDescent="0.2">
      <c r="A216" s="434"/>
      <c r="B216" s="858"/>
      <c r="C216" s="344" t="s">
        <v>642</v>
      </c>
      <c r="D216" s="231">
        <v>2</v>
      </c>
      <c r="E216" s="232">
        <v>417</v>
      </c>
      <c r="F216" s="232">
        <f t="shared" ref="F216:F250" si="14">D216*E216</f>
        <v>834</v>
      </c>
      <c r="G216" s="255">
        <f>F216*8</f>
        <v>6672</v>
      </c>
    </row>
    <row r="217" spans="1:8" ht="40.35" customHeight="1" x14ac:dyDescent="0.2">
      <c r="A217" s="434"/>
      <c r="B217" s="858"/>
      <c r="C217" s="344" t="s">
        <v>642</v>
      </c>
      <c r="D217" s="231">
        <v>1</v>
      </c>
      <c r="E217" s="232">
        <v>567</v>
      </c>
      <c r="F217" s="232">
        <f>D217*E217</f>
        <v>567</v>
      </c>
      <c r="G217" s="255">
        <f>F217*8</f>
        <v>4536</v>
      </c>
    </row>
    <row r="218" spans="1:8" ht="40.35" customHeight="1" x14ac:dyDescent="0.2">
      <c r="A218" s="434"/>
      <c r="B218" s="858"/>
      <c r="C218" s="592" t="s">
        <v>773</v>
      </c>
      <c r="D218" s="590">
        <f>+D214+D215+D216+D213+D217</f>
        <v>6</v>
      </c>
      <c r="E218" s="591">
        <f>+E213+E214+E215+E216+E217</f>
        <v>3841</v>
      </c>
      <c r="F218" s="591">
        <f>+F213+F214+F215+F216+F217</f>
        <v>4258</v>
      </c>
      <c r="G218" s="836">
        <f>+G213+G214+G215+G216+G217</f>
        <v>34064</v>
      </c>
    </row>
    <row r="219" spans="1:8" ht="40.35" customHeight="1" x14ac:dyDescent="0.2">
      <c r="A219" s="434"/>
      <c r="B219" s="858"/>
      <c r="C219" s="344" t="s">
        <v>643</v>
      </c>
      <c r="D219" s="231">
        <v>1</v>
      </c>
      <c r="E219" s="232">
        <v>700</v>
      </c>
      <c r="F219" s="232">
        <f t="shared" si="14"/>
        <v>700</v>
      </c>
      <c r="G219" s="255">
        <f>F219*8</f>
        <v>5600</v>
      </c>
    </row>
    <row r="220" spans="1:8" ht="40.35" customHeight="1" x14ac:dyDescent="0.2">
      <c r="A220" s="434"/>
      <c r="B220" s="858"/>
      <c r="C220" s="344" t="s">
        <v>708</v>
      </c>
      <c r="D220" s="231">
        <v>1</v>
      </c>
      <c r="E220" s="232">
        <v>700</v>
      </c>
      <c r="F220" s="232">
        <f t="shared" si="14"/>
        <v>700</v>
      </c>
      <c r="G220" s="255">
        <f>F220*7</f>
        <v>4900</v>
      </c>
      <c r="H220" s="94" t="s">
        <v>1054</v>
      </c>
    </row>
    <row r="221" spans="1:8" ht="40.35" customHeight="1" x14ac:dyDescent="0.2">
      <c r="A221" s="434"/>
      <c r="B221" s="858"/>
      <c r="C221" s="344" t="s">
        <v>981</v>
      </c>
      <c r="D221" s="231">
        <v>1</v>
      </c>
      <c r="E221" s="232">
        <v>417</v>
      </c>
      <c r="F221" s="232">
        <f t="shared" si="14"/>
        <v>417</v>
      </c>
      <c r="G221" s="255">
        <f>F221*4</f>
        <v>1668</v>
      </c>
      <c r="H221" s="94" t="s">
        <v>1064</v>
      </c>
    </row>
    <row r="222" spans="1:8" ht="40.35" customHeight="1" x14ac:dyDescent="0.2">
      <c r="A222" s="434"/>
      <c r="B222" s="858"/>
      <c r="C222" s="344" t="s">
        <v>751</v>
      </c>
      <c r="D222" s="231">
        <v>1</v>
      </c>
      <c r="E222" s="232">
        <v>417</v>
      </c>
      <c r="F222" s="232">
        <f>D222*E222</f>
        <v>417</v>
      </c>
      <c r="G222" s="255">
        <f>F222*8</f>
        <v>3336</v>
      </c>
    </row>
    <row r="223" spans="1:8" ht="40.35" customHeight="1" x14ac:dyDescent="0.2">
      <c r="A223" s="434"/>
      <c r="B223" s="858"/>
      <c r="C223" s="589" t="s">
        <v>772</v>
      </c>
      <c r="D223" s="590">
        <f>+D219+D220+D221+D222</f>
        <v>4</v>
      </c>
      <c r="E223" s="591">
        <f>+E219+E220+E221+E222</f>
        <v>2234</v>
      </c>
      <c r="F223" s="591">
        <f>+F219+F220+F221+F222</f>
        <v>2234</v>
      </c>
      <c r="G223" s="836">
        <f>+G219+G220+G221+G222</f>
        <v>15504</v>
      </c>
    </row>
    <row r="224" spans="1:8" ht="39.75" customHeight="1" x14ac:dyDescent="0.2">
      <c r="A224" s="434"/>
      <c r="B224" s="858"/>
      <c r="C224" s="502" t="s">
        <v>644</v>
      </c>
      <c r="D224" s="231">
        <v>1</v>
      </c>
      <c r="E224" s="232">
        <v>1200</v>
      </c>
      <c r="F224" s="232">
        <f t="shared" si="14"/>
        <v>1200</v>
      </c>
      <c r="G224" s="255">
        <f>F224*8</f>
        <v>9600</v>
      </c>
    </row>
    <row r="225" spans="1:8" ht="40.35" customHeight="1" x14ac:dyDescent="0.2">
      <c r="A225" s="434"/>
      <c r="B225" s="858"/>
      <c r="C225" s="502" t="s">
        <v>645</v>
      </c>
      <c r="D225" s="231">
        <v>1</v>
      </c>
      <c r="E225" s="232">
        <v>925</v>
      </c>
      <c r="F225" s="232">
        <f t="shared" si="14"/>
        <v>925</v>
      </c>
      <c r="G225" s="255">
        <f>F225*8</f>
        <v>7400</v>
      </c>
    </row>
    <row r="226" spans="1:8" ht="40.35" customHeight="1" x14ac:dyDescent="0.2">
      <c r="A226" s="434"/>
      <c r="B226" s="858"/>
      <c r="C226" s="502" t="s">
        <v>646</v>
      </c>
      <c r="D226" s="231">
        <v>1</v>
      </c>
      <c r="E226" s="232">
        <v>700</v>
      </c>
      <c r="F226" s="232">
        <f t="shared" si="14"/>
        <v>700</v>
      </c>
      <c r="G226" s="255">
        <f>F226*8</f>
        <v>5600</v>
      </c>
    </row>
    <row r="227" spans="1:8" ht="40.35" customHeight="1" x14ac:dyDescent="0.2">
      <c r="A227" s="434"/>
      <c r="B227" s="858"/>
      <c r="C227" s="344" t="s">
        <v>647</v>
      </c>
      <c r="D227" s="231">
        <v>1</v>
      </c>
      <c r="E227" s="232">
        <v>547</v>
      </c>
      <c r="F227" s="232">
        <f t="shared" si="14"/>
        <v>547</v>
      </c>
      <c r="G227" s="255">
        <f>F227*8</f>
        <v>4376</v>
      </c>
    </row>
    <row r="228" spans="1:8" ht="40.35" customHeight="1" x14ac:dyDescent="0.2">
      <c r="A228" s="434"/>
      <c r="B228" s="858"/>
      <c r="C228" s="344" t="s">
        <v>648</v>
      </c>
      <c r="D228" s="310">
        <v>1</v>
      </c>
      <c r="E228" s="232">
        <v>750</v>
      </c>
      <c r="F228" s="232">
        <f t="shared" si="14"/>
        <v>750</v>
      </c>
      <c r="G228" s="255">
        <f>F228*8</f>
        <v>6000</v>
      </c>
    </row>
    <row r="229" spans="1:8" ht="40.35" customHeight="1" x14ac:dyDescent="0.2">
      <c r="A229" s="434"/>
      <c r="B229" s="867"/>
      <c r="C229" s="344" t="s">
        <v>1066</v>
      </c>
      <c r="D229" s="310">
        <v>1</v>
      </c>
      <c r="E229" s="232">
        <v>750</v>
      </c>
      <c r="F229" s="232">
        <f>D229*E229</f>
        <v>750</v>
      </c>
      <c r="G229" s="255">
        <f>F229*4</f>
        <v>3000</v>
      </c>
      <c r="H229" s="94" t="s">
        <v>1064</v>
      </c>
    </row>
    <row r="230" spans="1:8" ht="40.35" customHeight="1" x14ac:dyDescent="0.2">
      <c r="A230" s="434"/>
      <c r="B230" s="867"/>
      <c r="C230" s="586" t="s">
        <v>774</v>
      </c>
      <c r="D230" s="587">
        <f>+D224+D225+D226+D227+D228+D229</f>
        <v>6</v>
      </c>
      <c r="E230" s="588">
        <f>+E224+E225+E226+E227+E228+E229</f>
        <v>4872</v>
      </c>
      <c r="F230" s="588">
        <f>+F224+F225+F226+F227+F228+F229</f>
        <v>4872</v>
      </c>
      <c r="G230" s="839">
        <f>+G224+G225+G226+G227+G228+G229</f>
        <v>35976</v>
      </c>
    </row>
    <row r="231" spans="1:8" ht="40.35" customHeight="1" x14ac:dyDescent="0.2">
      <c r="A231" s="434"/>
      <c r="B231" s="867"/>
      <c r="C231" s="503" t="s">
        <v>649</v>
      </c>
      <c r="D231" s="310">
        <v>1</v>
      </c>
      <c r="E231" s="312">
        <v>700</v>
      </c>
      <c r="F231" s="312">
        <f t="shared" si="14"/>
        <v>700</v>
      </c>
      <c r="G231" s="313">
        <f>F231*8</f>
        <v>5600</v>
      </c>
    </row>
    <row r="232" spans="1:8" ht="40.35" customHeight="1" x14ac:dyDescent="0.2">
      <c r="A232" s="434"/>
      <c r="B232" s="867"/>
      <c r="C232" s="503" t="s">
        <v>650</v>
      </c>
      <c r="D232" s="310">
        <v>1</v>
      </c>
      <c r="E232" s="312">
        <v>417</v>
      </c>
      <c r="F232" s="312">
        <f t="shared" si="14"/>
        <v>417</v>
      </c>
      <c r="G232" s="313">
        <f>F232*8</f>
        <v>3336</v>
      </c>
    </row>
    <row r="233" spans="1:8" ht="40.35" customHeight="1" x14ac:dyDescent="0.2">
      <c r="A233" s="434"/>
      <c r="B233" s="867"/>
      <c r="C233" s="503" t="s">
        <v>651</v>
      </c>
      <c r="D233" s="310">
        <v>1</v>
      </c>
      <c r="E233" s="312">
        <v>417</v>
      </c>
      <c r="F233" s="312">
        <f t="shared" si="14"/>
        <v>417</v>
      </c>
      <c r="G233" s="313">
        <f>F233*8</f>
        <v>3336</v>
      </c>
    </row>
    <row r="234" spans="1:8" ht="40.35" customHeight="1" thickBot="1" x14ac:dyDescent="0.25">
      <c r="A234" s="434"/>
      <c r="B234" s="324"/>
      <c r="C234" s="868" t="s">
        <v>775</v>
      </c>
      <c r="D234" s="869">
        <f>+D231+D232+D233</f>
        <v>3</v>
      </c>
      <c r="E234" s="870">
        <f>+E231+E232+E233</f>
        <v>1534</v>
      </c>
      <c r="F234" s="870">
        <f>+F231+F232+F233</f>
        <v>1534</v>
      </c>
      <c r="G234" s="871">
        <f>+G231+G232+G233</f>
        <v>12272</v>
      </c>
    </row>
    <row r="235" spans="1:8" ht="40.35" customHeight="1" x14ac:dyDescent="0.2">
      <c r="A235" s="434"/>
      <c r="B235" s="857"/>
      <c r="C235" s="844" t="s">
        <v>999</v>
      </c>
      <c r="D235" s="845">
        <v>1</v>
      </c>
      <c r="E235" s="846">
        <v>547</v>
      </c>
      <c r="F235" s="846">
        <f t="shared" si="14"/>
        <v>547</v>
      </c>
      <c r="G235" s="847">
        <f>F235*8</f>
        <v>4376</v>
      </c>
    </row>
    <row r="236" spans="1:8" ht="40.35" customHeight="1" x14ac:dyDescent="0.2">
      <c r="A236" s="434"/>
      <c r="B236" s="858"/>
      <c r="C236" s="344" t="s">
        <v>747</v>
      </c>
      <c r="D236" s="231">
        <v>1</v>
      </c>
      <c r="E236" s="232">
        <v>417</v>
      </c>
      <c r="F236" s="232">
        <f t="shared" si="14"/>
        <v>417</v>
      </c>
      <c r="G236" s="255">
        <f>F236*8</f>
        <v>3336</v>
      </c>
    </row>
    <row r="237" spans="1:8" ht="40.35" customHeight="1" x14ac:dyDescent="0.2">
      <c r="A237" s="434"/>
      <c r="B237" s="858"/>
      <c r="C237" s="592" t="s">
        <v>776</v>
      </c>
      <c r="D237" s="590">
        <f>+D235+D236</f>
        <v>2</v>
      </c>
      <c r="E237" s="591">
        <f>+E235+E236</f>
        <v>964</v>
      </c>
      <c r="F237" s="591">
        <f>+F235+F236</f>
        <v>964</v>
      </c>
      <c r="G237" s="836">
        <f>+G235+G236</f>
        <v>7712</v>
      </c>
    </row>
    <row r="238" spans="1:8" ht="40.35" customHeight="1" x14ac:dyDescent="0.2">
      <c r="A238" s="434"/>
      <c r="B238" s="858"/>
      <c r="C238" s="344" t="s">
        <v>777</v>
      </c>
      <c r="D238" s="231">
        <v>1</v>
      </c>
      <c r="E238" s="232">
        <v>600</v>
      </c>
      <c r="F238" s="232">
        <v>600</v>
      </c>
      <c r="G238" s="255">
        <f>F238*8</f>
        <v>4800</v>
      </c>
    </row>
    <row r="239" spans="1:8" ht="40.35" customHeight="1" x14ac:dyDescent="0.2">
      <c r="A239" s="434"/>
      <c r="B239" s="858"/>
      <c r="C239" s="344" t="s">
        <v>652</v>
      </c>
      <c r="D239" s="231">
        <v>1</v>
      </c>
      <c r="E239" s="232">
        <v>500</v>
      </c>
      <c r="F239" s="232">
        <f t="shared" si="14"/>
        <v>500</v>
      </c>
      <c r="G239" s="255">
        <f>F239*8</f>
        <v>4000</v>
      </c>
    </row>
    <row r="240" spans="1:8" ht="40.35" customHeight="1" x14ac:dyDescent="0.2">
      <c r="A240" s="434"/>
      <c r="B240" s="858"/>
      <c r="C240" s="592" t="s">
        <v>778</v>
      </c>
      <c r="D240" s="590">
        <f>+D238+D239</f>
        <v>2</v>
      </c>
      <c r="E240" s="591">
        <f>+E238+E239</f>
        <v>1100</v>
      </c>
      <c r="F240" s="591">
        <f>+F238+F239</f>
        <v>1100</v>
      </c>
      <c r="G240" s="836">
        <f>+G238+G239</f>
        <v>8800</v>
      </c>
    </row>
    <row r="241" spans="1:7" ht="40.35" customHeight="1" x14ac:dyDescent="0.2">
      <c r="A241" s="434"/>
      <c r="B241" s="858"/>
      <c r="C241" s="344" t="s">
        <v>653</v>
      </c>
      <c r="D241" s="231">
        <v>1</v>
      </c>
      <c r="E241" s="232">
        <v>700</v>
      </c>
      <c r="F241" s="232">
        <f t="shared" si="14"/>
        <v>700</v>
      </c>
      <c r="G241" s="255">
        <f>F241*8</f>
        <v>5600</v>
      </c>
    </row>
    <row r="242" spans="1:7" ht="40.35" customHeight="1" x14ac:dyDescent="0.2">
      <c r="A242" s="434"/>
      <c r="B242" s="858"/>
      <c r="C242" s="344" t="s">
        <v>780</v>
      </c>
      <c r="D242" s="231">
        <v>1</v>
      </c>
      <c r="E242" s="232">
        <v>547</v>
      </c>
      <c r="F242" s="232">
        <f t="shared" si="14"/>
        <v>547</v>
      </c>
      <c r="G242" s="255">
        <f>F242*8</f>
        <v>4376</v>
      </c>
    </row>
    <row r="243" spans="1:7" ht="40.35" customHeight="1" x14ac:dyDescent="0.2">
      <c r="A243" s="434"/>
      <c r="B243" s="858"/>
      <c r="C243" s="344" t="s">
        <v>747</v>
      </c>
      <c r="D243" s="231">
        <v>1</v>
      </c>
      <c r="E243" s="232">
        <v>417</v>
      </c>
      <c r="F243" s="232">
        <f t="shared" si="14"/>
        <v>417</v>
      </c>
      <c r="G243" s="255">
        <f>F243*8</f>
        <v>3336</v>
      </c>
    </row>
    <row r="244" spans="1:7" ht="40.35" customHeight="1" x14ac:dyDescent="0.2">
      <c r="A244" s="434"/>
      <c r="B244" s="858"/>
      <c r="C244" s="592" t="s">
        <v>779</v>
      </c>
      <c r="D244" s="590">
        <f>+D241+D242+D243</f>
        <v>3</v>
      </c>
      <c r="E244" s="591">
        <f>+E241+E242+E243</f>
        <v>1664</v>
      </c>
      <c r="F244" s="591">
        <f>+F241+F242+F243</f>
        <v>1664</v>
      </c>
      <c r="G244" s="836">
        <f>+G241+G242+G243</f>
        <v>13312</v>
      </c>
    </row>
    <row r="245" spans="1:7" ht="40.35" customHeight="1" x14ac:dyDescent="0.2">
      <c r="A245" s="434"/>
      <c r="B245" s="858"/>
      <c r="C245" s="344" t="s">
        <v>654</v>
      </c>
      <c r="D245" s="231">
        <v>1</v>
      </c>
      <c r="E245" s="232">
        <v>700</v>
      </c>
      <c r="F245" s="232">
        <f t="shared" si="14"/>
        <v>700</v>
      </c>
      <c r="G245" s="255">
        <f>F245*8</f>
        <v>5600</v>
      </c>
    </row>
    <row r="246" spans="1:7" ht="40.35" customHeight="1" x14ac:dyDescent="0.2">
      <c r="A246" s="434"/>
      <c r="B246" s="858"/>
      <c r="C246" s="344" t="s">
        <v>655</v>
      </c>
      <c r="D246" s="231">
        <v>1</v>
      </c>
      <c r="E246" s="232">
        <v>700</v>
      </c>
      <c r="F246" s="232">
        <f t="shared" si="14"/>
        <v>700</v>
      </c>
      <c r="G246" s="255">
        <f>F246*8</f>
        <v>5600</v>
      </c>
    </row>
    <row r="247" spans="1:7" ht="40.35" customHeight="1" x14ac:dyDescent="0.2">
      <c r="A247" s="434"/>
      <c r="B247" s="858"/>
      <c r="C247" s="344" t="s">
        <v>656</v>
      </c>
      <c r="D247" s="231">
        <v>4</v>
      </c>
      <c r="E247" s="232">
        <v>417</v>
      </c>
      <c r="F247" s="232">
        <f t="shared" si="14"/>
        <v>1668</v>
      </c>
      <c r="G247" s="255">
        <f>F247*8</f>
        <v>13344</v>
      </c>
    </row>
    <row r="248" spans="1:7" ht="40.35" customHeight="1" x14ac:dyDescent="0.2">
      <c r="A248" s="434"/>
      <c r="B248" s="858"/>
      <c r="C248" s="344" t="s">
        <v>656</v>
      </c>
      <c r="D248" s="231">
        <v>1</v>
      </c>
      <c r="E248" s="232">
        <v>597</v>
      </c>
      <c r="F248" s="232">
        <f t="shared" si="14"/>
        <v>597</v>
      </c>
      <c r="G248" s="255">
        <f>F248*8</f>
        <v>4776</v>
      </c>
    </row>
    <row r="249" spans="1:7" ht="40.35" customHeight="1" x14ac:dyDescent="0.2">
      <c r="A249" s="434"/>
      <c r="B249" s="858"/>
      <c r="C249" s="592" t="s">
        <v>781</v>
      </c>
      <c r="D249" s="590">
        <f>+D245+D246+D247+D248</f>
        <v>7</v>
      </c>
      <c r="E249" s="591">
        <f>+E245+E246+E247+E248</f>
        <v>2414</v>
      </c>
      <c r="F249" s="591">
        <f>+F245+F246+F247+F248</f>
        <v>3665</v>
      </c>
      <c r="G249" s="836">
        <f>+G245+G246+G247+G248</f>
        <v>29320</v>
      </c>
    </row>
    <row r="250" spans="1:7" ht="40.35" customHeight="1" x14ac:dyDescent="0.2">
      <c r="A250" s="434"/>
      <c r="B250" s="858"/>
      <c r="C250" s="344" t="s">
        <v>657</v>
      </c>
      <c r="D250" s="231">
        <v>1</v>
      </c>
      <c r="E250" s="232">
        <v>597</v>
      </c>
      <c r="F250" s="232">
        <f t="shared" si="14"/>
        <v>597</v>
      </c>
      <c r="G250" s="255">
        <f>F250*8</f>
        <v>4776</v>
      </c>
    </row>
    <row r="251" spans="1:7" ht="40.35" customHeight="1" x14ac:dyDescent="0.2">
      <c r="A251" s="434"/>
      <c r="B251" s="858"/>
      <c r="C251" s="592" t="s">
        <v>782</v>
      </c>
      <c r="D251" s="590">
        <f>+D250</f>
        <v>1</v>
      </c>
      <c r="E251" s="591">
        <f>+E250</f>
        <v>597</v>
      </c>
      <c r="F251" s="591">
        <f>+F250</f>
        <v>597</v>
      </c>
      <c r="G251" s="836">
        <f>+G250</f>
        <v>4776</v>
      </c>
    </row>
    <row r="252" spans="1:7" ht="40.35" customHeight="1" thickBot="1" x14ac:dyDescent="0.25">
      <c r="A252" s="434"/>
      <c r="B252" s="873"/>
      <c r="C252" s="874" t="s">
        <v>224</v>
      </c>
      <c r="D252" s="875">
        <f>+D199+D212+D218+D223+D230+D234+D237+D240+D244+D249+D251</f>
        <v>55</v>
      </c>
      <c r="E252" s="876">
        <f>+E199+E212+E218+E223+E230+E234+E237+E240+E244+E249+E251</f>
        <v>31165</v>
      </c>
      <c r="F252" s="876">
        <f>+F199+F212+F218+F223+F230+F234+F237+F240+F244+F249+F251</f>
        <v>34364</v>
      </c>
      <c r="G252" s="877">
        <f>+G199+G212+G218+G223+G230+G234+G237+G240+G244+G249+G251</f>
        <v>261708</v>
      </c>
    </row>
    <row r="253" spans="1:7" ht="40.35" customHeight="1" x14ac:dyDescent="0.2">
      <c r="A253" s="825"/>
      <c r="B253" s="1220" t="s">
        <v>658</v>
      </c>
      <c r="C253" s="1221"/>
      <c r="D253" s="878"/>
      <c r="E253" s="879"/>
      <c r="F253" s="879"/>
      <c r="G253" s="880"/>
    </row>
    <row r="254" spans="1:7" ht="40.35" customHeight="1" x14ac:dyDescent="0.2">
      <c r="A254" s="853"/>
      <c r="B254" s="858"/>
      <c r="C254" s="344" t="s">
        <v>659</v>
      </c>
      <c r="D254" s="231">
        <v>1</v>
      </c>
      <c r="E254" s="232">
        <v>1500</v>
      </c>
      <c r="F254" s="232">
        <f>D254*E254</f>
        <v>1500</v>
      </c>
      <c r="G254" s="255">
        <f t="shared" ref="G254:G259" si="15">F254*8</f>
        <v>12000</v>
      </c>
    </row>
    <row r="255" spans="1:7" ht="40.35" customHeight="1" x14ac:dyDescent="0.2">
      <c r="A255" s="853"/>
      <c r="B255" s="858"/>
      <c r="C255" s="344" t="s">
        <v>660</v>
      </c>
      <c r="D255" s="231">
        <v>1</v>
      </c>
      <c r="E255" s="232">
        <v>1000</v>
      </c>
      <c r="F255" s="232">
        <f t="shared" ref="F255:F269" si="16">D255*E255</f>
        <v>1000</v>
      </c>
      <c r="G255" s="255">
        <f t="shared" si="15"/>
        <v>8000</v>
      </c>
    </row>
    <row r="256" spans="1:7" ht="40.35" customHeight="1" thickBot="1" x14ac:dyDescent="0.25">
      <c r="A256" s="853"/>
      <c r="B256" s="859"/>
      <c r="C256" s="758" t="s">
        <v>661</v>
      </c>
      <c r="D256" s="860">
        <v>1</v>
      </c>
      <c r="E256" s="694">
        <v>742</v>
      </c>
      <c r="F256" s="694">
        <f t="shared" si="16"/>
        <v>742</v>
      </c>
      <c r="G256" s="861">
        <f t="shared" si="15"/>
        <v>5936</v>
      </c>
    </row>
    <row r="257" spans="1:8" ht="40.35" customHeight="1" x14ac:dyDescent="0.2">
      <c r="A257" s="853"/>
      <c r="B257" s="867"/>
      <c r="C257" s="503" t="s">
        <v>662</v>
      </c>
      <c r="D257" s="310">
        <v>1</v>
      </c>
      <c r="E257" s="312">
        <v>747.72</v>
      </c>
      <c r="F257" s="312">
        <f t="shared" si="16"/>
        <v>747.72</v>
      </c>
      <c r="G257" s="313">
        <f t="shared" si="15"/>
        <v>5981.76</v>
      </c>
    </row>
    <row r="258" spans="1:8" ht="40.35" customHeight="1" x14ac:dyDescent="0.2">
      <c r="A258" s="853"/>
      <c r="B258" s="858"/>
      <c r="C258" s="344" t="s">
        <v>663</v>
      </c>
      <c r="D258" s="231">
        <v>1</v>
      </c>
      <c r="E258" s="232">
        <v>717</v>
      </c>
      <c r="F258" s="232">
        <f t="shared" si="16"/>
        <v>717</v>
      </c>
      <c r="G258" s="255">
        <f t="shared" si="15"/>
        <v>5736</v>
      </c>
    </row>
    <row r="259" spans="1:8" ht="40.35" customHeight="1" x14ac:dyDescent="0.2">
      <c r="A259" s="853"/>
      <c r="B259" s="858"/>
      <c r="C259" s="344" t="s">
        <v>664</v>
      </c>
      <c r="D259" s="231">
        <v>1</v>
      </c>
      <c r="E259" s="232">
        <v>697</v>
      </c>
      <c r="F259" s="232">
        <f t="shared" si="16"/>
        <v>697</v>
      </c>
      <c r="G259" s="255">
        <f t="shared" si="15"/>
        <v>5576</v>
      </c>
    </row>
    <row r="260" spans="1:8" ht="40.35" customHeight="1" x14ac:dyDescent="0.2">
      <c r="A260" s="853"/>
      <c r="B260" s="858"/>
      <c r="C260" s="592" t="s">
        <v>783</v>
      </c>
      <c r="D260" s="590">
        <f>+D254+D255+D256+D257+D258+D259</f>
        <v>6</v>
      </c>
      <c r="E260" s="591">
        <f>+E254+E255+E256+E257+E258+E259</f>
        <v>5403.72</v>
      </c>
      <c r="F260" s="591">
        <f>+F254+F255+F256+F257+F258+F259</f>
        <v>5403.72</v>
      </c>
      <c r="G260" s="836">
        <f>+G254+G255+G256+G257+G258+G259</f>
        <v>43229.760000000002</v>
      </c>
    </row>
    <row r="261" spans="1:8" ht="40.35" customHeight="1" x14ac:dyDescent="0.2">
      <c r="A261" s="853"/>
      <c r="B261" s="858"/>
      <c r="C261" s="344" t="s">
        <v>665</v>
      </c>
      <c r="D261" s="231">
        <v>1</v>
      </c>
      <c r="E261" s="232">
        <v>1000</v>
      </c>
      <c r="F261" s="232">
        <f t="shared" si="16"/>
        <v>1000</v>
      </c>
      <c r="G261" s="255">
        <f>F261*8</f>
        <v>8000</v>
      </c>
    </row>
    <row r="262" spans="1:8" ht="40.35" customHeight="1" x14ac:dyDescent="0.2">
      <c r="A262" s="853"/>
      <c r="B262" s="858"/>
      <c r="C262" s="344" t="s">
        <v>666</v>
      </c>
      <c r="D262" s="231">
        <v>1</v>
      </c>
      <c r="E262" s="232">
        <v>850</v>
      </c>
      <c r="F262" s="232">
        <f t="shared" si="16"/>
        <v>850</v>
      </c>
      <c r="G262" s="255">
        <f t="shared" ref="G262:G270" si="17">F262*8</f>
        <v>6800</v>
      </c>
    </row>
    <row r="263" spans="1:8" ht="40.35" customHeight="1" x14ac:dyDescent="0.2">
      <c r="A263" s="853"/>
      <c r="B263" s="858"/>
      <c r="C263" s="344" t="s">
        <v>667</v>
      </c>
      <c r="D263" s="231">
        <v>1</v>
      </c>
      <c r="E263" s="232">
        <v>600</v>
      </c>
      <c r="F263" s="232">
        <f t="shared" si="16"/>
        <v>600</v>
      </c>
      <c r="G263" s="255">
        <f t="shared" si="17"/>
        <v>4800</v>
      </c>
    </row>
    <row r="264" spans="1:8" ht="40.35" customHeight="1" x14ac:dyDescent="0.2">
      <c r="A264" s="853"/>
      <c r="B264" s="858"/>
      <c r="C264" s="344" t="s">
        <v>1035</v>
      </c>
      <c r="D264" s="231">
        <v>1</v>
      </c>
      <c r="E264" s="232">
        <v>1000</v>
      </c>
      <c r="F264" s="232">
        <f t="shared" si="16"/>
        <v>1000</v>
      </c>
      <c r="G264" s="255">
        <f>F264*7</f>
        <v>7000</v>
      </c>
      <c r="H264" s="94" t="s">
        <v>1054</v>
      </c>
    </row>
    <row r="265" spans="1:8" ht="40.35" customHeight="1" x14ac:dyDescent="0.2">
      <c r="A265" s="853"/>
      <c r="B265" s="858"/>
      <c r="C265" s="344" t="s">
        <v>1036</v>
      </c>
      <c r="D265" s="231">
        <v>1</v>
      </c>
      <c r="E265" s="232">
        <v>597</v>
      </c>
      <c r="F265" s="232">
        <f>D265*E265</f>
        <v>597</v>
      </c>
      <c r="G265" s="255">
        <f>F265*8</f>
        <v>4776</v>
      </c>
    </row>
    <row r="266" spans="1:8" ht="40.35" customHeight="1" x14ac:dyDescent="0.2">
      <c r="A266" s="853"/>
      <c r="B266" s="858"/>
      <c r="C266" s="344" t="s">
        <v>668</v>
      </c>
      <c r="D266" s="231">
        <v>1</v>
      </c>
      <c r="E266" s="232">
        <v>817</v>
      </c>
      <c r="F266" s="232">
        <f>D266*E266</f>
        <v>817</v>
      </c>
      <c r="G266" s="255">
        <f>F266*8</f>
        <v>6536</v>
      </c>
    </row>
    <row r="267" spans="1:8" ht="40.35" customHeight="1" x14ac:dyDescent="0.2">
      <c r="A267" s="853"/>
      <c r="B267" s="858"/>
      <c r="C267" s="344" t="s">
        <v>669</v>
      </c>
      <c r="D267" s="231">
        <v>1</v>
      </c>
      <c r="E267" s="232">
        <v>650</v>
      </c>
      <c r="F267" s="232">
        <f t="shared" si="16"/>
        <v>650</v>
      </c>
      <c r="G267" s="255">
        <f t="shared" si="17"/>
        <v>5200</v>
      </c>
    </row>
    <row r="268" spans="1:8" ht="40.35" customHeight="1" x14ac:dyDescent="0.2">
      <c r="A268" s="853"/>
      <c r="B268" s="858"/>
      <c r="C268" s="344" t="s">
        <v>670</v>
      </c>
      <c r="D268" s="231">
        <v>1</v>
      </c>
      <c r="E268" s="232">
        <v>517</v>
      </c>
      <c r="F268" s="232">
        <f t="shared" si="16"/>
        <v>517</v>
      </c>
      <c r="G268" s="255">
        <f t="shared" si="17"/>
        <v>4136</v>
      </c>
    </row>
    <row r="269" spans="1:8" ht="40.35" customHeight="1" x14ac:dyDescent="0.2">
      <c r="A269" s="853"/>
      <c r="B269" s="858"/>
      <c r="C269" s="344" t="s">
        <v>670</v>
      </c>
      <c r="D269" s="231">
        <v>1</v>
      </c>
      <c r="E269" s="232">
        <v>497</v>
      </c>
      <c r="F269" s="232">
        <f t="shared" si="16"/>
        <v>497</v>
      </c>
      <c r="G269" s="255">
        <f t="shared" si="17"/>
        <v>3976</v>
      </c>
    </row>
    <row r="270" spans="1:8" ht="40.35" customHeight="1" x14ac:dyDescent="0.2">
      <c r="A270" s="434"/>
      <c r="B270" s="858"/>
      <c r="C270" s="344" t="s">
        <v>671</v>
      </c>
      <c r="D270" s="231">
        <v>2</v>
      </c>
      <c r="E270" s="232">
        <v>417</v>
      </c>
      <c r="F270" s="232">
        <f>D270*E270</f>
        <v>834</v>
      </c>
      <c r="G270" s="255">
        <f t="shared" si="17"/>
        <v>6672</v>
      </c>
    </row>
    <row r="271" spans="1:8" ht="40.35" customHeight="1" x14ac:dyDescent="0.2">
      <c r="A271" s="434"/>
      <c r="B271" s="858"/>
      <c r="C271" s="344" t="s">
        <v>671</v>
      </c>
      <c r="D271" s="231">
        <v>1</v>
      </c>
      <c r="E271" s="232">
        <v>600</v>
      </c>
      <c r="F271" s="232">
        <f>D271*E271</f>
        <v>600</v>
      </c>
      <c r="G271" s="255">
        <f>F271*8</f>
        <v>4800</v>
      </c>
    </row>
    <row r="272" spans="1:8" ht="40.35" customHeight="1" x14ac:dyDescent="0.2">
      <c r="A272" s="434"/>
      <c r="B272" s="858"/>
      <c r="C272" s="592" t="s">
        <v>784</v>
      </c>
      <c r="D272" s="590">
        <f>+D261+D262+D263+D264+D266+D267+D268+D269+D270+D271+D265</f>
        <v>12</v>
      </c>
      <c r="E272" s="591">
        <f>+E261+E262+E263+E264+E266+E267+E268+E269+E270+E271+E265</f>
        <v>7545</v>
      </c>
      <c r="F272" s="591">
        <f>+F261+F262+F263+F264+F266+F267+F268+F269+F270+F271+F265</f>
        <v>7962</v>
      </c>
      <c r="G272" s="836">
        <f>+G261+G262+G263+G264+G266+G267+G268+G269+G270+G271+G265</f>
        <v>62696</v>
      </c>
    </row>
    <row r="273" spans="1:7" ht="40.35" customHeight="1" x14ac:dyDescent="0.2">
      <c r="A273" s="434"/>
      <c r="B273" s="858"/>
      <c r="C273" s="854" t="s">
        <v>224</v>
      </c>
      <c r="D273" s="855">
        <f>+D260+D272</f>
        <v>18</v>
      </c>
      <c r="E273" s="856">
        <f>+E260+E272</f>
        <v>12948.720000000001</v>
      </c>
      <c r="F273" s="856">
        <f>+F260+F272</f>
        <v>13365.720000000001</v>
      </c>
      <c r="G273" s="872">
        <f>+G260+G272</f>
        <v>105925.76000000001</v>
      </c>
    </row>
    <row r="274" spans="1:7" ht="40.35" customHeight="1" thickBot="1" x14ac:dyDescent="0.25">
      <c r="A274" s="434"/>
      <c r="B274" s="1222" t="s">
        <v>673</v>
      </c>
      <c r="C274" s="1223"/>
      <c r="D274" s="881"/>
      <c r="E274" s="882"/>
      <c r="F274" s="882"/>
      <c r="G274" s="883"/>
    </row>
    <row r="275" spans="1:7" ht="40.35" customHeight="1" x14ac:dyDescent="0.2">
      <c r="A275" s="434"/>
      <c r="B275" s="857"/>
      <c r="C275" s="844" t="s">
        <v>672</v>
      </c>
      <c r="D275" s="845">
        <v>1</v>
      </c>
      <c r="E275" s="846">
        <v>1000</v>
      </c>
      <c r="F275" s="846">
        <f>D275*E275</f>
        <v>1000</v>
      </c>
      <c r="G275" s="847">
        <f>F275*8</f>
        <v>8000</v>
      </c>
    </row>
    <row r="276" spans="1:7" ht="40.35" customHeight="1" x14ac:dyDescent="0.2">
      <c r="A276" s="434"/>
      <c r="B276" s="858"/>
      <c r="C276" s="344" t="s">
        <v>674</v>
      </c>
      <c r="D276" s="231">
        <v>1</v>
      </c>
      <c r="E276" s="232">
        <v>925</v>
      </c>
      <c r="F276" s="232">
        <f t="shared" ref="F276:F343" si="18">D276*E276</f>
        <v>925</v>
      </c>
      <c r="G276" s="255">
        <f t="shared" ref="G276:G342" si="19">F276*8</f>
        <v>7400</v>
      </c>
    </row>
    <row r="277" spans="1:7" ht="40.35" customHeight="1" x14ac:dyDescent="0.2">
      <c r="A277" s="434"/>
      <c r="B277" s="858"/>
      <c r="C277" s="344" t="s">
        <v>675</v>
      </c>
      <c r="D277" s="231">
        <v>1</v>
      </c>
      <c r="E277" s="232">
        <v>700</v>
      </c>
      <c r="F277" s="232">
        <f t="shared" si="18"/>
        <v>700</v>
      </c>
      <c r="G277" s="255">
        <f t="shared" si="19"/>
        <v>5600</v>
      </c>
    </row>
    <row r="278" spans="1:7" ht="40.35" customHeight="1" thickBot="1" x14ac:dyDescent="0.25">
      <c r="A278" s="434"/>
      <c r="B278" s="873"/>
      <c r="C278" s="502" t="s">
        <v>676</v>
      </c>
      <c r="D278" s="250">
        <v>1</v>
      </c>
      <c r="E278" s="311">
        <v>597</v>
      </c>
      <c r="F278" s="311">
        <f t="shared" si="18"/>
        <v>597</v>
      </c>
      <c r="G278" s="884">
        <f t="shared" si="19"/>
        <v>4776</v>
      </c>
    </row>
    <row r="279" spans="1:7" ht="40.35" customHeight="1" x14ac:dyDescent="0.2">
      <c r="A279" s="434"/>
      <c r="B279" s="857"/>
      <c r="C279" s="844" t="s">
        <v>677</v>
      </c>
      <c r="D279" s="845">
        <v>1</v>
      </c>
      <c r="E279" s="846">
        <v>547</v>
      </c>
      <c r="F279" s="846">
        <f t="shared" si="18"/>
        <v>547</v>
      </c>
      <c r="G279" s="847">
        <f t="shared" si="19"/>
        <v>4376</v>
      </c>
    </row>
    <row r="280" spans="1:7" ht="40.35" customHeight="1" x14ac:dyDescent="0.2">
      <c r="A280" s="434"/>
      <c r="B280" s="858"/>
      <c r="C280" s="344" t="s">
        <v>678</v>
      </c>
      <c r="D280" s="231">
        <v>1</v>
      </c>
      <c r="E280" s="232">
        <v>700</v>
      </c>
      <c r="F280" s="232">
        <f t="shared" si="18"/>
        <v>700</v>
      </c>
      <c r="G280" s="255">
        <f>F280*8</f>
        <v>5600</v>
      </c>
    </row>
    <row r="281" spans="1:7" ht="40.35" customHeight="1" x14ac:dyDescent="0.2">
      <c r="A281" s="434"/>
      <c r="B281" s="858"/>
      <c r="C281" s="344" t="s">
        <v>679</v>
      </c>
      <c r="D281" s="231">
        <v>1</v>
      </c>
      <c r="E281" s="232">
        <v>842</v>
      </c>
      <c r="F281" s="232">
        <f t="shared" si="18"/>
        <v>842</v>
      </c>
      <c r="G281" s="255">
        <f t="shared" si="19"/>
        <v>6736</v>
      </c>
    </row>
    <row r="282" spans="1:7" ht="40.35" customHeight="1" x14ac:dyDescent="0.2">
      <c r="A282" s="434"/>
      <c r="B282" s="858"/>
      <c r="C282" s="344" t="s">
        <v>679</v>
      </c>
      <c r="D282" s="231">
        <v>1</v>
      </c>
      <c r="E282" s="232">
        <v>824.29</v>
      </c>
      <c r="F282" s="232">
        <f t="shared" si="18"/>
        <v>824.29</v>
      </c>
      <c r="G282" s="255">
        <f t="shared" si="19"/>
        <v>6594.32</v>
      </c>
    </row>
    <row r="283" spans="1:7" ht="40.35" customHeight="1" x14ac:dyDescent="0.2">
      <c r="A283" s="434"/>
      <c r="B283" s="858"/>
      <c r="C283" s="344" t="s">
        <v>680</v>
      </c>
      <c r="D283" s="231">
        <v>2</v>
      </c>
      <c r="E283" s="232">
        <v>677</v>
      </c>
      <c r="F283" s="232">
        <f t="shared" si="18"/>
        <v>1354</v>
      </c>
      <c r="G283" s="255">
        <f t="shared" si="19"/>
        <v>10832</v>
      </c>
    </row>
    <row r="284" spans="1:7" ht="40.35" customHeight="1" x14ac:dyDescent="0.2">
      <c r="A284" s="434"/>
      <c r="B284" s="858"/>
      <c r="C284" s="344" t="s">
        <v>681</v>
      </c>
      <c r="D284" s="231">
        <v>1</v>
      </c>
      <c r="E284" s="232">
        <v>597</v>
      </c>
      <c r="F284" s="232">
        <f t="shared" si="18"/>
        <v>597</v>
      </c>
      <c r="G284" s="255">
        <f t="shared" si="19"/>
        <v>4776</v>
      </c>
    </row>
    <row r="285" spans="1:7" ht="40.35" customHeight="1" x14ac:dyDescent="0.2">
      <c r="A285" s="434"/>
      <c r="B285" s="858"/>
      <c r="C285" s="344" t="s">
        <v>681</v>
      </c>
      <c r="D285" s="231">
        <v>1</v>
      </c>
      <c r="E285" s="232">
        <v>497</v>
      </c>
      <c r="F285" s="232">
        <f t="shared" si="18"/>
        <v>497</v>
      </c>
      <c r="G285" s="255">
        <f t="shared" si="19"/>
        <v>3976</v>
      </c>
    </row>
    <row r="286" spans="1:7" ht="40.35" customHeight="1" x14ac:dyDescent="0.2">
      <c r="A286" s="434"/>
      <c r="B286" s="858"/>
      <c r="C286" s="344" t="s">
        <v>925</v>
      </c>
      <c r="D286" s="231">
        <v>2</v>
      </c>
      <c r="E286" s="232">
        <v>799.15</v>
      </c>
      <c r="F286" s="232">
        <f t="shared" si="18"/>
        <v>1598.3</v>
      </c>
      <c r="G286" s="255">
        <f t="shared" si="19"/>
        <v>12786.4</v>
      </c>
    </row>
    <row r="287" spans="1:7" ht="40.35" customHeight="1" x14ac:dyDescent="0.2">
      <c r="A287" s="434"/>
      <c r="B287" s="858"/>
      <c r="C287" s="344" t="s">
        <v>925</v>
      </c>
      <c r="D287" s="231">
        <v>1</v>
      </c>
      <c r="E287" s="232">
        <v>677</v>
      </c>
      <c r="F287" s="232">
        <f>D287*E287</f>
        <v>677</v>
      </c>
      <c r="G287" s="255">
        <f t="shared" si="19"/>
        <v>5416</v>
      </c>
    </row>
    <row r="288" spans="1:7" ht="40.35" customHeight="1" x14ac:dyDescent="0.2">
      <c r="A288" s="434"/>
      <c r="B288" s="858"/>
      <c r="C288" s="344" t="s">
        <v>682</v>
      </c>
      <c r="D288" s="231">
        <v>1</v>
      </c>
      <c r="E288" s="232">
        <v>751.72</v>
      </c>
      <c r="F288" s="232">
        <f t="shared" si="18"/>
        <v>751.72</v>
      </c>
      <c r="G288" s="255">
        <f t="shared" si="19"/>
        <v>6013.76</v>
      </c>
    </row>
    <row r="289" spans="1:7" ht="40.35" customHeight="1" x14ac:dyDescent="0.2">
      <c r="A289" s="434"/>
      <c r="B289" s="858"/>
      <c r="C289" s="344" t="s">
        <v>683</v>
      </c>
      <c r="D289" s="231">
        <v>1</v>
      </c>
      <c r="E289" s="232">
        <v>597</v>
      </c>
      <c r="F289" s="232">
        <f t="shared" si="18"/>
        <v>597</v>
      </c>
      <c r="G289" s="255">
        <f t="shared" si="19"/>
        <v>4776</v>
      </c>
    </row>
    <row r="290" spans="1:7" ht="40.35" customHeight="1" x14ac:dyDescent="0.2">
      <c r="A290" s="434"/>
      <c r="B290" s="858"/>
      <c r="C290" s="344" t="s">
        <v>683</v>
      </c>
      <c r="D290" s="231">
        <v>1</v>
      </c>
      <c r="E290" s="232">
        <v>744.86</v>
      </c>
      <c r="F290" s="232">
        <f t="shared" si="18"/>
        <v>744.86</v>
      </c>
      <c r="G290" s="255">
        <f t="shared" si="19"/>
        <v>5958.88</v>
      </c>
    </row>
    <row r="291" spans="1:7" ht="40.35" customHeight="1" x14ac:dyDescent="0.2">
      <c r="A291" s="434"/>
      <c r="B291" s="858"/>
      <c r="C291" s="344" t="s">
        <v>683</v>
      </c>
      <c r="D291" s="231">
        <v>1</v>
      </c>
      <c r="E291" s="232">
        <v>597</v>
      </c>
      <c r="F291" s="232">
        <f>D291*E291</f>
        <v>597</v>
      </c>
      <c r="G291" s="255">
        <f>F291*8</f>
        <v>4776</v>
      </c>
    </row>
    <row r="292" spans="1:7" ht="40.35" customHeight="1" x14ac:dyDescent="0.2">
      <c r="A292" s="434"/>
      <c r="B292" s="858"/>
      <c r="C292" s="344" t="s">
        <v>684</v>
      </c>
      <c r="D292" s="231">
        <v>1</v>
      </c>
      <c r="E292" s="232">
        <v>647</v>
      </c>
      <c r="F292" s="232">
        <f t="shared" si="18"/>
        <v>647</v>
      </c>
      <c r="G292" s="255">
        <f t="shared" si="19"/>
        <v>5176</v>
      </c>
    </row>
    <row r="293" spans="1:7" ht="40.35" customHeight="1" x14ac:dyDescent="0.2">
      <c r="A293" s="434"/>
      <c r="B293" s="858"/>
      <c r="C293" s="344" t="s">
        <v>685</v>
      </c>
      <c r="D293" s="231">
        <v>1</v>
      </c>
      <c r="E293" s="232">
        <v>517</v>
      </c>
      <c r="F293" s="232">
        <f t="shared" si="18"/>
        <v>517</v>
      </c>
      <c r="G293" s="255">
        <f t="shared" si="19"/>
        <v>4136</v>
      </c>
    </row>
    <row r="294" spans="1:7" ht="40.35" customHeight="1" x14ac:dyDescent="0.2">
      <c r="A294" s="434"/>
      <c r="B294" s="858"/>
      <c r="C294" s="344" t="s">
        <v>685</v>
      </c>
      <c r="D294" s="231">
        <v>3</v>
      </c>
      <c r="E294" s="232">
        <v>417</v>
      </c>
      <c r="F294" s="232">
        <f t="shared" si="18"/>
        <v>1251</v>
      </c>
      <c r="G294" s="255">
        <f t="shared" si="19"/>
        <v>10008</v>
      </c>
    </row>
    <row r="295" spans="1:7" ht="40.35" customHeight="1" x14ac:dyDescent="0.2">
      <c r="A295" s="434"/>
      <c r="B295" s="858"/>
      <c r="C295" s="344" t="s">
        <v>685</v>
      </c>
      <c r="D295" s="231">
        <v>1</v>
      </c>
      <c r="E295" s="232">
        <v>517</v>
      </c>
      <c r="F295" s="232">
        <f t="shared" si="18"/>
        <v>517</v>
      </c>
      <c r="G295" s="255">
        <f t="shared" si="19"/>
        <v>4136</v>
      </c>
    </row>
    <row r="296" spans="1:7" ht="40.35" customHeight="1" thickBot="1" x14ac:dyDescent="0.25">
      <c r="A296" s="434"/>
      <c r="B296" s="859"/>
      <c r="C296" s="758" t="s">
        <v>685</v>
      </c>
      <c r="D296" s="860">
        <v>1</v>
      </c>
      <c r="E296" s="694">
        <v>497</v>
      </c>
      <c r="F296" s="694">
        <f t="shared" si="18"/>
        <v>497</v>
      </c>
      <c r="G296" s="861">
        <f t="shared" si="19"/>
        <v>3976</v>
      </c>
    </row>
    <row r="297" spans="1:7" ht="40.35" customHeight="1" x14ac:dyDescent="0.2">
      <c r="A297" s="434"/>
      <c r="B297" s="867"/>
      <c r="C297" s="503" t="s">
        <v>686</v>
      </c>
      <c r="D297" s="310">
        <v>1</v>
      </c>
      <c r="E297" s="312">
        <v>700</v>
      </c>
      <c r="F297" s="312">
        <f t="shared" si="18"/>
        <v>700</v>
      </c>
      <c r="G297" s="313">
        <f t="shared" si="19"/>
        <v>5600</v>
      </c>
    </row>
    <row r="298" spans="1:7" ht="40.35" customHeight="1" x14ac:dyDescent="0.2">
      <c r="A298" s="434"/>
      <c r="B298" s="858"/>
      <c r="C298" s="344" t="s">
        <v>687</v>
      </c>
      <c r="D298" s="231">
        <v>3</v>
      </c>
      <c r="E298" s="232">
        <v>744.86</v>
      </c>
      <c r="F298" s="232">
        <f t="shared" si="18"/>
        <v>2234.58</v>
      </c>
      <c r="G298" s="255">
        <f t="shared" si="19"/>
        <v>17876.64</v>
      </c>
    </row>
    <row r="299" spans="1:7" ht="40.35" customHeight="1" x14ac:dyDescent="0.2">
      <c r="A299" s="434"/>
      <c r="B299" s="858"/>
      <c r="C299" s="344" t="s">
        <v>688</v>
      </c>
      <c r="D299" s="231">
        <v>3</v>
      </c>
      <c r="E299" s="232">
        <v>677</v>
      </c>
      <c r="F299" s="232">
        <f t="shared" si="18"/>
        <v>2031</v>
      </c>
      <c r="G299" s="255">
        <f t="shared" si="19"/>
        <v>16248</v>
      </c>
    </row>
    <row r="300" spans="1:7" ht="40.35" customHeight="1" thickBot="1" x14ac:dyDescent="0.25">
      <c r="A300" s="434"/>
      <c r="B300" s="859"/>
      <c r="C300" s="758" t="s">
        <v>689</v>
      </c>
      <c r="D300" s="860">
        <v>4</v>
      </c>
      <c r="E300" s="694">
        <v>597</v>
      </c>
      <c r="F300" s="694">
        <f t="shared" si="18"/>
        <v>2388</v>
      </c>
      <c r="G300" s="861">
        <f t="shared" si="19"/>
        <v>19104</v>
      </c>
    </row>
    <row r="301" spans="1:7" ht="40.35" customHeight="1" x14ac:dyDescent="0.2">
      <c r="A301" s="434"/>
      <c r="B301" s="857"/>
      <c r="C301" s="844" t="s">
        <v>690</v>
      </c>
      <c r="D301" s="845">
        <v>1</v>
      </c>
      <c r="E301" s="846">
        <v>547</v>
      </c>
      <c r="F301" s="846">
        <f t="shared" si="18"/>
        <v>547</v>
      </c>
      <c r="G301" s="847">
        <f t="shared" si="19"/>
        <v>4376</v>
      </c>
    </row>
    <row r="302" spans="1:7" ht="40.35" customHeight="1" x14ac:dyDescent="0.2">
      <c r="A302" s="434"/>
      <c r="B302" s="858"/>
      <c r="C302" s="344" t="s">
        <v>690</v>
      </c>
      <c r="D302" s="231">
        <v>4</v>
      </c>
      <c r="E302" s="232">
        <v>517</v>
      </c>
      <c r="F302" s="232">
        <f t="shared" si="18"/>
        <v>2068</v>
      </c>
      <c r="G302" s="255">
        <f t="shared" si="19"/>
        <v>16544</v>
      </c>
    </row>
    <row r="303" spans="1:7" ht="40.35" customHeight="1" x14ac:dyDescent="0.2">
      <c r="A303" s="434"/>
      <c r="B303" s="858"/>
      <c r="C303" s="344" t="s">
        <v>690</v>
      </c>
      <c r="D303" s="231">
        <v>1</v>
      </c>
      <c r="E303" s="232">
        <v>467</v>
      </c>
      <c r="F303" s="232">
        <f t="shared" si="18"/>
        <v>467</v>
      </c>
      <c r="G303" s="255">
        <f t="shared" si="19"/>
        <v>3736</v>
      </c>
    </row>
    <row r="304" spans="1:7" ht="40.35" customHeight="1" x14ac:dyDescent="0.2">
      <c r="A304" s="434"/>
      <c r="B304" s="858"/>
      <c r="C304" s="344" t="s">
        <v>691</v>
      </c>
      <c r="D304" s="231">
        <v>9</v>
      </c>
      <c r="E304" s="232">
        <v>417</v>
      </c>
      <c r="F304" s="232">
        <f t="shared" si="18"/>
        <v>3753</v>
      </c>
      <c r="G304" s="255">
        <f t="shared" si="19"/>
        <v>30024</v>
      </c>
    </row>
    <row r="305" spans="1:9" ht="40.35" customHeight="1" x14ac:dyDescent="0.2">
      <c r="A305" s="434"/>
      <c r="B305" s="858"/>
      <c r="C305" s="344" t="s">
        <v>691</v>
      </c>
      <c r="D305" s="231">
        <v>1</v>
      </c>
      <c r="E305" s="232">
        <v>417</v>
      </c>
      <c r="F305" s="232">
        <f>D305*E305</f>
        <v>417</v>
      </c>
      <c r="G305" s="255">
        <f>F305*6</f>
        <v>2502</v>
      </c>
      <c r="H305" s="94" t="s">
        <v>1125</v>
      </c>
      <c r="I305" s="94" t="s">
        <v>1124</v>
      </c>
    </row>
    <row r="306" spans="1:9" ht="40.35" customHeight="1" x14ac:dyDescent="0.2">
      <c r="A306" s="434"/>
      <c r="B306" s="858"/>
      <c r="C306" s="344" t="s">
        <v>1038</v>
      </c>
      <c r="D306" s="231">
        <v>5</v>
      </c>
      <c r="E306" s="232">
        <v>417</v>
      </c>
      <c r="F306" s="232">
        <f>D306*E306</f>
        <v>2085</v>
      </c>
      <c r="G306" s="255">
        <f>F306*2</f>
        <v>4170</v>
      </c>
      <c r="H306" s="94" t="s">
        <v>1069</v>
      </c>
    </row>
    <row r="307" spans="1:9" ht="40.35" customHeight="1" x14ac:dyDescent="0.2">
      <c r="A307" s="434"/>
      <c r="B307" s="858"/>
      <c r="C307" s="344" t="s">
        <v>692</v>
      </c>
      <c r="D307" s="231">
        <v>1</v>
      </c>
      <c r="E307" s="232">
        <v>800</v>
      </c>
      <c r="F307" s="232">
        <f t="shared" si="18"/>
        <v>800</v>
      </c>
      <c r="G307" s="255">
        <f t="shared" si="19"/>
        <v>6400</v>
      </c>
    </row>
    <row r="308" spans="1:9" ht="40.35" customHeight="1" x14ac:dyDescent="0.2">
      <c r="A308" s="434"/>
      <c r="B308" s="858"/>
      <c r="C308" s="344" t="s">
        <v>693</v>
      </c>
      <c r="D308" s="231">
        <v>2</v>
      </c>
      <c r="E308" s="232">
        <v>744.86</v>
      </c>
      <c r="F308" s="232">
        <f t="shared" si="18"/>
        <v>1489.72</v>
      </c>
      <c r="G308" s="255">
        <f t="shared" si="19"/>
        <v>11917.76</v>
      </c>
    </row>
    <row r="309" spans="1:9" ht="40.35" customHeight="1" x14ac:dyDescent="0.2">
      <c r="A309" s="434"/>
      <c r="B309" s="858"/>
      <c r="C309" s="344" t="s">
        <v>693</v>
      </c>
      <c r="D309" s="231">
        <v>1</v>
      </c>
      <c r="E309" s="232">
        <v>731.72</v>
      </c>
      <c r="F309" s="232">
        <f t="shared" si="18"/>
        <v>731.72</v>
      </c>
      <c r="G309" s="255">
        <f t="shared" si="19"/>
        <v>5853.76</v>
      </c>
    </row>
    <row r="310" spans="1:9" ht="40.35" customHeight="1" x14ac:dyDescent="0.2">
      <c r="A310" s="434"/>
      <c r="B310" s="858"/>
      <c r="C310" s="344" t="s">
        <v>694</v>
      </c>
      <c r="D310" s="231">
        <v>8</v>
      </c>
      <c r="E310" s="232">
        <v>677</v>
      </c>
      <c r="F310" s="232">
        <f t="shared" si="18"/>
        <v>5416</v>
      </c>
      <c r="G310" s="255">
        <f t="shared" si="19"/>
        <v>43328</v>
      </c>
    </row>
    <row r="311" spans="1:9" ht="40.35" customHeight="1" x14ac:dyDescent="0.2">
      <c r="A311" s="434"/>
      <c r="B311" s="858"/>
      <c r="C311" s="344" t="s">
        <v>695</v>
      </c>
      <c r="D311" s="231">
        <v>5</v>
      </c>
      <c r="E311" s="232">
        <v>597</v>
      </c>
      <c r="F311" s="232">
        <f t="shared" si="18"/>
        <v>2985</v>
      </c>
      <c r="G311" s="255">
        <f t="shared" si="19"/>
        <v>23880</v>
      </c>
    </row>
    <row r="312" spans="1:9" ht="40.35" customHeight="1" x14ac:dyDescent="0.2">
      <c r="A312" s="434"/>
      <c r="B312" s="858"/>
      <c r="C312" s="344" t="s">
        <v>696</v>
      </c>
      <c r="D312" s="231">
        <v>3</v>
      </c>
      <c r="E312" s="232">
        <v>517</v>
      </c>
      <c r="F312" s="232">
        <f t="shared" si="18"/>
        <v>1551</v>
      </c>
      <c r="G312" s="255">
        <f t="shared" si="19"/>
        <v>12408</v>
      </c>
    </row>
    <row r="313" spans="1:9" ht="40.35" customHeight="1" x14ac:dyDescent="0.2">
      <c r="A313" s="434"/>
      <c r="B313" s="858"/>
      <c r="C313" s="344" t="s">
        <v>697</v>
      </c>
      <c r="D313" s="231">
        <v>5</v>
      </c>
      <c r="E313" s="232">
        <v>417</v>
      </c>
      <c r="F313" s="232">
        <f>D313*E313</f>
        <v>2085</v>
      </c>
      <c r="G313" s="255">
        <f t="shared" si="19"/>
        <v>16680</v>
      </c>
    </row>
    <row r="314" spans="1:9" ht="40.35" customHeight="1" x14ac:dyDescent="0.2">
      <c r="A314" s="434"/>
      <c r="B314" s="858"/>
      <c r="C314" s="344" t="s">
        <v>697</v>
      </c>
      <c r="D314" s="231">
        <v>3</v>
      </c>
      <c r="E314" s="232">
        <v>497</v>
      </c>
      <c r="F314" s="232">
        <f t="shared" si="18"/>
        <v>1491</v>
      </c>
      <c r="G314" s="255">
        <f t="shared" si="19"/>
        <v>11928</v>
      </c>
    </row>
    <row r="315" spans="1:9" ht="40.35" customHeight="1" x14ac:dyDescent="0.2">
      <c r="A315" s="434"/>
      <c r="B315" s="858"/>
      <c r="C315" s="344" t="s">
        <v>1037</v>
      </c>
      <c r="D315" s="231">
        <v>10</v>
      </c>
      <c r="E315" s="232">
        <v>417</v>
      </c>
      <c r="F315" s="232">
        <f>D315*E315</f>
        <v>4170</v>
      </c>
      <c r="G315" s="255">
        <f>F315*2</f>
        <v>8340</v>
      </c>
      <c r="H315" s="94" t="s">
        <v>1069</v>
      </c>
    </row>
    <row r="316" spans="1:9" ht="40.35" customHeight="1" x14ac:dyDescent="0.2">
      <c r="A316" s="434"/>
      <c r="B316" s="858"/>
      <c r="C316" s="344" t="s">
        <v>727</v>
      </c>
      <c r="D316" s="231">
        <v>3</v>
      </c>
      <c r="E316" s="232">
        <v>597</v>
      </c>
      <c r="F316" s="232">
        <f t="shared" ref="F316:F321" si="20">D316*E316</f>
        <v>1791</v>
      </c>
      <c r="G316" s="255">
        <f t="shared" si="19"/>
        <v>14328</v>
      </c>
    </row>
    <row r="317" spans="1:9" ht="40.35" customHeight="1" x14ac:dyDescent="0.2">
      <c r="A317" s="434"/>
      <c r="B317" s="858"/>
      <c r="C317" s="344" t="s">
        <v>727</v>
      </c>
      <c r="D317" s="231">
        <v>1</v>
      </c>
      <c r="E317" s="232">
        <v>417</v>
      </c>
      <c r="F317" s="232">
        <f t="shared" si="20"/>
        <v>417</v>
      </c>
      <c r="G317" s="255">
        <f t="shared" si="19"/>
        <v>3336</v>
      </c>
    </row>
    <row r="318" spans="1:9" ht="40.35" customHeight="1" x14ac:dyDescent="0.2">
      <c r="A318" s="434"/>
      <c r="B318" s="858"/>
      <c r="C318" s="344" t="s">
        <v>728</v>
      </c>
      <c r="D318" s="231">
        <v>1</v>
      </c>
      <c r="E318" s="232">
        <v>547</v>
      </c>
      <c r="F318" s="232">
        <f t="shared" si="20"/>
        <v>547</v>
      </c>
      <c r="G318" s="255">
        <f t="shared" si="19"/>
        <v>4376</v>
      </c>
    </row>
    <row r="319" spans="1:9" ht="40.35" customHeight="1" x14ac:dyDescent="0.2">
      <c r="A319" s="434"/>
      <c r="B319" s="858"/>
      <c r="C319" s="344" t="s">
        <v>729</v>
      </c>
      <c r="D319" s="231">
        <v>1</v>
      </c>
      <c r="E319" s="232">
        <v>467</v>
      </c>
      <c r="F319" s="232">
        <f t="shared" si="20"/>
        <v>467</v>
      </c>
      <c r="G319" s="255">
        <f t="shared" si="19"/>
        <v>3736</v>
      </c>
    </row>
    <row r="320" spans="1:9" ht="40.35" customHeight="1" x14ac:dyDescent="0.2">
      <c r="A320" s="434"/>
      <c r="B320" s="858"/>
      <c r="C320" s="344" t="s">
        <v>729</v>
      </c>
      <c r="D320" s="231">
        <v>1</v>
      </c>
      <c r="E320" s="232">
        <v>417</v>
      </c>
      <c r="F320" s="232">
        <f t="shared" si="20"/>
        <v>417</v>
      </c>
      <c r="G320" s="255">
        <f t="shared" si="19"/>
        <v>3336</v>
      </c>
    </row>
    <row r="321" spans="1:7" ht="40.35" customHeight="1" x14ac:dyDescent="0.2">
      <c r="A321" s="434"/>
      <c r="B321" s="858"/>
      <c r="C321" s="344" t="s">
        <v>732</v>
      </c>
      <c r="D321" s="231">
        <v>1</v>
      </c>
      <c r="E321" s="232">
        <v>417</v>
      </c>
      <c r="F321" s="232">
        <f t="shared" si="20"/>
        <v>417</v>
      </c>
      <c r="G321" s="255">
        <f t="shared" si="19"/>
        <v>3336</v>
      </c>
    </row>
    <row r="322" spans="1:7" ht="40.35" customHeight="1" thickBot="1" x14ac:dyDescent="0.25">
      <c r="A322" s="434"/>
      <c r="B322" s="859"/>
      <c r="C322" s="758" t="s">
        <v>698</v>
      </c>
      <c r="D322" s="860">
        <v>1</v>
      </c>
      <c r="E322" s="694">
        <v>1000</v>
      </c>
      <c r="F322" s="694">
        <f t="shared" si="18"/>
        <v>1000</v>
      </c>
      <c r="G322" s="861">
        <f t="shared" si="19"/>
        <v>8000</v>
      </c>
    </row>
    <row r="323" spans="1:7" ht="40.35" customHeight="1" x14ac:dyDescent="0.2">
      <c r="A323" s="434"/>
      <c r="B323" s="857"/>
      <c r="C323" s="844" t="s">
        <v>699</v>
      </c>
      <c r="D323" s="845">
        <v>1</v>
      </c>
      <c r="E323" s="846">
        <v>775</v>
      </c>
      <c r="F323" s="846">
        <f t="shared" si="18"/>
        <v>775</v>
      </c>
      <c r="G323" s="847">
        <f t="shared" si="19"/>
        <v>6200</v>
      </c>
    </row>
    <row r="324" spans="1:7" ht="40.35" customHeight="1" x14ac:dyDescent="0.2">
      <c r="A324" s="434"/>
      <c r="B324" s="858"/>
      <c r="C324" s="344" t="s">
        <v>700</v>
      </c>
      <c r="D324" s="231">
        <v>1</v>
      </c>
      <c r="E324" s="232">
        <v>824.29</v>
      </c>
      <c r="F324" s="232">
        <f t="shared" si="18"/>
        <v>824.29</v>
      </c>
      <c r="G324" s="255">
        <f t="shared" si="19"/>
        <v>6594.32</v>
      </c>
    </row>
    <row r="325" spans="1:7" ht="40.35" customHeight="1" x14ac:dyDescent="0.2">
      <c r="A325" s="434"/>
      <c r="B325" s="858"/>
      <c r="C325" s="344" t="s">
        <v>701</v>
      </c>
      <c r="D325" s="231">
        <v>1</v>
      </c>
      <c r="E325" s="232">
        <v>700</v>
      </c>
      <c r="F325" s="232">
        <f t="shared" si="18"/>
        <v>700</v>
      </c>
      <c r="G325" s="255">
        <f t="shared" si="19"/>
        <v>5600</v>
      </c>
    </row>
    <row r="326" spans="1:7" ht="40.35" customHeight="1" x14ac:dyDescent="0.2">
      <c r="A326" s="434"/>
      <c r="B326" s="858"/>
      <c r="C326" s="344" t="s">
        <v>702</v>
      </c>
      <c r="D326" s="231">
        <v>1</v>
      </c>
      <c r="E326" s="232">
        <v>547</v>
      </c>
      <c r="F326" s="232">
        <f t="shared" si="18"/>
        <v>547</v>
      </c>
      <c r="G326" s="255">
        <f t="shared" si="19"/>
        <v>4376</v>
      </c>
    </row>
    <row r="327" spans="1:7" ht="40.35" customHeight="1" x14ac:dyDescent="0.2">
      <c r="A327" s="434"/>
      <c r="B327" s="858"/>
      <c r="C327" s="344" t="s">
        <v>702</v>
      </c>
      <c r="D327" s="231">
        <v>1</v>
      </c>
      <c r="E327" s="232">
        <v>597</v>
      </c>
      <c r="F327" s="232">
        <f t="shared" si="18"/>
        <v>597</v>
      </c>
      <c r="G327" s="255">
        <f t="shared" si="19"/>
        <v>4776</v>
      </c>
    </row>
    <row r="328" spans="1:7" ht="40.35" customHeight="1" x14ac:dyDescent="0.2">
      <c r="A328" s="434"/>
      <c r="B328" s="858"/>
      <c r="C328" s="344" t="s">
        <v>703</v>
      </c>
      <c r="D328" s="231">
        <v>1</v>
      </c>
      <c r="E328" s="232">
        <v>744.86</v>
      </c>
      <c r="F328" s="232">
        <f t="shared" si="18"/>
        <v>744.86</v>
      </c>
      <c r="G328" s="255">
        <f t="shared" si="19"/>
        <v>5958.88</v>
      </c>
    </row>
    <row r="329" spans="1:7" ht="40.35" customHeight="1" x14ac:dyDescent="0.2">
      <c r="A329" s="434"/>
      <c r="B329" s="858"/>
      <c r="C329" s="344" t="s">
        <v>704</v>
      </c>
      <c r="D329" s="231">
        <v>1</v>
      </c>
      <c r="E329" s="232">
        <v>744.86</v>
      </c>
      <c r="F329" s="232">
        <f t="shared" si="18"/>
        <v>744.86</v>
      </c>
      <c r="G329" s="255">
        <f t="shared" si="19"/>
        <v>5958.88</v>
      </c>
    </row>
    <row r="330" spans="1:7" ht="40.35" customHeight="1" x14ac:dyDescent="0.2">
      <c r="A330" s="434"/>
      <c r="B330" s="858"/>
      <c r="C330" s="344" t="s">
        <v>705</v>
      </c>
      <c r="D330" s="231">
        <v>1</v>
      </c>
      <c r="E330" s="232">
        <v>677</v>
      </c>
      <c r="F330" s="232">
        <f t="shared" si="18"/>
        <v>677</v>
      </c>
      <c r="G330" s="255">
        <f t="shared" si="19"/>
        <v>5416</v>
      </c>
    </row>
    <row r="331" spans="1:7" ht="40.35" customHeight="1" x14ac:dyDescent="0.2">
      <c r="A331" s="434"/>
      <c r="B331" s="858"/>
      <c r="C331" s="344" t="s">
        <v>706</v>
      </c>
      <c r="D331" s="231">
        <v>1</v>
      </c>
      <c r="E331" s="232">
        <v>677</v>
      </c>
      <c r="F331" s="232">
        <f t="shared" si="18"/>
        <v>677</v>
      </c>
      <c r="G331" s="255">
        <f t="shared" si="19"/>
        <v>5416</v>
      </c>
    </row>
    <row r="332" spans="1:7" ht="40.35" customHeight="1" x14ac:dyDescent="0.2">
      <c r="A332" s="434"/>
      <c r="B332" s="858"/>
      <c r="C332" s="344" t="s">
        <v>1000</v>
      </c>
      <c r="D332" s="231">
        <v>1</v>
      </c>
      <c r="E332" s="232">
        <v>700</v>
      </c>
      <c r="F332" s="232">
        <f t="shared" si="18"/>
        <v>700</v>
      </c>
      <c r="G332" s="255">
        <f t="shared" si="19"/>
        <v>5600</v>
      </c>
    </row>
    <row r="333" spans="1:7" ht="40.35" customHeight="1" x14ac:dyDescent="0.2">
      <c r="A333" s="434"/>
      <c r="B333" s="858"/>
      <c r="C333" s="344" t="s">
        <v>707</v>
      </c>
      <c r="D333" s="231">
        <v>1</v>
      </c>
      <c r="E333" s="232">
        <v>800</v>
      </c>
      <c r="F333" s="232">
        <f t="shared" si="18"/>
        <v>800</v>
      </c>
      <c r="G333" s="255">
        <f t="shared" si="19"/>
        <v>6400</v>
      </c>
    </row>
    <row r="334" spans="1:7" ht="40.35" customHeight="1" x14ac:dyDescent="0.2">
      <c r="A334" s="434"/>
      <c r="B334" s="858"/>
      <c r="C334" s="344" t="s">
        <v>708</v>
      </c>
      <c r="D334" s="231">
        <v>1</v>
      </c>
      <c r="E334" s="232">
        <v>820</v>
      </c>
      <c r="F334" s="232">
        <f t="shared" si="18"/>
        <v>820</v>
      </c>
      <c r="G334" s="255">
        <f t="shared" si="19"/>
        <v>6560</v>
      </c>
    </row>
    <row r="335" spans="1:7" ht="40.35" customHeight="1" x14ac:dyDescent="0.2">
      <c r="A335" s="434"/>
      <c r="B335" s="858"/>
      <c r="C335" s="344" t="s">
        <v>709</v>
      </c>
      <c r="D335" s="231">
        <v>1</v>
      </c>
      <c r="E335" s="232">
        <v>747.72</v>
      </c>
      <c r="F335" s="232">
        <f t="shared" si="18"/>
        <v>747.72</v>
      </c>
      <c r="G335" s="255">
        <f t="shared" si="19"/>
        <v>5981.76</v>
      </c>
    </row>
    <row r="336" spans="1:7" ht="40.35" customHeight="1" x14ac:dyDescent="0.2">
      <c r="A336" s="434"/>
      <c r="B336" s="858"/>
      <c r="C336" s="344" t="s">
        <v>710</v>
      </c>
      <c r="D336" s="231">
        <v>1</v>
      </c>
      <c r="E336" s="232">
        <v>700</v>
      </c>
      <c r="F336" s="232">
        <f t="shared" si="18"/>
        <v>700</v>
      </c>
      <c r="G336" s="255">
        <f t="shared" si="19"/>
        <v>5600</v>
      </c>
    </row>
    <row r="337" spans="1:7" ht="40.35" customHeight="1" x14ac:dyDescent="0.2">
      <c r="A337" s="434"/>
      <c r="B337" s="858"/>
      <c r="C337" s="344" t="s">
        <v>711</v>
      </c>
      <c r="D337" s="231">
        <v>1</v>
      </c>
      <c r="E337" s="232">
        <v>1000</v>
      </c>
      <c r="F337" s="232">
        <f t="shared" si="18"/>
        <v>1000</v>
      </c>
      <c r="G337" s="255">
        <f t="shared" si="19"/>
        <v>8000</v>
      </c>
    </row>
    <row r="338" spans="1:7" ht="40.35" customHeight="1" x14ac:dyDescent="0.2">
      <c r="A338" s="434"/>
      <c r="B338" s="858"/>
      <c r="C338" s="344" t="s">
        <v>712</v>
      </c>
      <c r="D338" s="231">
        <v>1</v>
      </c>
      <c r="E338" s="232">
        <v>747.72</v>
      </c>
      <c r="F338" s="232">
        <f t="shared" si="18"/>
        <v>747.72</v>
      </c>
      <c r="G338" s="255">
        <f t="shared" si="19"/>
        <v>5981.76</v>
      </c>
    </row>
    <row r="339" spans="1:7" ht="40.35" customHeight="1" x14ac:dyDescent="0.2">
      <c r="A339" s="434"/>
      <c r="B339" s="858"/>
      <c r="C339" s="344" t="s">
        <v>713</v>
      </c>
      <c r="D339" s="231">
        <v>1</v>
      </c>
      <c r="E339" s="232">
        <v>875</v>
      </c>
      <c r="F339" s="232">
        <f t="shared" si="18"/>
        <v>875</v>
      </c>
      <c r="G339" s="255">
        <f t="shared" si="19"/>
        <v>7000</v>
      </c>
    </row>
    <row r="340" spans="1:7" ht="40.35" customHeight="1" x14ac:dyDescent="0.2">
      <c r="A340" s="434"/>
      <c r="B340" s="858"/>
      <c r="C340" s="344" t="s">
        <v>714</v>
      </c>
      <c r="D340" s="231">
        <v>1</v>
      </c>
      <c r="E340" s="232">
        <v>650</v>
      </c>
      <c r="F340" s="232">
        <f t="shared" si="18"/>
        <v>650</v>
      </c>
      <c r="G340" s="255">
        <f t="shared" si="19"/>
        <v>5200</v>
      </c>
    </row>
    <row r="341" spans="1:7" ht="40.35" customHeight="1" x14ac:dyDescent="0.2">
      <c r="A341" s="434"/>
      <c r="B341" s="858"/>
      <c r="C341" s="344" t="s">
        <v>715</v>
      </c>
      <c r="D341" s="231">
        <v>1</v>
      </c>
      <c r="E341" s="232">
        <v>684</v>
      </c>
      <c r="F341" s="232">
        <f t="shared" si="18"/>
        <v>684</v>
      </c>
      <c r="G341" s="255">
        <f t="shared" si="19"/>
        <v>5472</v>
      </c>
    </row>
    <row r="342" spans="1:7" ht="40.35" customHeight="1" x14ac:dyDescent="0.2">
      <c r="A342" s="434"/>
      <c r="B342" s="858"/>
      <c r="C342" s="344" t="s">
        <v>716</v>
      </c>
      <c r="D342" s="231">
        <v>1</v>
      </c>
      <c r="E342" s="232">
        <v>600</v>
      </c>
      <c r="F342" s="232">
        <f t="shared" si="18"/>
        <v>600</v>
      </c>
      <c r="G342" s="255">
        <f t="shared" si="19"/>
        <v>4800</v>
      </c>
    </row>
    <row r="343" spans="1:7" ht="40.35" customHeight="1" x14ac:dyDescent="0.2">
      <c r="A343" s="434"/>
      <c r="B343" s="858"/>
      <c r="C343" s="344" t="s">
        <v>717</v>
      </c>
      <c r="D343" s="231">
        <v>1</v>
      </c>
      <c r="E343" s="232">
        <v>597</v>
      </c>
      <c r="F343" s="232">
        <f t="shared" si="18"/>
        <v>597</v>
      </c>
      <c r="G343" s="255">
        <f>F343*8</f>
        <v>4776</v>
      </c>
    </row>
    <row r="344" spans="1:7" ht="40.35" customHeight="1" thickBot="1" x14ac:dyDescent="0.25">
      <c r="A344" s="434"/>
      <c r="B344" s="859"/>
      <c r="C344" s="862" t="s">
        <v>785</v>
      </c>
      <c r="D344" s="863">
        <f>+D275+D276+D277+D278+D279+D280+D281+D282+D283+D284+D285+D286+D287+D288+D289+D290+D291+D292+D293+D294+D295+D296+D297+D298+D299+D300+D301+D302+D303+D304+D306+D307+D308+D309+D310+D311+D312+D313+D314+D315+D316+D317+D318+D319+D320+D321+D322+D323+D324+D325+D326+D327+D328+D329+D330+D331+D332+D333+D334+D335+D336+D337+D338+D339+D340+D341+D342+D343+D305</f>
        <v>126</v>
      </c>
      <c r="E344" s="864">
        <f>+E275+E276+E277++E278+E279+E280+E281+E282+E283+E284+E285+E286+E288+E289+E290+E292+E293+E294+E295+E296+E297+E298+E299+E300+E301+E302+E303+E304+E307+E308+E309+E310+E311+E312+E314+E322+E323+E324+E325+E326+E327+E328+E329+E330+E331+E332+E333+E334+E335+E336+E337+E338+E339+E340+E341+E342+E343+E313+E316+E317+E318+E319+E320+E321+E287+E291+E315+E306+E305</f>
        <v>44637.91</v>
      </c>
      <c r="F344" s="864">
        <f>+F275+F276+F277++F278+F279+F280+F281+F282+F283+F284+F285+F286+F288+F289+F290+F292+F293+F294+F295+F296+F297+F298+F299+F300+F301+F302+F303+F304+F307+F308+F309+F310+F311+F312+F314+F322+F323+F324+F325+F326+F327+F328+F329+F330+F331+F332+F333+F334+F335+F336+F337+F338+F339+F340+F341+F342+F343+F313+F316+F317+F318+F319+F320+F321+F287+F291+F315+F306+F305</f>
        <v>74652.640000000014</v>
      </c>
      <c r="G344" s="865">
        <f>+G275+G276+G277++G278+G279+G280+G281+G282+G283+G284+G285+G286+G288+G289+G290+G292+G293+G294+G295+G296+G297+G298+G299+G300+G301+G302+G303+G304+G307+G308+G309+G310+G311+G312+G314+G322+G323+G324+G325+G326+G327+G328+G329+G330+G331+G332+G333+G334+G335+G336+G337+G338+G339+G340+G341+G342+G343+G313+G316+G317+G318+G319+G320+G321+G287+G291+G315+G306+G305</f>
        <v>558857.12000000011</v>
      </c>
    </row>
    <row r="345" spans="1:7" ht="40.35" customHeight="1" x14ac:dyDescent="0.2">
      <c r="A345" s="866"/>
      <c r="B345" s="857"/>
      <c r="C345" s="844" t="s">
        <v>718</v>
      </c>
      <c r="D345" s="845">
        <v>1</v>
      </c>
      <c r="E345" s="846">
        <v>1200</v>
      </c>
      <c r="F345" s="846">
        <f t="shared" ref="F345:F354" si="21">D345*E345</f>
        <v>1200</v>
      </c>
      <c r="G345" s="847">
        <f>F345*8</f>
        <v>9600</v>
      </c>
    </row>
    <row r="346" spans="1:7" ht="40.35" customHeight="1" x14ac:dyDescent="0.2">
      <c r="A346" s="434"/>
      <c r="B346" s="858"/>
      <c r="C346" s="344" t="s">
        <v>719</v>
      </c>
      <c r="D346" s="310">
        <v>1</v>
      </c>
      <c r="E346" s="312">
        <v>750</v>
      </c>
      <c r="F346" s="312">
        <f t="shared" si="21"/>
        <v>750</v>
      </c>
      <c r="G346" s="313">
        <f t="shared" ref="G346:G356" si="22">F346*8</f>
        <v>6000</v>
      </c>
    </row>
    <row r="347" spans="1:7" ht="40.35" customHeight="1" x14ac:dyDescent="0.2">
      <c r="A347" s="434"/>
      <c r="B347" s="858"/>
      <c r="C347" s="344" t="s">
        <v>720</v>
      </c>
      <c r="D347" s="310">
        <v>1</v>
      </c>
      <c r="E347" s="312">
        <v>1000</v>
      </c>
      <c r="F347" s="312">
        <f t="shared" si="21"/>
        <v>1000</v>
      </c>
      <c r="G347" s="313">
        <f t="shared" si="22"/>
        <v>8000</v>
      </c>
    </row>
    <row r="348" spans="1:7" ht="40.35" customHeight="1" x14ac:dyDescent="0.2">
      <c r="A348" s="434"/>
      <c r="B348" s="858"/>
      <c r="C348" s="344" t="s">
        <v>721</v>
      </c>
      <c r="D348" s="310">
        <v>1</v>
      </c>
      <c r="E348" s="312">
        <v>700</v>
      </c>
      <c r="F348" s="312">
        <f t="shared" si="21"/>
        <v>700</v>
      </c>
      <c r="G348" s="313">
        <f t="shared" si="22"/>
        <v>5600</v>
      </c>
    </row>
    <row r="349" spans="1:7" ht="40.35" customHeight="1" x14ac:dyDescent="0.2">
      <c r="A349" s="434"/>
      <c r="B349" s="858"/>
      <c r="C349" s="344" t="s">
        <v>722</v>
      </c>
      <c r="D349" s="310">
        <v>1</v>
      </c>
      <c r="E349" s="312">
        <v>417</v>
      </c>
      <c r="F349" s="312">
        <f t="shared" si="21"/>
        <v>417</v>
      </c>
      <c r="G349" s="313">
        <f t="shared" si="22"/>
        <v>3336</v>
      </c>
    </row>
    <row r="350" spans="1:7" ht="40.35" customHeight="1" x14ac:dyDescent="0.2">
      <c r="A350" s="434"/>
      <c r="B350" s="858"/>
      <c r="C350" s="344" t="s">
        <v>723</v>
      </c>
      <c r="D350" s="310">
        <v>1</v>
      </c>
      <c r="E350" s="312">
        <v>735.15</v>
      </c>
      <c r="F350" s="312">
        <f t="shared" si="21"/>
        <v>735.15</v>
      </c>
      <c r="G350" s="313">
        <f t="shared" si="22"/>
        <v>5881.2</v>
      </c>
    </row>
    <row r="351" spans="1:7" ht="40.35" customHeight="1" x14ac:dyDescent="0.2">
      <c r="A351" s="434"/>
      <c r="B351" s="858"/>
      <c r="C351" s="344" t="s">
        <v>724</v>
      </c>
      <c r="D351" s="310">
        <v>1</v>
      </c>
      <c r="E351" s="312">
        <v>700</v>
      </c>
      <c r="F351" s="312">
        <f t="shared" si="21"/>
        <v>700</v>
      </c>
      <c r="G351" s="313">
        <f t="shared" si="22"/>
        <v>5600</v>
      </c>
    </row>
    <row r="352" spans="1:7" ht="40.35" customHeight="1" x14ac:dyDescent="0.2">
      <c r="A352" s="434"/>
      <c r="B352" s="858"/>
      <c r="C352" s="344" t="s">
        <v>724</v>
      </c>
      <c r="D352" s="310">
        <v>2</v>
      </c>
      <c r="E352" s="312">
        <v>684</v>
      </c>
      <c r="F352" s="312">
        <f t="shared" si="21"/>
        <v>1368</v>
      </c>
      <c r="G352" s="313">
        <f t="shared" si="22"/>
        <v>10944</v>
      </c>
    </row>
    <row r="353" spans="1:7" ht="40.35" customHeight="1" x14ac:dyDescent="0.2">
      <c r="A353" s="434"/>
      <c r="B353" s="858"/>
      <c r="C353" s="344" t="s">
        <v>725</v>
      </c>
      <c r="D353" s="310">
        <v>1</v>
      </c>
      <c r="E353" s="312">
        <v>517</v>
      </c>
      <c r="F353" s="312">
        <f t="shared" si="21"/>
        <v>517</v>
      </c>
      <c r="G353" s="313">
        <f t="shared" si="22"/>
        <v>4136</v>
      </c>
    </row>
    <row r="354" spans="1:7" ht="40.35" customHeight="1" x14ac:dyDescent="0.2">
      <c r="A354" s="434"/>
      <c r="B354" s="858"/>
      <c r="C354" s="344" t="s">
        <v>726</v>
      </c>
      <c r="D354" s="310">
        <v>1</v>
      </c>
      <c r="E354" s="312">
        <v>467</v>
      </c>
      <c r="F354" s="312">
        <f t="shared" si="21"/>
        <v>467</v>
      </c>
      <c r="G354" s="313">
        <f t="shared" si="22"/>
        <v>3736</v>
      </c>
    </row>
    <row r="355" spans="1:7" ht="40.35" customHeight="1" x14ac:dyDescent="0.2">
      <c r="A355" s="434"/>
      <c r="B355" s="858"/>
      <c r="C355" s="502" t="s">
        <v>730</v>
      </c>
      <c r="D355" s="310">
        <v>1</v>
      </c>
      <c r="E355" s="311">
        <v>700</v>
      </c>
      <c r="F355" s="311">
        <f>D355*E355</f>
        <v>700</v>
      </c>
      <c r="G355" s="313">
        <f t="shared" si="22"/>
        <v>5600</v>
      </c>
    </row>
    <row r="356" spans="1:7" ht="40.35" customHeight="1" x14ac:dyDescent="0.2">
      <c r="A356" s="434"/>
      <c r="B356" s="858"/>
      <c r="C356" s="502" t="s">
        <v>731</v>
      </c>
      <c r="D356" s="310">
        <v>1</v>
      </c>
      <c r="E356" s="311">
        <v>700</v>
      </c>
      <c r="F356" s="311">
        <f>D356*E356</f>
        <v>700</v>
      </c>
      <c r="G356" s="313">
        <f t="shared" si="22"/>
        <v>5600</v>
      </c>
    </row>
    <row r="357" spans="1:7" ht="40.35" customHeight="1" x14ac:dyDescent="0.2">
      <c r="A357" s="434"/>
      <c r="B357" s="858"/>
      <c r="C357" s="598" t="s">
        <v>786</v>
      </c>
      <c r="D357" s="599">
        <f>+D345+D346+D347+D348+D349+D350+D351+D352+D353+D354+D355+D356</f>
        <v>13</v>
      </c>
      <c r="E357" s="600">
        <f>+E345+E346+E347+E349+E348+E350+E351+E352+E353+E354+E355+E356</f>
        <v>8570.15</v>
      </c>
      <c r="F357" s="600">
        <f>+F345+F346+F347+F349+F348+F350+F351+F352+F353+F354+F355+F356</f>
        <v>9254.15</v>
      </c>
      <c r="G357" s="840">
        <f>+G345+G346+G347+G349+G348+G350+G351+G352+G353+G354+G355+G356</f>
        <v>74033.2</v>
      </c>
    </row>
    <row r="358" spans="1:7" ht="40.35" customHeight="1" thickBot="1" x14ac:dyDescent="0.25">
      <c r="A358" s="434"/>
      <c r="B358" s="324"/>
      <c r="C358" s="510" t="s">
        <v>224</v>
      </c>
      <c r="D358" s="316">
        <f>+D344+D357</f>
        <v>139</v>
      </c>
      <c r="E358" s="509">
        <f>+E344+E357</f>
        <v>53208.060000000005</v>
      </c>
      <c r="F358" s="509">
        <f>+F344+F357</f>
        <v>83906.790000000008</v>
      </c>
      <c r="G358" s="838">
        <f>+G344+G357</f>
        <v>632890.32000000007</v>
      </c>
    </row>
    <row r="359" spans="1:7" ht="40.35" customHeight="1" thickBot="1" x14ac:dyDescent="0.25">
      <c r="A359" s="841"/>
      <c r="B359" s="1211" t="s">
        <v>943</v>
      </c>
      <c r="C359" s="1212"/>
      <c r="D359" s="315">
        <f>+D131+D191+D252+D273+D358</f>
        <v>400</v>
      </c>
      <c r="E359" s="601">
        <f>+E131+E191+E273+E358+E252</f>
        <v>215518.52000000002</v>
      </c>
      <c r="F359" s="601">
        <f>+F131+F191+F273+F358+F252</f>
        <v>269480.25</v>
      </c>
      <c r="G359" s="842">
        <f>+G131+G191+G273+G358+G252</f>
        <v>2007657.0000000002</v>
      </c>
    </row>
    <row r="360" spans="1:7" ht="47.25" customHeight="1" thickBot="1" x14ac:dyDescent="0.25">
      <c r="A360" s="843"/>
      <c r="B360" s="1211" t="s">
        <v>944</v>
      </c>
      <c r="C360" s="1212"/>
      <c r="D360" s="315">
        <f>+D359+D16</f>
        <v>408</v>
      </c>
      <c r="E360" s="601">
        <f>+E359+E16</f>
        <v>233118.52000000002</v>
      </c>
      <c r="F360" s="601">
        <f>+F359+F16</f>
        <v>287080.25</v>
      </c>
      <c r="G360" s="842">
        <f>+G359+G16</f>
        <v>2166057</v>
      </c>
    </row>
    <row r="361" spans="1:7" x14ac:dyDescent="0.2">
      <c r="A361" s="236"/>
      <c r="B361" s="237"/>
      <c r="C361" s="237"/>
      <c r="D361" s="237"/>
      <c r="E361" s="237"/>
      <c r="F361" s="238"/>
      <c r="G361" s="238"/>
    </row>
    <row r="362" spans="1:7" x14ac:dyDescent="0.2">
      <c r="A362" s="236"/>
      <c r="B362" s="237"/>
      <c r="C362" s="237"/>
      <c r="D362" s="237"/>
      <c r="E362" s="237"/>
      <c r="F362" s="238"/>
      <c r="G362" s="238"/>
    </row>
    <row r="363" spans="1:7" x14ac:dyDescent="0.2">
      <c r="A363" s="236"/>
      <c r="B363" s="237"/>
      <c r="C363" s="237"/>
      <c r="D363" s="237"/>
      <c r="E363" s="237"/>
      <c r="F363" s="238"/>
      <c r="G363" s="238"/>
    </row>
    <row r="364" spans="1:7" x14ac:dyDescent="0.2">
      <c r="A364" s="236"/>
      <c r="B364" s="237"/>
      <c r="C364" s="237"/>
      <c r="D364" s="237"/>
      <c r="E364" s="237"/>
      <c r="F364" s="238"/>
      <c r="G364" s="238"/>
    </row>
    <row r="365" spans="1:7" x14ac:dyDescent="0.2">
      <c r="A365" s="236"/>
      <c r="B365" s="237"/>
      <c r="C365" s="237"/>
      <c r="D365" s="237"/>
      <c r="E365" s="237"/>
      <c r="F365" s="238"/>
      <c r="G365" s="238"/>
    </row>
    <row r="366" spans="1:7" x14ac:dyDescent="0.2">
      <c r="A366" s="236"/>
      <c r="B366" s="237"/>
      <c r="C366" s="237"/>
      <c r="D366" s="237"/>
      <c r="E366" s="237"/>
      <c r="F366" s="238"/>
      <c r="G366" s="238"/>
    </row>
    <row r="367" spans="1:7" x14ac:dyDescent="0.2">
      <c r="A367" s="236"/>
      <c r="B367" s="237"/>
      <c r="C367" s="237"/>
      <c r="D367" s="237"/>
      <c r="E367" s="237"/>
      <c r="F367" s="238"/>
      <c r="G367" s="238"/>
    </row>
    <row r="368" spans="1:7" x14ac:dyDescent="0.2">
      <c r="A368" s="236"/>
      <c r="B368" s="237"/>
      <c r="C368" s="237"/>
      <c r="D368" s="237"/>
      <c r="E368" s="237"/>
      <c r="F368" s="238"/>
      <c r="G368" s="238"/>
    </row>
    <row r="369" spans="1:7" x14ac:dyDescent="0.2">
      <c r="A369" s="236"/>
      <c r="B369" s="237"/>
      <c r="C369" s="237"/>
      <c r="D369" s="237"/>
      <c r="E369" s="237"/>
      <c r="F369" s="238"/>
      <c r="G369" s="238"/>
    </row>
    <row r="370" spans="1:7" x14ac:dyDescent="0.2">
      <c r="A370" s="236"/>
      <c r="B370" s="237"/>
      <c r="C370" s="237"/>
      <c r="D370" s="237"/>
      <c r="E370" s="237"/>
      <c r="F370" s="238"/>
      <c r="G370" s="238"/>
    </row>
    <row r="371" spans="1:7" x14ac:dyDescent="0.2">
      <c r="A371" s="236"/>
      <c r="B371" s="237"/>
      <c r="C371" s="237"/>
      <c r="D371" s="237"/>
      <c r="E371" s="237"/>
      <c r="F371" s="238"/>
      <c r="G371" s="238"/>
    </row>
    <row r="372" spans="1:7" x14ac:dyDescent="0.2">
      <c r="A372" s="236"/>
      <c r="B372" s="237"/>
      <c r="C372" s="237"/>
      <c r="D372" s="237"/>
      <c r="E372" s="237"/>
      <c r="F372" s="238"/>
      <c r="G372" s="238"/>
    </row>
    <row r="373" spans="1:7" x14ac:dyDescent="0.2">
      <c r="A373" s="236"/>
      <c r="B373" s="237"/>
      <c r="C373" s="237"/>
      <c r="D373" s="237"/>
      <c r="E373" s="237"/>
      <c r="F373" s="238"/>
      <c r="G373" s="238"/>
    </row>
    <row r="374" spans="1:7" x14ac:dyDescent="0.2">
      <c r="A374" s="236"/>
      <c r="B374" s="237"/>
      <c r="C374" s="237"/>
      <c r="D374" s="237"/>
      <c r="E374" s="237"/>
      <c r="F374" s="238"/>
      <c r="G374" s="238"/>
    </row>
    <row r="375" spans="1:7" x14ac:dyDescent="0.2">
      <c r="A375" s="236"/>
      <c r="B375" s="237"/>
      <c r="C375" s="237"/>
      <c r="D375" s="237"/>
      <c r="E375" s="237"/>
      <c r="F375" s="238"/>
      <c r="G375" s="238"/>
    </row>
    <row r="376" spans="1:7" x14ac:dyDescent="0.2">
      <c r="A376" s="236"/>
      <c r="B376" s="237"/>
      <c r="C376" s="237"/>
      <c r="D376" s="237"/>
      <c r="E376" s="237"/>
      <c r="F376" s="238"/>
      <c r="G376" s="238"/>
    </row>
    <row r="377" spans="1:7" x14ac:dyDescent="0.2">
      <c r="A377" s="236"/>
      <c r="B377" s="237"/>
      <c r="C377" s="237"/>
      <c r="D377" s="237"/>
      <c r="E377" s="237"/>
      <c r="F377" s="238"/>
      <c r="G377" s="238"/>
    </row>
    <row r="378" spans="1:7" x14ac:dyDescent="0.2">
      <c r="A378" s="236"/>
      <c r="B378" s="237"/>
      <c r="C378" s="237"/>
      <c r="D378" s="237"/>
      <c r="E378" s="237"/>
      <c r="F378" s="238"/>
      <c r="G378" s="238"/>
    </row>
    <row r="379" spans="1:7" x14ac:dyDescent="0.2">
      <c r="A379" s="236"/>
      <c r="B379" s="237"/>
      <c r="C379" s="237"/>
      <c r="D379" s="237"/>
      <c r="E379" s="237"/>
      <c r="F379" s="238"/>
      <c r="G379" s="238"/>
    </row>
    <row r="380" spans="1:7" x14ac:dyDescent="0.2">
      <c r="A380" s="236"/>
      <c r="B380" s="237"/>
      <c r="C380" s="237"/>
      <c r="D380" s="237"/>
      <c r="E380" s="237"/>
      <c r="F380" s="238"/>
      <c r="G380" s="238"/>
    </row>
    <row r="381" spans="1:7" x14ac:dyDescent="0.2">
      <c r="A381" s="236"/>
      <c r="B381" s="237"/>
      <c r="C381" s="237"/>
      <c r="D381" s="237"/>
      <c r="E381" s="237"/>
      <c r="F381" s="238"/>
      <c r="G381" s="238"/>
    </row>
    <row r="382" spans="1:7" x14ac:dyDescent="0.2">
      <c r="A382" s="236"/>
      <c r="B382" s="237"/>
      <c r="C382" s="237"/>
      <c r="D382" s="237"/>
      <c r="E382" s="237"/>
      <c r="F382" s="238"/>
      <c r="G382" s="238"/>
    </row>
    <row r="383" spans="1:7" x14ac:dyDescent="0.2">
      <c r="A383" s="236"/>
      <c r="B383" s="237"/>
      <c r="C383" s="237"/>
      <c r="D383" s="237"/>
      <c r="E383" s="237"/>
      <c r="F383" s="238"/>
      <c r="G383" s="238"/>
    </row>
    <row r="384" spans="1:7" x14ac:dyDescent="0.2">
      <c r="A384" s="236"/>
      <c r="B384" s="237"/>
      <c r="C384" s="237"/>
      <c r="D384" s="237"/>
      <c r="E384" s="237"/>
      <c r="F384" s="238"/>
      <c r="G384" s="238"/>
    </row>
    <row r="385" spans="1:7" x14ac:dyDescent="0.2">
      <c r="A385" s="236"/>
      <c r="B385" s="237"/>
      <c r="C385" s="237"/>
      <c r="D385" s="237"/>
      <c r="E385" s="237"/>
      <c r="F385" s="1199"/>
      <c r="G385" s="1199"/>
    </row>
    <row r="386" spans="1:7" x14ac:dyDescent="0.2">
      <c r="A386" s="236"/>
      <c r="B386" s="237"/>
      <c r="C386" s="237"/>
      <c r="D386" s="237"/>
      <c r="E386" s="237"/>
      <c r="F386" s="1200"/>
      <c r="G386" s="1200"/>
    </row>
    <row r="387" spans="1:7" x14ac:dyDescent="0.2">
      <c r="A387" s="236"/>
      <c r="B387" s="237"/>
      <c r="C387" s="237"/>
      <c r="D387" s="237"/>
      <c r="E387" s="239"/>
      <c r="F387" s="1198"/>
      <c r="G387" s="1198"/>
    </row>
    <row r="388" spans="1:7" x14ac:dyDescent="0.2">
      <c r="A388" s="240"/>
      <c r="B388" s="237"/>
      <c r="C388" s="237"/>
      <c r="D388" s="237"/>
      <c r="E388" s="239"/>
      <c r="F388" s="241"/>
      <c r="G388" s="241"/>
    </row>
    <row r="389" spans="1:7" x14ac:dyDescent="0.2">
      <c r="A389" s="236"/>
      <c r="B389" s="237"/>
      <c r="C389" s="1201"/>
      <c r="D389" s="1201"/>
      <c r="E389" s="1201"/>
      <c r="F389" s="1201"/>
      <c r="G389" s="241"/>
    </row>
    <row r="390" spans="1:7" x14ac:dyDescent="0.2">
      <c r="A390" s="236"/>
      <c r="B390" s="242"/>
      <c r="C390" s="237"/>
      <c r="D390" s="237"/>
      <c r="E390" s="237"/>
      <c r="F390" s="1198"/>
      <c r="G390" s="1198"/>
    </row>
    <row r="391" spans="1:7" x14ac:dyDescent="0.2">
      <c r="A391" s="236"/>
      <c r="B391" s="242"/>
      <c r="C391" s="237"/>
      <c r="D391" s="237"/>
      <c r="E391" s="237"/>
      <c r="F391" s="1198"/>
      <c r="G391" s="1198"/>
    </row>
    <row r="392" spans="1:7" x14ac:dyDescent="0.2">
      <c r="A392" s="236"/>
      <c r="B392" s="242"/>
      <c r="C392" s="237"/>
      <c r="D392" s="237"/>
      <c r="E392" s="237"/>
      <c r="F392" s="241"/>
      <c r="G392" s="243"/>
    </row>
    <row r="393" spans="1:7" x14ac:dyDescent="0.2">
      <c r="A393" s="236"/>
      <c r="B393" s="244"/>
      <c r="C393" s="237"/>
      <c r="D393" s="237"/>
      <c r="E393" s="237"/>
      <c r="F393" s="241"/>
      <c r="G393" s="241"/>
    </row>
    <row r="394" spans="1:7" x14ac:dyDescent="0.2">
      <c r="A394" s="236"/>
      <c r="B394" s="244"/>
      <c r="C394" s="237"/>
      <c r="D394" s="237"/>
      <c r="E394" s="237"/>
      <c r="F394" s="241"/>
      <c r="G394" s="241"/>
    </row>
    <row r="395" spans="1:7" x14ac:dyDescent="0.2">
      <c r="A395" s="236"/>
      <c r="B395" s="244"/>
      <c r="C395" s="237"/>
      <c r="D395" s="237"/>
      <c r="E395" s="237"/>
      <c r="F395" s="241"/>
      <c r="G395" s="241"/>
    </row>
    <row r="396" spans="1:7" x14ac:dyDescent="0.2">
      <c r="A396" s="236"/>
      <c r="B396" s="244"/>
      <c r="C396" s="237"/>
      <c r="D396" s="237"/>
      <c r="E396" s="237"/>
      <c r="F396" s="241"/>
      <c r="G396" s="241"/>
    </row>
    <row r="397" spans="1:7" x14ac:dyDescent="0.2">
      <c r="A397" s="236"/>
      <c r="B397" s="244"/>
      <c r="C397" s="237"/>
      <c r="D397" s="245"/>
      <c r="E397" s="237"/>
      <c r="F397" s="241"/>
      <c r="G397" s="241"/>
    </row>
    <row r="398" spans="1:7" x14ac:dyDescent="0.2">
      <c r="A398" s="236"/>
      <c r="B398" s="244"/>
      <c r="C398" s="246"/>
      <c r="D398" s="242"/>
      <c r="E398" s="242"/>
      <c r="F398" s="247"/>
      <c r="G398" s="248"/>
    </row>
    <row r="399" spans="1:7" x14ac:dyDescent="0.2">
      <c r="A399" s="236"/>
      <c r="B399" s="244"/>
      <c r="C399" s="246"/>
      <c r="D399" s="242"/>
      <c r="E399" s="242"/>
      <c r="F399" s="241"/>
      <c r="G399" s="241"/>
    </row>
    <row r="400" spans="1:7" x14ac:dyDescent="0.2">
      <c r="A400" s="236"/>
      <c r="B400" s="244"/>
      <c r="C400" s="246"/>
      <c r="D400" s="242"/>
      <c r="E400" s="242"/>
      <c r="F400" s="241"/>
      <c r="G400" s="241"/>
    </row>
    <row r="401" spans="1:7" x14ac:dyDescent="0.2">
      <c r="A401" s="236"/>
      <c r="B401" s="244"/>
      <c r="C401" s="246"/>
      <c r="D401" s="246"/>
      <c r="E401" s="242"/>
      <c r="F401" s="241"/>
      <c r="G401" s="241"/>
    </row>
    <row r="402" spans="1:7" x14ac:dyDescent="0.2">
      <c r="A402" s="236"/>
      <c r="B402" s="244"/>
      <c r="C402" s="246"/>
      <c r="D402" s="242"/>
      <c r="E402" s="242"/>
      <c r="F402" s="241"/>
      <c r="G402" s="241"/>
    </row>
    <row r="403" spans="1:7" x14ac:dyDescent="0.2">
      <c r="A403" s="236"/>
      <c r="B403" s="244"/>
      <c r="C403" s="237"/>
      <c r="D403" s="237"/>
      <c r="E403" s="237"/>
      <c r="F403" s="241"/>
      <c r="G403" s="241"/>
    </row>
    <row r="404" spans="1:7" x14ac:dyDescent="0.2">
      <c r="A404" s="236"/>
      <c r="B404" s="244"/>
      <c r="C404" s="237"/>
      <c r="D404" s="237"/>
      <c r="E404" s="237"/>
      <c r="F404" s="241"/>
      <c r="G404" s="241"/>
    </row>
    <row r="405" spans="1:7" x14ac:dyDescent="0.2">
      <c r="A405" s="236"/>
      <c r="B405" s="237"/>
      <c r="C405" s="237"/>
      <c r="D405" s="237"/>
      <c r="E405" s="237"/>
      <c r="F405" s="241"/>
      <c r="G405" s="241"/>
    </row>
    <row r="406" spans="1:7" x14ac:dyDescent="0.2">
      <c r="A406" s="236"/>
      <c r="B406" s="237"/>
      <c r="C406" s="237"/>
      <c r="D406" s="237"/>
      <c r="E406" s="237"/>
      <c r="F406" s="241"/>
      <c r="G406" s="241"/>
    </row>
    <row r="407" spans="1:7" x14ac:dyDescent="0.2">
      <c r="A407" s="236"/>
      <c r="B407" s="237"/>
      <c r="C407" s="237"/>
      <c r="D407" s="237"/>
      <c r="E407" s="237"/>
      <c r="F407" s="241"/>
      <c r="G407" s="241"/>
    </row>
    <row r="408" spans="1:7" x14ac:dyDescent="0.2">
      <c r="A408" s="236"/>
      <c r="B408" s="237"/>
      <c r="C408" s="237"/>
      <c r="D408" s="237"/>
      <c r="E408" s="237"/>
      <c r="F408" s="241"/>
      <c r="G408" s="241"/>
    </row>
    <row r="409" spans="1:7" x14ac:dyDescent="0.2">
      <c r="A409" s="236"/>
      <c r="B409" s="237"/>
      <c r="C409" s="237"/>
      <c r="D409" s="237"/>
      <c r="E409" s="237"/>
      <c r="F409" s="241"/>
      <c r="G409" s="241"/>
    </row>
    <row r="410" spans="1:7" x14ac:dyDescent="0.2">
      <c r="A410" s="236"/>
      <c r="B410" s="237"/>
      <c r="C410" s="237"/>
      <c r="D410" s="237"/>
      <c r="E410" s="237"/>
      <c r="F410" s="241"/>
      <c r="G410" s="241"/>
    </row>
    <row r="411" spans="1:7" x14ac:dyDescent="0.2">
      <c r="B411" s="237"/>
    </row>
  </sheetData>
  <mergeCells count="23">
    <mergeCell ref="B359:C359"/>
    <mergeCell ref="B360:C360"/>
    <mergeCell ref="A7:A131"/>
    <mergeCell ref="B6:G6"/>
    <mergeCell ref="A193:A204"/>
    <mergeCell ref="B192:C192"/>
    <mergeCell ref="B253:C253"/>
    <mergeCell ref="B274:C274"/>
    <mergeCell ref="B132:C132"/>
    <mergeCell ref="B7:C7"/>
    <mergeCell ref="A1:G1"/>
    <mergeCell ref="A2:G2"/>
    <mergeCell ref="A3:A5"/>
    <mergeCell ref="B3:C3"/>
    <mergeCell ref="D3:D5"/>
    <mergeCell ref="E4:E5"/>
    <mergeCell ref="B5:C5"/>
    <mergeCell ref="F391:G391"/>
    <mergeCell ref="F385:G385"/>
    <mergeCell ref="F386:G386"/>
    <mergeCell ref="F387:G387"/>
    <mergeCell ref="C389:F389"/>
    <mergeCell ref="F390:G390"/>
  </mergeCells>
  <printOptions horizontalCentered="1" verticalCentered="1"/>
  <pageMargins left="0.70866141732283472" right="0.59055118110236227" top="0.55118110236220474" bottom="0.55118110236220474" header="0.51181102362204722" footer="0.51181102362204722"/>
  <pageSetup scale="82" firstPageNumber="0" orientation="portrait" r:id="rId1"/>
  <headerFooter alignWithMargins="0"/>
  <rowBreaks count="9" manualBreakCount="9">
    <brk id="18" max="6" man="1"/>
    <brk id="37" max="6" man="1"/>
    <brk id="78" max="6" man="1"/>
    <brk id="117" max="6" man="1"/>
    <brk id="131" max="6" man="1"/>
    <brk id="191" max="6" man="1"/>
    <brk id="212" max="6" man="1"/>
    <brk id="234" max="6" man="1"/>
    <brk id="252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5"/>
  <sheetViews>
    <sheetView view="pageBreakPreview" zoomScaleNormal="100" zoomScaleSheetLayoutView="100" workbookViewId="0">
      <selection activeCell="F34" sqref="F34"/>
    </sheetView>
  </sheetViews>
  <sheetFormatPr baseColWidth="10" defaultRowHeight="12.75" x14ac:dyDescent="0.2"/>
  <cols>
    <col min="1" max="1" width="7.28515625" customWidth="1"/>
    <col min="2" max="2" width="35.140625" style="341" customWidth="1"/>
    <col min="3" max="3" width="13.42578125" style="341" customWidth="1"/>
    <col min="4" max="4" width="14.7109375" customWidth="1"/>
    <col min="5" max="5" width="13.42578125" customWidth="1"/>
    <col min="7" max="7" width="12.5703125" customWidth="1"/>
    <col min="8" max="8" width="22.28515625" customWidth="1"/>
    <col min="9" max="9" width="7.140625" customWidth="1"/>
    <col min="10" max="10" width="24.7109375" customWidth="1"/>
    <col min="11" max="11" width="29.140625" customWidth="1"/>
    <col min="12" max="12" width="53.5703125" customWidth="1"/>
  </cols>
  <sheetData>
    <row r="1" spans="1:10" ht="66.75" customHeight="1" x14ac:dyDescent="0.2">
      <c r="A1" s="1522" t="s">
        <v>381</v>
      </c>
      <c r="B1" s="1524" t="s">
        <v>525</v>
      </c>
      <c r="C1" s="1525"/>
      <c r="D1" s="1525"/>
      <c r="E1" s="1525"/>
      <c r="F1" s="1525"/>
      <c r="G1" s="1525"/>
      <c r="H1" s="1526"/>
    </row>
    <row r="2" spans="1:10" ht="20.25" customHeight="1" thickBot="1" x14ac:dyDescent="0.25">
      <c r="A2" s="1523"/>
      <c r="B2" s="326" t="s">
        <v>1155</v>
      </c>
      <c r="C2" s="327"/>
      <c r="D2" s="327"/>
      <c r="E2" s="327"/>
      <c r="F2" s="327"/>
      <c r="G2" s="327"/>
      <c r="H2" s="666"/>
    </row>
    <row r="3" spans="1:10" ht="35.1" customHeight="1" thickBot="1" x14ac:dyDescent="0.25">
      <c r="A3" s="1523"/>
      <c r="B3" s="1527" t="s">
        <v>382</v>
      </c>
      <c r="C3" s="1528" t="s">
        <v>206</v>
      </c>
      <c r="D3" s="1528" t="s">
        <v>383</v>
      </c>
      <c r="E3" s="1528" t="s">
        <v>384</v>
      </c>
      <c r="F3" s="1528" t="s">
        <v>385</v>
      </c>
      <c r="G3" s="1528" t="s">
        <v>386</v>
      </c>
      <c r="H3" s="1530" t="s">
        <v>387</v>
      </c>
    </row>
    <row r="4" spans="1:10" ht="35.1" customHeight="1" x14ac:dyDescent="0.2">
      <c r="A4" s="1523"/>
      <c r="B4" s="1527"/>
      <c r="C4" s="1528"/>
      <c r="D4" s="1529"/>
      <c r="E4" s="1529"/>
      <c r="F4" s="1529"/>
      <c r="G4" s="1529"/>
      <c r="H4" s="1531"/>
    </row>
    <row r="5" spans="1:10" ht="66" customHeight="1" x14ac:dyDescent="0.2">
      <c r="A5" s="1039">
        <v>1</v>
      </c>
      <c r="B5" s="563" t="s">
        <v>1182</v>
      </c>
      <c r="C5" s="562" t="s">
        <v>976</v>
      </c>
      <c r="D5" s="564" t="s">
        <v>394</v>
      </c>
      <c r="E5" s="565" t="s">
        <v>526</v>
      </c>
      <c r="F5" s="566" t="s">
        <v>527</v>
      </c>
      <c r="G5" s="567" t="s">
        <v>388</v>
      </c>
      <c r="H5" s="1040">
        <f>+H6+H8+H9+H10+H7+H11+H12+H13</f>
        <v>80000</v>
      </c>
    </row>
    <row r="6" spans="1:10" ht="60" customHeight="1" x14ac:dyDescent="0.2">
      <c r="A6" s="1041"/>
      <c r="B6" s="569" t="s">
        <v>369</v>
      </c>
      <c r="C6" s="570"/>
      <c r="D6" s="420"/>
      <c r="E6" s="420"/>
      <c r="F6" s="421"/>
      <c r="G6" s="420">
        <v>54101</v>
      </c>
      <c r="H6" s="671">
        <v>6000</v>
      </c>
    </row>
    <row r="7" spans="1:10" ht="60" customHeight="1" x14ac:dyDescent="0.2">
      <c r="A7" s="1041"/>
      <c r="B7" s="569" t="s">
        <v>389</v>
      </c>
      <c r="C7" s="570"/>
      <c r="D7" s="420"/>
      <c r="E7" s="420"/>
      <c r="F7" s="421"/>
      <c r="G7" s="420">
        <v>54104</v>
      </c>
      <c r="H7" s="671">
        <v>26541.46</v>
      </c>
    </row>
    <row r="8" spans="1:10" ht="60" customHeight="1" x14ac:dyDescent="0.2">
      <c r="A8" s="1041"/>
      <c r="B8" s="569" t="s">
        <v>392</v>
      </c>
      <c r="C8" s="570"/>
      <c r="D8" s="420"/>
      <c r="E8" s="420"/>
      <c r="F8" s="421"/>
      <c r="G8" s="420">
        <v>54106</v>
      </c>
      <c r="H8" s="671">
        <v>6000</v>
      </c>
    </row>
    <row r="9" spans="1:10" ht="60" customHeight="1" thickBot="1" x14ac:dyDescent="0.25">
      <c r="A9" s="1042"/>
      <c r="B9" s="1043" t="s">
        <v>929</v>
      </c>
      <c r="C9" s="1044"/>
      <c r="D9" s="1045"/>
      <c r="E9" s="1045"/>
      <c r="F9" s="1046"/>
      <c r="G9" s="1045">
        <v>54112</v>
      </c>
      <c r="H9" s="1047">
        <v>6000</v>
      </c>
    </row>
    <row r="10" spans="1:10" ht="60" customHeight="1" x14ac:dyDescent="0.2">
      <c r="A10" s="1048"/>
      <c r="B10" s="1049" t="s">
        <v>407</v>
      </c>
      <c r="C10" s="1050"/>
      <c r="D10" s="1051"/>
      <c r="E10" s="1052"/>
      <c r="F10" s="1053"/>
      <c r="G10" s="1053" t="s">
        <v>444</v>
      </c>
      <c r="H10" s="1054">
        <v>6000</v>
      </c>
    </row>
    <row r="11" spans="1:10" ht="60" customHeight="1" x14ac:dyDescent="0.2">
      <c r="A11" s="1055"/>
      <c r="B11" s="569" t="s">
        <v>1005</v>
      </c>
      <c r="C11" s="571"/>
      <c r="D11" s="572"/>
      <c r="E11" s="374"/>
      <c r="F11" s="375"/>
      <c r="G11" s="375" t="s">
        <v>1007</v>
      </c>
      <c r="H11" s="1056">
        <v>5000</v>
      </c>
    </row>
    <row r="12" spans="1:10" ht="60" customHeight="1" x14ac:dyDescent="0.2">
      <c r="A12" s="1057"/>
      <c r="B12" s="747" t="s">
        <v>1006</v>
      </c>
      <c r="C12" s="748"/>
      <c r="D12" s="749"/>
      <c r="E12" s="750"/>
      <c r="F12" s="751"/>
      <c r="G12" s="751" t="s">
        <v>1008</v>
      </c>
      <c r="H12" s="1058">
        <v>11708.54</v>
      </c>
    </row>
    <row r="13" spans="1:10" ht="60" customHeight="1" x14ac:dyDescent="0.2">
      <c r="A13" s="1059"/>
      <c r="B13" s="569" t="s">
        <v>1030</v>
      </c>
      <c r="C13" s="757"/>
      <c r="D13" s="420"/>
      <c r="E13" s="420"/>
      <c r="F13" s="421"/>
      <c r="G13" s="421" t="s">
        <v>262</v>
      </c>
      <c r="H13" s="671">
        <v>12750</v>
      </c>
    </row>
    <row r="14" spans="1:10" ht="60" customHeight="1" x14ac:dyDescent="0.2">
      <c r="A14" s="1060">
        <v>2</v>
      </c>
      <c r="B14" s="542" t="s">
        <v>1183</v>
      </c>
      <c r="C14" s="752" t="s">
        <v>973</v>
      </c>
      <c r="D14" s="753" t="s">
        <v>394</v>
      </c>
      <c r="E14" s="754" t="s">
        <v>526</v>
      </c>
      <c r="F14" s="755" t="s">
        <v>395</v>
      </c>
      <c r="G14" s="756" t="s">
        <v>388</v>
      </c>
      <c r="H14" s="1061">
        <f>+H16+H17+H18+H19+H20</f>
        <v>136000</v>
      </c>
      <c r="I14" s="334"/>
      <c r="J14" s="543"/>
    </row>
    <row r="15" spans="1:10" ht="0.75" customHeight="1" x14ac:dyDescent="0.2">
      <c r="A15" s="389"/>
      <c r="B15" s="392" t="s">
        <v>389</v>
      </c>
      <c r="C15" s="330"/>
      <c r="D15" s="396"/>
      <c r="E15" s="332"/>
      <c r="F15" s="330"/>
      <c r="G15" s="331">
        <v>54104</v>
      </c>
      <c r="H15" s="668"/>
      <c r="I15" s="334"/>
      <c r="J15">
        <f>ROUND(H15/12,2)</f>
        <v>0</v>
      </c>
    </row>
    <row r="16" spans="1:10" ht="60" customHeight="1" x14ac:dyDescent="0.2">
      <c r="A16" s="389"/>
      <c r="B16" s="392" t="s">
        <v>865</v>
      </c>
      <c r="C16" s="330"/>
      <c r="D16" s="396"/>
      <c r="E16" s="331"/>
      <c r="F16" s="332"/>
      <c r="G16" s="332" t="s">
        <v>254</v>
      </c>
      <c r="H16" s="668">
        <v>20000</v>
      </c>
      <c r="I16" s="334"/>
    </row>
    <row r="17" spans="1:12" ht="60" customHeight="1" x14ac:dyDescent="0.2">
      <c r="A17" s="389"/>
      <c r="B17" s="392" t="s">
        <v>391</v>
      </c>
      <c r="C17" s="330"/>
      <c r="D17" s="396"/>
      <c r="E17" s="331"/>
      <c r="F17" s="332"/>
      <c r="G17" s="332" t="s">
        <v>365</v>
      </c>
      <c r="H17" s="668">
        <v>56000</v>
      </c>
      <c r="I17" s="334"/>
    </row>
    <row r="18" spans="1:12" ht="60" customHeight="1" thickBot="1" x14ac:dyDescent="0.25">
      <c r="A18" s="1062"/>
      <c r="B18" s="1063" t="s">
        <v>866</v>
      </c>
      <c r="C18" s="1063"/>
      <c r="D18" s="1064"/>
      <c r="E18" s="1065"/>
      <c r="F18" s="1066"/>
      <c r="G18" s="1066" t="s">
        <v>867</v>
      </c>
      <c r="H18" s="1067">
        <v>20000</v>
      </c>
      <c r="I18" s="334"/>
    </row>
    <row r="19" spans="1:12" ht="60" customHeight="1" x14ac:dyDescent="0.2">
      <c r="A19" s="1068"/>
      <c r="B19" s="1069" t="s">
        <v>1004</v>
      </c>
      <c r="C19" s="1069"/>
      <c r="D19" s="1070"/>
      <c r="E19" s="1071"/>
      <c r="F19" s="1072"/>
      <c r="G19" s="1072" t="s">
        <v>161</v>
      </c>
      <c r="H19" s="1073">
        <v>30000</v>
      </c>
      <c r="I19" s="334"/>
    </row>
    <row r="20" spans="1:12" ht="60" customHeight="1" x14ac:dyDescent="0.2">
      <c r="A20" s="389"/>
      <c r="B20" s="330" t="s">
        <v>1050</v>
      </c>
      <c r="C20" s="330"/>
      <c r="D20" s="420"/>
      <c r="E20" s="420"/>
      <c r="F20" s="421"/>
      <c r="G20" s="421" t="s">
        <v>1052</v>
      </c>
      <c r="H20" s="671">
        <v>10000</v>
      </c>
      <c r="I20" s="334"/>
    </row>
    <row r="21" spans="1:12" ht="60" customHeight="1" x14ac:dyDescent="0.2">
      <c r="A21" s="1060">
        <v>3</v>
      </c>
      <c r="B21" s="542" t="s">
        <v>1047</v>
      </c>
      <c r="C21" s="752" t="s">
        <v>974</v>
      </c>
      <c r="D21" s="753" t="s">
        <v>394</v>
      </c>
      <c r="E21" s="754" t="s">
        <v>526</v>
      </c>
      <c r="F21" s="755" t="s">
        <v>395</v>
      </c>
      <c r="G21" s="756" t="s">
        <v>388</v>
      </c>
      <c r="H21" s="1061">
        <f>+H22</f>
        <v>32400</v>
      </c>
    </row>
    <row r="22" spans="1:12" ht="60" customHeight="1" x14ac:dyDescent="0.2">
      <c r="A22" s="388"/>
      <c r="B22" s="394" t="s">
        <v>448</v>
      </c>
      <c r="C22" s="398"/>
      <c r="D22" s="396"/>
      <c r="E22" s="331"/>
      <c r="F22" s="332"/>
      <c r="G22" s="335">
        <v>56305</v>
      </c>
      <c r="H22" s="1074">
        <v>32400</v>
      </c>
    </row>
    <row r="23" spans="1:12" ht="50.1" customHeight="1" x14ac:dyDescent="0.2">
      <c r="A23" s="1075">
        <v>4</v>
      </c>
      <c r="B23" s="393" t="s">
        <v>927</v>
      </c>
      <c r="C23" s="562" t="s">
        <v>975</v>
      </c>
      <c r="D23" s="395" t="s">
        <v>394</v>
      </c>
      <c r="E23" s="497" t="s">
        <v>526</v>
      </c>
      <c r="F23" s="328" t="s">
        <v>396</v>
      </c>
      <c r="G23" s="329" t="s">
        <v>388</v>
      </c>
      <c r="H23" s="1076">
        <f>+H24+H25+H26+H27+H28+H29+H30+H31+H32+H33</f>
        <v>15000</v>
      </c>
      <c r="J23" s="343"/>
      <c r="K23" s="337"/>
      <c r="L23" s="336"/>
    </row>
    <row r="24" spans="1:12" ht="50.1" customHeight="1" x14ac:dyDescent="0.2">
      <c r="A24" s="388"/>
      <c r="B24" s="573" t="s">
        <v>936</v>
      </c>
      <c r="C24" s="398"/>
      <c r="D24" s="396"/>
      <c r="E24" s="331"/>
      <c r="F24" s="332"/>
      <c r="G24" s="335">
        <v>54101</v>
      </c>
      <c r="H24" s="1074">
        <v>2200</v>
      </c>
      <c r="K24" s="337"/>
      <c r="L24" s="336"/>
    </row>
    <row r="25" spans="1:12" ht="50.1" customHeight="1" x14ac:dyDescent="0.2">
      <c r="A25" s="388"/>
      <c r="B25" s="573" t="s">
        <v>930</v>
      </c>
      <c r="C25" s="398"/>
      <c r="D25" s="396"/>
      <c r="E25" s="331"/>
      <c r="F25" s="332"/>
      <c r="G25" s="335">
        <v>54103</v>
      </c>
      <c r="H25" s="1074">
        <v>204</v>
      </c>
      <c r="K25" s="337"/>
      <c r="L25" s="336"/>
    </row>
    <row r="26" spans="1:12" ht="50.1" customHeight="1" thickBot="1" x14ac:dyDescent="0.25">
      <c r="A26" s="1077"/>
      <c r="B26" s="1078" t="s">
        <v>931</v>
      </c>
      <c r="C26" s="1079"/>
      <c r="D26" s="1064"/>
      <c r="E26" s="1065"/>
      <c r="F26" s="1066"/>
      <c r="G26" s="1080">
        <v>54104</v>
      </c>
      <c r="H26" s="1081">
        <v>755</v>
      </c>
      <c r="K26" s="337"/>
      <c r="L26" s="336"/>
    </row>
    <row r="27" spans="1:12" ht="50.1" customHeight="1" x14ac:dyDescent="0.2">
      <c r="A27" s="1082"/>
      <c r="B27" s="1083" t="s">
        <v>932</v>
      </c>
      <c r="C27" s="1084"/>
      <c r="D27" s="1051"/>
      <c r="E27" s="1052"/>
      <c r="F27" s="1053"/>
      <c r="G27" s="1085">
        <v>54107</v>
      </c>
      <c r="H27" s="1086">
        <v>280</v>
      </c>
      <c r="K27" s="337"/>
      <c r="L27" s="336"/>
    </row>
    <row r="28" spans="1:12" ht="50.1" customHeight="1" x14ac:dyDescent="0.2">
      <c r="A28" s="388"/>
      <c r="B28" s="573" t="s">
        <v>933</v>
      </c>
      <c r="C28" s="398"/>
      <c r="D28" s="396"/>
      <c r="E28" s="331"/>
      <c r="F28" s="332"/>
      <c r="G28" s="335">
        <v>54113</v>
      </c>
      <c r="H28" s="1074">
        <v>50</v>
      </c>
      <c r="K28" s="337"/>
      <c r="L28" s="336"/>
    </row>
    <row r="29" spans="1:12" ht="50.1" customHeight="1" x14ac:dyDescent="0.2">
      <c r="A29" s="388"/>
      <c r="B29" s="573" t="s">
        <v>929</v>
      </c>
      <c r="C29" s="398"/>
      <c r="D29" s="396"/>
      <c r="E29" s="331"/>
      <c r="F29" s="332"/>
      <c r="G29" s="335">
        <v>54112</v>
      </c>
      <c r="H29" s="1074">
        <v>295</v>
      </c>
      <c r="K29" s="337"/>
      <c r="L29" s="336"/>
    </row>
    <row r="30" spans="1:12" ht="50.1" customHeight="1" x14ac:dyDescent="0.2">
      <c r="A30" s="388"/>
      <c r="B30" s="573" t="s">
        <v>866</v>
      </c>
      <c r="C30" s="398"/>
      <c r="D30" s="396"/>
      <c r="E30" s="331"/>
      <c r="F30" s="332"/>
      <c r="G30" s="335">
        <v>54118</v>
      </c>
      <c r="H30" s="1074">
        <v>65</v>
      </c>
      <c r="K30" s="337"/>
      <c r="L30" s="336"/>
    </row>
    <row r="31" spans="1:12" ht="50.1" customHeight="1" x14ac:dyDescent="0.2">
      <c r="A31" s="388"/>
      <c r="B31" s="573" t="s">
        <v>407</v>
      </c>
      <c r="C31" s="398"/>
      <c r="D31" s="396"/>
      <c r="E31" s="331"/>
      <c r="F31" s="332"/>
      <c r="G31" s="335">
        <v>54199</v>
      </c>
      <c r="H31" s="1074">
        <v>3851</v>
      </c>
      <c r="K31" s="337"/>
      <c r="L31" s="336"/>
    </row>
    <row r="32" spans="1:12" ht="50.1" customHeight="1" x14ac:dyDescent="0.2">
      <c r="A32" s="388"/>
      <c r="B32" s="573" t="s">
        <v>934</v>
      </c>
      <c r="C32" s="398"/>
      <c r="D32" s="396"/>
      <c r="E32" s="331"/>
      <c r="F32" s="332"/>
      <c r="G32" s="335">
        <v>54313</v>
      </c>
      <c r="H32" s="1074">
        <v>300</v>
      </c>
      <c r="K32" s="337"/>
      <c r="L32" s="336"/>
    </row>
    <row r="33" spans="1:12" ht="50.1" customHeight="1" x14ac:dyDescent="0.2">
      <c r="A33" s="388"/>
      <c r="B33" s="573" t="s">
        <v>935</v>
      </c>
      <c r="C33" s="398"/>
      <c r="D33" s="396"/>
      <c r="E33" s="331"/>
      <c r="F33" s="332"/>
      <c r="G33" s="335">
        <v>54399</v>
      </c>
      <c r="H33" s="1074">
        <v>7000</v>
      </c>
      <c r="K33" s="337"/>
      <c r="L33" s="336"/>
    </row>
    <row r="34" spans="1:12" ht="50.1" customHeight="1" x14ac:dyDescent="0.2">
      <c r="A34" s="1075">
        <v>5</v>
      </c>
      <c r="B34" s="393" t="s">
        <v>1015</v>
      </c>
      <c r="C34" s="562"/>
      <c r="D34" s="395"/>
      <c r="E34" s="497"/>
      <c r="F34" s="328"/>
      <c r="G34" s="329" t="s">
        <v>388</v>
      </c>
      <c r="H34" s="1076">
        <f>+H35</f>
        <v>53480.38</v>
      </c>
      <c r="K34" s="338"/>
      <c r="L34" s="336"/>
    </row>
    <row r="35" spans="1:12" ht="50.1" customHeight="1" thickBot="1" x14ac:dyDescent="0.25">
      <c r="A35" s="1077"/>
      <c r="B35" s="1087" t="s">
        <v>858</v>
      </c>
      <c r="C35" s="1088" t="s">
        <v>972</v>
      </c>
      <c r="D35" s="1064"/>
      <c r="E35" s="1065"/>
      <c r="F35" s="1066"/>
      <c r="G35" s="1080">
        <v>54205</v>
      </c>
      <c r="H35" s="1081">
        <v>53480.38</v>
      </c>
      <c r="K35" s="338"/>
      <c r="L35" s="336"/>
    </row>
    <row r="36" spans="1:12" ht="50.1" customHeight="1" x14ac:dyDescent="0.2">
      <c r="A36" s="1089">
        <v>6</v>
      </c>
      <c r="B36" s="1090" t="s">
        <v>856</v>
      </c>
      <c r="C36" s="1091"/>
      <c r="D36" s="1092"/>
      <c r="E36" s="1093"/>
      <c r="F36" s="1094"/>
      <c r="G36" s="1095" t="s">
        <v>388</v>
      </c>
      <c r="H36" s="1096">
        <f>+H37</f>
        <v>108000</v>
      </c>
      <c r="K36" s="338"/>
      <c r="L36" s="336"/>
    </row>
    <row r="37" spans="1:12" ht="50.1" customHeight="1" x14ac:dyDescent="0.2">
      <c r="A37" s="388"/>
      <c r="B37" s="394" t="s">
        <v>857</v>
      </c>
      <c r="C37" s="631" t="s">
        <v>971</v>
      </c>
      <c r="D37" s="396"/>
      <c r="E37" s="331"/>
      <c r="F37" s="332"/>
      <c r="G37" s="335">
        <v>54201</v>
      </c>
      <c r="H37" s="1074">
        <v>108000</v>
      </c>
      <c r="K37" s="338"/>
      <c r="L37" s="336"/>
    </row>
    <row r="38" spans="1:12" ht="50.1" customHeight="1" x14ac:dyDescent="0.2">
      <c r="A38" s="1075">
        <v>7</v>
      </c>
      <c r="B38" s="393" t="s">
        <v>320</v>
      </c>
      <c r="C38" s="397"/>
      <c r="D38" s="395"/>
      <c r="E38" s="497" t="s">
        <v>526</v>
      </c>
      <c r="F38" s="328"/>
      <c r="G38" s="329">
        <v>72101</v>
      </c>
      <c r="H38" s="1076">
        <v>29811.15</v>
      </c>
      <c r="K38" s="94"/>
    </row>
    <row r="39" spans="1:12" ht="60" customHeight="1" thickBot="1" x14ac:dyDescent="0.25">
      <c r="A39" s="390"/>
      <c r="B39" s="1097" t="s">
        <v>397</v>
      </c>
      <c r="C39" s="1098"/>
      <c r="D39" s="1099"/>
      <c r="E39" s="1099"/>
      <c r="F39" s="1099"/>
      <c r="G39" s="1099"/>
      <c r="H39" s="1100">
        <f>+H5+H14+H21+H23+H34+H38+H36</f>
        <v>454691.53</v>
      </c>
      <c r="I39" s="340"/>
      <c r="J39" s="108"/>
    </row>
    <row r="40" spans="1:12" x14ac:dyDescent="0.2">
      <c r="J40" s="342"/>
    </row>
    <row r="41" spans="1:12" ht="27.75" customHeight="1" x14ac:dyDescent="0.2">
      <c r="A41" s="535">
        <v>54101</v>
      </c>
      <c r="B41" s="569" t="s">
        <v>369</v>
      </c>
      <c r="C41" s="537">
        <f>+H6+H24</f>
        <v>8200</v>
      </c>
    </row>
    <row r="42" spans="1:12" ht="27.75" customHeight="1" x14ac:dyDescent="0.2">
      <c r="A42" s="535">
        <v>54103</v>
      </c>
      <c r="B42" s="569" t="s">
        <v>930</v>
      </c>
      <c r="C42" s="537">
        <f>+H25</f>
        <v>204</v>
      </c>
    </row>
    <row r="43" spans="1:12" ht="23.25" customHeight="1" x14ac:dyDescent="0.2">
      <c r="A43" s="535">
        <v>54104</v>
      </c>
      <c r="B43" s="569" t="s">
        <v>389</v>
      </c>
      <c r="C43" s="537">
        <f>+H7+H26</f>
        <v>27296.46</v>
      </c>
    </row>
    <row r="44" spans="1:12" ht="30.75" customHeight="1" x14ac:dyDescent="0.2">
      <c r="A44" s="535">
        <v>54106</v>
      </c>
      <c r="B44" s="569" t="s">
        <v>392</v>
      </c>
      <c r="C44" s="536">
        <f>+H8</f>
        <v>6000</v>
      </c>
    </row>
    <row r="45" spans="1:12" ht="30.75" customHeight="1" x14ac:dyDescent="0.2">
      <c r="A45" s="535">
        <v>54107</v>
      </c>
      <c r="B45" s="569" t="s">
        <v>932</v>
      </c>
      <c r="C45" s="536">
        <f>+H27</f>
        <v>280</v>
      </c>
    </row>
    <row r="46" spans="1:12" ht="35.1" customHeight="1" x14ac:dyDescent="0.2">
      <c r="A46" s="535">
        <v>54109</v>
      </c>
      <c r="B46" s="359" t="s">
        <v>865</v>
      </c>
      <c r="C46" s="536">
        <f>+H16</f>
        <v>20000</v>
      </c>
      <c r="D46" s="538"/>
    </row>
    <row r="47" spans="1:12" ht="35.1" customHeight="1" x14ac:dyDescent="0.2">
      <c r="A47" s="535">
        <v>54110</v>
      </c>
      <c r="B47" s="359" t="s">
        <v>860</v>
      </c>
      <c r="C47" s="536">
        <f>+H17</f>
        <v>56000</v>
      </c>
      <c r="D47" s="538"/>
    </row>
    <row r="48" spans="1:12" ht="35.1" customHeight="1" x14ac:dyDescent="0.2">
      <c r="A48" s="535">
        <v>54112</v>
      </c>
      <c r="B48" s="569" t="s">
        <v>929</v>
      </c>
      <c r="C48" s="537">
        <f>+H9+H29</f>
        <v>6295</v>
      </c>
      <c r="D48" s="538"/>
    </row>
    <row r="49" spans="1:4" ht="35.1" customHeight="1" x14ac:dyDescent="0.2">
      <c r="A49" s="535">
        <v>54113</v>
      </c>
      <c r="B49" s="569" t="s">
        <v>933</v>
      </c>
      <c r="C49" s="536">
        <f>+H28</f>
        <v>50</v>
      </c>
      <c r="D49" s="538"/>
    </row>
    <row r="50" spans="1:4" ht="35.1" customHeight="1" x14ac:dyDescent="0.2">
      <c r="A50" s="535">
        <v>54118</v>
      </c>
      <c r="B50" s="359" t="s">
        <v>866</v>
      </c>
      <c r="C50" s="536">
        <f>+H30+H18</f>
        <v>20065</v>
      </c>
      <c r="D50" s="538"/>
    </row>
    <row r="51" spans="1:4" ht="35.1" customHeight="1" x14ac:dyDescent="0.2">
      <c r="A51" s="535">
        <v>54119</v>
      </c>
      <c r="B51" s="359" t="s">
        <v>1016</v>
      </c>
      <c r="C51" s="536">
        <v>0</v>
      </c>
      <c r="D51" s="538"/>
    </row>
    <row r="52" spans="1:4" ht="35.1" customHeight="1" x14ac:dyDescent="0.2">
      <c r="A52" s="535">
        <v>54199</v>
      </c>
      <c r="B52" s="359" t="s">
        <v>407</v>
      </c>
      <c r="C52" s="536">
        <f>+H10+H31</f>
        <v>9851</v>
      </c>
      <c r="D52" s="538"/>
    </row>
    <row r="53" spans="1:4" ht="35.1" customHeight="1" x14ac:dyDescent="0.2">
      <c r="A53" s="535">
        <v>54201</v>
      </c>
      <c r="B53" s="359" t="s">
        <v>857</v>
      </c>
      <c r="C53" s="536">
        <f>+H37</f>
        <v>108000</v>
      </c>
      <c r="D53" s="538"/>
    </row>
    <row r="54" spans="1:4" ht="35.1" customHeight="1" x14ac:dyDescent="0.2">
      <c r="A54" s="535">
        <v>54202</v>
      </c>
      <c r="B54" s="359" t="s">
        <v>859</v>
      </c>
      <c r="C54" s="536">
        <v>0</v>
      </c>
      <c r="D54" s="538"/>
    </row>
    <row r="55" spans="1:4" ht="35.1" customHeight="1" x14ac:dyDescent="0.2">
      <c r="A55" s="535">
        <v>54205</v>
      </c>
      <c r="B55" s="359" t="s">
        <v>858</v>
      </c>
      <c r="C55" s="536">
        <f>+H35</f>
        <v>53480.38</v>
      </c>
      <c r="D55" s="538"/>
    </row>
    <row r="56" spans="1:4" ht="35.1" customHeight="1" x14ac:dyDescent="0.2">
      <c r="A56" s="535">
        <v>54302</v>
      </c>
      <c r="B56" s="359" t="s">
        <v>1014</v>
      </c>
      <c r="C56" s="536">
        <f>+H19</f>
        <v>30000</v>
      </c>
      <c r="D56" s="538"/>
    </row>
    <row r="57" spans="1:4" ht="35.1" customHeight="1" x14ac:dyDescent="0.2">
      <c r="A57" s="535">
        <v>56305</v>
      </c>
      <c r="B57" s="359" t="s">
        <v>377</v>
      </c>
      <c r="C57" s="536">
        <f>+H22</f>
        <v>32400</v>
      </c>
      <c r="D57" s="538"/>
    </row>
    <row r="58" spans="1:4" ht="35.1" customHeight="1" x14ac:dyDescent="0.2">
      <c r="A58" s="535">
        <v>54304</v>
      </c>
      <c r="B58" s="573" t="s">
        <v>1013</v>
      </c>
      <c r="C58" s="536">
        <f>+H11</f>
        <v>5000</v>
      </c>
      <c r="D58" s="538"/>
    </row>
    <row r="59" spans="1:4" ht="35.1" customHeight="1" x14ac:dyDescent="0.2">
      <c r="A59" s="535">
        <v>54313</v>
      </c>
      <c r="B59" s="573" t="s">
        <v>934</v>
      </c>
      <c r="C59" s="536">
        <f>+H32</f>
        <v>300</v>
      </c>
      <c r="D59" s="538"/>
    </row>
    <row r="60" spans="1:4" ht="35.1" customHeight="1" x14ac:dyDescent="0.2">
      <c r="A60" s="535">
        <v>54399</v>
      </c>
      <c r="B60" s="573" t="s">
        <v>935</v>
      </c>
      <c r="C60" s="536">
        <f>+H33+H12</f>
        <v>18708.54</v>
      </c>
      <c r="D60" s="538"/>
    </row>
    <row r="61" spans="1:4" ht="35.1" customHeight="1" x14ac:dyDescent="0.2">
      <c r="A61" s="535">
        <v>61602</v>
      </c>
      <c r="B61" s="359" t="s">
        <v>212</v>
      </c>
      <c r="C61" s="536">
        <v>0</v>
      </c>
      <c r="D61" s="539"/>
    </row>
    <row r="62" spans="1:4" ht="35.1" customHeight="1" x14ac:dyDescent="0.2">
      <c r="A62" s="535">
        <v>61108</v>
      </c>
      <c r="B62" s="359" t="s">
        <v>1051</v>
      </c>
      <c r="C62" s="536">
        <f>+H20</f>
        <v>10000</v>
      </c>
      <c r="D62" s="539"/>
    </row>
    <row r="63" spans="1:4" ht="35.1" customHeight="1" x14ac:dyDescent="0.2">
      <c r="A63" s="535">
        <v>56303</v>
      </c>
      <c r="B63" s="359" t="s">
        <v>1030</v>
      </c>
      <c r="C63" s="536">
        <f>+H13</f>
        <v>12750</v>
      </c>
      <c r="D63" s="539"/>
    </row>
    <row r="64" spans="1:4" ht="35.1" customHeight="1" x14ac:dyDescent="0.2">
      <c r="A64" s="535">
        <v>72101</v>
      </c>
      <c r="B64" s="415" t="s">
        <v>320</v>
      </c>
      <c r="C64" s="536">
        <f>+H38</f>
        <v>29811.15</v>
      </c>
      <c r="D64" s="539"/>
    </row>
    <row r="65" spans="1:4" ht="30" customHeight="1" x14ac:dyDescent="0.2">
      <c r="A65" s="535"/>
      <c r="B65" s="359"/>
      <c r="C65" s="574">
        <f>+C41+C42+C43+C44+C45+C46+C47+C48+C49+C50+C52+C53+C54+C55+C57+C59+C60+C61+C63+C64+C56+C58+C51+C62</f>
        <v>454691.52999999997</v>
      </c>
      <c r="D65" s="540"/>
    </row>
  </sheetData>
  <mergeCells count="9">
    <mergeCell ref="A1:A4"/>
    <mergeCell ref="B1:H1"/>
    <mergeCell ref="B3:B4"/>
    <mergeCell ref="D3:D4"/>
    <mergeCell ref="E3:E4"/>
    <mergeCell ref="F3:F4"/>
    <mergeCell ref="G3:G4"/>
    <mergeCell ref="H3:H4"/>
    <mergeCell ref="C3:C4"/>
  </mergeCells>
  <pageMargins left="0.70866141732283472" right="0.70866141732283472" top="0.74803149606299213" bottom="0.74803149606299213" header="0.31496062992125984" footer="0.31496062992125984"/>
  <pageSetup scale="95" orientation="landscape" r:id="rId1"/>
  <rowBreaks count="4" manualBreakCount="4">
    <brk id="9" max="7" man="1"/>
    <brk id="18" max="7" man="1"/>
    <brk id="26" max="7" man="1"/>
    <brk id="39" max="7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249977111117893"/>
  </sheetPr>
  <dimension ref="A1:K52"/>
  <sheetViews>
    <sheetView view="pageBreakPreview" topLeftCell="A43" zoomScale="98" zoomScaleNormal="100" zoomScaleSheetLayoutView="98" workbookViewId="0">
      <selection activeCell="H29" sqref="H29"/>
    </sheetView>
  </sheetViews>
  <sheetFormatPr baseColWidth="10" defaultRowHeight="15" x14ac:dyDescent="0.3"/>
  <cols>
    <col min="1" max="2" width="4.42578125" style="75" customWidth="1"/>
    <col min="3" max="3" width="4.42578125" style="76" customWidth="1"/>
    <col min="4" max="5" width="6.140625" style="1" customWidth="1"/>
    <col min="6" max="6" width="11" style="1" customWidth="1"/>
    <col min="7" max="7" width="56" style="2" customWidth="1"/>
    <col min="8" max="8" width="23.42578125" style="3" customWidth="1"/>
  </cols>
  <sheetData>
    <row r="1" spans="1:11" ht="18.75" x14ac:dyDescent="0.3">
      <c r="A1" s="1391" t="s">
        <v>1153</v>
      </c>
      <c r="B1" s="1392"/>
      <c r="C1" s="1392"/>
      <c r="D1" s="1392"/>
      <c r="E1" s="1392"/>
      <c r="F1" s="1392"/>
      <c r="G1" s="1392"/>
      <c r="H1" s="1393"/>
    </row>
    <row r="2" spans="1:11" ht="18.75" x14ac:dyDescent="0.3">
      <c r="A2" s="1394" t="s">
        <v>516</v>
      </c>
      <c r="B2" s="1395"/>
      <c r="C2" s="1395"/>
      <c r="D2" s="1395"/>
      <c r="E2" s="1395"/>
      <c r="F2" s="1395"/>
      <c r="G2" s="1395"/>
      <c r="H2" s="1396"/>
    </row>
    <row r="3" spans="1:11" ht="18.75" x14ac:dyDescent="0.3">
      <c r="A3" s="436"/>
      <c r="B3" s="830"/>
      <c r="C3" s="830"/>
      <c r="D3" s="830"/>
      <c r="E3" s="830"/>
      <c r="F3" s="830"/>
      <c r="G3" s="830"/>
      <c r="H3" s="437"/>
    </row>
    <row r="4" spans="1:11" ht="18.75" x14ac:dyDescent="0.3">
      <c r="A4" s="1394" t="s">
        <v>129</v>
      </c>
      <c r="B4" s="1395"/>
      <c r="C4" s="1395"/>
      <c r="D4" s="1395"/>
      <c r="E4" s="1395"/>
      <c r="F4" s="1395"/>
      <c r="G4" s="1395"/>
      <c r="H4" s="1396"/>
    </row>
    <row r="5" spans="1:11" ht="18.75" x14ac:dyDescent="0.3">
      <c r="A5" s="1500"/>
      <c r="B5" s="1501"/>
      <c r="C5" s="1501"/>
      <c r="D5" s="1501"/>
      <c r="E5" s="1501"/>
      <c r="F5" s="1501"/>
      <c r="G5" s="1501"/>
      <c r="H5" s="1502"/>
    </row>
    <row r="6" spans="1:11" ht="18.75" x14ac:dyDescent="0.3">
      <c r="A6" s="1397" t="s">
        <v>170</v>
      </c>
      <c r="B6" s="1398"/>
      <c r="C6" s="1398"/>
      <c r="D6" s="1398"/>
      <c r="E6" s="1398"/>
      <c r="F6" s="1398"/>
      <c r="G6" s="1398"/>
      <c r="H6" s="1399"/>
    </row>
    <row r="7" spans="1:11" ht="36.75" customHeight="1" x14ac:dyDescent="0.3">
      <c r="A7" s="1532" t="s">
        <v>455</v>
      </c>
      <c r="B7" s="1533"/>
      <c r="C7" s="1533"/>
      <c r="D7" s="1533"/>
      <c r="E7" s="1533"/>
      <c r="F7" s="1533"/>
      <c r="G7" s="1533"/>
      <c r="H7" s="1534"/>
    </row>
    <row r="8" spans="1:11" ht="18.75" x14ac:dyDescent="0.3">
      <c r="A8" s="142"/>
      <c r="B8" s="138"/>
      <c r="C8" s="138"/>
      <c r="D8" s="138"/>
      <c r="E8" s="138"/>
      <c r="F8" s="138"/>
      <c r="G8" s="138"/>
      <c r="H8" s="422"/>
    </row>
    <row r="9" spans="1:11" x14ac:dyDescent="0.3">
      <c r="A9" s="1508" t="s">
        <v>171</v>
      </c>
      <c r="B9" s="1509"/>
      <c r="C9" s="1509"/>
      <c r="D9" s="1509"/>
      <c r="E9" s="1509"/>
      <c r="F9" s="1509"/>
      <c r="G9" s="1510" t="s">
        <v>172</v>
      </c>
      <c r="H9" s="1535" t="s">
        <v>173</v>
      </c>
    </row>
    <row r="10" spans="1:11" ht="167.25" customHeight="1" x14ac:dyDescent="0.2">
      <c r="A10" s="222" t="s">
        <v>174</v>
      </c>
      <c r="B10" s="212" t="s">
        <v>175</v>
      </c>
      <c r="C10" s="212" t="s">
        <v>176</v>
      </c>
      <c r="D10" s="212" t="s">
        <v>177</v>
      </c>
      <c r="E10" s="212" t="s">
        <v>178</v>
      </c>
      <c r="F10" s="212" t="s">
        <v>179</v>
      </c>
      <c r="G10" s="1510"/>
      <c r="H10" s="1535"/>
    </row>
    <row r="11" spans="1:11" ht="24.95" customHeight="1" x14ac:dyDescent="0.2">
      <c r="A11" s="453">
        <v>1</v>
      </c>
      <c r="B11" s="213" t="s">
        <v>180</v>
      </c>
      <c r="C11" s="213" t="s">
        <v>180</v>
      </c>
      <c r="D11" s="213" t="s">
        <v>181</v>
      </c>
      <c r="E11" s="213" t="s">
        <v>344</v>
      </c>
      <c r="F11" s="213">
        <f>'FUNCIONAMIENTO-FOND PROPIOS-FAM'!A12</f>
        <v>51105</v>
      </c>
      <c r="G11" s="214" t="str">
        <f>'FUNCIONAMIENTO-FOND PROPIOS-FAM'!B12</f>
        <v>Dietas</v>
      </c>
      <c r="H11" s="144">
        <f>+'RESUMEN '!G8</f>
        <v>158400</v>
      </c>
    </row>
    <row r="12" spans="1:11" ht="24.95" customHeight="1" x14ac:dyDescent="0.2">
      <c r="A12" s="453">
        <v>1</v>
      </c>
      <c r="B12" s="213" t="s">
        <v>180</v>
      </c>
      <c r="C12" s="213" t="s">
        <v>180</v>
      </c>
      <c r="D12" s="106" t="s">
        <v>181</v>
      </c>
      <c r="E12" s="213" t="s">
        <v>344</v>
      </c>
      <c r="F12" s="213" t="str">
        <f>'FUNCIONAMIENTO-FOND PROPIOS-FAM'!A13</f>
        <v>51107</v>
      </c>
      <c r="G12" s="214" t="s">
        <v>1180</v>
      </c>
      <c r="H12" s="144">
        <v>108900</v>
      </c>
    </row>
    <row r="13" spans="1:11" ht="40.5" customHeight="1" x14ac:dyDescent="0.2">
      <c r="A13" s="453">
        <v>1</v>
      </c>
      <c r="B13" s="213" t="s">
        <v>180</v>
      </c>
      <c r="C13" s="213" t="s">
        <v>180</v>
      </c>
      <c r="D13" s="106" t="s">
        <v>181</v>
      </c>
      <c r="E13" s="213" t="s">
        <v>344</v>
      </c>
      <c r="F13" s="213" t="s">
        <v>182</v>
      </c>
      <c r="G13" s="214" t="s">
        <v>876</v>
      </c>
      <c r="H13" s="144">
        <v>10890</v>
      </c>
      <c r="K13" s="108">
        <f>+H11+H16+H17</f>
        <v>178380</v>
      </c>
    </row>
    <row r="14" spans="1:11" ht="24.95" customHeight="1" x14ac:dyDescent="0.2">
      <c r="A14" s="453">
        <v>1</v>
      </c>
      <c r="B14" s="213" t="s">
        <v>180</v>
      </c>
      <c r="C14" s="213" t="s">
        <v>180</v>
      </c>
      <c r="D14" s="106" t="s">
        <v>181</v>
      </c>
      <c r="E14" s="213" t="s">
        <v>344</v>
      </c>
      <c r="F14" s="213" t="s">
        <v>182</v>
      </c>
      <c r="G14" s="214" t="s">
        <v>877</v>
      </c>
      <c r="H14" s="144">
        <v>36600</v>
      </c>
    </row>
    <row r="15" spans="1:11" ht="24.95" customHeight="1" x14ac:dyDescent="0.2">
      <c r="A15" s="453">
        <v>1</v>
      </c>
      <c r="B15" s="213" t="s">
        <v>180</v>
      </c>
      <c r="C15" s="213" t="s">
        <v>180</v>
      </c>
      <c r="D15" s="106" t="s">
        <v>181</v>
      </c>
      <c r="E15" s="213" t="s">
        <v>344</v>
      </c>
      <c r="F15" s="213" t="s">
        <v>182</v>
      </c>
      <c r="G15" s="214" t="s">
        <v>881</v>
      </c>
      <c r="H15" s="144">
        <v>0</v>
      </c>
    </row>
    <row r="16" spans="1:11" ht="24.95" customHeight="1" x14ac:dyDescent="0.2">
      <c r="A16" s="453">
        <v>1</v>
      </c>
      <c r="B16" s="213" t="s">
        <v>180</v>
      </c>
      <c r="C16" s="213" t="s">
        <v>180</v>
      </c>
      <c r="D16" s="213" t="s">
        <v>181</v>
      </c>
      <c r="E16" s="213" t="s">
        <v>344</v>
      </c>
      <c r="F16" s="213">
        <f>'FUNCIONAMIENTO-FOND PROPIOS-FAM'!A15</f>
        <v>51401</v>
      </c>
      <c r="G16" s="214" t="str">
        <f>'FUNCIONAMIENTO-FOND PROPIOS-FAM'!B15</f>
        <v>Por Remuneraciones Permanentes ISSS\IPSFA</v>
      </c>
      <c r="H16" s="144">
        <f>+'RESUMEN '!H8</f>
        <v>6120</v>
      </c>
    </row>
    <row r="17" spans="1:8" ht="24.95" customHeight="1" x14ac:dyDescent="0.2">
      <c r="A17" s="453">
        <v>1</v>
      </c>
      <c r="B17" s="213" t="s">
        <v>180</v>
      </c>
      <c r="C17" s="213" t="s">
        <v>180</v>
      </c>
      <c r="D17" s="213" t="s">
        <v>181</v>
      </c>
      <c r="E17" s="213" t="s">
        <v>344</v>
      </c>
      <c r="F17" s="213">
        <f>'FUNCIONAMIENTO-FOND PROPIOS-FAM'!A16</f>
        <v>51501</v>
      </c>
      <c r="G17" s="214" t="str">
        <f>'FUNCIONAMIENTO-FOND PROPIOS-FAM'!B16</f>
        <v>Por Remuneraciones Permanentes AFPs</v>
      </c>
      <c r="H17" s="144">
        <f>+'RESUMEN '!I8</f>
        <v>13860</v>
      </c>
    </row>
    <row r="18" spans="1:8" ht="24.95" customHeight="1" x14ac:dyDescent="0.25">
      <c r="A18" s="1539" t="s">
        <v>16</v>
      </c>
      <c r="B18" s="1540"/>
      <c r="C18" s="1540"/>
      <c r="D18" s="1540"/>
      <c r="E18" s="1540"/>
      <c r="F18" s="1540"/>
      <c r="G18" s="1540"/>
      <c r="H18" s="454">
        <f>SUM(H11:H17)</f>
        <v>334770</v>
      </c>
    </row>
    <row r="19" spans="1:8" ht="24.95" customHeight="1" x14ac:dyDescent="0.2">
      <c r="A19" s="453">
        <v>1</v>
      </c>
      <c r="B19" s="213" t="s">
        <v>180</v>
      </c>
      <c r="C19" s="213" t="s">
        <v>180</v>
      </c>
      <c r="D19" s="213" t="s">
        <v>181</v>
      </c>
      <c r="E19" s="213" t="s">
        <v>344</v>
      </c>
      <c r="F19" s="106" t="s">
        <v>260</v>
      </c>
      <c r="G19" s="136" t="s">
        <v>405</v>
      </c>
      <c r="H19" s="144">
        <v>15000</v>
      </c>
    </row>
    <row r="20" spans="1:8" ht="24.95" customHeight="1" x14ac:dyDescent="0.2">
      <c r="A20" s="453">
        <v>1</v>
      </c>
      <c r="B20" s="213" t="s">
        <v>180</v>
      </c>
      <c r="C20" s="213" t="s">
        <v>180</v>
      </c>
      <c r="D20" s="213" t="s">
        <v>181</v>
      </c>
      <c r="E20" s="213" t="s">
        <v>344</v>
      </c>
      <c r="F20" s="106" t="s">
        <v>1117</v>
      </c>
      <c r="G20" s="136" t="s">
        <v>1116</v>
      </c>
      <c r="H20" s="144">
        <v>2000</v>
      </c>
    </row>
    <row r="21" spans="1:8" ht="24.95" customHeight="1" x14ac:dyDescent="0.2">
      <c r="A21" s="453">
        <v>1</v>
      </c>
      <c r="B21" s="213" t="s">
        <v>180</v>
      </c>
      <c r="C21" s="213" t="s">
        <v>180</v>
      </c>
      <c r="D21" s="213" t="s">
        <v>181</v>
      </c>
      <c r="E21" s="213" t="s">
        <v>344</v>
      </c>
      <c r="F21" s="106" t="s">
        <v>994</v>
      </c>
      <c r="G21" s="136" t="s">
        <v>995</v>
      </c>
      <c r="H21" s="144">
        <v>92670</v>
      </c>
    </row>
    <row r="22" spans="1:8" ht="24.95" customHeight="1" x14ac:dyDescent="0.2">
      <c r="A22" s="453">
        <v>1</v>
      </c>
      <c r="B22" s="213" t="s">
        <v>180</v>
      </c>
      <c r="C22" s="213" t="s">
        <v>180</v>
      </c>
      <c r="D22" s="213" t="s">
        <v>181</v>
      </c>
      <c r="E22" s="213" t="s">
        <v>344</v>
      </c>
      <c r="F22" s="106" t="s">
        <v>258</v>
      </c>
      <c r="G22" s="136" t="s">
        <v>334</v>
      </c>
      <c r="H22" s="144">
        <v>200</v>
      </c>
    </row>
    <row r="23" spans="1:8" ht="24.95" customHeight="1" x14ac:dyDescent="0.2">
      <c r="A23" s="453">
        <v>1</v>
      </c>
      <c r="B23" s="213" t="s">
        <v>180</v>
      </c>
      <c r="C23" s="213" t="s">
        <v>180</v>
      </c>
      <c r="D23" s="213" t="s">
        <v>181</v>
      </c>
      <c r="E23" s="213" t="s">
        <v>344</v>
      </c>
      <c r="F23" s="106" t="s">
        <v>1112</v>
      </c>
      <c r="G23" s="136" t="s">
        <v>1118</v>
      </c>
      <c r="H23" s="144">
        <v>1315.9</v>
      </c>
    </row>
    <row r="24" spans="1:8" ht="24.95" customHeight="1" x14ac:dyDescent="0.2">
      <c r="A24" s="453">
        <v>1</v>
      </c>
      <c r="B24" s="213" t="s">
        <v>180</v>
      </c>
      <c r="C24" s="213" t="s">
        <v>180</v>
      </c>
      <c r="D24" s="213" t="s">
        <v>181</v>
      </c>
      <c r="E24" s="213" t="s">
        <v>344</v>
      </c>
      <c r="F24" s="106" t="s">
        <v>1119</v>
      </c>
      <c r="G24" s="136" t="s">
        <v>1120</v>
      </c>
      <c r="H24" s="144">
        <v>2350</v>
      </c>
    </row>
    <row r="25" spans="1:8" ht="24.95" customHeight="1" x14ac:dyDescent="0.2">
      <c r="A25" s="453">
        <v>1</v>
      </c>
      <c r="B25" s="213" t="s">
        <v>180</v>
      </c>
      <c r="C25" s="213" t="s">
        <v>180</v>
      </c>
      <c r="D25" s="213" t="s">
        <v>181</v>
      </c>
      <c r="E25" s="213" t="s">
        <v>344</v>
      </c>
      <c r="F25" s="106" t="s">
        <v>261</v>
      </c>
      <c r="G25" s="136" t="s">
        <v>1181</v>
      </c>
      <c r="H25" s="144">
        <v>150</v>
      </c>
    </row>
    <row r="26" spans="1:8" ht="24.95" customHeight="1" x14ac:dyDescent="0.2">
      <c r="A26" s="453">
        <v>1</v>
      </c>
      <c r="B26" s="213" t="s">
        <v>180</v>
      </c>
      <c r="C26" s="213" t="s">
        <v>180</v>
      </c>
      <c r="D26" s="213" t="s">
        <v>181</v>
      </c>
      <c r="E26" s="213" t="s">
        <v>344</v>
      </c>
      <c r="F26" s="106" t="s">
        <v>867</v>
      </c>
      <c r="G26" s="136" t="s">
        <v>920</v>
      </c>
      <c r="H26" s="144">
        <v>910</v>
      </c>
    </row>
    <row r="27" spans="1:8" ht="24.95" customHeight="1" x14ac:dyDescent="0.2">
      <c r="A27" s="453">
        <v>1</v>
      </c>
      <c r="B27" s="213" t="s">
        <v>180</v>
      </c>
      <c r="C27" s="213" t="s">
        <v>180</v>
      </c>
      <c r="D27" s="106" t="s">
        <v>181</v>
      </c>
      <c r="E27" s="213" t="s">
        <v>344</v>
      </c>
      <c r="F27" s="106">
        <f>'FUNCIONAMIENTO-FOND PROPIOS-FAM'!A39</f>
        <v>54199</v>
      </c>
      <c r="G27" s="136" t="str">
        <f>'FUNCIONAMIENTO-FOND PROPIOS-FAM'!B39</f>
        <v>Bienes de usos y consumos diversos</v>
      </c>
      <c r="H27" s="144">
        <v>11484</v>
      </c>
    </row>
    <row r="28" spans="1:8" ht="24.95" customHeight="1" x14ac:dyDescent="0.2">
      <c r="A28" s="453">
        <v>1</v>
      </c>
      <c r="B28" s="213" t="s">
        <v>180</v>
      </c>
      <c r="C28" s="213" t="s">
        <v>180</v>
      </c>
      <c r="D28" s="106" t="s">
        <v>181</v>
      </c>
      <c r="E28" s="213" t="s">
        <v>344</v>
      </c>
      <c r="F28" s="106">
        <f>'FUNCIONAMIENTO-FOND PROPIOS-FAM'!A40</f>
        <v>54201</v>
      </c>
      <c r="G28" s="136" t="str">
        <f>'FUNCIONAMIENTO-FOND PROPIOS-FAM'!B40</f>
        <v>Servicios de Energia Electrica</v>
      </c>
      <c r="H28" s="455">
        <v>600</v>
      </c>
    </row>
    <row r="29" spans="1:8" ht="24.95" customHeight="1" x14ac:dyDescent="0.2">
      <c r="A29" s="453">
        <v>1</v>
      </c>
      <c r="B29" s="213" t="s">
        <v>180</v>
      </c>
      <c r="C29" s="213" t="s">
        <v>180</v>
      </c>
      <c r="D29" s="106" t="s">
        <v>181</v>
      </c>
      <c r="E29" s="213" t="s">
        <v>344</v>
      </c>
      <c r="F29" s="106">
        <f>'FUNCIONAMIENTO-FOND PROPIOS-FAM'!A41</f>
        <v>54202</v>
      </c>
      <c r="G29" s="136" t="str">
        <f>'FUNCIONAMIENTO-FOND PROPIOS-FAM'!B41</f>
        <v>Servicios de Agua</v>
      </c>
      <c r="H29" s="455">
        <v>7269.39</v>
      </c>
    </row>
    <row r="30" spans="1:8" ht="24.95" customHeight="1" x14ac:dyDescent="0.2">
      <c r="A30" s="453">
        <v>1</v>
      </c>
      <c r="B30" s="213" t="s">
        <v>180</v>
      </c>
      <c r="C30" s="213" t="s">
        <v>180</v>
      </c>
      <c r="D30" s="106" t="s">
        <v>181</v>
      </c>
      <c r="E30" s="213" t="s">
        <v>344</v>
      </c>
      <c r="F30" s="106">
        <f>'FUNCIONAMIENTO-FOND PROPIOS-FAM'!A42</f>
        <v>54203</v>
      </c>
      <c r="G30" s="136" t="str">
        <f>'FUNCIONAMIENTO-FOND PROPIOS-FAM'!B42</f>
        <v>Servicios de Telecomunicaciones</v>
      </c>
      <c r="H30" s="141">
        <v>75780</v>
      </c>
    </row>
    <row r="31" spans="1:8" ht="24.95" customHeight="1" x14ac:dyDescent="0.2">
      <c r="A31" s="453">
        <v>1</v>
      </c>
      <c r="B31" s="213" t="s">
        <v>180</v>
      </c>
      <c r="C31" s="213" t="s">
        <v>180</v>
      </c>
      <c r="D31" s="106" t="s">
        <v>181</v>
      </c>
      <c r="E31" s="213" t="s">
        <v>344</v>
      </c>
      <c r="F31" s="106">
        <f>'FUNCIONAMIENTO-FOND PROPIOS-FAM'!A43</f>
        <v>54205</v>
      </c>
      <c r="G31" s="136" t="str">
        <f>'FUNCIONAMIENTO-FOND PROPIOS-FAM'!B43</f>
        <v>Alumbrado Publico</v>
      </c>
      <c r="H31" s="141">
        <v>0</v>
      </c>
    </row>
    <row r="32" spans="1:8" ht="24.95" customHeight="1" x14ac:dyDescent="0.2">
      <c r="A32" s="453">
        <v>1</v>
      </c>
      <c r="B32" s="213" t="s">
        <v>180</v>
      </c>
      <c r="C32" s="213" t="s">
        <v>180</v>
      </c>
      <c r="D32" s="106" t="s">
        <v>181</v>
      </c>
      <c r="E32" s="213" t="s">
        <v>344</v>
      </c>
      <c r="F32" s="106">
        <f>'FUNCIONAMIENTO-FOND PROPIOS-FAM'!A50</f>
        <v>54316</v>
      </c>
      <c r="G32" s="136" t="str">
        <f>'FUNCIONAMIENTO-FOND PROPIOS-FAM'!B50</f>
        <v xml:space="preserve">Arrendamiento de bienes muebles </v>
      </c>
      <c r="H32" s="141">
        <v>8800</v>
      </c>
    </row>
    <row r="33" spans="1:8" ht="24.95" customHeight="1" x14ac:dyDescent="0.2">
      <c r="A33" s="453">
        <v>1</v>
      </c>
      <c r="B33" s="213" t="s">
        <v>180</v>
      </c>
      <c r="C33" s="213" t="s">
        <v>180</v>
      </c>
      <c r="D33" s="106" t="s">
        <v>181</v>
      </c>
      <c r="E33" s="213" t="s">
        <v>344</v>
      </c>
      <c r="F33" s="106" t="s">
        <v>872</v>
      </c>
      <c r="G33" s="136" t="s">
        <v>873</v>
      </c>
      <c r="H33" s="141">
        <v>1376.44</v>
      </c>
    </row>
    <row r="34" spans="1:8" ht="24.95" customHeight="1" thickBot="1" x14ac:dyDescent="0.25">
      <c r="A34" s="1036">
        <v>1</v>
      </c>
      <c r="B34" s="1037" t="s">
        <v>180</v>
      </c>
      <c r="C34" s="1037" t="s">
        <v>180</v>
      </c>
      <c r="D34" s="1101" t="s">
        <v>181</v>
      </c>
      <c r="E34" s="1037" t="s">
        <v>344</v>
      </c>
      <c r="F34" s="1101" t="s">
        <v>255</v>
      </c>
      <c r="G34" s="1102" t="s">
        <v>998</v>
      </c>
      <c r="H34" s="1038">
        <v>0</v>
      </c>
    </row>
    <row r="35" spans="1:8" ht="24.95" customHeight="1" x14ac:dyDescent="0.2">
      <c r="A35" s="682">
        <v>1</v>
      </c>
      <c r="B35" s="683" t="s">
        <v>180</v>
      </c>
      <c r="C35" s="683" t="s">
        <v>180</v>
      </c>
      <c r="D35" s="1103" t="s">
        <v>181</v>
      </c>
      <c r="E35" s="683" t="s">
        <v>344</v>
      </c>
      <c r="F35" s="1103" t="s">
        <v>256</v>
      </c>
      <c r="G35" s="1104" t="s">
        <v>314</v>
      </c>
      <c r="H35" s="1105">
        <v>15000</v>
      </c>
    </row>
    <row r="36" spans="1:8" ht="24.95" customHeight="1" x14ac:dyDescent="0.2">
      <c r="A36" s="453">
        <v>1</v>
      </c>
      <c r="B36" s="213" t="s">
        <v>180</v>
      </c>
      <c r="C36" s="213" t="s">
        <v>180</v>
      </c>
      <c r="D36" s="106" t="s">
        <v>181</v>
      </c>
      <c r="E36" s="213" t="s">
        <v>344</v>
      </c>
      <c r="F36" s="106" t="s">
        <v>257</v>
      </c>
      <c r="G36" s="136" t="s">
        <v>1121</v>
      </c>
      <c r="H36" s="455">
        <v>497</v>
      </c>
    </row>
    <row r="37" spans="1:8" ht="24.95" customHeight="1" x14ac:dyDescent="0.25">
      <c r="A37" s="1539" t="s">
        <v>16</v>
      </c>
      <c r="B37" s="1540"/>
      <c r="C37" s="1540"/>
      <c r="D37" s="1540"/>
      <c r="E37" s="1540"/>
      <c r="F37" s="1540"/>
      <c r="G37" s="1540"/>
      <c r="H37" s="454">
        <f>SUM(H19:H36)</f>
        <v>235402.73</v>
      </c>
    </row>
    <row r="38" spans="1:8" ht="24.95" customHeight="1" x14ac:dyDescent="0.2">
      <c r="A38" s="453">
        <v>1</v>
      </c>
      <c r="B38" s="213" t="s">
        <v>180</v>
      </c>
      <c r="C38" s="213" t="s">
        <v>180</v>
      </c>
      <c r="D38" s="106" t="s">
        <v>181</v>
      </c>
      <c r="E38" s="106" t="s">
        <v>344</v>
      </c>
      <c r="F38" s="199" t="str">
        <f>'CONSOLIDADO DE EGRESO 12'!A103</f>
        <v>72101</v>
      </c>
      <c r="G38" s="139" t="str">
        <f>'CONSOLIDADO DE EGRESO 12'!B103</f>
        <v>Cuentas por pagar de años anteriores</v>
      </c>
      <c r="H38" s="144">
        <v>76730.03</v>
      </c>
    </row>
    <row r="39" spans="1:8" ht="24.95" customHeight="1" x14ac:dyDescent="0.25">
      <c r="A39" s="1539" t="s">
        <v>16</v>
      </c>
      <c r="B39" s="1540"/>
      <c r="C39" s="1540"/>
      <c r="D39" s="1540"/>
      <c r="E39" s="1540"/>
      <c r="F39" s="1540"/>
      <c r="G39" s="1540"/>
      <c r="H39" s="454">
        <f>SUM(H38)</f>
        <v>76730.03</v>
      </c>
    </row>
    <row r="40" spans="1:8" ht="24.95" customHeight="1" x14ac:dyDescent="0.25">
      <c r="A40" s="1541" t="s">
        <v>938</v>
      </c>
      <c r="B40" s="1542"/>
      <c r="C40" s="1542"/>
      <c r="D40" s="1542"/>
      <c r="E40" s="1542"/>
      <c r="F40" s="1542"/>
      <c r="G40" s="1542"/>
      <c r="H40" s="1543"/>
    </row>
    <row r="41" spans="1:8" ht="24.95" customHeight="1" x14ac:dyDescent="0.2">
      <c r="A41" s="453">
        <v>1</v>
      </c>
      <c r="B41" s="213" t="s">
        <v>180</v>
      </c>
      <c r="C41" s="213" t="s">
        <v>184</v>
      </c>
      <c r="D41" s="106" t="s">
        <v>181</v>
      </c>
      <c r="E41" s="106" t="s">
        <v>344</v>
      </c>
      <c r="F41" s="199" t="s">
        <v>872</v>
      </c>
      <c r="G41" s="136" t="s">
        <v>873</v>
      </c>
      <c r="H41" s="144">
        <v>4037.28</v>
      </c>
    </row>
    <row r="42" spans="1:8" ht="24.95" customHeight="1" x14ac:dyDescent="0.2">
      <c r="A42" s="453">
        <v>1</v>
      </c>
      <c r="B42" s="213" t="s">
        <v>180</v>
      </c>
      <c r="C42" s="213" t="s">
        <v>184</v>
      </c>
      <c r="D42" s="106" t="s">
        <v>181</v>
      </c>
      <c r="E42" s="106" t="s">
        <v>344</v>
      </c>
      <c r="F42" s="199" t="s">
        <v>996</v>
      </c>
      <c r="G42" s="136" t="s">
        <v>997</v>
      </c>
      <c r="H42" s="144">
        <v>500</v>
      </c>
    </row>
    <row r="43" spans="1:8" ht="24.95" customHeight="1" x14ac:dyDescent="0.2">
      <c r="A43" s="453">
        <v>1</v>
      </c>
      <c r="B43" s="213" t="s">
        <v>180</v>
      </c>
      <c r="C43" s="213" t="s">
        <v>184</v>
      </c>
      <c r="D43" s="106" t="s">
        <v>181</v>
      </c>
      <c r="E43" s="106" t="s">
        <v>344</v>
      </c>
      <c r="F43" s="199" t="s">
        <v>255</v>
      </c>
      <c r="G43" s="136" t="s">
        <v>998</v>
      </c>
      <c r="H43" s="144">
        <v>10000</v>
      </c>
    </row>
    <row r="44" spans="1:8" ht="24.95" customHeight="1" x14ac:dyDescent="0.25">
      <c r="A44" s="1539" t="s">
        <v>16</v>
      </c>
      <c r="B44" s="1540"/>
      <c r="C44" s="1540"/>
      <c r="D44" s="1540"/>
      <c r="E44" s="1540"/>
      <c r="F44" s="1540"/>
      <c r="G44" s="1540"/>
      <c r="H44" s="820">
        <f>+H41+H42+H43</f>
        <v>14537.28</v>
      </c>
    </row>
    <row r="45" spans="1:8" ht="24.95" customHeight="1" x14ac:dyDescent="0.25">
      <c r="A45" s="732"/>
      <c r="B45" s="733"/>
      <c r="C45" s="733"/>
      <c r="D45" s="733"/>
      <c r="E45" s="733"/>
      <c r="F45" s="733"/>
      <c r="G45" s="733"/>
      <c r="H45" s="734"/>
    </row>
    <row r="46" spans="1:8" ht="24.95" customHeight="1" x14ac:dyDescent="0.2">
      <c r="A46" s="453">
        <v>1</v>
      </c>
      <c r="B46" s="213" t="s">
        <v>180</v>
      </c>
      <c r="C46" s="213" t="s">
        <v>184</v>
      </c>
      <c r="D46" s="106" t="s">
        <v>181</v>
      </c>
      <c r="E46" s="106" t="s">
        <v>344</v>
      </c>
      <c r="F46" s="106" t="s">
        <v>896</v>
      </c>
      <c r="G46" s="136" t="s">
        <v>897</v>
      </c>
      <c r="H46" s="455">
        <v>3465</v>
      </c>
    </row>
    <row r="47" spans="1:8" ht="24.95" customHeight="1" x14ac:dyDescent="0.25">
      <c r="A47" s="1539" t="s">
        <v>16</v>
      </c>
      <c r="B47" s="1540"/>
      <c r="C47" s="1540"/>
      <c r="D47" s="1540"/>
      <c r="E47" s="1540"/>
      <c r="F47" s="1540"/>
      <c r="G47" s="1540"/>
      <c r="H47" s="454">
        <f>SUM(H46:H46)</f>
        <v>3465</v>
      </c>
    </row>
    <row r="48" spans="1:8" ht="24.95" customHeight="1" x14ac:dyDescent="0.25">
      <c r="A48" s="1541" t="s">
        <v>939</v>
      </c>
      <c r="B48" s="1542"/>
      <c r="C48" s="1542"/>
      <c r="D48" s="1542"/>
      <c r="E48" s="1542"/>
      <c r="F48" s="1542"/>
      <c r="G48" s="1542"/>
      <c r="H48" s="1543"/>
    </row>
    <row r="49" spans="1:8" ht="24.95" customHeight="1" x14ac:dyDescent="0.2">
      <c r="A49" s="453">
        <v>1</v>
      </c>
      <c r="B49" s="213" t="s">
        <v>180</v>
      </c>
      <c r="C49" s="213" t="s">
        <v>342</v>
      </c>
      <c r="D49" s="106" t="s">
        <v>181</v>
      </c>
      <c r="E49" s="213" t="s">
        <v>344</v>
      </c>
      <c r="F49" s="106" t="s">
        <v>345</v>
      </c>
      <c r="G49" s="136" t="s">
        <v>346</v>
      </c>
      <c r="H49" s="455">
        <v>156276.70000000001</v>
      </c>
    </row>
    <row r="50" spans="1:8" ht="24.95" customHeight="1" x14ac:dyDescent="0.2">
      <c r="A50" s="453">
        <v>1</v>
      </c>
      <c r="B50" s="213" t="s">
        <v>180</v>
      </c>
      <c r="C50" s="213" t="s">
        <v>342</v>
      </c>
      <c r="D50" s="106" t="s">
        <v>181</v>
      </c>
      <c r="E50" s="213" t="s">
        <v>344</v>
      </c>
      <c r="F50" s="106" t="s">
        <v>257</v>
      </c>
      <c r="G50" s="136" t="s">
        <v>1121</v>
      </c>
      <c r="H50" s="455">
        <v>1810</v>
      </c>
    </row>
    <row r="51" spans="1:8" ht="24.95" customHeight="1" x14ac:dyDescent="0.25">
      <c r="A51" s="1539" t="s">
        <v>16</v>
      </c>
      <c r="B51" s="1540"/>
      <c r="C51" s="1540"/>
      <c r="D51" s="1540"/>
      <c r="E51" s="1540"/>
      <c r="F51" s="1540"/>
      <c r="G51" s="1540"/>
      <c r="H51" s="454">
        <f>SUM(H49:H50)</f>
        <v>158086.70000000001</v>
      </c>
    </row>
    <row r="52" spans="1:8" ht="27" customHeight="1" thickBot="1" x14ac:dyDescent="0.3">
      <c r="A52" s="1536" t="s">
        <v>347</v>
      </c>
      <c r="B52" s="1537"/>
      <c r="C52" s="1537"/>
      <c r="D52" s="1537"/>
      <c r="E52" s="1537"/>
      <c r="F52" s="1537"/>
      <c r="G52" s="1538"/>
      <c r="H52" s="575">
        <f>+H18+H37+H39+H44+H47+H51</f>
        <v>822991.74</v>
      </c>
    </row>
  </sheetData>
  <mergeCells count="18">
    <mergeCell ref="A52:G52"/>
    <mergeCell ref="A18:G18"/>
    <mergeCell ref="A47:G47"/>
    <mergeCell ref="A37:G37"/>
    <mergeCell ref="A40:H40"/>
    <mergeCell ref="A48:H48"/>
    <mergeCell ref="A51:G51"/>
    <mergeCell ref="A39:G39"/>
    <mergeCell ref="A44:G44"/>
    <mergeCell ref="A7:H7"/>
    <mergeCell ref="A9:F9"/>
    <mergeCell ref="G9:G10"/>
    <mergeCell ref="A1:H1"/>
    <mergeCell ref="A2:H2"/>
    <mergeCell ref="A4:H4"/>
    <mergeCell ref="A5:H5"/>
    <mergeCell ref="A6:H6"/>
    <mergeCell ref="H9:H10"/>
  </mergeCells>
  <phoneticPr fontId="35" type="noConversion"/>
  <printOptions horizontalCentered="1" verticalCentered="1"/>
  <pageMargins left="0.55118110236220474" right="0.59055118110236227" top="0.51181102362204722" bottom="0.35433070866141736" header="0.51181102362204722" footer="0.51181102362204722"/>
  <pageSetup scale="75" firstPageNumber="0" orientation="portrait" r:id="rId1"/>
  <headerFooter alignWithMargins="0"/>
  <rowBreaks count="1" manualBreakCount="1">
    <brk id="34" max="7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AA113"/>
  <sheetViews>
    <sheetView view="pageBreakPreview" topLeftCell="A97" zoomScale="95" zoomScaleNormal="95" zoomScaleSheetLayoutView="95" workbookViewId="0">
      <pane xSplit="1" topLeftCell="B1" activePane="topRight" state="frozen"/>
      <selection pane="topRight" activeCell="T39" sqref="T39"/>
    </sheetView>
  </sheetViews>
  <sheetFormatPr baseColWidth="10" defaultRowHeight="15" x14ac:dyDescent="0.3"/>
  <cols>
    <col min="1" max="1" width="9.5703125" style="1" customWidth="1"/>
    <col min="2" max="2" width="28.28515625" style="2" customWidth="1"/>
    <col min="3" max="3" width="15.5703125" style="401" customWidth="1"/>
    <col min="4" max="4" width="14" style="401" customWidth="1"/>
    <col min="5" max="5" width="14.7109375" style="401" customWidth="1"/>
    <col min="6" max="6" width="14" style="2" customWidth="1"/>
    <col min="7" max="7" width="14.28515625" style="2" customWidth="1"/>
    <col min="8" max="8" width="17.140625" style="2" customWidth="1"/>
    <col min="9" max="9" width="14.42578125" style="2" customWidth="1"/>
    <col min="10" max="10" width="15.28515625" style="2" customWidth="1"/>
    <col min="11" max="11" width="15" style="2" customWidth="1"/>
    <col min="12" max="12" width="16.140625" style="2" customWidth="1"/>
    <col min="13" max="13" width="14.7109375" style="2" customWidth="1"/>
    <col min="14" max="14" width="3.28515625" style="2" customWidth="1"/>
    <col min="15" max="15" width="4.140625" style="2" customWidth="1"/>
    <col min="16" max="16" width="3.85546875" style="2" customWidth="1"/>
    <col min="17" max="17" width="4" style="2" customWidth="1"/>
    <col min="18" max="18" width="3.42578125" style="2" customWidth="1"/>
    <col min="19" max="19" width="3.5703125" style="2" customWidth="1"/>
    <col min="20" max="20" width="16.5703125" style="2" customWidth="1"/>
    <col min="21" max="21" width="17" style="2" customWidth="1"/>
    <col min="22" max="22" width="18.140625" style="3" customWidth="1"/>
    <col min="23" max="23" width="2" style="4" customWidth="1"/>
    <col min="24" max="24" width="13.28515625" customWidth="1"/>
    <col min="27" max="27" width="15" customWidth="1"/>
  </cols>
  <sheetData>
    <row r="1" spans="1:22" ht="18.75" x14ac:dyDescent="0.3">
      <c r="A1" s="1391" t="s">
        <v>1154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  <c r="P1" s="1392"/>
      <c r="Q1" s="1392"/>
      <c r="R1" s="1392"/>
      <c r="S1" s="1392"/>
      <c r="T1" s="1392"/>
      <c r="U1" s="1392"/>
      <c r="V1" s="1393"/>
    </row>
    <row r="2" spans="1:22" ht="18.75" x14ac:dyDescent="0.3">
      <c r="A2" s="1394" t="s">
        <v>1149</v>
      </c>
      <c r="B2" s="1395"/>
      <c r="C2" s="1395"/>
      <c r="D2" s="1395"/>
      <c r="E2" s="1395"/>
      <c r="F2" s="1395"/>
      <c r="G2" s="1395"/>
      <c r="H2" s="1395"/>
      <c r="I2" s="1395"/>
      <c r="J2" s="1395"/>
      <c r="K2" s="1395"/>
      <c r="L2" s="1395"/>
      <c r="M2" s="1395"/>
      <c r="N2" s="1395"/>
      <c r="O2" s="1395"/>
      <c r="P2" s="1395"/>
      <c r="Q2" s="1395"/>
      <c r="R2" s="1395"/>
      <c r="S2" s="1395"/>
      <c r="T2" s="1395"/>
      <c r="U2" s="1395"/>
      <c r="V2" s="1396"/>
    </row>
    <row r="3" spans="1:22" ht="18.75" x14ac:dyDescent="0.3">
      <c r="A3" s="1394" t="s">
        <v>516</v>
      </c>
      <c r="B3" s="1395"/>
      <c r="C3" s="1395"/>
      <c r="D3" s="1395"/>
      <c r="E3" s="1395"/>
      <c r="F3" s="1395"/>
      <c r="G3" s="1395"/>
      <c r="H3" s="1395"/>
      <c r="I3" s="1395"/>
      <c r="J3" s="1395"/>
      <c r="K3" s="1395"/>
      <c r="L3" s="1395"/>
      <c r="M3" s="1395"/>
      <c r="N3" s="1395"/>
      <c r="O3" s="1395"/>
      <c r="P3" s="1395"/>
      <c r="Q3" s="1395"/>
      <c r="R3" s="1395"/>
      <c r="S3" s="1395"/>
      <c r="T3" s="1395"/>
      <c r="U3" s="1395"/>
      <c r="V3" s="1396"/>
    </row>
    <row r="4" spans="1:22" ht="18.75" x14ac:dyDescent="0.3">
      <c r="A4" s="1394" t="s">
        <v>129</v>
      </c>
      <c r="B4" s="1395"/>
      <c r="C4" s="1395"/>
      <c r="D4" s="1395"/>
      <c r="E4" s="1395"/>
      <c r="F4" s="1395"/>
      <c r="G4" s="1395"/>
      <c r="H4" s="1395"/>
      <c r="I4" s="1395"/>
      <c r="J4" s="1395"/>
      <c r="K4" s="1395"/>
      <c r="L4" s="1395"/>
      <c r="M4" s="1395"/>
      <c r="N4" s="1395"/>
      <c r="O4" s="1395"/>
      <c r="P4" s="1395"/>
      <c r="Q4" s="1395"/>
      <c r="R4" s="1395"/>
      <c r="S4" s="1395"/>
      <c r="T4" s="1395"/>
      <c r="U4" s="1395"/>
      <c r="V4" s="1396"/>
    </row>
    <row r="5" spans="1:22" ht="18.75" x14ac:dyDescent="0.3">
      <c r="A5" s="1394"/>
      <c r="B5" s="1395"/>
      <c r="C5" s="1395"/>
      <c r="D5" s="1395"/>
      <c r="E5" s="1395"/>
      <c r="F5" s="1395"/>
      <c r="G5" s="1395"/>
      <c r="H5" s="1395"/>
      <c r="I5" s="1395"/>
      <c r="J5" s="1395"/>
      <c r="K5" s="1395"/>
      <c r="L5" s="1395"/>
      <c r="M5" s="1395"/>
      <c r="N5" s="1395"/>
      <c r="O5" s="1395"/>
      <c r="P5" s="1395"/>
      <c r="Q5" s="1395"/>
      <c r="R5" s="1395"/>
      <c r="S5" s="1395"/>
      <c r="T5" s="1395"/>
      <c r="U5" s="1395"/>
      <c r="V5" s="1396"/>
    </row>
    <row r="6" spans="1:22" ht="18.75" x14ac:dyDescent="0.2">
      <c r="A6" s="1547" t="s">
        <v>130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  <c r="L6" s="1548"/>
      <c r="M6" s="1548"/>
      <c r="N6" s="1548"/>
      <c r="O6" s="1548"/>
      <c r="P6" s="1548"/>
      <c r="Q6" s="1548"/>
      <c r="R6" s="1548"/>
      <c r="S6" s="1548"/>
      <c r="T6" s="1548"/>
      <c r="U6" s="1548"/>
      <c r="V6" s="1549"/>
    </row>
    <row r="7" spans="1:22" ht="19.5" thickBot="1" x14ac:dyDescent="0.25">
      <c r="A7" s="1106"/>
      <c r="B7" s="1109"/>
      <c r="C7" s="1107"/>
      <c r="D7" s="1107"/>
      <c r="E7" s="1107"/>
      <c r="F7" s="1109"/>
      <c r="G7" s="1109"/>
      <c r="H7" s="1109"/>
      <c r="I7" s="1109"/>
      <c r="J7" s="1109"/>
      <c r="K7" s="1109"/>
      <c r="L7" s="1109"/>
      <c r="M7" s="1109"/>
      <c r="N7" s="1109"/>
      <c r="O7" s="1109"/>
      <c r="P7" s="1109"/>
      <c r="Q7" s="1109"/>
      <c r="R7" s="1109"/>
      <c r="S7" s="1109"/>
      <c r="T7" s="1109"/>
      <c r="U7" s="1109"/>
      <c r="V7" s="1108"/>
    </row>
    <row r="8" spans="1:22" x14ac:dyDescent="0.3">
      <c r="A8" s="1553" t="s">
        <v>2</v>
      </c>
      <c r="B8" s="1555" t="s">
        <v>3</v>
      </c>
      <c r="C8" s="1557" t="s">
        <v>131</v>
      </c>
      <c r="D8" s="1558"/>
      <c r="E8" s="1558"/>
      <c r="F8" s="1558"/>
      <c r="G8" s="1558"/>
      <c r="H8" s="1558"/>
      <c r="I8" s="1558"/>
      <c r="J8" s="1558"/>
      <c r="K8" s="1558"/>
      <c r="L8" s="1558"/>
      <c r="M8" s="1558"/>
      <c r="N8" s="1558"/>
      <c r="O8" s="1558"/>
      <c r="P8" s="1558"/>
      <c r="Q8" s="1558"/>
      <c r="R8" s="1558"/>
      <c r="S8" s="1558"/>
      <c r="T8" s="1558"/>
      <c r="U8" s="1559"/>
      <c r="V8" s="1545" t="s">
        <v>132</v>
      </c>
    </row>
    <row r="9" spans="1:22" ht="15.75" customHeight="1" x14ac:dyDescent="0.2">
      <c r="A9" s="1554"/>
      <c r="B9" s="1556"/>
      <c r="C9" s="1544" t="s">
        <v>430</v>
      </c>
      <c r="D9" s="1550" t="s">
        <v>950</v>
      </c>
      <c r="E9" s="1550" t="s">
        <v>951</v>
      </c>
      <c r="F9" s="1544" t="s">
        <v>902</v>
      </c>
      <c r="G9" s="1544" t="s">
        <v>903</v>
      </c>
      <c r="H9" s="1544" t="s">
        <v>953</v>
      </c>
      <c r="I9" s="1544" t="s">
        <v>956</v>
      </c>
      <c r="J9" s="1544" t="s">
        <v>431</v>
      </c>
      <c r="K9" s="1544" t="s">
        <v>432</v>
      </c>
      <c r="L9" s="1544" t="s">
        <v>958</v>
      </c>
      <c r="M9" s="1544" t="s">
        <v>905</v>
      </c>
      <c r="N9" s="1544" t="s">
        <v>971</v>
      </c>
      <c r="O9" s="1544" t="s">
        <v>972</v>
      </c>
      <c r="P9" s="1544" t="s">
        <v>973</v>
      </c>
      <c r="Q9" s="1544" t="s">
        <v>974</v>
      </c>
      <c r="R9" s="1544" t="s">
        <v>975</v>
      </c>
      <c r="S9" s="1544" t="s">
        <v>976</v>
      </c>
      <c r="T9" s="1544" t="s">
        <v>917</v>
      </c>
      <c r="U9" s="1544" t="s">
        <v>433</v>
      </c>
      <c r="V9" s="1546"/>
    </row>
    <row r="10" spans="1:22" ht="15.75" customHeight="1" x14ac:dyDescent="0.2">
      <c r="A10" s="1554"/>
      <c r="B10" s="1556"/>
      <c r="C10" s="1544"/>
      <c r="D10" s="1551"/>
      <c r="E10" s="1551"/>
      <c r="F10" s="1544"/>
      <c r="G10" s="1544"/>
      <c r="H10" s="1544"/>
      <c r="I10" s="1544"/>
      <c r="J10" s="1544"/>
      <c r="K10" s="1544"/>
      <c r="L10" s="1544"/>
      <c r="M10" s="1544"/>
      <c r="N10" s="1544"/>
      <c r="O10" s="1544"/>
      <c r="P10" s="1544"/>
      <c r="Q10" s="1544"/>
      <c r="R10" s="1544"/>
      <c r="S10" s="1544"/>
      <c r="T10" s="1544"/>
      <c r="U10" s="1544"/>
      <c r="V10" s="1546"/>
    </row>
    <row r="11" spans="1:22" ht="81.75" customHeight="1" x14ac:dyDescent="0.2">
      <c r="A11" s="1554"/>
      <c r="B11" s="1556"/>
      <c r="C11" s="1544"/>
      <c r="D11" s="1552"/>
      <c r="E11" s="1552" t="s">
        <v>951</v>
      </c>
      <c r="F11" s="1544"/>
      <c r="G11" s="1544"/>
      <c r="H11" s="1544"/>
      <c r="I11" s="1544"/>
      <c r="J11" s="1544"/>
      <c r="K11" s="1544"/>
      <c r="L11" s="1544"/>
      <c r="M11" s="1544"/>
      <c r="N11" s="1544"/>
      <c r="O11" s="1544"/>
      <c r="P11" s="1544"/>
      <c r="Q11" s="1544"/>
      <c r="R11" s="1544"/>
      <c r="S11" s="1544"/>
      <c r="T11" s="1544"/>
      <c r="U11" s="1544"/>
      <c r="V11" s="1546"/>
    </row>
    <row r="12" spans="1:22" ht="45" customHeight="1" x14ac:dyDescent="0.2">
      <c r="A12" s="457" t="s">
        <v>133</v>
      </c>
      <c r="B12" s="198" t="s">
        <v>454</v>
      </c>
      <c r="C12" s="200">
        <f>+'FUNCIONAMIENTO-FOND PROPIOS-FAM'!D9</f>
        <v>0</v>
      </c>
      <c r="D12" s="200"/>
      <c r="E12" s="200"/>
      <c r="F12" s="101">
        <v>0</v>
      </c>
      <c r="G12" s="380"/>
      <c r="H12" s="101">
        <f>+'0101 F.P DIRECCION Y ADM SUP'!H12</f>
        <v>676906.8</v>
      </c>
      <c r="I12" s="101">
        <f>+'0102 F.P.AD.FINANC Y TRIBUTARIA'!H12</f>
        <v>332251.12</v>
      </c>
      <c r="J12" s="560">
        <f>+'0201 F.P. BINESTAR SOCIAL'!H12</f>
        <v>261708</v>
      </c>
      <c r="K12" s="560">
        <f>+'0202 SERV.INTERNOS'!H12</f>
        <v>105925.76000000001</v>
      </c>
      <c r="L12" s="560">
        <f>+'0203 SERV. EXTERNOS'!H12</f>
        <v>632890.32000000007</v>
      </c>
      <c r="M12" s="560">
        <v>0</v>
      </c>
      <c r="N12" s="1560">
        <f>+'FUNCIONAMIENTO-FOND PROPIOS-FAM'!C9</f>
        <v>0</v>
      </c>
      <c r="O12" s="1561"/>
      <c r="P12" s="1561"/>
      <c r="Q12" s="1561"/>
      <c r="R12" s="1561"/>
      <c r="S12" s="1561"/>
      <c r="T12" s="101">
        <v>0</v>
      </c>
      <c r="U12" s="101">
        <v>0</v>
      </c>
      <c r="V12" s="458">
        <f t="shared" ref="V12:V65" si="0">SUM(C12:U12)</f>
        <v>2009682</v>
      </c>
    </row>
    <row r="13" spans="1:22" ht="45" customHeight="1" x14ac:dyDescent="0.2">
      <c r="A13" s="459">
        <v>51103</v>
      </c>
      <c r="B13" s="198" t="s">
        <v>134</v>
      </c>
      <c r="C13" s="200">
        <f>+'FUNCIONAMIENTO-FOND PROPIOS-FAM'!D11</f>
        <v>0</v>
      </c>
      <c r="D13" s="200"/>
      <c r="E13" s="200"/>
      <c r="F13" s="101">
        <v>0</v>
      </c>
      <c r="G13" s="380"/>
      <c r="H13" s="101">
        <f>+'0101 F.P DIRECCION Y ADM SUP'!H13</f>
        <v>84316.6</v>
      </c>
      <c r="I13" s="101">
        <f>+'0102 F.P.AD.FINANC Y TRIBUTARIA'!H13</f>
        <v>41526.14</v>
      </c>
      <c r="J13" s="560">
        <f>+'0201 F.P. BINESTAR SOCIAL'!H13</f>
        <v>32880.333333333336</v>
      </c>
      <c r="K13" s="560">
        <f>+'0202 SERV.INTERNOS'!H13</f>
        <v>13365.720000000001</v>
      </c>
      <c r="L13" s="560">
        <f>+'0203 SERV. EXTERNOS'!H13</f>
        <v>78694.290000000008</v>
      </c>
      <c r="M13" s="560">
        <v>0</v>
      </c>
      <c r="N13" s="1560">
        <f>+'FUNCIONAMIENTO-FOND PROPIOS-FAM'!C11</f>
        <v>0</v>
      </c>
      <c r="O13" s="1561"/>
      <c r="P13" s="1561"/>
      <c r="Q13" s="1561"/>
      <c r="R13" s="1561"/>
      <c r="S13" s="1561"/>
      <c r="T13" s="101">
        <v>0</v>
      </c>
      <c r="U13" s="101">
        <v>0</v>
      </c>
      <c r="V13" s="458">
        <f t="shared" si="0"/>
        <v>250783.08333333334</v>
      </c>
    </row>
    <row r="14" spans="1:22" ht="45" customHeight="1" x14ac:dyDescent="0.2">
      <c r="A14" s="459">
        <v>51105</v>
      </c>
      <c r="B14" s="198" t="s">
        <v>135</v>
      </c>
      <c r="C14" s="200">
        <f>+'FUNCIONAMIENTO-FOND PROPIOS-FAM'!D12</f>
        <v>158400</v>
      </c>
      <c r="D14" s="200"/>
      <c r="E14" s="200"/>
      <c r="F14" s="101">
        <v>0</v>
      </c>
      <c r="G14" s="380"/>
      <c r="H14" s="101">
        <v>0</v>
      </c>
      <c r="I14" s="101">
        <v>0</v>
      </c>
      <c r="J14" s="560"/>
      <c r="K14" s="560"/>
      <c r="L14" s="560"/>
      <c r="M14" s="560">
        <v>0</v>
      </c>
      <c r="N14" s="1560">
        <v>0</v>
      </c>
      <c r="O14" s="1561"/>
      <c r="P14" s="1561"/>
      <c r="Q14" s="1561"/>
      <c r="R14" s="1561"/>
      <c r="S14" s="1561"/>
      <c r="T14" s="101">
        <v>0</v>
      </c>
      <c r="U14" s="101">
        <v>0</v>
      </c>
      <c r="V14" s="458">
        <f t="shared" si="0"/>
        <v>158400</v>
      </c>
    </row>
    <row r="15" spans="1:22" ht="45" customHeight="1" x14ac:dyDescent="0.2">
      <c r="A15" s="460" t="s">
        <v>182</v>
      </c>
      <c r="B15" s="198" t="s">
        <v>270</v>
      </c>
      <c r="C15" s="200">
        <f>+'FUNCIONAMIENTO-FOND PROPIOS-FAM'!D13</f>
        <v>156390</v>
      </c>
      <c r="D15" s="200"/>
      <c r="E15" s="200"/>
      <c r="F15" s="101">
        <v>0</v>
      </c>
      <c r="G15" s="380"/>
      <c r="H15" s="101">
        <f>+'0101 F.P DIRECCION Y ADM SUP'!H14</f>
        <v>3272.1450000000004</v>
      </c>
      <c r="I15" s="101">
        <f>+'0202 SERV.INTERNOS'!H14</f>
        <v>0</v>
      </c>
      <c r="J15" s="560"/>
      <c r="K15" s="560"/>
      <c r="L15" s="560">
        <f>+'0203 SERV. EXTERNOS'!H14</f>
        <v>11235.179999999997</v>
      </c>
      <c r="M15" s="560">
        <v>0</v>
      </c>
      <c r="N15" s="1560">
        <f>+'FUNCIONAMIENTO-FOND PROPIOS-FAM'!C13</f>
        <v>0</v>
      </c>
      <c r="O15" s="1561"/>
      <c r="P15" s="1561"/>
      <c r="Q15" s="1561"/>
      <c r="R15" s="1561"/>
      <c r="S15" s="1561"/>
      <c r="T15" s="101">
        <v>0</v>
      </c>
      <c r="U15" s="101">
        <v>0</v>
      </c>
      <c r="V15" s="458">
        <f t="shared" si="0"/>
        <v>170897.32499999998</v>
      </c>
    </row>
    <row r="16" spans="1:22" ht="45" customHeight="1" x14ac:dyDescent="0.2">
      <c r="A16" s="460" t="s">
        <v>259</v>
      </c>
      <c r="B16" s="103" t="s">
        <v>310</v>
      </c>
      <c r="C16" s="200">
        <v>0</v>
      </c>
      <c r="D16" s="200"/>
      <c r="E16" s="200"/>
      <c r="F16" s="101">
        <v>0</v>
      </c>
      <c r="G16" s="380"/>
      <c r="H16" s="101">
        <v>0</v>
      </c>
      <c r="I16" s="101">
        <v>0</v>
      </c>
      <c r="J16" s="560"/>
      <c r="K16" s="560"/>
      <c r="L16" s="560">
        <v>0</v>
      </c>
      <c r="M16" s="560">
        <v>0</v>
      </c>
      <c r="N16" s="1560">
        <v>0</v>
      </c>
      <c r="O16" s="1561"/>
      <c r="P16" s="1561"/>
      <c r="Q16" s="1561"/>
      <c r="R16" s="1561"/>
      <c r="S16" s="1561"/>
      <c r="T16" s="101">
        <v>0</v>
      </c>
      <c r="U16" s="101">
        <v>0</v>
      </c>
      <c r="V16" s="458">
        <f t="shared" si="0"/>
        <v>0</v>
      </c>
    </row>
    <row r="17" spans="1:22" ht="45" customHeight="1" x14ac:dyDescent="0.2">
      <c r="A17" s="460" t="s">
        <v>317</v>
      </c>
      <c r="B17" s="198" t="s">
        <v>318</v>
      </c>
      <c r="C17" s="200">
        <v>0</v>
      </c>
      <c r="D17" s="200"/>
      <c r="E17" s="200"/>
      <c r="F17" s="101">
        <v>0</v>
      </c>
      <c r="G17" s="380"/>
      <c r="H17" s="101">
        <v>0</v>
      </c>
      <c r="I17" s="101">
        <f>+'0202 SERV.INTERNOS'!H15</f>
        <v>0</v>
      </c>
      <c r="J17" s="560"/>
      <c r="K17" s="560"/>
      <c r="L17" s="560">
        <v>0</v>
      </c>
      <c r="M17" s="560">
        <v>0</v>
      </c>
      <c r="N17" s="1560">
        <v>0</v>
      </c>
      <c r="O17" s="1561"/>
      <c r="P17" s="1561"/>
      <c r="Q17" s="1561"/>
      <c r="R17" s="1561"/>
      <c r="S17" s="1561"/>
      <c r="T17" s="101">
        <v>0</v>
      </c>
      <c r="U17" s="101">
        <v>0</v>
      </c>
      <c r="V17" s="458">
        <f t="shared" si="0"/>
        <v>0</v>
      </c>
    </row>
    <row r="18" spans="1:22" ht="45" customHeight="1" x14ac:dyDescent="0.2">
      <c r="A18" s="459">
        <v>51401</v>
      </c>
      <c r="B18" s="103" t="s">
        <v>878</v>
      </c>
      <c r="C18" s="200">
        <f>+'FUNCIONAMIENTO-FOND PROPIOS-FAM'!D15</f>
        <v>6120</v>
      </c>
      <c r="D18" s="200"/>
      <c r="E18" s="200"/>
      <c r="F18" s="101">
        <v>0</v>
      </c>
      <c r="G18" s="380"/>
      <c r="H18" s="101">
        <f>+'0101 F.P DIRECCION Y ADM SUP'!H15</f>
        <v>53064.345674999982</v>
      </c>
      <c r="I18" s="101">
        <f>+'0102 F.P.AD.FINANC Y TRIBUTARIA'!H15</f>
        <v>25758.010000000006</v>
      </c>
      <c r="J18" s="560">
        <f>+'0201 F.P. BINESTAR SOCIAL'!H15</f>
        <v>22240.480000000003</v>
      </c>
      <c r="K18" s="560">
        <f>+'0202 SERV.INTERNOS'!H16</f>
        <v>9151.8799999999992</v>
      </c>
      <c r="L18" s="560">
        <f>+'0203 SERV. EXTERNOS'!H15</f>
        <v>56290.261100000003</v>
      </c>
      <c r="M18" s="560">
        <v>0</v>
      </c>
      <c r="N18" s="1560">
        <f>+'FUNCIONAMIENTO-FOND PROPIOS-FAM'!C15</f>
        <v>0</v>
      </c>
      <c r="O18" s="1561"/>
      <c r="P18" s="1561"/>
      <c r="Q18" s="1561"/>
      <c r="R18" s="1561"/>
      <c r="S18" s="1561"/>
      <c r="T18" s="101">
        <v>0</v>
      </c>
      <c r="U18" s="101">
        <v>0</v>
      </c>
      <c r="V18" s="458">
        <f t="shared" si="0"/>
        <v>172624.97677499999</v>
      </c>
    </row>
    <row r="19" spans="1:22" ht="45" customHeight="1" x14ac:dyDescent="0.2">
      <c r="A19" s="459">
        <v>51501</v>
      </c>
      <c r="B19" s="103" t="s">
        <v>269</v>
      </c>
      <c r="C19" s="200">
        <f>+'FUNCIONAMIENTO-FOND PROPIOS-FAM'!D16</f>
        <v>13860</v>
      </c>
      <c r="D19" s="200"/>
      <c r="E19" s="200"/>
      <c r="F19" s="101">
        <v>0</v>
      </c>
      <c r="G19" s="380"/>
      <c r="H19" s="101">
        <f>+'0101 F.P DIRECCION Y ADM SUP'!H16</f>
        <v>56913.915718749973</v>
      </c>
      <c r="I19" s="101">
        <f>+'0102 F.P.AD.FINANC Y TRIBUTARIA'!H16</f>
        <v>29072.159999999989</v>
      </c>
      <c r="J19" s="560">
        <f>+'0201 F.P. BINESTAR SOCIAL'!H16</f>
        <v>22411.959999999995</v>
      </c>
      <c r="K19" s="560">
        <f>+'0202 SERV.INTERNOS'!H17</f>
        <v>8780.9000000000015</v>
      </c>
      <c r="L19" s="560">
        <f>+'0203 SERV. EXTERNOS'!H16</f>
        <v>53920.299499999994</v>
      </c>
      <c r="M19" s="560">
        <v>0</v>
      </c>
      <c r="N19" s="1560">
        <f>+'FUNCIONAMIENTO-FOND PROPIOS-FAM'!C16</f>
        <v>0</v>
      </c>
      <c r="O19" s="1561"/>
      <c r="P19" s="1561"/>
      <c r="Q19" s="1561"/>
      <c r="R19" s="1561"/>
      <c r="S19" s="1561"/>
      <c r="T19" s="101">
        <v>0</v>
      </c>
      <c r="U19" s="101">
        <v>0</v>
      </c>
      <c r="V19" s="458">
        <f t="shared" si="0"/>
        <v>184959.23521874996</v>
      </c>
    </row>
    <row r="20" spans="1:22" ht="45" customHeight="1" x14ac:dyDescent="0.2">
      <c r="A20" s="459">
        <v>51601</v>
      </c>
      <c r="B20" s="103" t="s">
        <v>283</v>
      </c>
      <c r="C20" s="200">
        <v>0</v>
      </c>
      <c r="D20" s="200"/>
      <c r="E20" s="200"/>
      <c r="F20" s="101">
        <v>0</v>
      </c>
      <c r="G20" s="380"/>
      <c r="H20" s="101">
        <v>0</v>
      </c>
      <c r="I20" s="101">
        <v>0</v>
      </c>
      <c r="J20" s="101">
        <v>0</v>
      </c>
      <c r="K20" s="101">
        <v>0</v>
      </c>
      <c r="L20" s="560">
        <v>0</v>
      </c>
      <c r="M20" s="560">
        <v>0</v>
      </c>
      <c r="N20" s="1560">
        <v>0</v>
      </c>
      <c r="O20" s="1561"/>
      <c r="P20" s="1561"/>
      <c r="Q20" s="1561"/>
      <c r="R20" s="1561"/>
      <c r="S20" s="1561"/>
      <c r="T20" s="101">
        <v>0</v>
      </c>
      <c r="U20" s="101">
        <v>0</v>
      </c>
      <c r="V20" s="458">
        <f t="shared" si="0"/>
        <v>0</v>
      </c>
    </row>
    <row r="21" spans="1:22" ht="45" customHeight="1" x14ac:dyDescent="0.2">
      <c r="A21" s="459">
        <v>51602</v>
      </c>
      <c r="B21" s="103" t="s">
        <v>293</v>
      </c>
      <c r="C21" s="200">
        <v>0</v>
      </c>
      <c r="D21" s="200"/>
      <c r="E21" s="200"/>
      <c r="F21" s="101">
        <v>0</v>
      </c>
      <c r="G21" s="380"/>
      <c r="H21" s="101">
        <v>0</v>
      </c>
      <c r="I21" s="101">
        <v>0</v>
      </c>
      <c r="J21" s="101">
        <v>0</v>
      </c>
      <c r="K21" s="101">
        <v>0</v>
      </c>
      <c r="L21" s="560">
        <v>0</v>
      </c>
      <c r="M21" s="560">
        <v>0</v>
      </c>
      <c r="N21" s="1560">
        <v>0</v>
      </c>
      <c r="O21" s="1561"/>
      <c r="P21" s="1561"/>
      <c r="Q21" s="1561"/>
      <c r="R21" s="1561"/>
      <c r="S21" s="1561"/>
      <c r="T21" s="101">
        <v>0</v>
      </c>
      <c r="U21" s="101">
        <v>0</v>
      </c>
      <c r="V21" s="458">
        <f t="shared" si="0"/>
        <v>0</v>
      </c>
    </row>
    <row r="22" spans="1:22" ht="45" customHeight="1" x14ac:dyDescent="0.2">
      <c r="A22" s="460" t="s">
        <v>277</v>
      </c>
      <c r="B22" s="103" t="s">
        <v>278</v>
      </c>
      <c r="C22" s="200">
        <v>0</v>
      </c>
      <c r="D22" s="200"/>
      <c r="E22" s="200"/>
      <c r="F22" s="101">
        <v>0</v>
      </c>
      <c r="G22" s="380"/>
      <c r="H22" s="101">
        <f>+'0101 F.P DIRECCION Y ADM SUP'!H17</f>
        <v>20487</v>
      </c>
      <c r="I22" s="101">
        <v>0</v>
      </c>
      <c r="J22" s="101">
        <v>0</v>
      </c>
      <c r="K22" s="101">
        <v>0</v>
      </c>
      <c r="L22" s="560">
        <v>0</v>
      </c>
      <c r="M22" s="560">
        <v>0</v>
      </c>
      <c r="N22" s="1560">
        <v>0</v>
      </c>
      <c r="O22" s="1561"/>
      <c r="P22" s="1561"/>
      <c r="Q22" s="1561"/>
      <c r="R22" s="1561"/>
      <c r="S22" s="1561"/>
      <c r="T22" s="101">
        <v>0</v>
      </c>
      <c r="U22" s="101">
        <v>0</v>
      </c>
      <c r="V22" s="458">
        <f t="shared" si="0"/>
        <v>20487</v>
      </c>
    </row>
    <row r="23" spans="1:22" ht="45" customHeight="1" x14ac:dyDescent="0.2">
      <c r="A23" s="457" t="s">
        <v>363</v>
      </c>
      <c r="B23" s="136" t="s">
        <v>364</v>
      </c>
      <c r="C23" s="200">
        <v>0</v>
      </c>
      <c r="D23" s="200"/>
      <c r="E23" s="200"/>
      <c r="F23" s="101">
        <v>0</v>
      </c>
      <c r="G23" s="380"/>
      <c r="H23" s="101">
        <v>0</v>
      </c>
      <c r="I23" s="101">
        <v>0</v>
      </c>
      <c r="J23" s="101">
        <v>0</v>
      </c>
      <c r="K23" s="101">
        <v>0</v>
      </c>
      <c r="L23" s="560">
        <v>0</v>
      </c>
      <c r="M23" s="560">
        <v>0</v>
      </c>
      <c r="N23" s="1560">
        <v>0</v>
      </c>
      <c r="O23" s="1561"/>
      <c r="P23" s="1561"/>
      <c r="Q23" s="1561"/>
      <c r="R23" s="1561"/>
      <c r="S23" s="1561"/>
      <c r="T23" s="101">
        <v>0</v>
      </c>
      <c r="U23" s="101"/>
      <c r="V23" s="458">
        <f t="shared" si="0"/>
        <v>0</v>
      </c>
    </row>
    <row r="24" spans="1:22" ht="45" customHeight="1" x14ac:dyDescent="0.25">
      <c r="A24" s="461"/>
      <c r="B24" s="201" t="s">
        <v>136</v>
      </c>
      <c r="C24" s="402">
        <f>SUM(C12:C23)</f>
        <v>334770</v>
      </c>
      <c r="D24" s="402">
        <f>SUM(D12:D23)</f>
        <v>0</v>
      </c>
      <c r="E24" s="402">
        <f>SUM(E12:E23)</f>
        <v>0</v>
      </c>
      <c r="F24" s="202">
        <f>SUM(F12:F23)</f>
        <v>0</v>
      </c>
      <c r="G24" s="202">
        <f>SUM(G12:G23)</f>
        <v>0</v>
      </c>
      <c r="H24" s="202">
        <f t="shared" ref="H24:M24" si="1">SUM(H12:H22)</f>
        <v>894960.80639375001</v>
      </c>
      <c r="I24" s="202">
        <f t="shared" si="1"/>
        <v>428607.43</v>
      </c>
      <c r="J24" s="202">
        <f t="shared" si="1"/>
        <v>339240.77333333332</v>
      </c>
      <c r="K24" s="202">
        <f t="shared" si="1"/>
        <v>137224.26</v>
      </c>
      <c r="L24" s="202">
        <f t="shared" si="1"/>
        <v>833030.35060000012</v>
      </c>
      <c r="M24" s="202">
        <f t="shared" si="1"/>
        <v>0</v>
      </c>
      <c r="N24" s="1562">
        <f>+N12+N13+N14+N15+N16+N17+N18+N19+N20+N21+N22+N23</f>
        <v>0</v>
      </c>
      <c r="O24" s="1563"/>
      <c r="P24" s="1563"/>
      <c r="Q24" s="1563"/>
      <c r="R24" s="1563"/>
      <c r="S24" s="1563"/>
      <c r="T24" s="202">
        <f>SUM(T12:T23)</f>
        <v>0</v>
      </c>
      <c r="U24" s="202">
        <f>SUM(U12:U22)</f>
        <v>0</v>
      </c>
      <c r="V24" s="462">
        <f t="shared" si="0"/>
        <v>2967833.6203270829</v>
      </c>
    </row>
    <row r="25" spans="1:22" ht="45" customHeight="1" x14ac:dyDescent="0.2">
      <c r="A25" s="460" t="s">
        <v>260</v>
      </c>
      <c r="B25" s="103" t="s">
        <v>271</v>
      </c>
      <c r="C25" s="200">
        <f>+'FUNCIONAMIENTO-FOND PROPIOS-FAM'!D22</f>
        <v>15000</v>
      </c>
      <c r="D25" s="200"/>
      <c r="E25" s="200"/>
      <c r="F25" s="101">
        <f>+CBI!H10</f>
        <v>26000</v>
      </c>
      <c r="G25" s="380">
        <f>+'FMI Y BID'!H12</f>
        <v>22696.799999999999</v>
      </c>
      <c r="H25" s="101">
        <f>+'0101 F.P DIRECCION Y ADM SUP'!H19</f>
        <v>11000</v>
      </c>
      <c r="I25" s="101">
        <v>0</v>
      </c>
      <c r="J25" s="560">
        <f>+'0201 F.P. BINESTAR SOCIAL'!H18</f>
        <v>14350</v>
      </c>
      <c r="K25" s="560">
        <v>0</v>
      </c>
      <c r="L25" s="560">
        <v>0</v>
      </c>
      <c r="M25" s="560">
        <v>0</v>
      </c>
      <c r="N25" s="1560">
        <f>+'FUNCIONAMIENTO-FOND PROPIOS-FAM'!C22</f>
        <v>8200</v>
      </c>
      <c r="O25" s="1561"/>
      <c r="P25" s="1561"/>
      <c r="Q25" s="1561"/>
      <c r="R25" s="1561"/>
      <c r="S25" s="1561"/>
      <c r="T25" s="101">
        <v>0</v>
      </c>
      <c r="U25" s="101">
        <v>0</v>
      </c>
      <c r="V25" s="458">
        <f t="shared" si="0"/>
        <v>97246.8</v>
      </c>
    </row>
    <row r="26" spans="1:22" ht="45" customHeight="1" x14ac:dyDescent="0.2">
      <c r="A26" s="460" t="s">
        <v>1117</v>
      </c>
      <c r="B26" s="103" t="s">
        <v>271</v>
      </c>
      <c r="C26" s="200">
        <f>+'1.5% LIBRE DISPONIBILIDAD 2024'!H20</f>
        <v>2000</v>
      </c>
      <c r="D26" s="200"/>
      <c r="E26" s="200"/>
      <c r="F26" s="101"/>
      <c r="G26" s="380">
        <f>+'FMI Y BID'!H13</f>
        <v>454.65</v>
      </c>
      <c r="H26" s="101"/>
      <c r="I26" s="101"/>
      <c r="J26" s="560"/>
      <c r="K26" s="560"/>
      <c r="L26" s="560"/>
      <c r="M26" s="560"/>
      <c r="N26" s="378"/>
      <c r="O26" s="379"/>
      <c r="P26" s="379"/>
      <c r="Q26" s="379"/>
      <c r="R26" s="379"/>
      <c r="S26" s="379"/>
      <c r="T26" s="101"/>
      <c r="U26" s="101"/>
      <c r="V26" s="458">
        <f t="shared" si="0"/>
        <v>2454.65</v>
      </c>
    </row>
    <row r="27" spans="1:22" ht="45" customHeight="1" x14ac:dyDescent="0.2">
      <c r="A27" s="460" t="s">
        <v>264</v>
      </c>
      <c r="B27" s="103" t="s">
        <v>335</v>
      </c>
      <c r="C27" s="200">
        <v>0</v>
      </c>
      <c r="D27" s="200"/>
      <c r="E27" s="200"/>
      <c r="F27" s="101">
        <v>0</v>
      </c>
      <c r="G27" s="380"/>
      <c r="H27" s="101">
        <f>+'0101 F.P DIRECCION Y ADM SUP'!H20</f>
        <v>5245.25</v>
      </c>
      <c r="I27" s="101">
        <v>0</v>
      </c>
      <c r="J27" s="560">
        <v>0</v>
      </c>
      <c r="K27" s="560">
        <v>0</v>
      </c>
      <c r="L27" s="560">
        <v>0</v>
      </c>
      <c r="M27" s="560">
        <v>0</v>
      </c>
      <c r="N27" s="1560">
        <f>+'FUNCIONAMIENTO-FOND PROPIOS-FAM'!C24</f>
        <v>204</v>
      </c>
      <c r="O27" s="1561"/>
      <c r="P27" s="1561"/>
      <c r="Q27" s="1561"/>
      <c r="R27" s="1561"/>
      <c r="S27" s="1561"/>
      <c r="T27" s="101">
        <v>0</v>
      </c>
      <c r="U27" s="101">
        <v>0</v>
      </c>
      <c r="V27" s="458">
        <f t="shared" si="0"/>
        <v>5449.25</v>
      </c>
    </row>
    <row r="28" spans="1:22" ht="45" customHeight="1" x14ac:dyDescent="0.2">
      <c r="A28" s="459">
        <v>54104</v>
      </c>
      <c r="B28" s="103" t="s">
        <v>137</v>
      </c>
      <c r="C28" s="200">
        <f>+'1.5% LIBRE DISPONIBILIDAD 2024'!H21</f>
        <v>92670</v>
      </c>
      <c r="D28" s="200"/>
      <c r="E28" s="200"/>
      <c r="F28" s="101">
        <v>0</v>
      </c>
      <c r="G28" s="380">
        <f>+'FMI Y BID'!H14</f>
        <v>523.17999999999995</v>
      </c>
      <c r="H28" s="101">
        <v>0</v>
      </c>
      <c r="I28" s="101">
        <v>0</v>
      </c>
      <c r="J28" s="560">
        <v>0</v>
      </c>
      <c r="K28" s="560">
        <v>0</v>
      </c>
      <c r="L28" s="560">
        <v>0</v>
      </c>
      <c r="M28" s="560">
        <v>0</v>
      </c>
      <c r="N28" s="1560">
        <f>+'FUNCIONAMIENTO-FOND PROPIOS-FAM'!C25</f>
        <v>27296.46</v>
      </c>
      <c r="O28" s="1561"/>
      <c r="P28" s="1561"/>
      <c r="Q28" s="1561"/>
      <c r="R28" s="1561"/>
      <c r="S28" s="1561"/>
      <c r="T28" s="101">
        <v>0</v>
      </c>
      <c r="U28" s="101">
        <v>0</v>
      </c>
      <c r="V28" s="458">
        <f t="shared" si="0"/>
        <v>120489.63999999998</v>
      </c>
    </row>
    <row r="29" spans="1:22" ht="45" customHeight="1" x14ac:dyDescent="0.2">
      <c r="A29" s="459">
        <v>54105</v>
      </c>
      <c r="B29" s="103" t="s">
        <v>138</v>
      </c>
      <c r="C29" s="200">
        <f>+'FUNCIONAMIENTO-FOND PROPIOS-FAM'!D26</f>
        <v>0</v>
      </c>
      <c r="D29" s="200"/>
      <c r="E29" s="200"/>
      <c r="F29" s="101">
        <f>+CBI!H11</f>
        <v>539.78</v>
      </c>
      <c r="G29" s="380"/>
      <c r="H29" s="101">
        <f>+'0101 F.P DIRECCION Y ADM SUP'!H21</f>
        <v>20000</v>
      </c>
      <c r="I29" s="101">
        <v>0</v>
      </c>
      <c r="J29" s="560">
        <v>0</v>
      </c>
      <c r="K29" s="560">
        <v>0</v>
      </c>
      <c r="L29" s="560">
        <v>0</v>
      </c>
      <c r="M29" s="560">
        <v>0</v>
      </c>
      <c r="N29" s="1560">
        <f>+'FUNCIONAMIENTO-FOND PROPIOS-FAM'!C26</f>
        <v>0</v>
      </c>
      <c r="O29" s="1561"/>
      <c r="P29" s="1561"/>
      <c r="Q29" s="1561"/>
      <c r="R29" s="1561"/>
      <c r="S29" s="1561"/>
      <c r="T29" s="101">
        <v>0</v>
      </c>
      <c r="U29" s="101">
        <v>0</v>
      </c>
      <c r="V29" s="458">
        <f t="shared" si="0"/>
        <v>20539.78</v>
      </c>
    </row>
    <row r="30" spans="1:22" ht="45" customHeight="1" x14ac:dyDescent="0.2">
      <c r="A30" s="460" t="s">
        <v>258</v>
      </c>
      <c r="B30" s="103" t="s">
        <v>334</v>
      </c>
      <c r="C30" s="200">
        <f>+'1.5% LIBRE DISPONIBILIDAD 2024'!H22</f>
        <v>200</v>
      </c>
      <c r="D30" s="200"/>
      <c r="E30" s="200"/>
      <c r="F30" s="101">
        <v>0</v>
      </c>
      <c r="G30" s="557"/>
      <c r="H30" s="101">
        <v>0</v>
      </c>
      <c r="I30" s="101">
        <v>0</v>
      </c>
      <c r="J30" s="560">
        <v>0</v>
      </c>
      <c r="K30" s="560">
        <v>0</v>
      </c>
      <c r="L30" s="560">
        <v>0</v>
      </c>
      <c r="M30" s="560">
        <v>0</v>
      </c>
      <c r="N30" s="1560">
        <f>+'FUNCIONAMIENTO-FOND PROPIOS-FAM'!C27</f>
        <v>6000</v>
      </c>
      <c r="O30" s="1561"/>
      <c r="P30" s="1561"/>
      <c r="Q30" s="1561"/>
      <c r="R30" s="1561"/>
      <c r="S30" s="1561"/>
      <c r="T30" s="376">
        <v>0</v>
      </c>
      <c r="U30" s="101">
        <v>0</v>
      </c>
      <c r="V30" s="458">
        <f t="shared" si="0"/>
        <v>6200</v>
      </c>
    </row>
    <row r="31" spans="1:22" ht="45" customHeight="1" x14ac:dyDescent="0.2">
      <c r="A31" s="459">
        <v>54107</v>
      </c>
      <c r="B31" s="103" t="s">
        <v>333</v>
      </c>
      <c r="C31" s="200">
        <f>+'1.5% LIBRE DISPONIBILIDAD 2024'!H23</f>
        <v>1315.9</v>
      </c>
      <c r="D31" s="200"/>
      <c r="E31" s="200"/>
      <c r="F31" s="101">
        <v>0</v>
      </c>
      <c r="G31" s="380">
        <f>+'FMI Y BID'!H15</f>
        <v>914.17</v>
      </c>
      <c r="H31" s="101">
        <f>+'0101 F.P DIRECCION Y ADM SUP'!H22</f>
        <v>1150</v>
      </c>
      <c r="I31" s="101">
        <v>0</v>
      </c>
      <c r="J31" s="560">
        <v>0</v>
      </c>
      <c r="K31" s="560">
        <v>0</v>
      </c>
      <c r="L31" s="560">
        <v>0</v>
      </c>
      <c r="M31" s="560">
        <v>0</v>
      </c>
      <c r="N31" s="1560">
        <f>+'FUNCIONAMIENTO-FOND PROPIOS-FAM'!C28</f>
        <v>280</v>
      </c>
      <c r="O31" s="1561"/>
      <c r="P31" s="1561"/>
      <c r="Q31" s="1561"/>
      <c r="R31" s="1561"/>
      <c r="S31" s="1561"/>
      <c r="T31" s="101">
        <v>0</v>
      </c>
      <c r="U31" s="101">
        <v>0</v>
      </c>
      <c r="V31" s="458">
        <f t="shared" si="0"/>
        <v>3660.07</v>
      </c>
    </row>
    <row r="32" spans="1:22" ht="45" customHeight="1" thickBot="1" x14ac:dyDescent="0.25">
      <c r="A32" s="1110">
        <v>54108</v>
      </c>
      <c r="B32" s="1111" t="s">
        <v>331</v>
      </c>
      <c r="C32" s="1112">
        <f>+'1.5% LIBRE DISPONIBILIDAD 2024'!H24</f>
        <v>2350</v>
      </c>
      <c r="D32" s="1112"/>
      <c r="E32" s="1112"/>
      <c r="F32" s="1113">
        <v>0</v>
      </c>
      <c r="G32" s="1114"/>
      <c r="H32" s="1113">
        <v>0</v>
      </c>
      <c r="I32" s="1113">
        <v>0</v>
      </c>
      <c r="J32" s="1115">
        <f>+'0201 F.P. BINESTAR SOCIAL'!H19</f>
        <v>2099.62</v>
      </c>
      <c r="K32" s="1115">
        <v>0</v>
      </c>
      <c r="L32" s="1115">
        <v>0</v>
      </c>
      <c r="M32" s="1115">
        <v>0</v>
      </c>
      <c r="N32" s="1564">
        <v>0</v>
      </c>
      <c r="O32" s="1565"/>
      <c r="P32" s="1565"/>
      <c r="Q32" s="1565"/>
      <c r="R32" s="1565"/>
      <c r="S32" s="1565"/>
      <c r="T32" s="1116">
        <v>0</v>
      </c>
      <c r="U32" s="1113">
        <v>0</v>
      </c>
      <c r="V32" s="458">
        <f t="shared" si="0"/>
        <v>4449.62</v>
      </c>
    </row>
    <row r="33" spans="1:22" ht="45" customHeight="1" x14ac:dyDescent="0.2">
      <c r="A33" s="1118" t="s">
        <v>254</v>
      </c>
      <c r="B33" s="1119" t="s">
        <v>272</v>
      </c>
      <c r="C33" s="1120">
        <f>+'FUNCIONAMIENTO-FOND PROPIOS-FAM'!D30</f>
        <v>0</v>
      </c>
      <c r="D33" s="1120"/>
      <c r="E33" s="1120"/>
      <c r="F33" s="1121">
        <v>0</v>
      </c>
      <c r="G33" s="1122"/>
      <c r="H33" s="1121">
        <v>0</v>
      </c>
      <c r="I33" s="1121">
        <v>0</v>
      </c>
      <c r="J33" s="1123">
        <v>0</v>
      </c>
      <c r="K33" s="1123">
        <v>0</v>
      </c>
      <c r="L33" s="1123">
        <v>0</v>
      </c>
      <c r="M33" s="1123">
        <v>0</v>
      </c>
      <c r="N33" s="1566">
        <f>+'PROG-FAM'!H16</f>
        <v>20000</v>
      </c>
      <c r="O33" s="1567"/>
      <c r="P33" s="1567"/>
      <c r="Q33" s="1567"/>
      <c r="R33" s="1567"/>
      <c r="S33" s="1567"/>
      <c r="T33" s="1121">
        <v>0</v>
      </c>
      <c r="U33" s="1121">
        <v>0</v>
      </c>
      <c r="V33" s="458">
        <f t="shared" si="0"/>
        <v>20000</v>
      </c>
    </row>
    <row r="34" spans="1:22" ht="45" customHeight="1" x14ac:dyDescent="0.2">
      <c r="A34" s="459">
        <v>54110</v>
      </c>
      <c r="B34" s="198" t="s">
        <v>139</v>
      </c>
      <c r="C34" s="200">
        <f>+'FUNCIONAMIENTO-FOND PROPIOS-FAM'!D31</f>
        <v>0</v>
      </c>
      <c r="D34" s="200"/>
      <c r="E34" s="200"/>
      <c r="F34" s="101">
        <v>0</v>
      </c>
      <c r="G34" s="380"/>
      <c r="H34" s="101">
        <f>+'0101 F.P DIRECCION Y ADM SUP'!H26</f>
        <v>6030.91</v>
      </c>
      <c r="I34" s="101">
        <f>+'0102 F.P.AD.FINANC Y TRIBUTARIA'!H18</f>
        <v>794.87</v>
      </c>
      <c r="J34" s="560">
        <v>0</v>
      </c>
      <c r="K34" s="560">
        <v>0</v>
      </c>
      <c r="L34" s="560">
        <f>+'0203 SERV. EXTERNOS'!H19</f>
        <v>13174.22</v>
      </c>
      <c r="M34" s="560">
        <v>0</v>
      </c>
      <c r="N34" s="1560">
        <f>+'FUNCIONAMIENTO-FOND PROPIOS-FAM'!C31</f>
        <v>56000</v>
      </c>
      <c r="O34" s="1561"/>
      <c r="P34" s="1561"/>
      <c r="Q34" s="1561"/>
      <c r="R34" s="1561"/>
      <c r="S34" s="1561"/>
      <c r="T34" s="101">
        <v>0</v>
      </c>
      <c r="U34" s="101">
        <v>0</v>
      </c>
      <c r="V34" s="458">
        <f t="shared" si="0"/>
        <v>76000</v>
      </c>
    </row>
    <row r="35" spans="1:22" ht="45" customHeight="1" x14ac:dyDescent="0.2">
      <c r="A35" s="460" t="s">
        <v>265</v>
      </c>
      <c r="B35" s="103" t="s">
        <v>273</v>
      </c>
      <c r="C35" s="200"/>
      <c r="D35" s="200"/>
      <c r="E35" s="200"/>
      <c r="F35" s="101">
        <v>0</v>
      </c>
      <c r="G35" s="380">
        <f>+'FMI Y BID'!H16</f>
        <v>0</v>
      </c>
      <c r="H35" s="101">
        <v>0</v>
      </c>
      <c r="I35" s="101">
        <v>0</v>
      </c>
      <c r="J35" s="560">
        <v>0</v>
      </c>
      <c r="K35" s="560">
        <v>0</v>
      </c>
      <c r="L35" s="560">
        <v>0</v>
      </c>
      <c r="M35" s="560">
        <v>0</v>
      </c>
      <c r="N35" s="1560">
        <v>0</v>
      </c>
      <c r="O35" s="1561"/>
      <c r="P35" s="1561"/>
      <c r="Q35" s="1561"/>
      <c r="R35" s="1561"/>
      <c r="S35" s="1561"/>
      <c r="T35" s="101">
        <v>0</v>
      </c>
      <c r="U35" s="101">
        <v>0</v>
      </c>
      <c r="V35" s="458">
        <f t="shared" si="0"/>
        <v>0</v>
      </c>
    </row>
    <row r="36" spans="1:22" ht="45" customHeight="1" x14ac:dyDescent="0.2">
      <c r="A36" s="460" t="s">
        <v>261</v>
      </c>
      <c r="B36" s="103" t="s">
        <v>274</v>
      </c>
      <c r="C36" s="200">
        <f>+'1.5% LIBRE DISPONIBILIDAD 2024'!H25</f>
        <v>150</v>
      </c>
      <c r="D36" s="200"/>
      <c r="E36" s="200"/>
      <c r="F36" s="101">
        <v>0</v>
      </c>
      <c r="G36" s="380">
        <f>+'FMI Y BID'!H17</f>
        <v>13.6</v>
      </c>
      <c r="H36" s="101">
        <f>+'0101 F.P DIRECCION Y ADM SUP'!H23</f>
        <v>4.75</v>
      </c>
      <c r="I36" s="101">
        <v>0</v>
      </c>
      <c r="J36" s="560">
        <v>0</v>
      </c>
      <c r="K36" s="560">
        <v>0</v>
      </c>
      <c r="L36" s="560">
        <v>0</v>
      </c>
      <c r="M36" s="560">
        <v>0</v>
      </c>
      <c r="N36" s="1560">
        <f>+'FUNCIONAMIENTO-FOND PROPIOS-FAM'!C32</f>
        <v>6295</v>
      </c>
      <c r="O36" s="1561"/>
      <c r="P36" s="1561"/>
      <c r="Q36" s="1561"/>
      <c r="R36" s="1561"/>
      <c r="S36" s="1561"/>
      <c r="T36" s="101">
        <v>0</v>
      </c>
      <c r="U36" s="101">
        <v>0</v>
      </c>
      <c r="V36" s="458">
        <f t="shared" si="0"/>
        <v>6463.35</v>
      </c>
    </row>
    <row r="37" spans="1:22" ht="48" customHeight="1" x14ac:dyDescent="0.2">
      <c r="A37" s="460" t="s">
        <v>332</v>
      </c>
      <c r="B37" s="103" t="s">
        <v>336</v>
      </c>
      <c r="C37" s="200"/>
      <c r="D37" s="200"/>
      <c r="E37" s="200"/>
      <c r="F37" s="101">
        <v>0</v>
      </c>
      <c r="G37" s="380"/>
      <c r="H37" s="101">
        <v>0</v>
      </c>
      <c r="I37" s="101">
        <v>0</v>
      </c>
      <c r="J37" s="560">
        <f>+'0201 F.P. BINESTAR SOCIAL'!H20</f>
        <v>445</v>
      </c>
      <c r="K37" s="560">
        <v>0</v>
      </c>
      <c r="L37" s="560">
        <v>0</v>
      </c>
      <c r="M37" s="560">
        <v>0</v>
      </c>
      <c r="N37" s="1560">
        <f>+'PROG-FAM'!H28</f>
        <v>50</v>
      </c>
      <c r="O37" s="1561"/>
      <c r="P37" s="1561"/>
      <c r="Q37" s="1561"/>
      <c r="R37" s="1561"/>
      <c r="S37" s="1561"/>
      <c r="T37" s="101">
        <v>0</v>
      </c>
      <c r="U37" s="101">
        <v>0</v>
      </c>
      <c r="V37" s="458">
        <f t="shared" si="0"/>
        <v>495</v>
      </c>
    </row>
    <row r="38" spans="1:22" ht="45" customHeight="1" x14ac:dyDescent="0.2">
      <c r="A38" s="460">
        <v>54114</v>
      </c>
      <c r="B38" s="103" t="s">
        <v>287</v>
      </c>
      <c r="C38" s="200">
        <f>+'FUNCIONAMIENTO-FOND PROPIOS-FAM'!D34</f>
        <v>0</v>
      </c>
      <c r="D38" s="200"/>
      <c r="E38" s="200"/>
      <c r="F38" s="101">
        <f>+CBI!H12</f>
        <v>500</v>
      </c>
      <c r="G38" s="380"/>
      <c r="H38" s="101">
        <f>+'0101 F.P DIRECCION Y ADM SUP'!H24</f>
        <v>20000</v>
      </c>
      <c r="I38" s="101">
        <v>0</v>
      </c>
      <c r="J38" s="560">
        <v>0</v>
      </c>
      <c r="K38" s="560">
        <v>0</v>
      </c>
      <c r="L38" s="560">
        <v>0</v>
      </c>
      <c r="M38" s="560">
        <v>0</v>
      </c>
      <c r="N38" s="1560">
        <v>0</v>
      </c>
      <c r="O38" s="1561"/>
      <c r="P38" s="1561"/>
      <c r="Q38" s="1561"/>
      <c r="R38" s="1561"/>
      <c r="S38" s="1561"/>
      <c r="T38" s="101">
        <v>0</v>
      </c>
      <c r="U38" s="101">
        <v>0</v>
      </c>
      <c r="V38" s="458">
        <f t="shared" si="0"/>
        <v>20500</v>
      </c>
    </row>
    <row r="39" spans="1:22" ht="45" customHeight="1" x14ac:dyDescent="0.2">
      <c r="A39" s="459">
        <v>54115</v>
      </c>
      <c r="B39" s="103" t="s">
        <v>140</v>
      </c>
      <c r="C39" s="200">
        <f>+'FUNCIONAMIENTO-FOND PROPIOS-FAM'!D35</f>
        <v>0</v>
      </c>
      <c r="D39" s="200"/>
      <c r="E39" s="200"/>
      <c r="F39" s="101">
        <v>0</v>
      </c>
      <c r="G39" s="380"/>
      <c r="H39" s="101">
        <f>+'0101 F.P DIRECCION Y ADM SUP'!H25</f>
        <v>15000</v>
      </c>
      <c r="I39" s="101">
        <v>0</v>
      </c>
      <c r="J39" s="560">
        <v>0</v>
      </c>
      <c r="K39" s="560">
        <v>0</v>
      </c>
      <c r="L39" s="560">
        <v>0</v>
      </c>
      <c r="M39" s="560">
        <v>0</v>
      </c>
      <c r="N39" s="1560">
        <v>0</v>
      </c>
      <c r="O39" s="1561"/>
      <c r="P39" s="1561"/>
      <c r="Q39" s="1561"/>
      <c r="R39" s="1561"/>
      <c r="S39" s="1561"/>
      <c r="T39" s="101">
        <v>0</v>
      </c>
      <c r="U39" s="101">
        <v>0</v>
      </c>
      <c r="V39" s="458">
        <f t="shared" si="0"/>
        <v>15000</v>
      </c>
    </row>
    <row r="40" spans="1:22" ht="45" customHeight="1" x14ac:dyDescent="0.2">
      <c r="A40" s="459">
        <v>54116</v>
      </c>
      <c r="B40" s="103" t="s">
        <v>328</v>
      </c>
      <c r="C40" s="200">
        <v>0</v>
      </c>
      <c r="D40" s="200"/>
      <c r="E40" s="200"/>
      <c r="F40" s="101">
        <v>0</v>
      </c>
      <c r="G40" s="380"/>
      <c r="H40" s="101">
        <v>0</v>
      </c>
      <c r="I40" s="101">
        <v>0</v>
      </c>
      <c r="J40" s="560">
        <v>0</v>
      </c>
      <c r="K40" s="560">
        <v>0</v>
      </c>
      <c r="L40" s="560">
        <v>0</v>
      </c>
      <c r="M40" s="560">
        <v>0</v>
      </c>
      <c r="N40" s="1560">
        <v>0</v>
      </c>
      <c r="O40" s="1561"/>
      <c r="P40" s="1561"/>
      <c r="Q40" s="1561"/>
      <c r="R40" s="1561"/>
      <c r="S40" s="1561"/>
      <c r="T40" s="101">
        <v>0</v>
      </c>
      <c r="U40" s="101">
        <v>0</v>
      </c>
      <c r="V40" s="458">
        <f t="shared" si="0"/>
        <v>0</v>
      </c>
    </row>
    <row r="41" spans="1:22" ht="45" customHeight="1" x14ac:dyDescent="0.2">
      <c r="A41" s="459">
        <v>54117</v>
      </c>
      <c r="B41" s="103" t="s">
        <v>366</v>
      </c>
      <c r="C41" s="200">
        <v>0</v>
      </c>
      <c r="D41" s="200"/>
      <c r="E41" s="200"/>
      <c r="F41" s="101">
        <v>0</v>
      </c>
      <c r="G41" s="380"/>
      <c r="H41" s="101">
        <v>0</v>
      </c>
      <c r="I41" s="101">
        <v>0</v>
      </c>
      <c r="J41" s="560">
        <v>0</v>
      </c>
      <c r="K41" s="560">
        <v>0</v>
      </c>
      <c r="L41" s="560">
        <v>0</v>
      </c>
      <c r="M41" s="560">
        <v>0</v>
      </c>
      <c r="N41" s="1560">
        <v>0</v>
      </c>
      <c r="O41" s="1561"/>
      <c r="P41" s="1561"/>
      <c r="Q41" s="1561"/>
      <c r="R41" s="1561"/>
      <c r="S41" s="1561"/>
      <c r="T41" s="101">
        <v>0</v>
      </c>
      <c r="U41" s="101">
        <v>0</v>
      </c>
      <c r="V41" s="458">
        <f t="shared" si="0"/>
        <v>0</v>
      </c>
    </row>
    <row r="42" spans="1:22" ht="45" customHeight="1" x14ac:dyDescent="0.2">
      <c r="A42" s="459">
        <v>54118</v>
      </c>
      <c r="B42" s="103" t="s">
        <v>141</v>
      </c>
      <c r="C42" s="200">
        <f>+'1.5% LIBRE DISPONIBILIDAD 2024'!H26</f>
        <v>910</v>
      </c>
      <c r="D42" s="200"/>
      <c r="E42" s="200"/>
      <c r="F42" s="101">
        <v>0</v>
      </c>
      <c r="G42" s="380">
        <f>+'FMI Y BID'!H18</f>
        <v>43.14</v>
      </c>
      <c r="H42" s="101">
        <f>+'0101 F.P DIRECCION Y ADM SUP'!H27</f>
        <v>3000</v>
      </c>
      <c r="I42" s="101">
        <v>0</v>
      </c>
      <c r="J42" s="560">
        <v>0</v>
      </c>
      <c r="K42" s="560">
        <v>0</v>
      </c>
      <c r="L42" s="560">
        <v>0</v>
      </c>
      <c r="M42" s="560">
        <v>0</v>
      </c>
      <c r="N42" s="1560">
        <f>+'PROG-FAM'!C50</f>
        <v>20065</v>
      </c>
      <c r="O42" s="1561"/>
      <c r="P42" s="1561"/>
      <c r="Q42" s="1561"/>
      <c r="R42" s="1561"/>
      <c r="S42" s="1561"/>
      <c r="T42" s="101">
        <v>0</v>
      </c>
      <c r="U42" s="101">
        <v>0</v>
      </c>
      <c r="V42" s="458">
        <f t="shared" si="0"/>
        <v>24018.14</v>
      </c>
    </row>
    <row r="43" spans="1:22" ht="45" customHeight="1" x14ac:dyDescent="0.2">
      <c r="A43" s="459">
        <v>54119</v>
      </c>
      <c r="B43" s="103" t="s">
        <v>290</v>
      </c>
      <c r="C43" s="200">
        <f>+'FUNCIONAMIENTO-FOND PROPIOS-FAM'!D37</f>
        <v>0</v>
      </c>
      <c r="D43" s="200"/>
      <c r="E43" s="200"/>
      <c r="F43" s="101">
        <v>0</v>
      </c>
      <c r="G43" s="380"/>
      <c r="H43" s="101">
        <v>0</v>
      </c>
      <c r="I43" s="101">
        <v>0</v>
      </c>
      <c r="J43" s="560">
        <v>0</v>
      </c>
      <c r="K43" s="560">
        <v>0</v>
      </c>
      <c r="L43" s="560">
        <v>0</v>
      </c>
      <c r="M43" s="560">
        <v>0</v>
      </c>
      <c r="N43" s="1560">
        <v>0</v>
      </c>
      <c r="O43" s="1561"/>
      <c r="P43" s="1561"/>
      <c r="Q43" s="1561"/>
      <c r="R43" s="1561"/>
      <c r="S43" s="1561"/>
      <c r="T43" s="101">
        <v>0</v>
      </c>
      <c r="U43" s="101">
        <v>0</v>
      </c>
      <c r="V43" s="458">
        <f t="shared" si="0"/>
        <v>0</v>
      </c>
    </row>
    <row r="44" spans="1:22" ht="45" customHeight="1" x14ac:dyDescent="0.2">
      <c r="A44" s="459">
        <v>54121</v>
      </c>
      <c r="B44" s="103" t="s">
        <v>142</v>
      </c>
      <c r="C44" s="200">
        <f>+'FUNCIONAMIENTO-FOND PROPIOS-FAM'!D38</f>
        <v>0</v>
      </c>
      <c r="D44" s="200"/>
      <c r="E44" s="200"/>
      <c r="F44" s="101">
        <v>0</v>
      </c>
      <c r="G44" s="380"/>
      <c r="H44" s="101">
        <v>0</v>
      </c>
      <c r="I44" s="101">
        <f>+'0102 F.P.AD.FINANC Y TRIBUTARIA'!H19</f>
        <v>10857.6</v>
      </c>
      <c r="J44" s="560">
        <v>0</v>
      </c>
      <c r="K44" s="560">
        <v>0</v>
      </c>
      <c r="L44" s="560">
        <v>0</v>
      </c>
      <c r="M44" s="560">
        <v>0</v>
      </c>
      <c r="N44" s="1560">
        <v>0</v>
      </c>
      <c r="O44" s="1561"/>
      <c r="P44" s="1561"/>
      <c r="Q44" s="1561"/>
      <c r="R44" s="1561"/>
      <c r="S44" s="1561"/>
      <c r="T44" s="101">
        <v>0</v>
      </c>
      <c r="U44" s="101">
        <v>0</v>
      </c>
      <c r="V44" s="458">
        <f t="shared" si="0"/>
        <v>10857.6</v>
      </c>
    </row>
    <row r="45" spans="1:22" ht="45" customHeight="1" x14ac:dyDescent="0.2">
      <c r="A45" s="459">
        <v>54199</v>
      </c>
      <c r="B45" s="103" t="s">
        <v>143</v>
      </c>
      <c r="C45" s="200">
        <f>+'FUNCIONAMIENTO-FOND PROPIOS-FAM'!D39</f>
        <v>11484</v>
      </c>
      <c r="D45" s="200"/>
      <c r="E45" s="200"/>
      <c r="F45" s="101">
        <f>+CBI!H13</f>
        <v>1000</v>
      </c>
      <c r="G45" s="380">
        <f>+'FMI Y BID'!H19</f>
        <v>8724.0499999999993</v>
      </c>
      <c r="H45" s="101">
        <f>+'0101 F.P DIRECCION Y ADM SUP'!H28+'0101 F.P DIRECCION Y ADM SUP'!H29</f>
        <v>14210</v>
      </c>
      <c r="I45" s="101">
        <v>0</v>
      </c>
      <c r="J45" s="560">
        <f>+'0201 F.P. BINESTAR SOCIAL'!H21</f>
        <v>10030</v>
      </c>
      <c r="K45" s="560">
        <v>0</v>
      </c>
      <c r="L45" s="560">
        <v>0</v>
      </c>
      <c r="M45" s="560">
        <v>0</v>
      </c>
      <c r="N45" s="1560">
        <f>+'FUNCIONAMIENTO-FOND PROPIOS-FAM'!C39</f>
        <v>9851</v>
      </c>
      <c r="O45" s="1561"/>
      <c r="P45" s="1561"/>
      <c r="Q45" s="1561"/>
      <c r="R45" s="1561"/>
      <c r="S45" s="1561"/>
      <c r="T45" s="101">
        <v>0</v>
      </c>
      <c r="U45" s="101">
        <v>0</v>
      </c>
      <c r="V45" s="458">
        <f t="shared" si="0"/>
        <v>55299.05</v>
      </c>
    </row>
    <row r="46" spans="1:22" ht="45" customHeight="1" x14ac:dyDescent="0.2">
      <c r="A46" s="459">
        <v>54201</v>
      </c>
      <c r="B46" s="103" t="s">
        <v>144</v>
      </c>
      <c r="C46" s="200">
        <f>+'FUNCIONAMIENTO-FOND PROPIOS-FAM'!D40</f>
        <v>600</v>
      </c>
      <c r="D46" s="200"/>
      <c r="E46" s="200"/>
      <c r="F46" s="101">
        <v>0</v>
      </c>
      <c r="G46" s="380"/>
      <c r="H46" s="101">
        <v>0</v>
      </c>
      <c r="I46" s="101">
        <v>0</v>
      </c>
      <c r="J46" s="560">
        <v>0</v>
      </c>
      <c r="K46" s="560">
        <v>0</v>
      </c>
      <c r="L46" s="560">
        <v>0</v>
      </c>
      <c r="M46" s="560">
        <v>0</v>
      </c>
      <c r="N46" s="1560">
        <f>+'PROG-FAM'!H37</f>
        <v>108000</v>
      </c>
      <c r="O46" s="1561"/>
      <c r="P46" s="1561"/>
      <c r="Q46" s="1561"/>
      <c r="R46" s="1561"/>
      <c r="S46" s="1561"/>
      <c r="T46" s="101">
        <v>0</v>
      </c>
      <c r="U46" s="101">
        <v>0</v>
      </c>
      <c r="V46" s="458">
        <f t="shared" si="0"/>
        <v>108600</v>
      </c>
    </row>
    <row r="47" spans="1:22" ht="45" customHeight="1" x14ac:dyDescent="0.2">
      <c r="A47" s="459">
        <v>54202</v>
      </c>
      <c r="B47" s="103" t="s">
        <v>145</v>
      </c>
      <c r="C47" s="200">
        <f>+'FUNCIONAMIENTO-FOND PROPIOS-FAM'!D41</f>
        <v>7269.39</v>
      </c>
      <c r="D47" s="200"/>
      <c r="E47" s="200"/>
      <c r="F47" s="101">
        <v>0</v>
      </c>
      <c r="G47" s="380"/>
      <c r="H47" s="101">
        <v>0</v>
      </c>
      <c r="I47" s="101">
        <v>0</v>
      </c>
      <c r="J47" s="560">
        <v>0</v>
      </c>
      <c r="K47" s="560">
        <v>0</v>
      </c>
      <c r="L47" s="560">
        <v>0</v>
      </c>
      <c r="M47" s="560">
        <v>0</v>
      </c>
      <c r="N47" s="1560">
        <v>0</v>
      </c>
      <c r="O47" s="1561"/>
      <c r="P47" s="1561"/>
      <c r="Q47" s="1561"/>
      <c r="R47" s="1561"/>
      <c r="S47" s="1561"/>
      <c r="T47" s="101">
        <v>0</v>
      </c>
      <c r="U47" s="101">
        <v>0</v>
      </c>
      <c r="V47" s="458">
        <f t="shared" si="0"/>
        <v>7269.39</v>
      </c>
    </row>
    <row r="48" spans="1:22" ht="45" customHeight="1" x14ac:dyDescent="0.2">
      <c r="A48" s="459">
        <v>54203</v>
      </c>
      <c r="B48" s="103" t="s">
        <v>146</v>
      </c>
      <c r="C48" s="200">
        <f>+'FUNCIONAMIENTO-FOND PROPIOS-FAM'!D42</f>
        <v>75780</v>
      </c>
      <c r="D48" s="200"/>
      <c r="E48" s="200"/>
      <c r="F48" s="101">
        <v>0</v>
      </c>
      <c r="G48" s="380"/>
      <c r="H48" s="101">
        <f>+'0101 F.P DIRECCION Y ADM SUP'!H30</f>
        <v>6468.12</v>
      </c>
      <c r="I48" s="101">
        <v>0</v>
      </c>
      <c r="J48" s="560">
        <v>0</v>
      </c>
      <c r="K48" s="560">
        <v>0</v>
      </c>
      <c r="L48" s="560">
        <v>0</v>
      </c>
      <c r="M48" s="560">
        <v>0</v>
      </c>
      <c r="N48" s="1560">
        <v>0</v>
      </c>
      <c r="O48" s="1561"/>
      <c r="P48" s="1561"/>
      <c r="Q48" s="1561"/>
      <c r="R48" s="1561"/>
      <c r="S48" s="1561"/>
      <c r="T48" s="101">
        <v>0</v>
      </c>
      <c r="U48" s="101">
        <v>0</v>
      </c>
      <c r="V48" s="458">
        <f t="shared" si="0"/>
        <v>82248.12</v>
      </c>
    </row>
    <row r="49" spans="1:22" ht="45" customHeight="1" x14ac:dyDescent="0.2">
      <c r="A49" s="459">
        <v>54205</v>
      </c>
      <c r="B49" s="103" t="s">
        <v>147</v>
      </c>
      <c r="C49" s="200">
        <f>+'FUNCIONAMIENTO-FOND PROPIOS-FAM'!D43</f>
        <v>0</v>
      </c>
      <c r="D49" s="200"/>
      <c r="E49" s="200"/>
      <c r="F49" s="101">
        <v>0</v>
      </c>
      <c r="G49" s="380"/>
      <c r="H49" s="101">
        <f>+'0101 F.P DIRECCION Y ADM SUP'!H31</f>
        <v>84000</v>
      </c>
      <c r="I49" s="101">
        <v>0</v>
      </c>
      <c r="J49" s="560">
        <v>0</v>
      </c>
      <c r="K49" s="560">
        <v>0</v>
      </c>
      <c r="L49" s="560">
        <v>0</v>
      </c>
      <c r="M49" s="560">
        <v>0</v>
      </c>
      <c r="N49" s="1560">
        <f>+'PROG-FAM'!C55</f>
        <v>53480.38</v>
      </c>
      <c r="O49" s="1561"/>
      <c r="P49" s="1561"/>
      <c r="Q49" s="1561"/>
      <c r="R49" s="1561"/>
      <c r="S49" s="1561"/>
      <c r="T49" s="101">
        <v>0</v>
      </c>
      <c r="U49" s="101">
        <v>0</v>
      </c>
      <c r="V49" s="458">
        <f t="shared" si="0"/>
        <v>137480.38</v>
      </c>
    </row>
    <row r="50" spans="1:22" ht="45" customHeight="1" x14ac:dyDescent="0.2">
      <c r="A50" s="459">
        <v>54301</v>
      </c>
      <c r="B50" s="103" t="s">
        <v>322</v>
      </c>
      <c r="C50" s="200">
        <v>0</v>
      </c>
      <c r="D50" s="200"/>
      <c r="E50" s="200"/>
      <c r="F50" s="101">
        <v>0</v>
      </c>
      <c r="G50" s="380"/>
      <c r="H50" s="101">
        <f>+'0101 F.P DIRECCION Y ADM SUP'!H32</f>
        <v>10500</v>
      </c>
      <c r="I50" s="101">
        <v>0</v>
      </c>
      <c r="J50" s="560">
        <v>0</v>
      </c>
      <c r="K50" s="560">
        <v>0</v>
      </c>
      <c r="L50" s="560">
        <v>0</v>
      </c>
      <c r="M50" s="560">
        <v>0</v>
      </c>
      <c r="N50" s="1560">
        <v>0</v>
      </c>
      <c r="O50" s="1561"/>
      <c r="P50" s="1561"/>
      <c r="Q50" s="1561"/>
      <c r="R50" s="1561"/>
      <c r="S50" s="1561"/>
      <c r="T50" s="101">
        <v>0</v>
      </c>
      <c r="U50" s="101">
        <v>0</v>
      </c>
      <c r="V50" s="458">
        <f t="shared" si="0"/>
        <v>10500</v>
      </c>
    </row>
    <row r="51" spans="1:22" ht="45" customHeight="1" x14ac:dyDescent="0.2">
      <c r="A51" s="460" t="s">
        <v>161</v>
      </c>
      <c r="B51" s="103" t="s">
        <v>289</v>
      </c>
      <c r="C51" s="200">
        <f>+'FUNCIONAMIENTO-FOND PROPIOS-FAM'!D45</f>
        <v>0</v>
      </c>
      <c r="D51" s="200"/>
      <c r="E51" s="200"/>
      <c r="F51" s="101">
        <v>0</v>
      </c>
      <c r="G51" s="380"/>
      <c r="H51" s="101">
        <v>0</v>
      </c>
      <c r="I51" s="101">
        <v>0</v>
      </c>
      <c r="J51" s="560">
        <v>0</v>
      </c>
      <c r="K51" s="560">
        <v>0</v>
      </c>
      <c r="L51" s="560">
        <f>+'0203 SERV. EXTERNOS'!H20</f>
        <v>30000</v>
      </c>
      <c r="M51" s="560">
        <v>0</v>
      </c>
      <c r="N51" s="1560">
        <f>+'PROG-FAM'!C56</f>
        <v>30000</v>
      </c>
      <c r="O51" s="1561"/>
      <c r="P51" s="1561"/>
      <c r="Q51" s="1561"/>
      <c r="R51" s="1561"/>
      <c r="S51" s="1561"/>
      <c r="T51" s="101">
        <v>0</v>
      </c>
      <c r="U51" s="101">
        <v>0</v>
      </c>
      <c r="V51" s="458">
        <f t="shared" si="0"/>
        <v>60000</v>
      </c>
    </row>
    <row r="52" spans="1:22" ht="45" customHeight="1" x14ac:dyDescent="0.2">
      <c r="A52" s="459">
        <v>54304</v>
      </c>
      <c r="B52" s="103" t="s">
        <v>435</v>
      </c>
      <c r="C52" s="200">
        <v>0</v>
      </c>
      <c r="D52" s="200"/>
      <c r="E52" s="200"/>
      <c r="F52" s="101">
        <v>0</v>
      </c>
      <c r="G52" s="380">
        <f>+'FMI Y BID'!H20</f>
        <v>550</v>
      </c>
      <c r="H52" s="101">
        <f>+'0101 F.P DIRECCION Y ADM SUP'!H33</f>
        <v>1190</v>
      </c>
      <c r="I52" s="101">
        <v>0</v>
      </c>
      <c r="J52" s="560">
        <v>0</v>
      </c>
      <c r="K52" s="560">
        <v>0</v>
      </c>
      <c r="L52" s="560">
        <v>0</v>
      </c>
      <c r="M52" s="560">
        <v>0</v>
      </c>
      <c r="N52" s="1560">
        <f>+'PROG-FAM'!C58</f>
        <v>5000</v>
      </c>
      <c r="O52" s="1561"/>
      <c r="P52" s="1561"/>
      <c r="Q52" s="1561"/>
      <c r="R52" s="1561"/>
      <c r="S52" s="1561"/>
      <c r="T52" s="101">
        <v>0</v>
      </c>
      <c r="U52" s="101">
        <v>0</v>
      </c>
      <c r="V52" s="458">
        <f t="shared" si="0"/>
        <v>6740</v>
      </c>
    </row>
    <row r="53" spans="1:22" ht="45" customHeight="1" thickBot="1" x14ac:dyDescent="0.25">
      <c r="A53" s="1124">
        <v>54305</v>
      </c>
      <c r="B53" s="1111" t="s">
        <v>148</v>
      </c>
      <c r="C53" s="1112">
        <v>0</v>
      </c>
      <c r="D53" s="1112"/>
      <c r="E53" s="1112"/>
      <c r="F53" s="1113">
        <v>0</v>
      </c>
      <c r="G53" s="1125"/>
      <c r="H53" s="1113">
        <v>0</v>
      </c>
      <c r="I53" s="1113">
        <v>0</v>
      </c>
      <c r="J53" s="1115">
        <f>+'0201 F.P. BINESTAR SOCIAL'!H22</f>
        <v>2000</v>
      </c>
      <c r="K53" s="1115">
        <v>0</v>
      </c>
      <c r="L53" s="1115">
        <v>0</v>
      </c>
      <c r="M53" s="1115">
        <v>0</v>
      </c>
      <c r="N53" s="1564">
        <v>0</v>
      </c>
      <c r="O53" s="1565"/>
      <c r="P53" s="1565"/>
      <c r="Q53" s="1565"/>
      <c r="R53" s="1565"/>
      <c r="S53" s="1565"/>
      <c r="T53" s="1113">
        <v>0</v>
      </c>
      <c r="U53" s="1113">
        <v>0</v>
      </c>
      <c r="V53" s="458">
        <f t="shared" si="0"/>
        <v>2000</v>
      </c>
    </row>
    <row r="54" spans="1:22" ht="45" customHeight="1" x14ac:dyDescent="0.2">
      <c r="A54" s="1118" t="s">
        <v>977</v>
      </c>
      <c r="B54" s="1119" t="s">
        <v>979</v>
      </c>
      <c r="C54" s="1120">
        <v>0</v>
      </c>
      <c r="D54" s="1120"/>
      <c r="E54" s="1120"/>
      <c r="F54" s="1121">
        <v>0</v>
      </c>
      <c r="G54" s="1122"/>
      <c r="H54" s="1121">
        <v>0</v>
      </c>
      <c r="I54" s="1121">
        <v>0</v>
      </c>
      <c r="J54" s="1123">
        <v>0</v>
      </c>
      <c r="K54" s="1123">
        <v>0</v>
      </c>
      <c r="L54" s="1123">
        <f>+'FUNCIONAMIENTO-FOND PROPIOS-FAM'!E48</f>
        <v>4000</v>
      </c>
      <c r="M54" s="1123">
        <v>0</v>
      </c>
      <c r="N54" s="1566">
        <v>0</v>
      </c>
      <c r="O54" s="1567"/>
      <c r="P54" s="1567"/>
      <c r="Q54" s="1567"/>
      <c r="R54" s="1567"/>
      <c r="S54" s="1567"/>
      <c r="T54" s="1121">
        <v>0</v>
      </c>
      <c r="U54" s="1121">
        <v>0</v>
      </c>
      <c r="V54" s="458">
        <f t="shared" si="0"/>
        <v>4000</v>
      </c>
    </row>
    <row r="55" spans="1:22" ht="45" customHeight="1" x14ac:dyDescent="0.2">
      <c r="A55" s="459">
        <v>54313</v>
      </c>
      <c r="B55" s="103" t="s">
        <v>149</v>
      </c>
      <c r="C55" s="200">
        <v>0</v>
      </c>
      <c r="D55" s="200"/>
      <c r="E55" s="200"/>
      <c r="F55" s="101">
        <v>0</v>
      </c>
      <c r="G55" s="557"/>
      <c r="H55" s="101">
        <f>+'0101 F.P DIRECCION Y ADM SUP'!H34</f>
        <v>12345.84</v>
      </c>
      <c r="I55" s="101">
        <v>0</v>
      </c>
      <c r="J55" s="560">
        <f>+'0201 F.P. BINESTAR SOCIAL'!H23</f>
        <v>5670</v>
      </c>
      <c r="K55" s="560">
        <v>0</v>
      </c>
      <c r="L55" s="560">
        <v>0</v>
      </c>
      <c r="M55" s="560">
        <f>+DONACIONES!H10</f>
        <v>588</v>
      </c>
      <c r="N55" s="1560">
        <f>+'PROG-FAM'!H32</f>
        <v>300</v>
      </c>
      <c r="O55" s="1561"/>
      <c r="P55" s="1561"/>
      <c r="Q55" s="1561"/>
      <c r="R55" s="1561"/>
      <c r="S55" s="1561"/>
      <c r="T55" s="376">
        <v>0</v>
      </c>
      <c r="U55" s="101">
        <v>0</v>
      </c>
      <c r="V55" s="458">
        <f t="shared" si="0"/>
        <v>18903.84</v>
      </c>
    </row>
    <row r="56" spans="1:22" ht="45" customHeight="1" x14ac:dyDescent="0.2">
      <c r="A56" s="459">
        <v>54314</v>
      </c>
      <c r="B56" s="103" t="s">
        <v>183</v>
      </c>
      <c r="C56" s="200">
        <v>0</v>
      </c>
      <c r="D56" s="200"/>
      <c r="E56" s="200"/>
      <c r="F56" s="101">
        <v>0</v>
      </c>
      <c r="G56" s="380"/>
      <c r="H56" s="101">
        <v>0</v>
      </c>
      <c r="I56" s="101">
        <v>0</v>
      </c>
      <c r="J56" s="560">
        <v>0</v>
      </c>
      <c r="K56" s="560">
        <v>0</v>
      </c>
      <c r="L56" s="560">
        <v>0</v>
      </c>
      <c r="M56" s="560">
        <v>0</v>
      </c>
      <c r="N56" s="1560">
        <v>0</v>
      </c>
      <c r="O56" s="1561"/>
      <c r="P56" s="1561"/>
      <c r="Q56" s="1561"/>
      <c r="R56" s="1561"/>
      <c r="S56" s="1561"/>
      <c r="T56" s="101">
        <v>0</v>
      </c>
      <c r="U56" s="101">
        <v>0</v>
      </c>
      <c r="V56" s="458">
        <f t="shared" si="0"/>
        <v>0</v>
      </c>
    </row>
    <row r="57" spans="1:22" ht="45" customHeight="1" x14ac:dyDescent="0.2">
      <c r="A57" s="459">
        <v>54316</v>
      </c>
      <c r="B57" s="103" t="s">
        <v>323</v>
      </c>
      <c r="C57" s="200">
        <f>+'FUNCIONAMIENTO-FOND PROPIOS-FAM'!D50</f>
        <v>8800</v>
      </c>
      <c r="D57" s="200"/>
      <c r="E57" s="200"/>
      <c r="F57" s="101">
        <v>0</v>
      </c>
      <c r="G57" s="603">
        <f>+'FMI Y BID'!H21</f>
        <v>12525</v>
      </c>
      <c r="H57" s="101">
        <v>0</v>
      </c>
      <c r="I57" s="101">
        <v>0</v>
      </c>
      <c r="J57" s="560">
        <v>0</v>
      </c>
      <c r="K57" s="560">
        <v>0</v>
      </c>
      <c r="L57" s="560">
        <v>0</v>
      </c>
      <c r="M57" s="560">
        <v>0</v>
      </c>
      <c r="N57" s="1560">
        <v>0</v>
      </c>
      <c r="O57" s="1561"/>
      <c r="P57" s="1561"/>
      <c r="Q57" s="1561"/>
      <c r="R57" s="1561"/>
      <c r="S57" s="1561"/>
      <c r="T57" s="101">
        <v>0</v>
      </c>
      <c r="U57" s="101">
        <v>0</v>
      </c>
      <c r="V57" s="458">
        <f t="shared" si="0"/>
        <v>21325</v>
      </c>
    </row>
    <row r="58" spans="1:22" ht="45" customHeight="1" x14ac:dyDescent="0.2">
      <c r="A58" s="459">
        <v>54317</v>
      </c>
      <c r="B58" s="103" t="s">
        <v>952</v>
      </c>
      <c r="C58" s="200">
        <f>+'1.5% LIBRE DISPONIBILIDAD 2024'!H33</f>
        <v>1376.44</v>
      </c>
      <c r="D58" s="200">
        <f>+'1.5% LIBRE DISPONIBILIDAD 2024'!H41</f>
        <v>4037.28</v>
      </c>
      <c r="E58" s="200"/>
      <c r="F58" s="101">
        <v>0</v>
      </c>
      <c r="G58" s="559"/>
      <c r="H58" s="101"/>
      <c r="I58" s="101"/>
      <c r="J58" s="560">
        <v>0</v>
      </c>
      <c r="K58" s="560">
        <v>0</v>
      </c>
      <c r="L58" s="560">
        <v>0</v>
      </c>
      <c r="M58" s="560">
        <v>0</v>
      </c>
      <c r="N58" s="378" t="s">
        <v>969</v>
      </c>
      <c r="O58" s="379"/>
      <c r="P58" s="379"/>
      <c r="Q58" s="379"/>
      <c r="R58" s="379"/>
      <c r="S58" s="379"/>
      <c r="T58" s="381"/>
      <c r="U58" s="101"/>
      <c r="V58" s="458">
        <f t="shared" si="0"/>
        <v>5413.72</v>
      </c>
    </row>
    <row r="59" spans="1:22" ht="45" customHeight="1" x14ac:dyDescent="0.2">
      <c r="A59" s="459">
        <v>54399</v>
      </c>
      <c r="B59" s="103" t="s">
        <v>150</v>
      </c>
      <c r="C59" s="200">
        <v>0</v>
      </c>
      <c r="D59" s="200"/>
      <c r="E59" s="200"/>
      <c r="F59" s="101">
        <v>0</v>
      </c>
      <c r="G59" s="380"/>
      <c r="H59" s="101">
        <f>+'0101 F.P DIRECCION Y ADM SUP'!H35</f>
        <v>1509.47</v>
      </c>
      <c r="I59" s="101">
        <v>0</v>
      </c>
      <c r="J59" s="560">
        <f>+'0201 F.P. BINESTAR SOCIAL'!H24</f>
        <v>86500</v>
      </c>
      <c r="K59" s="560">
        <v>0</v>
      </c>
      <c r="L59" s="560">
        <v>0</v>
      </c>
      <c r="M59" s="560">
        <v>0</v>
      </c>
      <c r="N59" s="1560">
        <f>+'PROG-FAM'!C60</f>
        <v>18708.54</v>
      </c>
      <c r="O59" s="1561"/>
      <c r="P59" s="1561"/>
      <c r="Q59" s="1561"/>
      <c r="R59" s="1561"/>
      <c r="S59" s="1561"/>
      <c r="T59" s="101">
        <v>0</v>
      </c>
      <c r="U59" s="101">
        <v>0</v>
      </c>
      <c r="V59" s="458">
        <f t="shared" si="0"/>
        <v>106718.01000000001</v>
      </c>
    </row>
    <row r="60" spans="1:22" ht="45" customHeight="1" x14ac:dyDescent="0.2">
      <c r="A60" s="459">
        <v>54402</v>
      </c>
      <c r="B60" s="103" t="s">
        <v>294</v>
      </c>
      <c r="C60" s="200"/>
      <c r="D60" s="200"/>
      <c r="E60" s="200"/>
      <c r="F60" s="101">
        <v>0</v>
      </c>
      <c r="G60" s="558"/>
      <c r="H60" s="101">
        <v>0</v>
      </c>
      <c r="I60" s="101">
        <v>0</v>
      </c>
      <c r="J60" s="560">
        <v>0</v>
      </c>
      <c r="K60" s="560">
        <v>0</v>
      </c>
      <c r="L60" s="560">
        <v>0</v>
      </c>
      <c r="M60" s="560">
        <v>0</v>
      </c>
      <c r="N60" s="1560">
        <v>0</v>
      </c>
      <c r="O60" s="1561"/>
      <c r="P60" s="1561"/>
      <c r="Q60" s="1561"/>
      <c r="R60" s="1561"/>
      <c r="S60" s="1561"/>
      <c r="T60" s="377">
        <v>0</v>
      </c>
      <c r="U60" s="101">
        <v>0</v>
      </c>
      <c r="V60" s="458">
        <f t="shared" si="0"/>
        <v>0</v>
      </c>
    </row>
    <row r="61" spans="1:22" ht="45" customHeight="1" x14ac:dyDescent="0.2">
      <c r="A61" s="459">
        <v>54404</v>
      </c>
      <c r="B61" s="103" t="s">
        <v>151</v>
      </c>
      <c r="C61" s="200">
        <v>0</v>
      </c>
      <c r="D61" s="200"/>
      <c r="E61" s="200"/>
      <c r="F61" s="101">
        <v>0</v>
      </c>
      <c r="G61" s="380"/>
      <c r="H61" s="101">
        <v>0</v>
      </c>
      <c r="I61" s="101">
        <v>0</v>
      </c>
      <c r="J61" s="560">
        <v>0</v>
      </c>
      <c r="K61" s="560">
        <v>0</v>
      </c>
      <c r="L61" s="560">
        <v>0</v>
      </c>
      <c r="M61" s="560">
        <v>0</v>
      </c>
      <c r="N61" s="1560">
        <v>0</v>
      </c>
      <c r="O61" s="1561"/>
      <c r="P61" s="1561"/>
      <c r="Q61" s="1561"/>
      <c r="R61" s="1561"/>
      <c r="S61" s="1561"/>
      <c r="T61" s="101">
        <v>0</v>
      </c>
      <c r="U61" s="101">
        <v>0</v>
      </c>
      <c r="V61" s="458">
        <f t="shared" si="0"/>
        <v>0</v>
      </c>
    </row>
    <row r="62" spans="1:22" ht="45" customHeight="1" x14ac:dyDescent="0.2">
      <c r="A62" s="459">
        <v>54503</v>
      </c>
      <c r="B62" s="103" t="s">
        <v>319</v>
      </c>
      <c r="C62" s="200">
        <f>+'FUNCIONAMIENTO-FOND PROPIOS-FAM'!D53</f>
        <v>0</v>
      </c>
      <c r="D62" s="200"/>
      <c r="E62" s="200"/>
      <c r="F62" s="101">
        <v>0</v>
      </c>
      <c r="G62" s="380"/>
      <c r="H62" s="101">
        <v>0</v>
      </c>
      <c r="I62" s="101">
        <f>+'0102 F.P.AD.FINANC Y TRIBUTARIA'!H20</f>
        <v>0</v>
      </c>
      <c r="J62" s="560">
        <v>0</v>
      </c>
      <c r="K62" s="560">
        <v>0</v>
      </c>
      <c r="L62" s="560">
        <v>0</v>
      </c>
      <c r="M62" s="560">
        <v>0</v>
      </c>
      <c r="N62" s="1560">
        <v>0</v>
      </c>
      <c r="O62" s="1561"/>
      <c r="P62" s="1561"/>
      <c r="Q62" s="1561"/>
      <c r="R62" s="1561"/>
      <c r="S62" s="1561"/>
      <c r="T62" s="101">
        <v>0</v>
      </c>
      <c r="U62" s="101">
        <v>0</v>
      </c>
      <c r="V62" s="458">
        <f t="shared" si="0"/>
        <v>0</v>
      </c>
    </row>
    <row r="63" spans="1:22" ht="45" customHeight="1" x14ac:dyDescent="0.2">
      <c r="A63" s="460" t="s">
        <v>187</v>
      </c>
      <c r="B63" s="103" t="s">
        <v>240</v>
      </c>
      <c r="C63" s="200">
        <v>0</v>
      </c>
      <c r="D63" s="200"/>
      <c r="E63" s="200"/>
      <c r="F63" s="101">
        <v>0</v>
      </c>
      <c r="G63" s="380"/>
      <c r="H63" s="101">
        <v>0</v>
      </c>
      <c r="I63" s="101">
        <f>+'0102 F.P.AD.FINANC Y TRIBUTARIA'!H21</f>
        <v>0</v>
      </c>
      <c r="J63" s="560">
        <v>0</v>
      </c>
      <c r="K63" s="560">
        <v>0</v>
      </c>
      <c r="L63" s="560">
        <v>0</v>
      </c>
      <c r="M63" s="560">
        <v>0</v>
      </c>
      <c r="N63" s="1560">
        <v>0</v>
      </c>
      <c r="O63" s="1561"/>
      <c r="P63" s="1561"/>
      <c r="Q63" s="1561"/>
      <c r="R63" s="1561"/>
      <c r="S63" s="1561"/>
      <c r="T63" s="101">
        <v>0</v>
      </c>
      <c r="U63" s="101">
        <v>0</v>
      </c>
      <c r="V63" s="458">
        <f t="shared" si="0"/>
        <v>0</v>
      </c>
    </row>
    <row r="64" spans="1:22" ht="45" customHeight="1" x14ac:dyDescent="0.2">
      <c r="A64" s="459">
        <v>54507</v>
      </c>
      <c r="B64" s="103" t="s">
        <v>946</v>
      </c>
      <c r="C64" s="200">
        <v>0</v>
      </c>
      <c r="D64" s="200">
        <f>+'FUNCIONAMIENTO-FOND PROPIOS-FAM'!D55</f>
        <v>3465</v>
      </c>
      <c r="E64" s="200"/>
      <c r="F64" s="101"/>
      <c r="G64" s="557"/>
      <c r="H64" s="101"/>
      <c r="I64" s="101">
        <v>0</v>
      </c>
      <c r="J64" s="560">
        <v>0</v>
      </c>
      <c r="K64" s="560">
        <v>0</v>
      </c>
      <c r="L64" s="560">
        <v>0</v>
      </c>
      <c r="M64" s="560">
        <v>0</v>
      </c>
      <c r="N64" s="1560">
        <v>0</v>
      </c>
      <c r="O64" s="1561"/>
      <c r="P64" s="1561">
        <v>0</v>
      </c>
      <c r="Q64" s="1561"/>
      <c r="R64" s="1561"/>
      <c r="S64" s="1561"/>
      <c r="T64" s="376"/>
      <c r="U64" s="101"/>
      <c r="V64" s="458">
        <f t="shared" si="0"/>
        <v>3465</v>
      </c>
    </row>
    <row r="65" spans="1:22" ht="45" customHeight="1" x14ac:dyDescent="0.2">
      <c r="A65" s="459">
        <v>54602</v>
      </c>
      <c r="B65" s="103" t="s">
        <v>341</v>
      </c>
      <c r="C65" s="200">
        <v>0</v>
      </c>
      <c r="D65" s="200">
        <v>0</v>
      </c>
      <c r="E65" s="200">
        <f>+'1.5% LIBRE DISPONIBILIDAD 2024'!H49</f>
        <v>156276.70000000001</v>
      </c>
      <c r="F65" s="101">
        <v>0</v>
      </c>
      <c r="G65" s="380"/>
      <c r="H65" s="101">
        <v>0</v>
      </c>
      <c r="I65" s="101">
        <v>0</v>
      </c>
      <c r="J65" s="560">
        <v>0</v>
      </c>
      <c r="K65" s="560">
        <v>0</v>
      </c>
      <c r="L65" s="560">
        <v>0</v>
      </c>
      <c r="M65" s="560">
        <v>0</v>
      </c>
      <c r="N65" s="1560">
        <v>0</v>
      </c>
      <c r="O65" s="1561"/>
      <c r="P65" s="1561"/>
      <c r="Q65" s="1561"/>
      <c r="R65" s="1561"/>
      <c r="S65" s="1561"/>
      <c r="T65" s="101">
        <v>0</v>
      </c>
      <c r="U65" s="101"/>
      <c r="V65" s="458">
        <f t="shared" si="0"/>
        <v>156276.70000000001</v>
      </c>
    </row>
    <row r="66" spans="1:22" ht="45" customHeight="1" x14ac:dyDescent="0.25">
      <c r="A66" s="463"/>
      <c r="B66" s="403" t="s">
        <v>152</v>
      </c>
      <c r="C66" s="402">
        <f t="shared" ref="C66:M66" si="2">SUM(C25:C65)</f>
        <v>219905.73</v>
      </c>
      <c r="D66" s="402">
        <f t="shared" si="2"/>
        <v>7502.2800000000007</v>
      </c>
      <c r="E66" s="402">
        <f t="shared" si="2"/>
        <v>156276.70000000001</v>
      </c>
      <c r="F66" s="402">
        <f t="shared" si="2"/>
        <v>28039.78</v>
      </c>
      <c r="G66" s="402">
        <f t="shared" si="2"/>
        <v>46444.59</v>
      </c>
      <c r="H66" s="402">
        <f t="shared" si="2"/>
        <v>211654.34</v>
      </c>
      <c r="I66" s="402">
        <f t="shared" si="2"/>
        <v>11652.470000000001</v>
      </c>
      <c r="J66" s="402">
        <f t="shared" si="2"/>
        <v>121094.62</v>
      </c>
      <c r="K66" s="402">
        <f t="shared" si="2"/>
        <v>0</v>
      </c>
      <c r="L66" s="402">
        <f>SUM(L25:L65)</f>
        <v>47174.22</v>
      </c>
      <c r="M66" s="402">
        <f t="shared" si="2"/>
        <v>588</v>
      </c>
      <c r="N66" s="1568">
        <f>+N25+N27+N28+N29+N30+N31+N32+N33+N34+N35+N36+N37+N38+N39+N40+N41+N42+N43+N44+N45+N46+N47+N48+N49+N50+N51+N52+N53+N55+N56+N57+N59+N60+N61+N62+N63+N65</f>
        <v>369730.37999999995</v>
      </c>
      <c r="O66" s="1569"/>
      <c r="P66" s="1569"/>
      <c r="Q66" s="1569"/>
      <c r="R66" s="1569"/>
      <c r="S66" s="1569"/>
      <c r="T66" s="383">
        <v>0</v>
      </c>
      <c r="U66" s="202">
        <f>SUM(U25:U63)</f>
        <v>0</v>
      </c>
      <c r="V66" s="462">
        <f t="shared" ref="V66:V77" si="3">SUM(C66:U66)</f>
        <v>1220063.1099999999</v>
      </c>
    </row>
    <row r="67" spans="1:22" ht="45" customHeight="1" x14ac:dyDescent="0.2">
      <c r="A67" s="460" t="s">
        <v>153</v>
      </c>
      <c r="B67" s="103" t="s">
        <v>275</v>
      </c>
      <c r="C67" s="358">
        <v>0</v>
      </c>
      <c r="D67" s="358"/>
      <c r="E67" s="358"/>
      <c r="F67" s="104">
        <v>0</v>
      </c>
      <c r="G67" s="380"/>
      <c r="H67" s="104">
        <v>0</v>
      </c>
      <c r="I67" s="104">
        <v>0</v>
      </c>
      <c r="J67" s="561">
        <v>0</v>
      </c>
      <c r="K67" s="561">
        <v>0</v>
      </c>
      <c r="L67" s="561">
        <v>0</v>
      </c>
      <c r="M67" s="561">
        <v>0</v>
      </c>
      <c r="N67" s="1560">
        <v>0</v>
      </c>
      <c r="O67" s="1561"/>
      <c r="P67" s="1561"/>
      <c r="Q67" s="1561"/>
      <c r="R67" s="1561"/>
      <c r="S67" s="1561"/>
      <c r="T67" s="101">
        <v>0</v>
      </c>
      <c r="U67" s="101">
        <f>+AMORTIZACION!H13</f>
        <v>401717.79</v>
      </c>
      <c r="V67" s="458">
        <f t="shared" si="3"/>
        <v>401717.79</v>
      </c>
    </row>
    <row r="68" spans="1:22" ht="45" customHeight="1" x14ac:dyDescent="0.2">
      <c r="A68" s="459">
        <v>55601</v>
      </c>
      <c r="B68" s="103" t="s">
        <v>329</v>
      </c>
      <c r="C68" s="200"/>
      <c r="D68" s="200"/>
      <c r="E68" s="200"/>
      <c r="F68" s="101"/>
      <c r="G68" s="559"/>
      <c r="H68" s="101">
        <f>+'0101 F.P DIRECCION Y ADM SUP'!H37</f>
        <v>36000</v>
      </c>
      <c r="I68" s="101">
        <v>0</v>
      </c>
      <c r="J68" s="561">
        <v>0</v>
      </c>
      <c r="K68" s="561">
        <v>0</v>
      </c>
      <c r="L68" s="561">
        <v>0</v>
      </c>
      <c r="M68" s="561">
        <v>0</v>
      </c>
      <c r="N68" s="1560">
        <v>0</v>
      </c>
      <c r="O68" s="1561"/>
      <c r="P68" s="1561"/>
      <c r="Q68" s="1561"/>
      <c r="R68" s="1561"/>
      <c r="S68" s="1561"/>
      <c r="T68" s="381">
        <v>0</v>
      </c>
      <c r="U68" s="101"/>
      <c r="V68" s="458">
        <f t="shared" si="3"/>
        <v>36000</v>
      </c>
    </row>
    <row r="69" spans="1:22" ht="45" customHeight="1" x14ac:dyDescent="0.2">
      <c r="A69" s="459">
        <v>55602</v>
      </c>
      <c r="B69" s="103" t="s">
        <v>154</v>
      </c>
      <c r="C69" s="200"/>
      <c r="D69" s="200"/>
      <c r="E69" s="200"/>
      <c r="F69" s="101"/>
      <c r="G69" s="380"/>
      <c r="H69" s="101">
        <f>+'0101 F.P DIRECCION Y ADM SUP'!H38</f>
        <v>15890.88</v>
      </c>
      <c r="I69" s="101"/>
      <c r="J69" s="561">
        <v>0</v>
      </c>
      <c r="K69" s="561">
        <v>0</v>
      </c>
      <c r="L69" s="561">
        <v>0</v>
      </c>
      <c r="M69" s="561">
        <v>0</v>
      </c>
      <c r="N69" s="1560">
        <v>0</v>
      </c>
      <c r="O69" s="1561"/>
      <c r="P69" s="1561"/>
      <c r="Q69" s="1561"/>
      <c r="R69" s="1561"/>
      <c r="S69" s="1561"/>
      <c r="T69" s="101">
        <v>0</v>
      </c>
      <c r="U69" s="101">
        <v>0</v>
      </c>
      <c r="V69" s="458">
        <f t="shared" si="3"/>
        <v>15890.88</v>
      </c>
    </row>
    <row r="70" spans="1:22" ht="45" customHeight="1" x14ac:dyDescent="0.2">
      <c r="A70" s="459">
        <v>55603</v>
      </c>
      <c r="B70" s="103" t="s">
        <v>155</v>
      </c>
      <c r="C70" s="200">
        <v>0</v>
      </c>
      <c r="D70" s="200">
        <f>+'1.5% LIBRE DISPONIBILIDAD 2024'!H42</f>
        <v>500</v>
      </c>
      <c r="E70" s="200"/>
      <c r="F70" s="101">
        <v>0</v>
      </c>
      <c r="G70" s="380"/>
      <c r="H70" s="101">
        <v>0</v>
      </c>
      <c r="I70" s="101">
        <f>+'0102 F.P.AD.FINANC Y TRIBUTARIA'!H22</f>
        <v>500</v>
      </c>
      <c r="J70" s="561">
        <v>0</v>
      </c>
      <c r="K70" s="561">
        <v>0</v>
      </c>
      <c r="L70" s="561">
        <v>0</v>
      </c>
      <c r="M70" s="561">
        <v>0</v>
      </c>
      <c r="N70" s="1560">
        <v>0</v>
      </c>
      <c r="O70" s="1561"/>
      <c r="P70" s="1561"/>
      <c r="Q70" s="1561"/>
      <c r="R70" s="1561"/>
      <c r="S70" s="1561"/>
      <c r="T70" s="101">
        <v>0</v>
      </c>
      <c r="U70" s="101">
        <v>0</v>
      </c>
      <c r="V70" s="458">
        <f t="shared" si="3"/>
        <v>1000</v>
      </c>
    </row>
    <row r="71" spans="1:22" ht="45" customHeight="1" x14ac:dyDescent="0.2">
      <c r="A71" s="459">
        <v>55703</v>
      </c>
      <c r="B71" s="103" t="s">
        <v>436</v>
      </c>
      <c r="C71" s="200">
        <v>0</v>
      </c>
      <c r="D71" s="200"/>
      <c r="E71" s="200"/>
      <c r="F71" s="101">
        <v>0</v>
      </c>
      <c r="G71" s="559"/>
      <c r="H71" s="101">
        <f>+'0101 F.P DIRECCION Y ADM SUP'!H39</f>
        <v>500</v>
      </c>
      <c r="I71" s="101">
        <v>0</v>
      </c>
      <c r="J71" s="561">
        <v>0</v>
      </c>
      <c r="K71" s="561">
        <v>0</v>
      </c>
      <c r="L71" s="561">
        <v>0</v>
      </c>
      <c r="M71" s="561">
        <v>0</v>
      </c>
      <c r="N71" s="1560">
        <v>0</v>
      </c>
      <c r="O71" s="1561"/>
      <c r="P71" s="1561"/>
      <c r="Q71" s="1561"/>
      <c r="R71" s="1561"/>
      <c r="S71" s="1561"/>
      <c r="T71" s="381">
        <v>0</v>
      </c>
      <c r="U71" s="101"/>
      <c r="V71" s="458">
        <f t="shared" si="3"/>
        <v>500</v>
      </c>
    </row>
    <row r="72" spans="1:22" ht="45" customHeight="1" x14ac:dyDescent="0.2">
      <c r="A72" s="459">
        <v>55799</v>
      </c>
      <c r="B72" s="103" t="s">
        <v>298</v>
      </c>
      <c r="C72" s="200">
        <v>0</v>
      </c>
      <c r="D72" s="200"/>
      <c r="E72" s="200"/>
      <c r="F72" s="101"/>
      <c r="G72" s="380"/>
      <c r="H72" s="101">
        <f>+'0101 F.P DIRECCION Y ADM SUP'!H40</f>
        <v>1000</v>
      </c>
      <c r="I72" s="101">
        <v>0</v>
      </c>
      <c r="J72" s="561">
        <v>0</v>
      </c>
      <c r="K72" s="561">
        <v>0</v>
      </c>
      <c r="L72" s="561">
        <v>0</v>
      </c>
      <c r="M72" s="561">
        <v>0</v>
      </c>
      <c r="N72" s="1560">
        <v>0</v>
      </c>
      <c r="O72" s="1561"/>
      <c r="P72" s="1561"/>
      <c r="Q72" s="1561"/>
      <c r="R72" s="1561"/>
      <c r="S72" s="1561"/>
      <c r="T72" s="101">
        <v>0</v>
      </c>
      <c r="U72" s="101">
        <v>0</v>
      </c>
      <c r="V72" s="458">
        <f t="shared" si="3"/>
        <v>1000</v>
      </c>
    </row>
    <row r="73" spans="1:22" ht="45" customHeight="1" x14ac:dyDescent="0.25">
      <c r="A73" s="463"/>
      <c r="B73" s="404" t="s">
        <v>156</v>
      </c>
      <c r="C73" s="402">
        <f>SUM(C67:C72)</f>
        <v>0</v>
      </c>
      <c r="D73" s="402">
        <f>SUM(D67:D72)</f>
        <v>500</v>
      </c>
      <c r="E73" s="402">
        <f>SUM(E67:E72)</f>
        <v>0</v>
      </c>
      <c r="F73" s="202">
        <f t="shared" ref="F73:K73" si="4">SUM(F67:F72)</f>
        <v>0</v>
      </c>
      <c r="G73" s="202">
        <f t="shared" si="4"/>
        <v>0</v>
      </c>
      <c r="H73" s="202">
        <f t="shared" si="4"/>
        <v>53390.879999999997</v>
      </c>
      <c r="I73" s="202">
        <f t="shared" si="4"/>
        <v>500</v>
      </c>
      <c r="J73" s="202">
        <f t="shared" si="4"/>
        <v>0</v>
      </c>
      <c r="K73" s="202">
        <f t="shared" si="4"/>
        <v>0</v>
      </c>
      <c r="L73" s="202"/>
      <c r="M73" s="202">
        <f>SUM(M67:M72)</f>
        <v>0</v>
      </c>
      <c r="N73" s="1562">
        <f>+N67+N68+N69+N70+N72</f>
        <v>0</v>
      </c>
      <c r="O73" s="1563"/>
      <c r="P73" s="1563"/>
      <c r="Q73" s="1563"/>
      <c r="R73" s="1563"/>
      <c r="S73" s="1563"/>
      <c r="T73" s="382">
        <f>SUM(T67:T72)</f>
        <v>0</v>
      </c>
      <c r="U73" s="202">
        <f>SUM(U67:U72)</f>
        <v>401717.79</v>
      </c>
      <c r="V73" s="462">
        <f t="shared" si="3"/>
        <v>456108.67</v>
      </c>
    </row>
    <row r="74" spans="1:22" ht="45" customHeight="1" thickBot="1" x14ac:dyDescent="0.25">
      <c r="A74" s="1110">
        <v>56201</v>
      </c>
      <c r="B74" s="1111" t="s">
        <v>326</v>
      </c>
      <c r="C74" s="1113">
        <v>0</v>
      </c>
      <c r="D74" s="1113">
        <v>0</v>
      </c>
      <c r="E74" s="1113">
        <v>0</v>
      </c>
      <c r="F74" s="1113">
        <v>0</v>
      </c>
      <c r="G74" s="1125"/>
      <c r="H74" s="1113"/>
      <c r="I74" s="1113">
        <v>0</v>
      </c>
      <c r="J74" s="1115">
        <v>0</v>
      </c>
      <c r="K74" s="1115">
        <v>0</v>
      </c>
      <c r="L74" s="1115">
        <v>0</v>
      </c>
      <c r="M74" s="1115">
        <v>0</v>
      </c>
      <c r="N74" s="1564">
        <v>0</v>
      </c>
      <c r="O74" s="1565"/>
      <c r="P74" s="1565"/>
      <c r="Q74" s="1565"/>
      <c r="R74" s="1565"/>
      <c r="S74" s="1565"/>
      <c r="T74" s="1113">
        <v>0</v>
      </c>
      <c r="U74" s="1113">
        <v>0</v>
      </c>
      <c r="V74" s="1117">
        <f t="shared" si="3"/>
        <v>0</v>
      </c>
    </row>
    <row r="75" spans="1:22" ht="45" customHeight="1" thickBot="1" x14ac:dyDescent="0.25">
      <c r="A75" s="1118" t="s">
        <v>262</v>
      </c>
      <c r="B75" s="1119" t="s">
        <v>327</v>
      </c>
      <c r="C75" s="1121">
        <v>0</v>
      </c>
      <c r="D75" s="1121">
        <v>0</v>
      </c>
      <c r="E75" s="1121">
        <v>0</v>
      </c>
      <c r="F75" s="1121">
        <v>0</v>
      </c>
      <c r="G75" s="1122"/>
      <c r="H75" s="1121"/>
      <c r="I75" s="1121">
        <v>0</v>
      </c>
      <c r="J75" s="1123">
        <f>+'0201 F.P. BINESTAR SOCIAL'!H25</f>
        <v>10950</v>
      </c>
      <c r="K75" s="1123">
        <v>0</v>
      </c>
      <c r="L75" s="1123">
        <v>0</v>
      </c>
      <c r="M75" s="1123">
        <v>0</v>
      </c>
      <c r="N75" s="1566">
        <f>+'PROG-FAM'!C63</f>
        <v>12750</v>
      </c>
      <c r="O75" s="1567"/>
      <c r="P75" s="1567"/>
      <c r="Q75" s="1567"/>
      <c r="R75" s="1567"/>
      <c r="S75" s="1567"/>
      <c r="T75" s="1121">
        <v>0</v>
      </c>
      <c r="U75" s="1121">
        <v>0</v>
      </c>
      <c r="V75" s="1117">
        <f t="shared" si="3"/>
        <v>23700</v>
      </c>
    </row>
    <row r="76" spans="1:22" ht="45" customHeight="1" thickBot="1" x14ac:dyDescent="0.25">
      <c r="A76" s="460" t="s">
        <v>263</v>
      </c>
      <c r="B76" s="103" t="s">
        <v>299</v>
      </c>
      <c r="C76" s="101">
        <v>0</v>
      </c>
      <c r="D76" s="101">
        <v>0</v>
      </c>
      <c r="E76" s="101">
        <v>0</v>
      </c>
      <c r="F76" s="101">
        <f>+CBI!H14</f>
        <v>7800</v>
      </c>
      <c r="G76" s="380"/>
      <c r="H76" s="101"/>
      <c r="I76" s="101">
        <v>0</v>
      </c>
      <c r="J76" s="560">
        <f>+'0201 F.P. BINESTAR SOCIAL'!H26</f>
        <v>500</v>
      </c>
      <c r="K76" s="560">
        <v>0</v>
      </c>
      <c r="L76" s="560">
        <v>0</v>
      </c>
      <c r="M76" s="560">
        <v>0</v>
      </c>
      <c r="N76" s="1560">
        <v>0</v>
      </c>
      <c r="O76" s="1561"/>
      <c r="P76" s="1561"/>
      <c r="Q76" s="1561"/>
      <c r="R76" s="1561"/>
      <c r="S76" s="1561"/>
      <c r="T76" s="101">
        <v>0</v>
      </c>
      <c r="U76" s="101">
        <v>0</v>
      </c>
      <c r="V76" s="1117">
        <f t="shared" si="3"/>
        <v>8300</v>
      </c>
    </row>
    <row r="77" spans="1:22" ht="45" customHeight="1" thickBot="1" x14ac:dyDescent="0.25">
      <c r="A77" s="460" t="s">
        <v>245</v>
      </c>
      <c r="B77" s="103" t="s">
        <v>246</v>
      </c>
      <c r="C77" s="101">
        <v>0</v>
      </c>
      <c r="D77" s="101">
        <v>0</v>
      </c>
      <c r="E77" s="101">
        <v>0</v>
      </c>
      <c r="F77" s="101">
        <v>0</v>
      </c>
      <c r="G77" s="380"/>
      <c r="H77" s="101"/>
      <c r="I77" s="101">
        <v>0</v>
      </c>
      <c r="J77" s="560">
        <v>0</v>
      </c>
      <c r="K77" s="560">
        <v>0</v>
      </c>
      <c r="L77" s="560">
        <v>0</v>
      </c>
      <c r="M77" s="560">
        <v>0</v>
      </c>
      <c r="N77" s="1560">
        <f>+'FUNCIONAMIENTO-FOND PROPIOS-FAM'!C66</f>
        <v>32400</v>
      </c>
      <c r="O77" s="1561"/>
      <c r="P77" s="1561"/>
      <c r="Q77" s="1561"/>
      <c r="R77" s="1561"/>
      <c r="S77" s="1561"/>
      <c r="T77" s="101">
        <v>0</v>
      </c>
      <c r="U77" s="101">
        <v>0</v>
      </c>
      <c r="V77" s="1117">
        <f t="shared" si="3"/>
        <v>32400</v>
      </c>
    </row>
    <row r="78" spans="1:22" ht="45" customHeight="1" x14ac:dyDescent="0.25">
      <c r="A78" s="464"/>
      <c r="B78" s="403" t="s">
        <v>157</v>
      </c>
      <c r="C78" s="402">
        <f t="shared" ref="C78:K78" si="5">SUM(C74:C77)</f>
        <v>0</v>
      </c>
      <c r="D78" s="402">
        <f t="shared" si="5"/>
        <v>0</v>
      </c>
      <c r="E78" s="402">
        <f t="shared" si="5"/>
        <v>0</v>
      </c>
      <c r="F78" s="402">
        <f t="shared" si="5"/>
        <v>7800</v>
      </c>
      <c r="G78" s="402">
        <f t="shared" si="5"/>
        <v>0</v>
      </c>
      <c r="H78" s="202">
        <f t="shared" si="5"/>
        <v>0</v>
      </c>
      <c r="I78" s="202">
        <f t="shared" si="5"/>
        <v>0</v>
      </c>
      <c r="J78" s="202">
        <f t="shared" si="5"/>
        <v>11450</v>
      </c>
      <c r="K78" s="202">
        <f t="shared" si="5"/>
        <v>0</v>
      </c>
      <c r="L78" s="202"/>
      <c r="M78" s="202">
        <f>SUM(M74:M77)</f>
        <v>0</v>
      </c>
      <c r="N78" s="1570">
        <f>+N74+N75+N76+N77</f>
        <v>45150</v>
      </c>
      <c r="O78" s="1571"/>
      <c r="P78" s="1571"/>
      <c r="Q78" s="1571"/>
      <c r="R78" s="1571"/>
      <c r="S78" s="1571"/>
      <c r="T78" s="202">
        <f>SUM(T74:T77)</f>
        <v>0</v>
      </c>
      <c r="U78" s="202">
        <f>SUM(U74:U77)</f>
        <v>0</v>
      </c>
      <c r="V78" s="462">
        <f t="shared" ref="V78:V104" si="6">SUM(C78:U78)</f>
        <v>64400</v>
      </c>
    </row>
    <row r="79" spans="1:22" ht="45" customHeight="1" x14ac:dyDescent="0.2">
      <c r="A79" s="460" t="s">
        <v>255</v>
      </c>
      <c r="B79" s="103" t="s">
        <v>313</v>
      </c>
      <c r="C79" s="101">
        <f>+'1.5% LIBRE DISPONIBILIDAD 2024'!H34</f>
        <v>0</v>
      </c>
      <c r="D79" s="101">
        <f>+'1.5% LIBRE DISPONIBILIDAD 2024'!H43</f>
        <v>10000</v>
      </c>
      <c r="E79" s="101">
        <v>0</v>
      </c>
      <c r="F79" s="101">
        <v>0</v>
      </c>
      <c r="G79" s="380">
        <v>0</v>
      </c>
      <c r="H79" s="101">
        <f>+'1.5% LIBRE DISPONIBILIDAD 2024'!H48</f>
        <v>0</v>
      </c>
      <c r="I79" s="101">
        <v>0</v>
      </c>
      <c r="J79" s="560">
        <v>0</v>
      </c>
      <c r="K79" s="560">
        <v>0</v>
      </c>
      <c r="L79" s="560">
        <v>0</v>
      </c>
      <c r="M79" s="560">
        <v>0</v>
      </c>
      <c r="N79" s="1560">
        <v>0</v>
      </c>
      <c r="O79" s="1561"/>
      <c r="P79" s="1561"/>
      <c r="Q79" s="1561"/>
      <c r="R79" s="1561"/>
      <c r="S79" s="1561"/>
      <c r="T79" s="101">
        <v>0</v>
      </c>
      <c r="U79" s="101">
        <v>0</v>
      </c>
      <c r="V79" s="458">
        <f t="shared" si="6"/>
        <v>10000</v>
      </c>
    </row>
    <row r="80" spans="1:22" ht="45" customHeight="1" x14ac:dyDescent="0.2">
      <c r="A80" s="460" t="s">
        <v>256</v>
      </c>
      <c r="B80" s="103" t="s">
        <v>314</v>
      </c>
      <c r="C80" s="101">
        <f>+'1.5% LIBRE DISPONIBILIDAD 2024'!H35</f>
        <v>15000</v>
      </c>
      <c r="D80" s="101">
        <v>0</v>
      </c>
      <c r="E80" s="101">
        <v>0</v>
      </c>
      <c r="F80" s="101">
        <v>0</v>
      </c>
      <c r="G80" s="380"/>
      <c r="H80" s="101">
        <v>0</v>
      </c>
      <c r="I80" s="101">
        <v>0</v>
      </c>
      <c r="J80" s="560">
        <v>0</v>
      </c>
      <c r="K80" s="560">
        <v>0</v>
      </c>
      <c r="L80" s="560">
        <v>0</v>
      </c>
      <c r="M80" s="560">
        <v>0</v>
      </c>
      <c r="N80" s="1560">
        <v>0</v>
      </c>
      <c r="O80" s="1561"/>
      <c r="P80" s="1561"/>
      <c r="Q80" s="1561"/>
      <c r="R80" s="1561"/>
      <c r="S80" s="1561"/>
      <c r="T80" s="101">
        <v>0</v>
      </c>
      <c r="U80" s="101">
        <v>0</v>
      </c>
      <c r="V80" s="458">
        <f t="shared" si="6"/>
        <v>15000</v>
      </c>
    </row>
    <row r="81" spans="1:27" ht="45" customHeight="1" x14ac:dyDescent="0.2">
      <c r="A81" s="460" t="s">
        <v>1141</v>
      </c>
      <c r="B81" s="103" t="s">
        <v>1142</v>
      </c>
      <c r="C81" s="101"/>
      <c r="D81" s="101"/>
      <c r="E81" s="101"/>
      <c r="F81" s="101"/>
      <c r="G81" s="380"/>
      <c r="H81" s="101"/>
      <c r="I81" s="101"/>
      <c r="J81" s="560">
        <f>+'0201 F.P. BINESTAR SOCIAL'!H27</f>
        <v>895</v>
      </c>
      <c r="K81" s="560"/>
      <c r="L81" s="560"/>
      <c r="M81" s="560"/>
      <c r="N81" s="378"/>
      <c r="O81" s="379"/>
      <c r="P81" s="379"/>
      <c r="Q81" s="379"/>
      <c r="R81" s="379"/>
      <c r="S81" s="379"/>
      <c r="T81" s="101"/>
      <c r="U81" s="101"/>
      <c r="V81" s="458">
        <f t="shared" si="6"/>
        <v>895</v>
      </c>
    </row>
    <row r="82" spans="1:27" ht="45" customHeight="1" x14ac:dyDescent="0.2">
      <c r="A82" s="460" t="s">
        <v>296</v>
      </c>
      <c r="B82" s="103" t="s">
        <v>297</v>
      </c>
      <c r="C82" s="101">
        <v>0</v>
      </c>
      <c r="D82" s="101">
        <v>0</v>
      </c>
      <c r="E82" s="101">
        <v>0</v>
      </c>
      <c r="F82" s="101">
        <v>0</v>
      </c>
      <c r="G82" s="380">
        <v>0</v>
      </c>
      <c r="H82" s="101">
        <v>0</v>
      </c>
      <c r="I82" s="101">
        <v>0</v>
      </c>
      <c r="J82" s="560">
        <v>0</v>
      </c>
      <c r="K82" s="560">
        <v>0</v>
      </c>
      <c r="L82" s="560">
        <v>0</v>
      </c>
      <c r="M82" s="560">
        <v>0</v>
      </c>
      <c r="N82" s="1560">
        <v>0</v>
      </c>
      <c r="O82" s="1561"/>
      <c r="P82" s="1561"/>
      <c r="Q82" s="1561"/>
      <c r="R82" s="1561"/>
      <c r="S82" s="1561"/>
      <c r="T82" s="101">
        <f>+PRESTAMO!C87</f>
        <v>96174.98</v>
      </c>
      <c r="U82" s="101">
        <v>0</v>
      </c>
      <c r="V82" s="458">
        <f t="shared" si="6"/>
        <v>96174.98</v>
      </c>
    </row>
    <row r="83" spans="1:27" ht="45" customHeight="1" x14ac:dyDescent="0.2">
      <c r="A83" s="460" t="s">
        <v>1052</v>
      </c>
      <c r="B83" s="103" t="s">
        <v>1053</v>
      </c>
      <c r="C83" s="101"/>
      <c r="D83" s="101"/>
      <c r="E83" s="101"/>
      <c r="F83" s="101"/>
      <c r="G83" s="380"/>
      <c r="H83" s="101"/>
      <c r="I83" s="101"/>
      <c r="J83" s="560"/>
      <c r="K83" s="560"/>
      <c r="L83" s="560"/>
      <c r="M83" s="560"/>
      <c r="N83" s="1560">
        <f>+'PROG-FAM'!C62</f>
        <v>10000</v>
      </c>
      <c r="O83" s="1561"/>
      <c r="P83" s="1561"/>
      <c r="Q83" s="1561"/>
      <c r="R83" s="1561"/>
      <c r="S83" s="1582"/>
      <c r="T83" s="101"/>
      <c r="U83" s="101"/>
      <c r="V83" s="458">
        <f t="shared" si="6"/>
        <v>10000</v>
      </c>
    </row>
    <row r="84" spans="1:27" ht="45" customHeight="1" x14ac:dyDescent="0.2">
      <c r="A84" s="460" t="s">
        <v>442</v>
      </c>
      <c r="B84" s="139" t="s">
        <v>443</v>
      </c>
      <c r="C84" s="101">
        <v>0</v>
      </c>
      <c r="D84" s="101">
        <v>0</v>
      </c>
      <c r="E84" s="101">
        <v>0</v>
      </c>
      <c r="F84" s="101">
        <v>0</v>
      </c>
      <c r="G84" s="380"/>
      <c r="H84" s="101"/>
      <c r="I84" s="101"/>
      <c r="J84" s="560">
        <v>0</v>
      </c>
      <c r="K84" s="560">
        <v>0</v>
      </c>
      <c r="L84" s="560">
        <v>0</v>
      </c>
      <c r="M84" s="560">
        <v>0</v>
      </c>
      <c r="N84" s="1560">
        <v>0</v>
      </c>
      <c r="O84" s="1561"/>
      <c r="P84" s="1561"/>
      <c r="Q84" s="1561"/>
      <c r="R84" s="1561"/>
      <c r="S84" s="1561"/>
      <c r="T84" s="101"/>
      <c r="U84" s="101"/>
      <c r="V84" s="458">
        <f t="shared" si="6"/>
        <v>0</v>
      </c>
    </row>
    <row r="85" spans="1:27" ht="45" customHeight="1" x14ac:dyDescent="0.2">
      <c r="A85" s="460" t="s">
        <v>295</v>
      </c>
      <c r="B85" s="103" t="s">
        <v>316</v>
      </c>
      <c r="C85" s="101">
        <v>0</v>
      </c>
      <c r="D85" s="101">
        <v>0</v>
      </c>
      <c r="E85" s="101">
        <v>0</v>
      </c>
      <c r="F85" s="101">
        <f>+CBI!H15</f>
        <v>2000</v>
      </c>
      <c r="G85" s="380"/>
      <c r="H85" s="101">
        <v>0</v>
      </c>
      <c r="I85" s="101">
        <v>0</v>
      </c>
      <c r="J85" s="560">
        <v>0</v>
      </c>
      <c r="K85" s="560">
        <v>0</v>
      </c>
      <c r="L85" s="560">
        <v>0</v>
      </c>
      <c r="M85" s="560">
        <v>0</v>
      </c>
      <c r="N85" s="1560">
        <v>0</v>
      </c>
      <c r="O85" s="1561"/>
      <c r="P85" s="1561"/>
      <c r="Q85" s="1561"/>
      <c r="R85" s="1561"/>
      <c r="S85" s="1561"/>
      <c r="T85" s="101">
        <v>0</v>
      </c>
      <c r="U85" s="101">
        <v>0</v>
      </c>
      <c r="V85" s="458">
        <f t="shared" si="6"/>
        <v>2000</v>
      </c>
    </row>
    <row r="86" spans="1:27" ht="45" customHeight="1" x14ac:dyDescent="0.2">
      <c r="A86" s="460" t="s">
        <v>257</v>
      </c>
      <c r="B86" s="103" t="s">
        <v>315</v>
      </c>
      <c r="C86" s="101">
        <f>+'1.5% LIBRE DISPONIBILIDAD 2024'!H36</f>
        <v>497</v>
      </c>
      <c r="D86" s="101">
        <v>0</v>
      </c>
      <c r="E86" s="101">
        <f>+'1.5% LIBRE DISPONIBILIDAD 2024'!H50</f>
        <v>1810</v>
      </c>
      <c r="F86" s="101">
        <v>0</v>
      </c>
      <c r="G86" s="380"/>
      <c r="H86" s="101">
        <f>+'0101 F.P DIRECCION Y ADM SUP'!H42</f>
        <v>12700</v>
      </c>
      <c r="I86" s="101">
        <v>0</v>
      </c>
      <c r="J86" s="560">
        <v>0</v>
      </c>
      <c r="K86" s="560">
        <v>0</v>
      </c>
      <c r="L86" s="560">
        <v>0</v>
      </c>
      <c r="M86" s="560">
        <v>0</v>
      </c>
      <c r="N86" s="1560">
        <v>0</v>
      </c>
      <c r="O86" s="1561"/>
      <c r="P86" s="1561"/>
      <c r="Q86" s="1561"/>
      <c r="R86" s="1561"/>
      <c r="S86" s="1561"/>
      <c r="T86" s="101">
        <v>0</v>
      </c>
      <c r="U86" s="101">
        <v>0</v>
      </c>
      <c r="V86" s="458">
        <f t="shared" si="6"/>
        <v>15007</v>
      </c>
    </row>
    <row r="87" spans="1:27" ht="45" customHeight="1" x14ac:dyDescent="0.2">
      <c r="A87" s="460" t="s">
        <v>362</v>
      </c>
      <c r="B87" s="103" t="s">
        <v>210</v>
      </c>
      <c r="C87" s="101">
        <v>0</v>
      </c>
      <c r="D87" s="101">
        <v>0</v>
      </c>
      <c r="E87" s="101">
        <v>0</v>
      </c>
      <c r="F87" s="101"/>
      <c r="G87" s="380"/>
      <c r="H87" s="101"/>
      <c r="I87" s="101"/>
      <c r="J87" s="560">
        <v>0</v>
      </c>
      <c r="K87" s="560">
        <v>0</v>
      </c>
      <c r="L87" s="560">
        <v>0</v>
      </c>
      <c r="M87" s="560">
        <v>0</v>
      </c>
      <c r="N87" s="1560">
        <v>0</v>
      </c>
      <c r="O87" s="1561"/>
      <c r="P87" s="1561"/>
      <c r="Q87" s="1561"/>
      <c r="R87" s="1561"/>
      <c r="S87" s="1561"/>
      <c r="T87" s="101">
        <v>0</v>
      </c>
      <c r="U87" s="101">
        <v>0</v>
      </c>
      <c r="V87" s="458">
        <f t="shared" si="6"/>
        <v>0</v>
      </c>
    </row>
    <row r="88" spans="1:27" ht="45" customHeight="1" x14ac:dyDescent="0.2">
      <c r="A88" s="460" t="s">
        <v>434</v>
      </c>
      <c r="B88" s="103" t="s">
        <v>437</v>
      </c>
      <c r="C88" s="101">
        <v>0</v>
      </c>
      <c r="D88" s="101">
        <v>0</v>
      </c>
      <c r="E88" s="101">
        <v>0</v>
      </c>
      <c r="F88" s="101">
        <v>0</v>
      </c>
      <c r="G88" s="380"/>
      <c r="H88" s="101">
        <v>0</v>
      </c>
      <c r="I88" s="101">
        <v>0</v>
      </c>
      <c r="J88" s="560">
        <v>0</v>
      </c>
      <c r="K88" s="560">
        <v>0</v>
      </c>
      <c r="L88" s="560">
        <v>0</v>
      </c>
      <c r="M88" s="560">
        <v>0</v>
      </c>
      <c r="N88" s="1560">
        <v>0</v>
      </c>
      <c r="O88" s="1561"/>
      <c r="P88" s="1561"/>
      <c r="Q88" s="1561"/>
      <c r="R88" s="1561"/>
      <c r="S88" s="1561"/>
      <c r="T88" s="101"/>
      <c r="U88" s="101"/>
      <c r="V88" s="458">
        <f t="shared" si="6"/>
        <v>0</v>
      </c>
    </row>
    <row r="89" spans="1:27" ht="45" customHeight="1" x14ac:dyDescent="0.2">
      <c r="A89" s="460" t="s">
        <v>893</v>
      </c>
      <c r="B89" s="103" t="s">
        <v>954</v>
      </c>
      <c r="C89" s="101">
        <v>0</v>
      </c>
      <c r="D89" s="101">
        <v>0</v>
      </c>
      <c r="E89" s="101">
        <v>0</v>
      </c>
      <c r="F89" s="101">
        <v>0</v>
      </c>
      <c r="G89" s="380"/>
      <c r="H89" s="101">
        <f>+'0101 F.P DIRECCION Y ADM SUP'!H43</f>
        <v>5426.4</v>
      </c>
      <c r="I89" s="101"/>
      <c r="J89" s="560">
        <v>0</v>
      </c>
      <c r="K89" s="560">
        <v>0</v>
      </c>
      <c r="L89" s="560">
        <v>0</v>
      </c>
      <c r="M89" s="560">
        <v>0</v>
      </c>
      <c r="N89" s="1560">
        <v>0</v>
      </c>
      <c r="O89" s="1561"/>
      <c r="P89" s="1561"/>
      <c r="Q89" s="1561"/>
      <c r="R89" s="1561"/>
      <c r="S89" s="1561"/>
      <c r="T89" s="101"/>
      <c r="U89" s="101"/>
      <c r="V89" s="458">
        <f t="shared" si="6"/>
        <v>5426.4</v>
      </c>
    </row>
    <row r="90" spans="1:27" ht="45" customHeight="1" x14ac:dyDescent="0.2">
      <c r="A90" s="460" t="s">
        <v>379</v>
      </c>
      <c r="B90" s="103" t="s">
        <v>380</v>
      </c>
      <c r="C90" s="101">
        <v>0</v>
      </c>
      <c r="D90" s="101">
        <v>0</v>
      </c>
      <c r="E90" s="101">
        <v>0</v>
      </c>
      <c r="F90" s="101">
        <v>0</v>
      </c>
      <c r="G90" s="380"/>
      <c r="H90" s="101">
        <v>0</v>
      </c>
      <c r="I90" s="101">
        <v>0</v>
      </c>
      <c r="J90" s="560">
        <v>0</v>
      </c>
      <c r="K90" s="560">
        <v>0</v>
      </c>
      <c r="L90" s="560">
        <v>0</v>
      </c>
      <c r="M90" s="560">
        <v>0</v>
      </c>
      <c r="N90" s="1560">
        <v>0</v>
      </c>
      <c r="O90" s="1561"/>
      <c r="P90" s="1561"/>
      <c r="Q90" s="1561"/>
      <c r="R90" s="1561"/>
      <c r="S90" s="1561"/>
      <c r="T90" s="101">
        <v>0</v>
      </c>
      <c r="U90" s="101"/>
      <c r="V90" s="458">
        <f t="shared" si="6"/>
        <v>0</v>
      </c>
    </row>
    <row r="91" spans="1:27" ht="45" customHeight="1" x14ac:dyDescent="0.2">
      <c r="A91" s="457" t="s">
        <v>164</v>
      </c>
      <c r="B91" s="103" t="s">
        <v>285</v>
      </c>
      <c r="C91" s="101">
        <v>0</v>
      </c>
      <c r="D91" s="101">
        <v>0</v>
      </c>
      <c r="E91" s="101">
        <v>0</v>
      </c>
      <c r="F91" s="101">
        <v>0</v>
      </c>
      <c r="G91" s="101">
        <v>0</v>
      </c>
      <c r="H91" s="104">
        <v>0</v>
      </c>
      <c r="I91" s="104">
        <v>0</v>
      </c>
      <c r="J91" s="560">
        <v>0</v>
      </c>
      <c r="K91" s="560">
        <v>0</v>
      </c>
      <c r="L91" s="560">
        <v>0</v>
      </c>
      <c r="M91" s="560">
        <v>0</v>
      </c>
      <c r="N91" s="1560">
        <v>0</v>
      </c>
      <c r="O91" s="1561"/>
      <c r="P91" s="1561"/>
      <c r="Q91" s="1561"/>
      <c r="R91" s="1561"/>
      <c r="S91" s="1561"/>
      <c r="T91" s="101">
        <v>0</v>
      </c>
      <c r="U91" s="101">
        <v>0</v>
      </c>
      <c r="V91" s="458">
        <f t="shared" si="6"/>
        <v>0</v>
      </c>
    </row>
    <row r="92" spans="1:27" ht="45" customHeight="1" x14ac:dyDescent="0.2">
      <c r="A92" s="457" t="s">
        <v>158</v>
      </c>
      <c r="B92" s="103" t="s">
        <v>211</v>
      </c>
      <c r="C92" s="101">
        <v>0</v>
      </c>
      <c r="D92" s="101">
        <v>0</v>
      </c>
      <c r="E92" s="101">
        <v>0</v>
      </c>
      <c r="F92" s="101">
        <v>0</v>
      </c>
      <c r="G92" s="101">
        <v>0</v>
      </c>
      <c r="H92" s="104">
        <v>0</v>
      </c>
      <c r="I92" s="104">
        <v>0</v>
      </c>
      <c r="J92" s="560">
        <v>0</v>
      </c>
      <c r="K92" s="560">
        <v>0</v>
      </c>
      <c r="L92" s="560">
        <v>0</v>
      </c>
      <c r="M92" s="560">
        <v>0</v>
      </c>
      <c r="N92" s="1560">
        <v>0</v>
      </c>
      <c r="O92" s="1561"/>
      <c r="P92" s="1561"/>
      <c r="Q92" s="1561"/>
      <c r="R92" s="1561"/>
      <c r="S92" s="1561"/>
      <c r="T92" s="376">
        <f>+PRESTAMO!C81</f>
        <v>1341624.1900000004</v>
      </c>
      <c r="U92" s="101">
        <v>0</v>
      </c>
      <c r="V92" s="458">
        <f t="shared" si="6"/>
        <v>1341624.1900000004</v>
      </c>
    </row>
    <row r="93" spans="1:27" ht="45" customHeight="1" x14ac:dyDescent="0.2">
      <c r="A93" s="457" t="s">
        <v>279</v>
      </c>
      <c r="B93" s="103" t="s">
        <v>212</v>
      </c>
      <c r="C93" s="101">
        <v>0</v>
      </c>
      <c r="D93" s="101">
        <v>0</v>
      </c>
      <c r="E93" s="101">
        <v>0</v>
      </c>
      <c r="F93" s="101">
        <v>0</v>
      </c>
      <c r="G93" s="101">
        <v>0</v>
      </c>
      <c r="H93" s="104">
        <v>0</v>
      </c>
      <c r="I93" s="104">
        <v>0</v>
      </c>
      <c r="J93" s="560">
        <v>0</v>
      </c>
      <c r="K93" s="560">
        <v>0</v>
      </c>
      <c r="L93" s="560">
        <v>0</v>
      </c>
      <c r="M93" s="560">
        <v>0</v>
      </c>
      <c r="N93" s="1560">
        <v>0</v>
      </c>
      <c r="O93" s="1561"/>
      <c r="P93" s="1561"/>
      <c r="Q93" s="1561"/>
      <c r="R93" s="1561"/>
      <c r="S93" s="1561"/>
      <c r="T93" s="101">
        <f>+PRESTAMO!C82</f>
        <v>1107970.83</v>
      </c>
      <c r="U93" s="101">
        <v>0</v>
      </c>
      <c r="V93" s="458">
        <f t="shared" si="6"/>
        <v>1107970.83</v>
      </c>
    </row>
    <row r="94" spans="1:27" ht="45" customHeight="1" x14ac:dyDescent="0.2">
      <c r="A94" s="457" t="s">
        <v>159</v>
      </c>
      <c r="B94" s="103" t="s">
        <v>247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  <c r="H94" s="104">
        <v>0</v>
      </c>
      <c r="I94" s="104">
        <v>0</v>
      </c>
      <c r="J94" s="560">
        <v>0</v>
      </c>
      <c r="K94" s="560">
        <v>0</v>
      </c>
      <c r="L94" s="560">
        <v>0</v>
      </c>
      <c r="M94" s="560">
        <v>0</v>
      </c>
      <c r="N94" s="1560">
        <v>0</v>
      </c>
      <c r="O94" s="1561"/>
      <c r="P94" s="1561"/>
      <c r="Q94" s="1561"/>
      <c r="R94" s="1561"/>
      <c r="S94" s="1561"/>
      <c r="T94" s="381">
        <f>+PRESTAMO!C83</f>
        <v>725854.53</v>
      </c>
      <c r="U94" s="101">
        <v>0</v>
      </c>
      <c r="V94" s="458">
        <f t="shared" si="6"/>
        <v>725854.53</v>
      </c>
    </row>
    <row r="95" spans="1:27" ht="45" customHeight="1" thickBot="1" x14ac:dyDescent="0.25">
      <c r="A95" s="1126" t="s">
        <v>321</v>
      </c>
      <c r="B95" s="1111" t="s">
        <v>330</v>
      </c>
      <c r="C95" s="1113">
        <v>0</v>
      </c>
      <c r="D95" s="1113">
        <v>0</v>
      </c>
      <c r="E95" s="1113">
        <v>0</v>
      </c>
      <c r="F95" s="1113">
        <v>0</v>
      </c>
      <c r="G95" s="1113">
        <v>0</v>
      </c>
      <c r="H95" s="1127">
        <v>0</v>
      </c>
      <c r="I95" s="1127">
        <v>0</v>
      </c>
      <c r="J95" s="1115">
        <v>0</v>
      </c>
      <c r="K95" s="1115">
        <v>0</v>
      </c>
      <c r="L95" s="1115">
        <v>0</v>
      </c>
      <c r="M95" s="1115">
        <v>0</v>
      </c>
      <c r="N95" s="1564"/>
      <c r="O95" s="1565"/>
      <c r="P95" s="1565"/>
      <c r="Q95" s="1565"/>
      <c r="R95" s="1565"/>
      <c r="S95" s="1565"/>
      <c r="T95" s="1113">
        <f>+PRESTAMO!C88</f>
        <v>688.34</v>
      </c>
      <c r="U95" s="1113">
        <v>0</v>
      </c>
      <c r="V95" s="458">
        <f t="shared" si="6"/>
        <v>688.34</v>
      </c>
    </row>
    <row r="96" spans="1:27" ht="45" customHeight="1" x14ac:dyDescent="0.2">
      <c r="A96" s="1128" t="s">
        <v>162</v>
      </c>
      <c r="B96" s="1119" t="s">
        <v>248</v>
      </c>
      <c r="C96" s="1121">
        <v>0</v>
      </c>
      <c r="D96" s="1121">
        <v>0</v>
      </c>
      <c r="E96" s="1121">
        <v>0</v>
      </c>
      <c r="F96" s="1121">
        <v>0</v>
      </c>
      <c r="G96" s="1121">
        <v>0</v>
      </c>
      <c r="H96" s="1129">
        <v>0</v>
      </c>
      <c r="I96" s="1129">
        <v>0</v>
      </c>
      <c r="J96" s="1123">
        <v>0</v>
      </c>
      <c r="K96" s="1123">
        <v>0</v>
      </c>
      <c r="L96" s="1123">
        <v>0</v>
      </c>
      <c r="M96" s="1123">
        <v>0</v>
      </c>
      <c r="N96" s="1566"/>
      <c r="O96" s="1567"/>
      <c r="P96" s="1567"/>
      <c r="Q96" s="1567"/>
      <c r="R96" s="1567"/>
      <c r="S96" s="1567"/>
      <c r="T96" s="1130">
        <f>+PRESTAMO!C84</f>
        <v>952244.75</v>
      </c>
      <c r="U96" s="1121">
        <v>0</v>
      </c>
      <c r="V96" s="458">
        <f t="shared" si="6"/>
        <v>952244.75</v>
      </c>
      <c r="Z96" s="98"/>
      <c r="AA96" s="99"/>
    </row>
    <row r="97" spans="1:22" ht="45" customHeight="1" x14ac:dyDescent="0.2">
      <c r="A97" s="465" t="s">
        <v>163</v>
      </c>
      <c r="B97" s="103" t="s">
        <v>249</v>
      </c>
      <c r="C97" s="101">
        <v>0</v>
      </c>
      <c r="D97" s="101">
        <v>0</v>
      </c>
      <c r="E97" s="101">
        <v>0</v>
      </c>
      <c r="F97" s="101">
        <v>0</v>
      </c>
      <c r="G97" s="101">
        <v>0</v>
      </c>
      <c r="H97" s="104">
        <v>0</v>
      </c>
      <c r="I97" s="104">
        <v>0</v>
      </c>
      <c r="J97" s="560">
        <v>0</v>
      </c>
      <c r="K97" s="560">
        <v>0</v>
      </c>
      <c r="L97" s="560">
        <v>0</v>
      </c>
      <c r="M97" s="560">
        <v>0</v>
      </c>
      <c r="N97" s="1560"/>
      <c r="O97" s="1561"/>
      <c r="P97" s="1561"/>
      <c r="Q97" s="1561"/>
      <c r="R97" s="1561"/>
      <c r="S97" s="1561"/>
      <c r="T97" s="101">
        <f>+PRESTAMO!C85</f>
        <v>277621.78000000003</v>
      </c>
      <c r="U97" s="101">
        <v>0</v>
      </c>
      <c r="V97" s="458">
        <f t="shared" si="6"/>
        <v>277621.78000000003</v>
      </c>
    </row>
    <row r="98" spans="1:22" ht="45" customHeight="1" x14ac:dyDescent="0.2">
      <c r="A98" s="465" t="s">
        <v>160</v>
      </c>
      <c r="B98" s="103" t="s">
        <v>251</v>
      </c>
      <c r="C98" s="101">
        <v>0</v>
      </c>
      <c r="D98" s="101">
        <v>0</v>
      </c>
      <c r="E98" s="101">
        <v>0</v>
      </c>
      <c r="F98" s="104">
        <v>0</v>
      </c>
      <c r="G98" s="559">
        <v>0</v>
      </c>
      <c r="H98" s="104">
        <v>0</v>
      </c>
      <c r="I98" s="104">
        <v>0</v>
      </c>
      <c r="J98" s="560">
        <v>0</v>
      </c>
      <c r="K98" s="560">
        <v>0</v>
      </c>
      <c r="L98" s="560">
        <v>0</v>
      </c>
      <c r="M98" s="560">
        <v>0</v>
      </c>
      <c r="N98" s="1560">
        <v>0</v>
      </c>
      <c r="O98" s="1561"/>
      <c r="P98" s="1561"/>
      <c r="Q98" s="1561"/>
      <c r="R98" s="1561"/>
      <c r="S98" s="1561"/>
      <c r="T98" s="381">
        <f>+PRESTAMO!C86</f>
        <v>949788.2300000001</v>
      </c>
      <c r="U98" s="101">
        <v>0</v>
      </c>
      <c r="V98" s="458">
        <f t="shared" si="6"/>
        <v>949788.2300000001</v>
      </c>
    </row>
    <row r="99" spans="1:22" ht="45" customHeight="1" x14ac:dyDescent="0.25">
      <c r="A99" s="466"/>
      <c r="B99" s="403" t="s">
        <v>165</v>
      </c>
      <c r="C99" s="402">
        <f t="shared" ref="C99:M99" si="7">SUM(C79:C98)</f>
        <v>15497</v>
      </c>
      <c r="D99" s="402">
        <f t="shared" si="7"/>
        <v>10000</v>
      </c>
      <c r="E99" s="402">
        <f t="shared" si="7"/>
        <v>1810</v>
      </c>
      <c r="F99" s="202">
        <f t="shared" si="7"/>
        <v>2000</v>
      </c>
      <c r="G99" s="202">
        <f t="shared" si="7"/>
        <v>0</v>
      </c>
      <c r="H99" s="202">
        <f t="shared" si="7"/>
        <v>18126.400000000001</v>
      </c>
      <c r="I99" s="202">
        <f t="shared" si="7"/>
        <v>0</v>
      </c>
      <c r="J99" s="202">
        <f t="shared" si="7"/>
        <v>895</v>
      </c>
      <c r="K99" s="202">
        <f t="shared" si="7"/>
        <v>0</v>
      </c>
      <c r="L99" s="202">
        <f t="shared" si="7"/>
        <v>0</v>
      </c>
      <c r="M99" s="202">
        <f t="shared" si="7"/>
        <v>0</v>
      </c>
      <c r="N99" s="1580">
        <f>+N83</f>
        <v>10000</v>
      </c>
      <c r="O99" s="1581"/>
      <c r="P99" s="1581"/>
      <c r="Q99" s="1581"/>
      <c r="R99" s="1581"/>
      <c r="S99" s="1581"/>
      <c r="T99" s="202">
        <f>SUM(T79:T98)</f>
        <v>5451967.6300000008</v>
      </c>
      <c r="U99" s="202">
        <f>SUM(U79:U98)</f>
        <v>0</v>
      </c>
      <c r="V99" s="462">
        <f t="shared" si="6"/>
        <v>5510296.0300000012</v>
      </c>
    </row>
    <row r="100" spans="1:22" ht="45" customHeight="1" x14ac:dyDescent="0.2">
      <c r="A100" s="465" t="s">
        <v>166</v>
      </c>
      <c r="B100" s="103" t="s">
        <v>276</v>
      </c>
      <c r="C100" s="200">
        <v>0</v>
      </c>
      <c r="D100" s="200"/>
      <c r="E100" s="200"/>
      <c r="F100" s="101">
        <v>0</v>
      </c>
      <c r="G100" s="558"/>
      <c r="H100" s="101">
        <v>0</v>
      </c>
      <c r="I100" s="101">
        <v>0</v>
      </c>
      <c r="J100" s="560">
        <v>0</v>
      </c>
      <c r="K100" s="560">
        <v>0</v>
      </c>
      <c r="L100" s="560">
        <v>0</v>
      </c>
      <c r="M100" s="560">
        <v>0</v>
      </c>
      <c r="N100" s="1560"/>
      <c r="O100" s="1561"/>
      <c r="P100" s="1561"/>
      <c r="Q100" s="1561"/>
      <c r="R100" s="1561"/>
      <c r="S100" s="1561"/>
      <c r="T100" s="384">
        <v>0</v>
      </c>
      <c r="U100" s="200">
        <f>+AMORTIZACION!H12</f>
        <v>785389.57</v>
      </c>
      <c r="V100" s="458">
        <f t="shared" si="6"/>
        <v>785389.57</v>
      </c>
    </row>
    <row r="101" spans="1:22" ht="45" customHeight="1" x14ac:dyDescent="0.2">
      <c r="A101" s="465" t="s">
        <v>284</v>
      </c>
      <c r="B101" s="198" t="s">
        <v>103</v>
      </c>
      <c r="C101" s="200">
        <v>0</v>
      </c>
      <c r="D101" s="200"/>
      <c r="E101" s="200"/>
      <c r="F101" s="101">
        <v>0</v>
      </c>
      <c r="G101" s="380"/>
      <c r="H101" s="101">
        <v>0</v>
      </c>
      <c r="I101" s="101">
        <v>0</v>
      </c>
      <c r="J101" s="560">
        <v>0</v>
      </c>
      <c r="K101" s="560">
        <v>0</v>
      </c>
      <c r="L101" s="560">
        <v>0</v>
      </c>
      <c r="M101" s="560">
        <v>0</v>
      </c>
      <c r="N101" s="1560"/>
      <c r="O101" s="1561"/>
      <c r="P101" s="1561"/>
      <c r="Q101" s="1561"/>
      <c r="R101" s="1561"/>
      <c r="S101" s="1561"/>
      <c r="T101" s="200">
        <v>0</v>
      </c>
      <c r="U101" s="200"/>
      <c r="V101" s="458">
        <f t="shared" si="6"/>
        <v>0</v>
      </c>
    </row>
    <row r="102" spans="1:22" ht="45" customHeight="1" x14ac:dyDescent="0.25">
      <c r="A102" s="466"/>
      <c r="B102" s="405" t="s">
        <v>250</v>
      </c>
      <c r="C102" s="402">
        <f>SUM(C100:C101)</f>
        <v>0</v>
      </c>
      <c r="D102" s="402"/>
      <c r="E102" s="402"/>
      <c r="F102" s="402">
        <f>SUM(F100:F101)</f>
        <v>0</v>
      </c>
      <c r="G102" s="555"/>
      <c r="H102" s="202">
        <f>SUM(H100:H101)</f>
        <v>0</v>
      </c>
      <c r="I102" s="202">
        <f>SUM(I100:I101)</f>
        <v>0</v>
      </c>
      <c r="J102" s="202">
        <f>SUM(J100:J101)</f>
        <v>0</v>
      </c>
      <c r="K102" s="202">
        <f>SUM(K100:K101)</f>
        <v>0</v>
      </c>
      <c r="L102" s="202"/>
      <c r="M102" s="202">
        <f>SUM(M100:M101)</f>
        <v>0</v>
      </c>
      <c r="N102" s="1580">
        <f>SUM(N100:N101)</f>
        <v>0</v>
      </c>
      <c r="O102" s="1581"/>
      <c r="P102" s="1581"/>
      <c r="Q102" s="1581"/>
      <c r="R102" s="1581"/>
      <c r="S102" s="1581"/>
      <c r="T102" s="202">
        <f>SUM(T100:T101)</f>
        <v>0</v>
      </c>
      <c r="U102" s="202">
        <f>SUM(U100:U101)</f>
        <v>785389.57</v>
      </c>
      <c r="V102" s="462">
        <f t="shared" si="6"/>
        <v>785389.57</v>
      </c>
    </row>
    <row r="103" spans="1:22" ht="45" customHeight="1" x14ac:dyDescent="0.2">
      <c r="A103" s="465" t="s">
        <v>167</v>
      </c>
      <c r="B103" s="103" t="s">
        <v>188</v>
      </c>
      <c r="C103" s="200">
        <f>+'FUNCIONAMIENTO-FOND PROPIOS-FAM'!D78</f>
        <v>76730.03</v>
      </c>
      <c r="D103" s="200"/>
      <c r="E103" s="200"/>
      <c r="F103" s="101">
        <v>0</v>
      </c>
      <c r="G103" s="380"/>
      <c r="H103" s="101">
        <f>+'0101 F.P DIRECCION Y ADM SUP'!H45</f>
        <v>232317.26</v>
      </c>
      <c r="I103" s="101">
        <v>0</v>
      </c>
      <c r="J103" s="560">
        <v>0</v>
      </c>
      <c r="K103" s="560">
        <v>0</v>
      </c>
      <c r="L103" s="560">
        <v>0</v>
      </c>
      <c r="M103" s="560">
        <v>0</v>
      </c>
      <c r="N103" s="1560">
        <f>+'FUNCIONAMIENTO-FOND PROPIOS-FAM'!C78</f>
        <v>29811.15</v>
      </c>
      <c r="O103" s="1561"/>
      <c r="P103" s="1561"/>
      <c r="Q103" s="1561"/>
      <c r="R103" s="1561"/>
      <c r="S103" s="1561"/>
      <c r="T103" s="200">
        <f>+PRESTAMO!C89</f>
        <v>0</v>
      </c>
      <c r="U103" s="200">
        <v>0</v>
      </c>
      <c r="V103" s="458">
        <f t="shared" si="6"/>
        <v>338858.44000000006</v>
      </c>
    </row>
    <row r="104" spans="1:22" ht="45" customHeight="1" x14ac:dyDescent="0.25">
      <c r="A104" s="467"/>
      <c r="B104" s="405" t="s">
        <v>168</v>
      </c>
      <c r="C104" s="402">
        <f t="shared" ref="C104:M104" si="8">SUM(C103)</f>
        <v>76730.03</v>
      </c>
      <c r="D104" s="402">
        <f t="shared" si="8"/>
        <v>0</v>
      </c>
      <c r="E104" s="402">
        <f t="shared" si="8"/>
        <v>0</v>
      </c>
      <c r="F104" s="402">
        <f t="shared" si="8"/>
        <v>0</v>
      </c>
      <c r="G104" s="402">
        <f t="shared" si="8"/>
        <v>0</v>
      </c>
      <c r="H104" s="202">
        <f t="shared" si="8"/>
        <v>232317.26</v>
      </c>
      <c r="I104" s="202">
        <f t="shared" si="8"/>
        <v>0</v>
      </c>
      <c r="J104" s="202">
        <f t="shared" si="8"/>
        <v>0</v>
      </c>
      <c r="K104" s="202">
        <f t="shared" si="8"/>
        <v>0</v>
      </c>
      <c r="L104" s="202">
        <f t="shared" si="8"/>
        <v>0</v>
      </c>
      <c r="M104" s="202">
        <f t="shared" si="8"/>
        <v>0</v>
      </c>
      <c r="N104" s="1580">
        <f>SUM(N103)</f>
        <v>29811.15</v>
      </c>
      <c r="O104" s="1581"/>
      <c r="P104" s="1581"/>
      <c r="Q104" s="1581"/>
      <c r="R104" s="1581"/>
      <c r="S104" s="1581"/>
      <c r="T104" s="385">
        <f>SUM(T103)</f>
        <v>0</v>
      </c>
      <c r="U104" s="202">
        <f>SUM(U103)</f>
        <v>0</v>
      </c>
      <c r="V104" s="462">
        <f t="shared" si="6"/>
        <v>338858.44000000006</v>
      </c>
    </row>
    <row r="105" spans="1:22" ht="45" customHeight="1" thickBot="1" x14ac:dyDescent="0.25">
      <c r="A105" s="468"/>
      <c r="B105" s="469" t="s">
        <v>169</v>
      </c>
      <c r="C105" s="470">
        <f t="shared" ref="C105:M105" si="9">C24+C66+C73+C78+C99+C102+C104</f>
        <v>646902.76</v>
      </c>
      <c r="D105" s="470">
        <f t="shared" si="9"/>
        <v>18002.28</v>
      </c>
      <c r="E105" s="470">
        <f t="shared" si="9"/>
        <v>158086.70000000001</v>
      </c>
      <c r="F105" s="470">
        <f t="shared" si="9"/>
        <v>37839.78</v>
      </c>
      <c r="G105" s="470">
        <f t="shared" si="9"/>
        <v>46444.59</v>
      </c>
      <c r="H105" s="470">
        <f t="shared" si="9"/>
        <v>1410449.6863937499</v>
      </c>
      <c r="I105" s="470">
        <f t="shared" si="9"/>
        <v>440759.9</v>
      </c>
      <c r="J105" s="470">
        <f t="shared" si="9"/>
        <v>472680.39333333331</v>
      </c>
      <c r="K105" s="470">
        <f t="shared" si="9"/>
        <v>137224.26</v>
      </c>
      <c r="L105" s="470">
        <f t="shared" si="9"/>
        <v>880204.57060000009</v>
      </c>
      <c r="M105" s="470">
        <f t="shared" si="9"/>
        <v>588</v>
      </c>
      <c r="N105" s="1575">
        <f>+N24+N66+N73+N78+N99+N102+N104</f>
        <v>454691.52999999997</v>
      </c>
      <c r="O105" s="1576"/>
      <c r="P105" s="1576"/>
      <c r="Q105" s="1576"/>
      <c r="R105" s="1576"/>
      <c r="S105" s="1577"/>
      <c r="T105" s="470">
        <f>+T24+T66+T73+T78+T99+T102+T104</f>
        <v>5451967.6300000008</v>
      </c>
      <c r="U105" s="470">
        <f>U24+U66+U73+U78+U99+U102+U104</f>
        <v>1187107.3599999999</v>
      </c>
      <c r="V105" s="471">
        <f>V24+V66+V73+V78+V99+V102+V104</f>
        <v>11342949.440327084</v>
      </c>
    </row>
    <row r="106" spans="1:22" ht="48" customHeight="1" thickBot="1" x14ac:dyDescent="0.35">
      <c r="A106" s="1131"/>
      <c r="B106" s="1132"/>
      <c r="C106" s="1572" t="s">
        <v>426</v>
      </c>
      <c r="D106" s="1573"/>
      <c r="E106" s="1574"/>
      <c r="F106" s="607" t="s">
        <v>901</v>
      </c>
      <c r="G106" s="608" t="s">
        <v>904</v>
      </c>
      <c r="H106" s="604" t="s">
        <v>955</v>
      </c>
      <c r="I106" s="605" t="s">
        <v>957</v>
      </c>
      <c r="J106" s="605" t="s">
        <v>370</v>
      </c>
      <c r="K106" s="605" t="s">
        <v>371</v>
      </c>
      <c r="L106" s="606" t="s">
        <v>959</v>
      </c>
      <c r="M106" s="610" t="s">
        <v>960</v>
      </c>
      <c r="N106" s="1578" t="s">
        <v>394</v>
      </c>
      <c r="O106" s="1579"/>
      <c r="P106" s="1579"/>
      <c r="Q106" s="1579"/>
      <c r="R106" s="1579"/>
      <c r="S106" s="1579"/>
      <c r="T106" s="609" t="s">
        <v>286</v>
      </c>
      <c r="U106" s="610" t="s">
        <v>427</v>
      </c>
      <c r="V106" s="611" t="s">
        <v>238</v>
      </c>
    </row>
    <row r="107" spans="1:22" ht="30" customHeight="1" x14ac:dyDescent="0.3">
      <c r="A107" s="21"/>
      <c r="B107" s="22"/>
      <c r="V107" s="11"/>
    </row>
    <row r="108" spans="1:22" ht="30" customHeight="1" x14ac:dyDescent="0.3">
      <c r="A108" s="21"/>
      <c r="B108" s="22"/>
      <c r="V108" s="11"/>
    </row>
    <row r="109" spans="1:22" ht="30" customHeight="1" x14ac:dyDescent="0.3">
      <c r="A109" s="21"/>
      <c r="B109" s="22"/>
      <c r="V109" s="11"/>
    </row>
    <row r="110" spans="1:22" ht="30" customHeight="1" x14ac:dyDescent="0.3">
      <c r="A110" s="21"/>
      <c r="B110" s="22"/>
      <c r="V110" s="11"/>
    </row>
    <row r="111" spans="1:22" ht="30" customHeight="1" x14ac:dyDescent="0.3">
      <c r="A111" s="21"/>
      <c r="B111" s="22"/>
      <c r="V111" s="11"/>
    </row>
    <row r="112" spans="1:22" ht="30" customHeight="1" x14ac:dyDescent="0.3">
      <c r="A112" s="21"/>
      <c r="B112" s="22"/>
      <c r="V112" s="11"/>
    </row>
    <row r="113" spans="1:22" ht="15.75" customHeight="1" x14ac:dyDescent="0.3">
      <c r="A113" s="26"/>
      <c r="B113" s="22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5"/>
    </row>
  </sheetData>
  <mergeCells count="122">
    <mergeCell ref="C106:E106"/>
    <mergeCell ref="J9:J11"/>
    <mergeCell ref="K9:K11"/>
    <mergeCell ref="L9:L11"/>
    <mergeCell ref="G9:G11"/>
    <mergeCell ref="N105:S105"/>
    <mergeCell ref="N106:S106"/>
    <mergeCell ref="N99:S99"/>
    <mergeCell ref="N100:S100"/>
    <mergeCell ref="N101:S101"/>
    <mergeCell ref="N102:S102"/>
    <mergeCell ref="N103:S103"/>
    <mergeCell ref="N104:S104"/>
    <mergeCell ref="N83:S83"/>
    <mergeCell ref="N84:S84"/>
    <mergeCell ref="N93:S93"/>
    <mergeCell ref="N94:S94"/>
    <mergeCell ref="N95:S95"/>
    <mergeCell ref="N96:S96"/>
    <mergeCell ref="N97:S97"/>
    <mergeCell ref="N98:S98"/>
    <mergeCell ref="N86:S86"/>
    <mergeCell ref="N87:S87"/>
    <mergeCell ref="N91:S91"/>
    <mergeCell ref="N92:S92"/>
    <mergeCell ref="N88:S88"/>
    <mergeCell ref="N76:S76"/>
    <mergeCell ref="N71:S71"/>
    <mergeCell ref="N90:S90"/>
    <mergeCell ref="N77:S77"/>
    <mergeCell ref="N78:S78"/>
    <mergeCell ref="N79:S79"/>
    <mergeCell ref="N80:S80"/>
    <mergeCell ref="N82:S82"/>
    <mergeCell ref="N85:S85"/>
    <mergeCell ref="N89:S89"/>
    <mergeCell ref="N64:S64"/>
    <mergeCell ref="N63:S63"/>
    <mergeCell ref="N70:S70"/>
    <mergeCell ref="N72:S72"/>
    <mergeCell ref="N73:S73"/>
    <mergeCell ref="N74:S74"/>
    <mergeCell ref="N75:S75"/>
    <mergeCell ref="N65:S65"/>
    <mergeCell ref="N66:S66"/>
    <mergeCell ref="N67:S67"/>
    <mergeCell ref="N68:S68"/>
    <mergeCell ref="N69:S69"/>
    <mergeCell ref="N53:S53"/>
    <mergeCell ref="N55:S55"/>
    <mergeCell ref="N54:S54"/>
    <mergeCell ref="N56:S56"/>
    <mergeCell ref="N57:S57"/>
    <mergeCell ref="N59:S59"/>
    <mergeCell ref="N60:S60"/>
    <mergeCell ref="N61:S61"/>
    <mergeCell ref="N62:S62"/>
    <mergeCell ref="N44:S44"/>
    <mergeCell ref="N45:S45"/>
    <mergeCell ref="N46:S46"/>
    <mergeCell ref="N47:S47"/>
    <mergeCell ref="N48:S48"/>
    <mergeCell ref="N49:S49"/>
    <mergeCell ref="N50:S50"/>
    <mergeCell ref="N51:S51"/>
    <mergeCell ref="N52:S52"/>
    <mergeCell ref="N35:S35"/>
    <mergeCell ref="N36:S36"/>
    <mergeCell ref="N37:S37"/>
    <mergeCell ref="N38:S38"/>
    <mergeCell ref="N39:S39"/>
    <mergeCell ref="N40:S40"/>
    <mergeCell ref="N41:S41"/>
    <mergeCell ref="N42:S42"/>
    <mergeCell ref="N43:S43"/>
    <mergeCell ref="N24:S24"/>
    <mergeCell ref="N25:S25"/>
    <mergeCell ref="N27:S27"/>
    <mergeCell ref="N28:S28"/>
    <mergeCell ref="N30:S30"/>
    <mergeCell ref="N31:S31"/>
    <mergeCell ref="N32:S32"/>
    <mergeCell ref="N33:S33"/>
    <mergeCell ref="N34:S34"/>
    <mergeCell ref="N29:S29"/>
    <mergeCell ref="N16:S16"/>
    <mergeCell ref="N17:S17"/>
    <mergeCell ref="N21:S21"/>
    <mergeCell ref="N22:S22"/>
    <mergeCell ref="N23:S23"/>
    <mergeCell ref="R9:R11"/>
    <mergeCell ref="N18:S18"/>
    <mergeCell ref="N19:S19"/>
    <mergeCell ref="N20:S20"/>
    <mergeCell ref="N12:S12"/>
    <mergeCell ref="N13:S13"/>
    <mergeCell ref="N14:S14"/>
    <mergeCell ref="N15:S15"/>
    <mergeCell ref="A1:V1"/>
    <mergeCell ref="A2:V2"/>
    <mergeCell ref="A3:V3"/>
    <mergeCell ref="A4:V4"/>
    <mergeCell ref="A5:V5"/>
    <mergeCell ref="T9:T11"/>
    <mergeCell ref="V8:V11"/>
    <mergeCell ref="M9:M11"/>
    <mergeCell ref="N9:N11"/>
    <mergeCell ref="A6:V6"/>
    <mergeCell ref="D9:D11"/>
    <mergeCell ref="E9:E11"/>
    <mergeCell ref="A8:A11"/>
    <mergeCell ref="B8:B11"/>
    <mergeCell ref="U9:U11"/>
    <mergeCell ref="F9:F11"/>
    <mergeCell ref="P9:P11"/>
    <mergeCell ref="Q9:Q11"/>
    <mergeCell ref="S9:S11"/>
    <mergeCell ref="C8:U8"/>
    <mergeCell ref="C9:C11"/>
    <mergeCell ref="O9:O11"/>
    <mergeCell ref="H9:H11"/>
    <mergeCell ref="I9:I11"/>
  </mergeCells>
  <phoneticPr fontId="3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3" firstPageNumber="0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5"/>
  <sheetViews>
    <sheetView view="pageBreakPreview" zoomScale="96" zoomScaleNormal="100" zoomScaleSheetLayoutView="96" workbookViewId="0">
      <selection activeCell="H13" sqref="H13"/>
    </sheetView>
  </sheetViews>
  <sheetFormatPr baseColWidth="10" defaultRowHeight="15" x14ac:dyDescent="0.3"/>
  <cols>
    <col min="1" max="2" width="4.5703125" style="75" customWidth="1"/>
    <col min="3" max="3" width="4.5703125" style="76" customWidth="1"/>
    <col min="4" max="5" width="4.5703125" style="1" customWidth="1"/>
    <col min="6" max="6" width="14.85546875" style="1" customWidth="1"/>
    <col min="7" max="7" width="29.85546875" style="2" customWidth="1"/>
    <col min="8" max="8" width="25.28515625" style="3" customWidth="1"/>
    <col min="10" max="10" width="29.85546875" customWidth="1"/>
  </cols>
  <sheetData>
    <row r="1" spans="1:8" x14ac:dyDescent="0.3">
      <c r="A1" s="1133"/>
      <c r="B1" s="1134"/>
      <c r="C1" s="1135"/>
      <c r="D1" s="1136"/>
      <c r="E1" s="1136"/>
      <c r="F1" s="1136"/>
      <c r="G1" s="1137"/>
      <c r="H1" s="1138"/>
    </row>
    <row r="2" spans="1:8" ht="18.75" x14ac:dyDescent="0.3">
      <c r="A2" s="1397" t="s">
        <v>1143</v>
      </c>
      <c r="B2" s="1398"/>
      <c r="C2" s="1398"/>
      <c r="D2" s="1398"/>
      <c r="E2" s="1398"/>
      <c r="F2" s="1398"/>
      <c r="G2" s="1398"/>
      <c r="H2" s="1399"/>
    </row>
    <row r="3" spans="1:8" ht="18.75" x14ac:dyDescent="0.3">
      <c r="A3" s="1397" t="s">
        <v>1156</v>
      </c>
      <c r="B3" s="1398"/>
      <c r="C3" s="1398"/>
      <c r="D3" s="1398"/>
      <c r="E3" s="1398"/>
      <c r="F3" s="1398"/>
      <c r="G3" s="1398"/>
      <c r="H3" s="1399"/>
    </row>
    <row r="4" spans="1:8" ht="18.75" x14ac:dyDescent="0.3">
      <c r="A4" s="1397" t="s">
        <v>516</v>
      </c>
      <c r="B4" s="1398"/>
      <c r="C4" s="1398"/>
      <c r="D4" s="1398"/>
      <c r="E4" s="1398"/>
      <c r="F4" s="1398"/>
      <c r="G4" s="1398"/>
      <c r="H4" s="1399"/>
    </row>
    <row r="5" spans="1:8" ht="18.75" x14ac:dyDescent="0.3">
      <c r="A5" s="1397" t="s">
        <v>129</v>
      </c>
      <c r="B5" s="1398"/>
      <c r="C5" s="1398"/>
      <c r="D5" s="1398"/>
      <c r="E5" s="1398"/>
      <c r="F5" s="1398"/>
      <c r="G5" s="1398"/>
      <c r="H5" s="1399"/>
    </row>
    <row r="6" spans="1:8" x14ac:dyDescent="0.3">
      <c r="A6" s="1139"/>
      <c r="B6" s="1140"/>
      <c r="C6" s="1141"/>
      <c r="D6" s="362"/>
      <c r="E6" s="362"/>
      <c r="F6" s="362"/>
      <c r="G6" s="361"/>
      <c r="H6" s="658"/>
    </row>
    <row r="7" spans="1:8" ht="60.75" customHeight="1" thickBot="1" x14ac:dyDescent="0.4">
      <c r="A7" s="1588" t="s">
        <v>940</v>
      </c>
      <c r="B7" s="1589"/>
      <c r="C7" s="1589"/>
      <c r="D7" s="1589"/>
      <c r="E7" s="1589"/>
      <c r="F7" s="1589"/>
      <c r="G7" s="1589"/>
      <c r="H7" s="1590"/>
    </row>
    <row r="8" spans="1:8" ht="15.75" customHeight="1" thickBot="1" x14ac:dyDescent="0.35">
      <c r="A8" s="1591" t="s">
        <v>171</v>
      </c>
      <c r="B8" s="1592"/>
      <c r="C8" s="1592"/>
      <c r="D8" s="1592"/>
      <c r="E8" s="1592"/>
      <c r="F8" s="1592"/>
      <c r="G8" s="1593" t="s">
        <v>172</v>
      </c>
      <c r="H8" s="1598" t="s">
        <v>173</v>
      </c>
    </row>
    <row r="9" spans="1:8" ht="201" customHeight="1" thickBot="1" x14ac:dyDescent="0.25">
      <c r="A9" s="486" t="s">
        <v>174</v>
      </c>
      <c r="B9" s="487" t="s">
        <v>175</v>
      </c>
      <c r="C9" s="487" t="s">
        <v>176</v>
      </c>
      <c r="D9" s="487" t="s">
        <v>177</v>
      </c>
      <c r="E9" s="488" t="s">
        <v>178</v>
      </c>
      <c r="F9" s="488" t="s">
        <v>179</v>
      </c>
      <c r="G9" s="1594"/>
      <c r="H9" s="1599"/>
    </row>
    <row r="10" spans="1:8" ht="34.5" customHeight="1" thickBot="1" x14ac:dyDescent="0.25">
      <c r="A10" s="682">
        <v>1</v>
      </c>
      <c r="B10" s="683" t="s">
        <v>184</v>
      </c>
      <c r="C10" s="683" t="s">
        <v>180</v>
      </c>
      <c r="D10" s="683" t="s">
        <v>181</v>
      </c>
      <c r="E10" s="683" t="s">
        <v>520</v>
      </c>
      <c r="F10" s="683" t="s">
        <v>260</v>
      </c>
      <c r="G10" s="684" t="s">
        <v>886</v>
      </c>
      <c r="H10" s="685">
        <v>26000</v>
      </c>
    </row>
    <row r="11" spans="1:8" ht="34.5" customHeight="1" thickBot="1" x14ac:dyDescent="0.25">
      <c r="A11" s="682">
        <v>1</v>
      </c>
      <c r="B11" s="683" t="s">
        <v>184</v>
      </c>
      <c r="C11" s="683" t="s">
        <v>180</v>
      </c>
      <c r="D11" s="683" t="s">
        <v>181</v>
      </c>
      <c r="E11" s="683" t="s">
        <v>520</v>
      </c>
      <c r="F11" s="213" t="s">
        <v>923</v>
      </c>
      <c r="G11" s="576" t="s">
        <v>1009</v>
      </c>
      <c r="H11" s="577">
        <v>539.78</v>
      </c>
    </row>
    <row r="12" spans="1:8" ht="34.5" customHeight="1" thickBot="1" x14ac:dyDescent="0.25">
      <c r="A12" s="682">
        <v>1</v>
      </c>
      <c r="B12" s="683" t="s">
        <v>184</v>
      </c>
      <c r="C12" s="683" t="s">
        <v>180</v>
      </c>
      <c r="D12" s="683" t="s">
        <v>181</v>
      </c>
      <c r="E12" s="683" t="s">
        <v>520</v>
      </c>
      <c r="F12" s="213" t="s">
        <v>921</v>
      </c>
      <c r="G12" s="576" t="s">
        <v>941</v>
      </c>
      <c r="H12" s="577">
        <v>500</v>
      </c>
    </row>
    <row r="13" spans="1:8" ht="30.75" customHeight="1" thickBot="1" x14ac:dyDescent="0.25">
      <c r="A13" s="682">
        <v>1</v>
      </c>
      <c r="B13" s="683" t="s">
        <v>184</v>
      </c>
      <c r="C13" s="683" t="s">
        <v>180</v>
      </c>
      <c r="D13" s="683" t="s">
        <v>181</v>
      </c>
      <c r="E13" s="683" t="s">
        <v>520</v>
      </c>
      <c r="F13" s="213" t="s">
        <v>444</v>
      </c>
      <c r="G13" s="576" t="s">
        <v>942</v>
      </c>
      <c r="H13" s="577">
        <v>1000</v>
      </c>
    </row>
    <row r="14" spans="1:8" ht="30.75" customHeight="1" thickBot="1" x14ac:dyDescent="0.25">
      <c r="A14" s="682">
        <v>1</v>
      </c>
      <c r="B14" s="683" t="s">
        <v>184</v>
      </c>
      <c r="C14" s="683" t="s">
        <v>180</v>
      </c>
      <c r="D14" s="683" t="s">
        <v>181</v>
      </c>
      <c r="E14" s="683" t="s">
        <v>520</v>
      </c>
      <c r="F14" s="213" t="s">
        <v>263</v>
      </c>
      <c r="G14" s="576" t="s">
        <v>299</v>
      </c>
      <c r="H14" s="577">
        <v>7800</v>
      </c>
    </row>
    <row r="15" spans="1:8" ht="30.75" customHeight="1" x14ac:dyDescent="0.2">
      <c r="A15" s="682">
        <v>1</v>
      </c>
      <c r="B15" s="683" t="s">
        <v>184</v>
      </c>
      <c r="C15" s="683" t="s">
        <v>180</v>
      </c>
      <c r="D15" s="683" t="s">
        <v>181</v>
      </c>
      <c r="E15" s="683" t="s">
        <v>520</v>
      </c>
      <c r="F15" s="213" t="s">
        <v>295</v>
      </c>
      <c r="G15" s="576" t="s">
        <v>1010</v>
      </c>
      <c r="H15" s="577">
        <v>2000</v>
      </c>
    </row>
    <row r="16" spans="1:8" ht="60" customHeight="1" thickBot="1" x14ac:dyDescent="0.25">
      <c r="A16" s="1595" t="s">
        <v>411</v>
      </c>
      <c r="B16" s="1596"/>
      <c r="C16" s="1596"/>
      <c r="D16" s="1596"/>
      <c r="E16" s="1596"/>
      <c r="F16" s="1596"/>
      <c r="G16" s="1597"/>
      <c r="H16" s="746">
        <f>+H10+H11+H12+H13+H14+H15</f>
        <v>37839.78</v>
      </c>
    </row>
    <row r="17" spans="1:8" ht="19.5" customHeight="1" x14ac:dyDescent="0.3">
      <c r="A17" s="1142"/>
      <c r="B17" s="26"/>
      <c r="C17" s="363"/>
      <c r="D17" s="21"/>
      <c r="E17" s="21"/>
      <c r="F17" s="21"/>
      <c r="H17" s="658"/>
    </row>
    <row r="18" spans="1:8" s="366" customFormat="1" ht="24" customHeight="1" x14ac:dyDescent="0.35">
      <c r="A18" s="1583" t="s">
        <v>412</v>
      </c>
      <c r="B18" s="1584"/>
      <c r="C18" s="1584"/>
      <c r="D18" s="1584"/>
      <c r="E18" s="1584"/>
      <c r="F18" s="1584"/>
      <c r="G18" s="364"/>
      <c r="H18" s="1143"/>
    </row>
    <row r="19" spans="1:8" s="366" customFormat="1" ht="15.75" thickBot="1" x14ac:dyDescent="0.35">
      <c r="A19" s="1585" t="s">
        <v>413</v>
      </c>
      <c r="B19" s="1586"/>
      <c r="C19" s="1586"/>
      <c r="D19" s="1586"/>
      <c r="E19" s="1586"/>
      <c r="F19" s="1586"/>
      <c r="G19" s="1586"/>
      <c r="H19" s="1144"/>
    </row>
    <row r="20" spans="1:8" s="366" customFormat="1" x14ac:dyDescent="0.3">
      <c r="A20" s="1587" t="s">
        <v>414</v>
      </c>
      <c r="B20" s="1587"/>
      <c r="C20" s="1587"/>
      <c r="D20" s="1587"/>
      <c r="E20" s="1587"/>
      <c r="F20" s="1587"/>
      <c r="G20" s="1587"/>
      <c r="H20" s="365"/>
    </row>
    <row r="21" spans="1:8" s="366" customFormat="1" x14ac:dyDescent="0.3">
      <c r="A21" s="367"/>
      <c r="B21" s="367"/>
      <c r="C21" s="367"/>
      <c r="D21" s="367"/>
      <c r="E21" s="367"/>
      <c r="F21" s="367"/>
      <c r="G21" s="364"/>
      <c r="H21" s="365"/>
    </row>
    <row r="22" spans="1:8" x14ac:dyDescent="0.3">
      <c r="A22" s="26"/>
      <c r="B22" s="26"/>
      <c r="C22" s="363"/>
      <c r="D22" s="21"/>
      <c r="E22" s="21"/>
      <c r="F22" s="21"/>
    </row>
    <row r="23" spans="1:8" s="366" customFormat="1" ht="18" x14ac:dyDescent="0.35">
      <c r="A23" s="368" t="s">
        <v>415</v>
      </c>
      <c r="B23" s="369"/>
      <c r="C23" s="367"/>
      <c r="D23" s="367"/>
      <c r="E23" s="367"/>
      <c r="F23" s="367"/>
      <c r="G23" s="364"/>
      <c r="H23" s="365"/>
    </row>
    <row r="24" spans="1:8" s="366" customFormat="1" ht="18" x14ac:dyDescent="0.35">
      <c r="A24" s="368"/>
      <c r="B24" s="369"/>
      <c r="C24" s="367"/>
      <c r="D24" s="367"/>
      <c r="E24" s="367"/>
      <c r="F24" s="367"/>
      <c r="G24" s="364"/>
      <c r="H24" s="365"/>
    </row>
    <row r="25" spans="1:8" s="366" customFormat="1" x14ac:dyDescent="0.3">
      <c r="A25" s="370" t="s">
        <v>416</v>
      </c>
      <c r="B25" s="371"/>
      <c r="C25" s="367"/>
      <c r="D25" s="367"/>
      <c r="E25" s="367"/>
      <c r="F25" s="367"/>
      <c r="G25" s="364"/>
      <c r="H25" s="365"/>
    </row>
    <row r="26" spans="1:8" s="366" customFormat="1" x14ac:dyDescent="0.3">
      <c r="A26" s="370" t="s">
        <v>417</v>
      </c>
      <c r="B26" s="367"/>
      <c r="C26" s="367"/>
      <c r="D26" s="367"/>
      <c r="E26" s="367"/>
      <c r="F26" s="367"/>
      <c r="G26" s="364"/>
      <c r="H26" s="365"/>
    </row>
    <row r="27" spans="1:8" s="366" customFormat="1" x14ac:dyDescent="0.3">
      <c r="A27" s="370" t="s">
        <v>418</v>
      </c>
      <c r="B27" s="367"/>
      <c r="C27" s="367"/>
      <c r="D27" s="367"/>
      <c r="E27" s="367"/>
      <c r="F27" s="367"/>
      <c r="G27" s="364"/>
      <c r="H27" s="365"/>
    </row>
    <row r="28" spans="1:8" s="366" customFormat="1" x14ac:dyDescent="0.3">
      <c r="A28" s="370" t="s">
        <v>419</v>
      </c>
      <c r="B28" s="367"/>
      <c r="C28" s="367"/>
      <c r="D28" s="367"/>
      <c r="E28" s="367"/>
      <c r="F28" s="367"/>
      <c r="G28" s="364"/>
      <c r="H28" s="365"/>
    </row>
    <row r="29" spans="1:8" s="366" customFormat="1" x14ac:dyDescent="0.3">
      <c r="A29" s="370" t="s">
        <v>420</v>
      </c>
      <c r="B29" s="367"/>
      <c r="C29" s="367"/>
      <c r="D29" s="367"/>
      <c r="E29" s="367"/>
      <c r="F29" s="367"/>
      <c r="G29" s="364"/>
      <c r="H29" s="365"/>
    </row>
    <row r="30" spans="1:8" s="366" customFormat="1" x14ac:dyDescent="0.3">
      <c r="A30" s="370" t="s">
        <v>421</v>
      </c>
      <c r="B30" s="367"/>
      <c r="C30" s="367"/>
      <c r="D30" s="367"/>
      <c r="E30" s="367"/>
      <c r="F30" s="367"/>
      <c r="G30" s="364"/>
      <c r="H30" s="365"/>
    </row>
    <row r="31" spans="1:8" s="366" customFormat="1" x14ac:dyDescent="0.3">
      <c r="A31" s="370" t="s">
        <v>422</v>
      </c>
      <c r="B31" s="367"/>
      <c r="C31" s="367"/>
      <c r="D31" s="367"/>
      <c r="E31" s="367"/>
      <c r="F31" s="367"/>
      <c r="G31" s="364"/>
      <c r="H31" s="365"/>
    </row>
    <row r="32" spans="1:8" s="366" customFormat="1" x14ac:dyDescent="0.3">
      <c r="A32" s="372" t="s">
        <v>423</v>
      </c>
      <c r="B32" s="367"/>
      <c r="C32" s="367"/>
      <c r="D32" s="367"/>
      <c r="E32" s="367"/>
      <c r="F32" s="367"/>
      <c r="G32" s="364"/>
      <c r="H32" s="365"/>
    </row>
    <row r="33" spans="1:8" s="366" customFormat="1" x14ac:dyDescent="0.3">
      <c r="A33" s="372" t="s">
        <v>424</v>
      </c>
      <c r="B33" s="367"/>
      <c r="C33" s="367"/>
      <c r="D33" s="367"/>
      <c r="E33" s="367"/>
      <c r="F33" s="367"/>
      <c r="G33" s="364"/>
      <c r="H33" s="365"/>
    </row>
    <row r="34" spans="1:8" x14ac:dyDescent="0.3">
      <c r="A34" s="373"/>
      <c r="B34" s="26"/>
      <c r="C34" s="363"/>
      <c r="D34" s="21"/>
      <c r="E34" s="21"/>
      <c r="F34" s="21"/>
    </row>
    <row r="35" spans="1:8" x14ac:dyDescent="0.3">
      <c r="A35" s="26"/>
      <c r="B35" s="26"/>
      <c r="C35" s="363"/>
      <c r="D35" s="21"/>
      <c r="E35" s="21"/>
      <c r="F35" s="21"/>
    </row>
  </sheetData>
  <mergeCells count="12">
    <mergeCell ref="A18:F18"/>
    <mergeCell ref="A19:G19"/>
    <mergeCell ref="A20:G20"/>
    <mergeCell ref="A2:H2"/>
    <mergeCell ref="A3:H3"/>
    <mergeCell ref="A4:H4"/>
    <mergeCell ref="A5:H5"/>
    <mergeCell ref="A7:H7"/>
    <mergeCell ref="A8:F8"/>
    <mergeCell ref="G8:G9"/>
    <mergeCell ref="A16:G16"/>
    <mergeCell ref="H8:H9"/>
  </mergeCells>
  <pageMargins left="0.7" right="0.7" top="0.75" bottom="0.75" header="0.3" footer="0.3"/>
  <pageSetup scale="97" orientation="portrait" r:id="rId1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0"/>
  <sheetViews>
    <sheetView view="pageBreakPreview" zoomScale="106" zoomScaleNormal="100" zoomScaleSheetLayoutView="106" workbookViewId="0">
      <selection activeCell="H11" sqref="H11"/>
    </sheetView>
  </sheetViews>
  <sheetFormatPr baseColWidth="10" defaultRowHeight="15" x14ac:dyDescent="0.3"/>
  <cols>
    <col min="1" max="2" width="4.5703125" style="75" customWidth="1"/>
    <col min="3" max="3" width="4.5703125" style="76" customWidth="1"/>
    <col min="4" max="5" width="4.5703125" style="1" customWidth="1"/>
    <col min="6" max="6" width="14.85546875" style="1" customWidth="1"/>
    <col min="7" max="7" width="29.85546875" style="2" customWidth="1"/>
    <col min="8" max="8" width="25.28515625" style="3" customWidth="1"/>
    <col min="10" max="10" width="29.85546875" customWidth="1"/>
  </cols>
  <sheetData>
    <row r="1" spans="1:8" x14ac:dyDescent="0.3">
      <c r="A1" s="1133"/>
      <c r="B1" s="1134"/>
      <c r="C1" s="1135"/>
      <c r="D1" s="1136"/>
      <c r="E1" s="1136"/>
      <c r="F1" s="1136"/>
      <c r="G1" s="1137"/>
      <c r="H1" s="1138"/>
    </row>
    <row r="2" spans="1:8" ht="18.75" x14ac:dyDescent="0.3">
      <c r="A2" s="1397" t="s">
        <v>1143</v>
      </c>
      <c r="B2" s="1398"/>
      <c r="C2" s="1398"/>
      <c r="D2" s="1398"/>
      <c r="E2" s="1398"/>
      <c r="F2" s="1398"/>
      <c r="G2" s="1398"/>
      <c r="H2" s="1399"/>
    </row>
    <row r="3" spans="1:8" ht="18.75" x14ac:dyDescent="0.3">
      <c r="A3" s="1397" t="s">
        <v>1156</v>
      </c>
      <c r="B3" s="1398"/>
      <c r="C3" s="1398"/>
      <c r="D3" s="1398"/>
      <c r="E3" s="1398"/>
      <c r="F3" s="1398"/>
      <c r="G3" s="1398"/>
      <c r="H3" s="1399"/>
    </row>
    <row r="4" spans="1:8" ht="18.75" x14ac:dyDescent="0.3">
      <c r="A4" s="1397" t="s">
        <v>516</v>
      </c>
      <c r="B4" s="1398"/>
      <c r="C4" s="1398"/>
      <c r="D4" s="1398"/>
      <c r="E4" s="1398"/>
      <c r="F4" s="1398"/>
      <c r="G4" s="1398"/>
      <c r="H4" s="1399"/>
    </row>
    <row r="5" spans="1:8" ht="18.75" x14ac:dyDescent="0.3">
      <c r="A5" s="1397" t="s">
        <v>129</v>
      </c>
      <c r="B5" s="1398"/>
      <c r="C5" s="1398"/>
      <c r="D5" s="1398"/>
      <c r="E5" s="1398"/>
      <c r="F5" s="1398"/>
      <c r="G5" s="1398"/>
      <c r="H5" s="1399"/>
    </row>
    <row r="6" spans="1:8" x14ac:dyDescent="0.3">
      <c r="A6" s="1139"/>
      <c r="B6" s="1140"/>
      <c r="C6" s="1141"/>
      <c r="D6" s="362"/>
      <c r="E6" s="362"/>
      <c r="F6" s="362"/>
      <c r="G6" s="361"/>
      <c r="H6" s="658"/>
    </row>
    <row r="7" spans="1:8" ht="20.25" customHeight="1" thickBot="1" x14ac:dyDescent="0.4">
      <c r="A7" s="1600" t="s">
        <v>532</v>
      </c>
      <c r="B7" s="1601"/>
      <c r="C7" s="1601"/>
      <c r="D7" s="1601"/>
      <c r="E7" s="1601"/>
      <c r="F7" s="1601"/>
      <c r="G7" s="1476"/>
      <c r="H7" s="1477"/>
    </row>
    <row r="8" spans="1:8" ht="15.75" customHeight="1" thickBot="1" x14ac:dyDescent="0.35">
      <c r="A8" s="1602" t="s">
        <v>171</v>
      </c>
      <c r="B8" s="1603"/>
      <c r="C8" s="1603"/>
      <c r="D8" s="1603"/>
      <c r="E8" s="1603"/>
      <c r="F8" s="1603"/>
      <c r="G8" s="1593" t="s">
        <v>172</v>
      </c>
      <c r="H8" s="1598" t="s">
        <v>173</v>
      </c>
    </row>
    <row r="9" spans="1:8" ht="201" customHeight="1" thickBot="1" x14ac:dyDescent="0.25">
      <c r="A9" s="486" t="s">
        <v>174</v>
      </c>
      <c r="B9" s="487" t="s">
        <v>175</v>
      </c>
      <c r="C9" s="487" t="s">
        <v>176</v>
      </c>
      <c r="D9" s="487" t="s">
        <v>177</v>
      </c>
      <c r="E9" s="488" t="s">
        <v>178</v>
      </c>
      <c r="F9" s="488" t="s">
        <v>179</v>
      </c>
      <c r="G9" s="1594"/>
      <c r="H9" s="1599"/>
    </row>
    <row r="10" spans="1:8" ht="50.1" customHeight="1" x14ac:dyDescent="0.2">
      <c r="A10" s="1145">
        <v>1</v>
      </c>
      <c r="B10" s="489" t="s">
        <v>180</v>
      </c>
      <c r="C10" s="489" t="s">
        <v>180</v>
      </c>
      <c r="D10" s="489" t="s">
        <v>529</v>
      </c>
      <c r="E10" s="489" t="s">
        <v>186</v>
      </c>
      <c r="F10" s="489" t="s">
        <v>530</v>
      </c>
      <c r="G10" s="490" t="s">
        <v>531</v>
      </c>
      <c r="H10" s="994">
        <v>588</v>
      </c>
    </row>
    <row r="11" spans="1:8" ht="60" customHeight="1" thickBot="1" x14ac:dyDescent="0.25">
      <c r="A11" s="1146"/>
      <c r="B11" s="1147"/>
      <c r="C11" s="1147"/>
      <c r="D11" s="1147"/>
      <c r="E11" s="1147"/>
      <c r="F11" s="1147"/>
      <c r="G11" s="1148" t="s">
        <v>411</v>
      </c>
      <c r="H11" s="1149">
        <f>SUM(H10:H10)</f>
        <v>588</v>
      </c>
    </row>
    <row r="12" spans="1:8" ht="19.5" customHeight="1" x14ac:dyDescent="0.3">
      <c r="A12" s="26"/>
      <c r="B12" s="26"/>
      <c r="C12" s="363"/>
      <c r="D12" s="21"/>
      <c r="E12" s="21"/>
      <c r="F12" s="21"/>
    </row>
    <row r="13" spans="1:8" s="366" customFormat="1" ht="24" customHeight="1" x14ac:dyDescent="0.35">
      <c r="A13" s="1584" t="s">
        <v>412</v>
      </c>
      <c r="B13" s="1584"/>
      <c r="C13" s="1584"/>
      <c r="D13" s="1584"/>
      <c r="E13" s="1584"/>
      <c r="F13" s="1584"/>
      <c r="G13" s="364"/>
      <c r="H13" s="365"/>
    </row>
    <row r="14" spans="1:8" s="366" customFormat="1" x14ac:dyDescent="0.3">
      <c r="A14" s="1587" t="s">
        <v>413</v>
      </c>
      <c r="B14" s="1587"/>
      <c r="C14" s="1587"/>
      <c r="D14" s="1587"/>
      <c r="E14" s="1587"/>
      <c r="F14" s="1587"/>
      <c r="G14" s="1587"/>
      <c r="H14" s="365"/>
    </row>
    <row r="15" spans="1:8" s="366" customFormat="1" x14ac:dyDescent="0.3">
      <c r="A15" s="1587" t="s">
        <v>414</v>
      </c>
      <c r="B15" s="1587"/>
      <c r="C15" s="1587"/>
      <c r="D15" s="1587"/>
      <c r="E15" s="1587"/>
      <c r="F15" s="1587"/>
      <c r="G15" s="1587"/>
      <c r="H15" s="365"/>
    </row>
    <row r="16" spans="1:8" s="366" customFormat="1" x14ac:dyDescent="0.3">
      <c r="A16" s="367"/>
      <c r="B16" s="367"/>
      <c r="C16" s="367"/>
      <c r="D16" s="367"/>
      <c r="E16" s="367"/>
      <c r="F16" s="367"/>
      <c r="G16" s="364"/>
      <c r="H16" s="365"/>
    </row>
    <row r="17" spans="1:8" x14ac:dyDescent="0.3">
      <c r="A17" s="26"/>
      <c r="B17" s="26"/>
      <c r="C17" s="363"/>
      <c r="D17" s="21"/>
      <c r="E17" s="21"/>
      <c r="F17" s="21"/>
    </row>
    <row r="18" spans="1:8" s="366" customFormat="1" ht="18" x14ac:dyDescent="0.35">
      <c r="A18" s="368" t="s">
        <v>415</v>
      </c>
      <c r="B18" s="369"/>
      <c r="C18" s="367"/>
      <c r="D18" s="367"/>
      <c r="E18" s="367"/>
      <c r="F18" s="367"/>
      <c r="G18" s="364"/>
      <c r="H18" s="365"/>
    </row>
    <row r="19" spans="1:8" s="366" customFormat="1" ht="18" x14ac:dyDescent="0.35">
      <c r="A19" s="368"/>
      <c r="B19" s="369"/>
      <c r="C19" s="367"/>
      <c r="D19" s="367"/>
      <c r="E19" s="367"/>
      <c r="F19" s="367"/>
      <c r="G19" s="364"/>
      <c r="H19" s="365"/>
    </row>
    <row r="20" spans="1:8" s="366" customFormat="1" x14ac:dyDescent="0.3">
      <c r="A20" s="370" t="s">
        <v>416</v>
      </c>
      <c r="B20" s="371"/>
      <c r="C20" s="367"/>
      <c r="D20" s="367"/>
      <c r="E20" s="367"/>
      <c r="F20" s="367"/>
      <c r="G20" s="364"/>
      <c r="H20" s="365"/>
    </row>
    <row r="21" spans="1:8" s="366" customFormat="1" x14ac:dyDescent="0.3">
      <c r="A21" s="370" t="s">
        <v>417</v>
      </c>
      <c r="B21" s="367"/>
      <c r="C21" s="367"/>
      <c r="D21" s="367"/>
      <c r="E21" s="367"/>
      <c r="F21" s="367"/>
      <c r="G21" s="364"/>
      <c r="H21" s="365"/>
    </row>
    <row r="22" spans="1:8" s="366" customFormat="1" x14ac:dyDescent="0.3">
      <c r="A22" s="370" t="s">
        <v>418</v>
      </c>
      <c r="B22" s="367"/>
      <c r="C22" s="367"/>
      <c r="D22" s="367"/>
      <c r="E22" s="367"/>
      <c r="F22" s="367"/>
      <c r="G22" s="364"/>
      <c r="H22" s="365"/>
    </row>
    <row r="23" spans="1:8" s="366" customFormat="1" x14ac:dyDescent="0.3">
      <c r="A23" s="370" t="s">
        <v>419</v>
      </c>
      <c r="B23" s="367"/>
      <c r="C23" s="367"/>
      <c r="D23" s="367"/>
      <c r="E23" s="367"/>
      <c r="F23" s="367"/>
      <c r="G23" s="364"/>
      <c r="H23" s="365"/>
    </row>
    <row r="24" spans="1:8" s="366" customFormat="1" x14ac:dyDescent="0.3">
      <c r="A24" s="370" t="s">
        <v>420</v>
      </c>
      <c r="B24" s="367"/>
      <c r="C24" s="367"/>
      <c r="D24" s="367"/>
      <c r="E24" s="367"/>
      <c r="F24" s="367"/>
      <c r="G24" s="364"/>
      <c r="H24" s="365"/>
    </row>
    <row r="25" spans="1:8" s="366" customFormat="1" x14ac:dyDescent="0.3">
      <c r="A25" s="370" t="s">
        <v>421</v>
      </c>
      <c r="B25" s="367"/>
      <c r="C25" s="367"/>
      <c r="D25" s="367"/>
      <c r="E25" s="367"/>
      <c r="F25" s="367"/>
      <c r="G25" s="364"/>
      <c r="H25" s="365"/>
    </row>
    <row r="26" spans="1:8" s="366" customFormat="1" x14ac:dyDescent="0.3">
      <c r="A26" s="370" t="s">
        <v>422</v>
      </c>
      <c r="B26" s="367"/>
      <c r="C26" s="367"/>
      <c r="D26" s="367"/>
      <c r="E26" s="367"/>
      <c r="F26" s="367"/>
      <c r="G26" s="364"/>
      <c r="H26" s="365"/>
    </row>
    <row r="27" spans="1:8" s="366" customFormat="1" x14ac:dyDescent="0.3">
      <c r="A27" s="372" t="s">
        <v>423</v>
      </c>
      <c r="B27" s="367"/>
      <c r="C27" s="367"/>
      <c r="D27" s="367"/>
      <c r="E27" s="367"/>
      <c r="F27" s="367"/>
      <c r="G27" s="364"/>
      <c r="H27" s="365"/>
    </row>
    <row r="28" spans="1:8" s="366" customFormat="1" x14ac:dyDescent="0.3">
      <c r="A28" s="372" t="s">
        <v>424</v>
      </c>
      <c r="B28" s="367"/>
      <c r="C28" s="367"/>
      <c r="D28" s="367"/>
      <c r="E28" s="367"/>
      <c r="F28" s="367"/>
      <c r="G28" s="364"/>
      <c r="H28" s="365"/>
    </row>
    <row r="29" spans="1:8" x14ac:dyDescent="0.3">
      <c r="A29" s="373"/>
      <c r="B29" s="26"/>
      <c r="C29" s="363"/>
      <c r="D29" s="21"/>
      <c r="E29" s="21"/>
      <c r="F29" s="21"/>
    </row>
    <row r="30" spans="1:8" x14ac:dyDescent="0.3">
      <c r="A30" s="26"/>
      <c r="B30" s="26"/>
      <c r="C30" s="363"/>
      <c r="D30" s="21"/>
      <c r="E30" s="21"/>
      <c r="F30" s="21"/>
    </row>
  </sheetData>
  <mergeCells count="11">
    <mergeCell ref="A15:G15"/>
    <mergeCell ref="A2:H2"/>
    <mergeCell ref="A3:H3"/>
    <mergeCell ref="A4:H4"/>
    <mergeCell ref="A5:H5"/>
    <mergeCell ref="A7:H7"/>
    <mergeCell ref="A8:F8"/>
    <mergeCell ref="G8:G9"/>
    <mergeCell ref="H8:H9"/>
    <mergeCell ref="A13:F13"/>
    <mergeCell ref="A14:G14"/>
  </mergeCells>
  <pageMargins left="0.9055118110236221" right="0.70866141732283472" top="0.74803149606299213" bottom="0.74803149606299213" header="0.31496062992125984" footer="0.31496062992125984"/>
  <pageSetup scale="9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3"/>
  <sheetViews>
    <sheetView topLeftCell="A10" workbookViewId="0">
      <selection activeCell="A11" sqref="A11:H11"/>
    </sheetView>
  </sheetViews>
  <sheetFormatPr baseColWidth="10" defaultRowHeight="15" x14ac:dyDescent="0.3"/>
  <cols>
    <col min="1" max="2" width="4.42578125" style="75" customWidth="1"/>
    <col min="3" max="3" width="4.42578125" style="76" customWidth="1"/>
    <col min="4" max="5" width="6.140625" style="1" customWidth="1"/>
    <col min="6" max="6" width="11" style="1" customWidth="1"/>
    <col min="7" max="7" width="39.5703125" style="2" customWidth="1"/>
    <col min="8" max="8" width="23.42578125" style="3" customWidth="1"/>
  </cols>
  <sheetData>
    <row r="1" spans="1:8" ht="18.75" x14ac:dyDescent="0.3">
      <c r="A1" s="1391" t="s">
        <v>1157</v>
      </c>
      <c r="B1" s="1392"/>
      <c r="C1" s="1392"/>
      <c r="D1" s="1392"/>
      <c r="E1" s="1392"/>
      <c r="F1" s="1392"/>
      <c r="G1" s="1392"/>
      <c r="H1" s="1393"/>
    </row>
    <row r="2" spans="1:8" ht="18.75" x14ac:dyDescent="0.3">
      <c r="A2" s="1394" t="s">
        <v>516</v>
      </c>
      <c r="B2" s="1395"/>
      <c r="C2" s="1395"/>
      <c r="D2" s="1395"/>
      <c r="E2" s="1395"/>
      <c r="F2" s="1395"/>
      <c r="G2" s="1395"/>
      <c r="H2" s="1396"/>
    </row>
    <row r="3" spans="1:8" ht="18.75" x14ac:dyDescent="0.3">
      <c r="A3" s="436"/>
      <c r="B3" s="830"/>
      <c r="C3" s="830"/>
      <c r="D3" s="830"/>
      <c r="E3" s="830"/>
      <c r="F3" s="830"/>
      <c r="G3" s="830"/>
      <c r="H3" s="437"/>
    </row>
    <row r="4" spans="1:8" ht="18.75" x14ac:dyDescent="0.3">
      <c r="A4" s="1394" t="s">
        <v>129</v>
      </c>
      <c r="B4" s="1395"/>
      <c r="C4" s="1395"/>
      <c r="D4" s="1395"/>
      <c r="E4" s="1395"/>
      <c r="F4" s="1395"/>
      <c r="G4" s="1395"/>
      <c r="H4" s="1396"/>
    </row>
    <row r="5" spans="1:8" ht="18.75" x14ac:dyDescent="0.3">
      <c r="A5" s="1500"/>
      <c r="B5" s="1501"/>
      <c r="C5" s="1501"/>
      <c r="D5" s="1501"/>
      <c r="E5" s="1501"/>
      <c r="F5" s="1501"/>
      <c r="G5" s="1501"/>
      <c r="H5" s="1502"/>
    </row>
    <row r="6" spans="1:8" ht="18" x14ac:dyDescent="0.35">
      <c r="A6" s="1604" t="s">
        <v>170</v>
      </c>
      <c r="B6" s="1605"/>
      <c r="C6" s="1605"/>
      <c r="D6" s="1605"/>
      <c r="E6" s="1605"/>
      <c r="F6" s="1605"/>
      <c r="G6" s="1605"/>
      <c r="H6" s="1606"/>
    </row>
    <row r="7" spans="1:8" ht="48.75" customHeight="1" x14ac:dyDescent="0.3">
      <c r="A7" s="1612" t="s">
        <v>518</v>
      </c>
      <c r="B7" s="1613"/>
      <c r="C7" s="1613"/>
      <c r="D7" s="1613"/>
      <c r="E7" s="1613"/>
      <c r="F7" s="1613"/>
      <c r="G7" s="1613"/>
      <c r="H7" s="1614"/>
    </row>
    <row r="8" spans="1:8" ht="19.5" thickBot="1" x14ac:dyDescent="0.35">
      <c r="A8" s="1150"/>
      <c r="B8" s="1151"/>
      <c r="C8" s="1151"/>
      <c r="D8" s="1151"/>
      <c r="E8" s="1151"/>
      <c r="F8" s="1151"/>
      <c r="G8" s="1151"/>
      <c r="H8" s="1152"/>
    </row>
    <row r="9" spans="1:8" x14ac:dyDescent="0.3">
      <c r="A9" s="1615" t="s">
        <v>171</v>
      </c>
      <c r="B9" s="1616"/>
      <c r="C9" s="1616"/>
      <c r="D9" s="1616"/>
      <c r="E9" s="1616"/>
      <c r="F9" s="1616"/>
      <c r="G9" s="1617" t="s">
        <v>172</v>
      </c>
      <c r="H9" s="1618" t="s">
        <v>173</v>
      </c>
    </row>
    <row r="10" spans="1:8" ht="167.25" customHeight="1" x14ac:dyDescent="0.2">
      <c r="A10" s="222" t="s">
        <v>174</v>
      </c>
      <c r="B10" s="212" t="s">
        <v>175</v>
      </c>
      <c r="C10" s="212" t="s">
        <v>176</v>
      </c>
      <c r="D10" s="212" t="s">
        <v>177</v>
      </c>
      <c r="E10" s="212" t="s">
        <v>178</v>
      </c>
      <c r="F10" s="212" t="s">
        <v>179</v>
      </c>
      <c r="G10" s="1510"/>
      <c r="H10" s="1535"/>
    </row>
    <row r="11" spans="1:8" ht="38.25" customHeight="1" x14ac:dyDescent="0.2">
      <c r="A11" s="1619" t="s">
        <v>1178</v>
      </c>
      <c r="B11" s="1620"/>
      <c r="C11" s="1620"/>
      <c r="D11" s="1620"/>
      <c r="E11" s="1620"/>
      <c r="F11" s="1620"/>
      <c r="G11" s="1620"/>
      <c r="H11" s="1621"/>
    </row>
    <row r="12" spans="1:8" ht="57.75" customHeight="1" x14ac:dyDescent="0.2">
      <c r="A12" s="453">
        <v>3</v>
      </c>
      <c r="B12" s="213" t="s">
        <v>490</v>
      </c>
      <c r="C12" s="213" t="s">
        <v>519</v>
      </c>
      <c r="D12" s="106" t="s">
        <v>181</v>
      </c>
      <c r="E12" s="106" t="s">
        <v>520</v>
      </c>
      <c r="F12" s="541" t="s">
        <v>260</v>
      </c>
      <c r="G12" s="139" t="s">
        <v>1172</v>
      </c>
      <c r="H12" s="144">
        <f>16696.8+6000</f>
        <v>22696.799999999999</v>
      </c>
    </row>
    <row r="13" spans="1:8" ht="57.75" customHeight="1" x14ac:dyDescent="0.2">
      <c r="A13" s="453">
        <v>3</v>
      </c>
      <c r="B13" s="213" t="s">
        <v>490</v>
      </c>
      <c r="C13" s="213" t="s">
        <v>519</v>
      </c>
      <c r="D13" s="106" t="s">
        <v>181</v>
      </c>
      <c r="E13" s="106" t="s">
        <v>520</v>
      </c>
      <c r="F13" s="541" t="s">
        <v>1117</v>
      </c>
      <c r="G13" s="139" t="s">
        <v>1179</v>
      </c>
      <c r="H13" s="144">
        <v>454.65</v>
      </c>
    </row>
    <row r="14" spans="1:8" ht="57.75" customHeight="1" x14ac:dyDescent="0.2">
      <c r="A14" s="453">
        <v>3</v>
      </c>
      <c r="B14" s="213" t="s">
        <v>490</v>
      </c>
      <c r="C14" s="213" t="s">
        <v>519</v>
      </c>
      <c r="D14" s="106" t="s">
        <v>181</v>
      </c>
      <c r="E14" s="106" t="s">
        <v>520</v>
      </c>
      <c r="F14" s="541" t="s">
        <v>994</v>
      </c>
      <c r="G14" s="139" t="s">
        <v>1171</v>
      </c>
      <c r="H14" s="144">
        <v>523.17999999999995</v>
      </c>
    </row>
    <row r="15" spans="1:8" ht="57.75" customHeight="1" x14ac:dyDescent="0.2">
      <c r="A15" s="453">
        <v>3</v>
      </c>
      <c r="B15" s="213" t="s">
        <v>490</v>
      </c>
      <c r="C15" s="213" t="s">
        <v>519</v>
      </c>
      <c r="D15" s="106" t="s">
        <v>181</v>
      </c>
      <c r="E15" s="106" t="s">
        <v>520</v>
      </c>
      <c r="F15" s="541" t="s">
        <v>1112</v>
      </c>
      <c r="G15" s="139" t="s">
        <v>1113</v>
      </c>
      <c r="H15" s="144">
        <v>914.17</v>
      </c>
    </row>
    <row r="16" spans="1:8" ht="57.75" customHeight="1" x14ac:dyDescent="0.2">
      <c r="A16" s="453">
        <v>3</v>
      </c>
      <c r="B16" s="213" t="s">
        <v>490</v>
      </c>
      <c r="C16" s="213" t="s">
        <v>519</v>
      </c>
      <c r="D16" s="106" t="s">
        <v>181</v>
      </c>
      <c r="E16" s="106" t="s">
        <v>520</v>
      </c>
      <c r="F16" s="541" t="s">
        <v>265</v>
      </c>
      <c r="G16" s="139" t="s">
        <v>1173</v>
      </c>
      <c r="H16" s="144">
        <v>0</v>
      </c>
    </row>
    <row r="17" spans="1:8" ht="57.75" customHeight="1" x14ac:dyDescent="0.2">
      <c r="A17" s="453">
        <v>3</v>
      </c>
      <c r="B17" s="213" t="s">
        <v>490</v>
      </c>
      <c r="C17" s="213" t="s">
        <v>519</v>
      </c>
      <c r="D17" s="106" t="s">
        <v>181</v>
      </c>
      <c r="E17" s="106" t="s">
        <v>520</v>
      </c>
      <c r="F17" s="541" t="s">
        <v>261</v>
      </c>
      <c r="G17" s="139" t="s">
        <v>1174</v>
      </c>
      <c r="H17" s="144">
        <v>13.6</v>
      </c>
    </row>
    <row r="18" spans="1:8" ht="57.75" customHeight="1" x14ac:dyDescent="0.2">
      <c r="A18" s="453">
        <v>3</v>
      </c>
      <c r="B18" s="213" t="s">
        <v>490</v>
      </c>
      <c r="C18" s="213" t="s">
        <v>519</v>
      </c>
      <c r="D18" s="106" t="s">
        <v>181</v>
      </c>
      <c r="E18" s="106" t="s">
        <v>520</v>
      </c>
      <c r="F18" s="541" t="s">
        <v>867</v>
      </c>
      <c r="G18" s="139" t="s">
        <v>1176</v>
      </c>
      <c r="H18" s="144">
        <v>43.14</v>
      </c>
    </row>
    <row r="19" spans="1:8" ht="57.75" customHeight="1" x14ac:dyDescent="0.2">
      <c r="A19" s="453">
        <v>3</v>
      </c>
      <c r="B19" s="213" t="s">
        <v>490</v>
      </c>
      <c r="C19" s="213" t="s">
        <v>519</v>
      </c>
      <c r="D19" s="106" t="s">
        <v>181</v>
      </c>
      <c r="E19" s="106" t="s">
        <v>520</v>
      </c>
      <c r="F19" s="541" t="s">
        <v>444</v>
      </c>
      <c r="G19" s="139" t="s">
        <v>1170</v>
      </c>
      <c r="H19" s="144">
        <f>5085.83+3638.22</f>
        <v>8724.0499999999993</v>
      </c>
    </row>
    <row r="20" spans="1:8" ht="57.75" customHeight="1" x14ac:dyDescent="0.2">
      <c r="A20" s="453">
        <v>3</v>
      </c>
      <c r="B20" s="213" t="s">
        <v>490</v>
      </c>
      <c r="C20" s="213" t="s">
        <v>519</v>
      </c>
      <c r="D20" s="106" t="s">
        <v>181</v>
      </c>
      <c r="E20" s="106" t="s">
        <v>520</v>
      </c>
      <c r="F20" s="541" t="s">
        <v>1007</v>
      </c>
      <c r="G20" s="139" t="s">
        <v>1177</v>
      </c>
      <c r="H20" s="144">
        <v>550</v>
      </c>
    </row>
    <row r="21" spans="1:8" ht="57.75" customHeight="1" x14ac:dyDescent="0.2">
      <c r="A21" s="453">
        <v>3</v>
      </c>
      <c r="B21" s="213" t="s">
        <v>490</v>
      </c>
      <c r="C21" s="213" t="s">
        <v>519</v>
      </c>
      <c r="D21" s="106" t="s">
        <v>181</v>
      </c>
      <c r="E21" s="106" t="s">
        <v>520</v>
      </c>
      <c r="F21" s="541" t="s">
        <v>1169</v>
      </c>
      <c r="G21" s="139" t="s">
        <v>1175</v>
      </c>
      <c r="H21" s="144">
        <v>12525</v>
      </c>
    </row>
    <row r="22" spans="1:8" ht="24.95" customHeight="1" x14ac:dyDescent="0.25">
      <c r="A22" s="1607" t="s">
        <v>16</v>
      </c>
      <c r="B22" s="1608"/>
      <c r="C22" s="1608"/>
      <c r="D22" s="1608"/>
      <c r="E22" s="1608"/>
      <c r="F22" s="1608"/>
      <c r="G22" s="1609"/>
      <c r="H22" s="454">
        <f>SUM(H12:H21)</f>
        <v>46444.59</v>
      </c>
    </row>
    <row r="23" spans="1:8" ht="27" customHeight="1" thickBot="1" x14ac:dyDescent="0.3">
      <c r="A23" s="1610" t="s">
        <v>400</v>
      </c>
      <c r="B23" s="1611"/>
      <c r="C23" s="1611"/>
      <c r="D23" s="1611"/>
      <c r="E23" s="1611"/>
      <c r="F23" s="1611"/>
      <c r="G23" s="1611"/>
      <c r="H23" s="456">
        <f>+H22</f>
        <v>46444.59</v>
      </c>
    </row>
  </sheetData>
  <mergeCells count="12">
    <mergeCell ref="A22:G22"/>
    <mergeCell ref="A23:G23"/>
    <mergeCell ref="A7:H7"/>
    <mergeCell ref="A9:F9"/>
    <mergeCell ref="G9:G10"/>
    <mergeCell ref="H9:H10"/>
    <mergeCell ref="A11:H11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9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3"/>
  <sheetViews>
    <sheetView view="pageBreakPreview" topLeftCell="A7" zoomScale="98" zoomScaleNormal="100" zoomScaleSheetLayoutView="98" workbookViewId="0">
      <selection activeCell="G12" sqref="G12"/>
    </sheetView>
  </sheetViews>
  <sheetFormatPr baseColWidth="10" defaultRowHeight="15" x14ac:dyDescent="0.3"/>
  <cols>
    <col min="1" max="2" width="4.5703125" style="75" customWidth="1"/>
    <col min="3" max="3" width="4.5703125" style="76" customWidth="1"/>
    <col min="4" max="5" width="4.5703125" style="1" customWidth="1"/>
    <col min="6" max="6" width="14.85546875" style="1" customWidth="1"/>
    <col min="7" max="7" width="41.85546875" style="2" customWidth="1"/>
    <col min="8" max="8" width="25.28515625" style="3" customWidth="1"/>
    <col min="10" max="10" width="29.85546875" customWidth="1"/>
  </cols>
  <sheetData>
    <row r="1" spans="1:8" x14ac:dyDescent="0.3">
      <c r="A1" s="1133"/>
      <c r="B1" s="1134"/>
      <c r="C1" s="1135"/>
      <c r="D1" s="1136"/>
      <c r="E1" s="1136"/>
      <c r="F1" s="1136"/>
      <c r="G1" s="1137"/>
      <c r="H1" s="1138"/>
    </row>
    <row r="2" spans="1:8" ht="18" x14ac:dyDescent="0.35">
      <c r="A2" s="1153"/>
      <c r="C2" s="831"/>
      <c r="D2" s="831"/>
      <c r="E2" s="831"/>
      <c r="F2" s="831"/>
      <c r="G2" s="831"/>
      <c r="H2" s="1154"/>
    </row>
    <row r="3" spans="1:8" ht="18.75" x14ac:dyDescent="0.3">
      <c r="A3" s="1397" t="s">
        <v>1143</v>
      </c>
      <c r="B3" s="1398"/>
      <c r="C3" s="1398"/>
      <c r="D3" s="1398"/>
      <c r="E3" s="1398"/>
      <c r="F3" s="1398"/>
      <c r="G3" s="1398"/>
      <c r="H3" s="1399"/>
    </row>
    <row r="4" spans="1:8" ht="18.75" x14ac:dyDescent="0.3">
      <c r="A4" s="1397" t="s">
        <v>1156</v>
      </c>
      <c r="B4" s="1398"/>
      <c r="C4" s="1398"/>
      <c r="D4" s="1398"/>
      <c r="E4" s="1398"/>
      <c r="F4" s="1398"/>
      <c r="G4" s="1398"/>
      <c r="H4" s="1399"/>
    </row>
    <row r="5" spans="1:8" ht="18.75" x14ac:dyDescent="0.3">
      <c r="A5" s="1397" t="s">
        <v>516</v>
      </c>
      <c r="B5" s="1398"/>
      <c r="C5" s="1398"/>
      <c r="D5" s="1398"/>
      <c r="E5" s="1398"/>
      <c r="F5" s="1398"/>
      <c r="G5" s="1398"/>
      <c r="H5" s="1399"/>
    </row>
    <row r="6" spans="1:8" ht="18.75" x14ac:dyDescent="0.3">
      <c r="A6" s="1397" t="s">
        <v>129</v>
      </c>
      <c r="B6" s="1398"/>
      <c r="C6" s="1398"/>
      <c r="D6" s="1398"/>
      <c r="E6" s="1398"/>
      <c r="F6" s="1398"/>
      <c r="G6" s="1398"/>
      <c r="H6" s="1399"/>
    </row>
    <row r="7" spans="1:8" x14ac:dyDescent="0.3">
      <c r="A7" s="1139"/>
      <c r="B7" s="1140"/>
      <c r="C7" s="1141"/>
      <c r="D7" s="362"/>
      <c r="E7" s="362"/>
      <c r="F7" s="362"/>
      <c r="G7" s="361"/>
      <c r="H7" s="658"/>
    </row>
    <row r="8" spans="1:8" ht="20.25" customHeight="1" thickBot="1" x14ac:dyDescent="0.4">
      <c r="A8" s="1600" t="s">
        <v>409</v>
      </c>
      <c r="B8" s="1601"/>
      <c r="C8" s="1601"/>
      <c r="D8" s="1601"/>
      <c r="E8" s="1601"/>
      <c r="F8" s="1601"/>
      <c r="G8" s="1476"/>
      <c r="H8" s="1477"/>
    </row>
    <row r="9" spans="1:8" ht="15.75" customHeight="1" thickBot="1" x14ac:dyDescent="0.35">
      <c r="A9" s="1602" t="s">
        <v>171</v>
      </c>
      <c r="B9" s="1603"/>
      <c r="C9" s="1603"/>
      <c r="D9" s="1603"/>
      <c r="E9" s="1603"/>
      <c r="F9" s="1603"/>
      <c r="G9" s="1593" t="s">
        <v>172</v>
      </c>
      <c r="H9" s="1598" t="s">
        <v>173</v>
      </c>
    </row>
    <row r="10" spans="1:8" ht="201" customHeight="1" thickBot="1" x14ac:dyDescent="0.25">
      <c r="A10" s="486" t="s">
        <v>174</v>
      </c>
      <c r="B10" s="487" t="s">
        <v>175</v>
      </c>
      <c r="C10" s="487" t="s">
        <v>176</v>
      </c>
      <c r="D10" s="487" t="s">
        <v>177</v>
      </c>
      <c r="E10" s="488" t="s">
        <v>178</v>
      </c>
      <c r="F10" s="488" t="s">
        <v>179</v>
      </c>
      <c r="G10" s="1594"/>
      <c r="H10" s="1599"/>
    </row>
    <row r="11" spans="1:8" ht="88.5" customHeight="1" thickBot="1" x14ac:dyDescent="0.25">
      <c r="A11" s="494"/>
      <c r="B11" s="495"/>
      <c r="C11" s="495"/>
      <c r="D11" s="1622" t="s">
        <v>523</v>
      </c>
      <c r="E11" s="1622"/>
      <c r="F11" s="1622"/>
      <c r="G11" s="1622"/>
      <c r="H11" s="496"/>
    </row>
    <row r="12" spans="1:8" ht="50.1" customHeight="1" thickBot="1" x14ac:dyDescent="0.25">
      <c r="A12" s="1145">
        <v>5</v>
      </c>
      <c r="B12" s="489" t="s">
        <v>410</v>
      </c>
      <c r="C12" s="489" t="s">
        <v>180</v>
      </c>
      <c r="D12" s="489" t="s">
        <v>181</v>
      </c>
      <c r="E12" s="489" t="s">
        <v>425</v>
      </c>
      <c r="F12" s="489" t="s">
        <v>166</v>
      </c>
      <c r="G12" s="490" t="s">
        <v>521</v>
      </c>
      <c r="H12" s="994">
        <v>785389.57</v>
      </c>
    </row>
    <row r="13" spans="1:8" ht="50.1" customHeight="1" x14ac:dyDescent="0.2">
      <c r="A13" s="1155">
        <v>5</v>
      </c>
      <c r="B13" s="491" t="s">
        <v>410</v>
      </c>
      <c r="C13" s="491" t="s">
        <v>180</v>
      </c>
      <c r="D13" s="491" t="s">
        <v>181</v>
      </c>
      <c r="E13" s="492" t="s">
        <v>425</v>
      </c>
      <c r="F13" s="491" t="s">
        <v>153</v>
      </c>
      <c r="G13" s="493" t="s">
        <v>522</v>
      </c>
      <c r="H13" s="1156">
        <v>401717.79</v>
      </c>
    </row>
    <row r="14" spans="1:8" ht="60" customHeight="1" thickBot="1" x14ac:dyDescent="0.25">
      <c r="A14" s="1146"/>
      <c r="B14" s="1147"/>
      <c r="C14" s="1147"/>
      <c r="D14" s="1147"/>
      <c r="E14" s="1147"/>
      <c r="F14" s="1147"/>
      <c r="G14" s="1148" t="s">
        <v>411</v>
      </c>
      <c r="H14" s="1149">
        <f>SUM(H12:H13)</f>
        <v>1187107.3599999999</v>
      </c>
    </row>
    <row r="15" spans="1:8" ht="19.5" customHeight="1" x14ac:dyDescent="0.3">
      <c r="A15" s="26"/>
      <c r="B15" s="26"/>
      <c r="C15" s="363"/>
      <c r="D15" s="21"/>
      <c r="E15" s="21"/>
      <c r="F15" s="21"/>
    </row>
    <row r="16" spans="1:8" s="366" customFormat="1" ht="24" customHeight="1" x14ac:dyDescent="0.35">
      <c r="A16" s="1584" t="s">
        <v>412</v>
      </c>
      <c r="B16" s="1584"/>
      <c r="C16" s="1584"/>
      <c r="D16" s="1584"/>
      <c r="E16" s="1584"/>
      <c r="F16" s="1584"/>
      <c r="G16" s="364"/>
      <c r="H16" s="365"/>
    </row>
    <row r="17" spans="1:8" s="366" customFormat="1" x14ac:dyDescent="0.3">
      <c r="A17" s="1587" t="s">
        <v>413</v>
      </c>
      <c r="B17" s="1587"/>
      <c r="C17" s="1587"/>
      <c r="D17" s="1587"/>
      <c r="E17" s="1587"/>
      <c r="F17" s="1587"/>
      <c r="G17" s="1587"/>
      <c r="H17" s="365"/>
    </row>
    <row r="18" spans="1:8" s="366" customFormat="1" x14ac:dyDescent="0.3">
      <c r="A18" s="1587" t="s">
        <v>414</v>
      </c>
      <c r="B18" s="1587"/>
      <c r="C18" s="1587"/>
      <c r="D18" s="1587"/>
      <c r="E18" s="1587"/>
      <c r="F18" s="1587"/>
      <c r="G18" s="1587"/>
      <c r="H18" s="365"/>
    </row>
    <row r="19" spans="1:8" s="366" customFormat="1" x14ac:dyDescent="0.3">
      <c r="A19" s="367"/>
      <c r="B19" s="367"/>
      <c r="C19" s="367"/>
      <c r="D19" s="367"/>
      <c r="E19" s="367"/>
      <c r="F19" s="367"/>
      <c r="G19" s="364"/>
      <c r="H19" s="365"/>
    </row>
    <row r="20" spans="1:8" x14ac:dyDescent="0.3">
      <c r="A20" s="26"/>
      <c r="B20" s="26"/>
      <c r="C20" s="363"/>
      <c r="D20" s="21"/>
      <c r="E20" s="21"/>
      <c r="F20" s="21"/>
    </row>
    <row r="21" spans="1:8" s="366" customFormat="1" ht="18" x14ac:dyDescent="0.35">
      <c r="A21" s="368" t="s">
        <v>415</v>
      </c>
      <c r="B21" s="369"/>
      <c r="C21" s="367"/>
      <c r="D21" s="367"/>
      <c r="E21" s="367"/>
      <c r="F21" s="367"/>
      <c r="G21" s="364"/>
      <c r="H21" s="365"/>
    </row>
    <row r="22" spans="1:8" s="366" customFormat="1" ht="18" x14ac:dyDescent="0.35">
      <c r="A22" s="368"/>
      <c r="B22" s="369"/>
      <c r="C22" s="367"/>
      <c r="D22" s="367"/>
      <c r="E22" s="367"/>
      <c r="F22" s="367"/>
      <c r="G22" s="364"/>
      <c r="H22" s="365"/>
    </row>
    <row r="23" spans="1:8" s="366" customFormat="1" x14ac:dyDescent="0.3">
      <c r="A23" s="370" t="s">
        <v>416</v>
      </c>
      <c r="B23" s="371"/>
      <c r="C23" s="367"/>
      <c r="D23" s="367"/>
      <c r="E23" s="367"/>
      <c r="F23" s="367"/>
      <c r="G23" s="364"/>
      <c r="H23" s="365"/>
    </row>
    <row r="24" spans="1:8" s="366" customFormat="1" x14ac:dyDescent="0.3">
      <c r="A24" s="370" t="s">
        <v>417</v>
      </c>
      <c r="B24" s="367"/>
      <c r="C24" s="367"/>
      <c r="D24" s="367"/>
      <c r="E24" s="367"/>
      <c r="F24" s="367"/>
      <c r="G24" s="364"/>
      <c r="H24" s="365"/>
    </row>
    <row r="25" spans="1:8" s="366" customFormat="1" x14ac:dyDescent="0.3">
      <c r="A25" s="370" t="s">
        <v>418</v>
      </c>
      <c r="B25" s="367"/>
      <c r="C25" s="367"/>
      <c r="D25" s="367"/>
      <c r="E25" s="367"/>
      <c r="F25" s="367"/>
      <c r="G25" s="364"/>
      <c r="H25" s="365"/>
    </row>
    <row r="26" spans="1:8" s="366" customFormat="1" x14ac:dyDescent="0.3">
      <c r="A26" s="370" t="s">
        <v>419</v>
      </c>
      <c r="B26" s="367"/>
      <c r="C26" s="367"/>
      <c r="D26" s="367"/>
      <c r="E26" s="367"/>
      <c r="F26" s="367"/>
      <c r="G26" s="364"/>
      <c r="H26" s="365"/>
    </row>
    <row r="27" spans="1:8" s="366" customFormat="1" x14ac:dyDescent="0.3">
      <c r="A27" s="370" t="s">
        <v>420</v>
      </c>
      <c r="B27" s="367"/>
      <c r="C27" s="367"/>
      <c r="D27" s="367"/>
      <c r="E27" s="367"/>
      <c r="F27" s="367"/>
      <c r="G27" s="364"/>
      <c r="H27" s="365"/>
    </row>
    <row r="28" spans="1:8" s="366" customFormat="1" x14ac:dyDescent="0.3">
      <c r="A28" s="370" t="s">
        <v>421</v>
      </c>
      <c r="B28" s="367"/>
      <c r="C28" s="367"/>
      <c r="D28" s="367"/>
      <c r="E28" s="367"/>
      <c r="F28" s="367"/>
      <c r="G28" s="364"/>
      <c r="H28" s="365"/>
    </row>
    <row r="29" spans="1:8" s="366" customFormat="1" x14ac:dyDescent="0.3">
      <c r="A29" s="370" t="s">
        <v>422</v>
      </c>
      <c r="B29" s="367"/>
      <c r="C29" s="367"/>
      <c r="D29" s="367"/>
      <c r="E29" s="367"/>
      <c r="F29" s="367"/>
      <c r="G29" s="364"/>
      <c r="H29" s="365"/>
    </row>
    <row r="30" spans="1:8" s="366" customFormat="1" x14ac:dyDescent="0.3">
      <c r="A30" s="372" t="s">
        <v>423</v>
      </c>
      <c r="B30" s="367"/>
      <c r="C30" s="367"/>
      <c r="D30" s="367"/>
      <c r="E30" s="367"/>
      <c r="F30" s="367"/>
      <c r="G30" s="364"/>
      <c r="H30" s="365"/>
    </row>
    <row r="31" spans="1:8" s="366" customFormat="1" x14ac:dyDescent="0.3">
      <c r="A31" s="372" t="s">
        <v>424</v>
      </c>
      <c r="B31" s="367"/>
      <c r="C31" s="367"/>
      <c r="D31" s="367"/>
      <c r="E31" s="367"/>
      <c r="F31" s="367"/>
      <c r="G31" s="364"/>
      <c r="H31" s="365"/>
    </row>
    <row r="32" spans="1:8" x14ac:dyDescent="0.3">
      <c r="A32" s="373"/>
      <c r="B32" s="26"/>
      <c r="C32" s="363"/>
      <c r="D32" s="21"/>
      <c r="E32" s="21"/>
      <c r="F32" s="21"/>
    </row>
    <row r="33" spans="1:6" x14ac:dyDescent="0.3">
      <c r="A33" s="26"/>
      <c r="B33" s="26"/>
      <c r="C33" s="363"/>
      <c r="D33" s="21"/>
      <c r="E33" s="21"/>
      <c r="F33" s="21"/>
    </row>
  </sheetData>
  <mergeCells count="12">
    <mergeCell ref="A17:G17"/>
    <mergeCell ref="A18:G18"/>
    <mergeCell ref="A3:H3"/>
    <mergeCell ref="A4:H4"/>
    <mergeCell ref="A5:H5"/>
    <mergeCell ref="A6:H6"/>
    <mergeCell ref="A8:H8"/>
    <mergeCell ref="A9:F9"/>
    <mergeCell ref="G9:G10"/>
    <mergeCell ref="H9:H10"/>
    <mergeCell ref="D11:G11"/>
    <mergeCell ref="A16:F16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90"/>
  <sheetViews>
    <sheetView view="pageBreakPreview" zoomScale="93" zoomScaleNormal="100" zoomScaleSheetLayoutView="93" workbookViewId="0">
      <selection activeCell="F9" sqref="F9"/>
    </sheetView>
  </sheetViews>
  <sheetFormatPr baseColWidth="10" defaultRowHeight="12.75" x14ac:dyDescent="0.2"/>
  <cols>
    <col min="1" max="1" width="9.140625" customWidth="1"/>
    <col min="2" max="2" width="48" style="341" customWidth="1"/>
    <col min="3" max="3" width="16.5703125" customWidth="1"/>
    <col min="4" max="4" width="15.42578125" customWidth="1"/>
    <col min="6" max="6" width="12.5703125" customWidth="1"/>
    <col min="7" max="7" width="20.140625" style="94" customWidth="1"/>
    <col min="8" max="8" width="29.140625" customWidth="1"/>
    <col min="9" max="9" width="53.5703125" customWidth="1"/>
  </cols>
  <sheetData>
    <row r="1" spans="1:7" ht="83.25" customHeight="1" x14ac:dyDescent="0.2">
      <c r="A1" s="1625" t="s">
        <v>524</v>
      </c>
      <c r="B1" s="1525"/>
      <c r="C1" s="1525"/>
      <c r="D1" s="1525"/>
      <c r="E1" s="1525"/>
      <c r="F1" s="1525"/>
      <c r="G1" s="1526"/>
    </row>
    <row r="2" spans="1:7" ht="30" customHeight="1" x14ac:dyDescent="0.2">
      <c r="A2" s="391"/>
      <c r="B2" s="1157" t="s">
        <v>1144</v>
      </c>
      <c r="C2" s="1157"/>
      <c r="D2" s="1157"/>
      <c r="E2" s="1157"/>
      <c r="F2" s="1157"/>
      <c r="G2" s="666"/>
    </row>
    <row r="3" spans="1:7" ht="19.5" customHeight="1" x14ac:dyDescent="0.2">
      <c r="A3" s="386"/>
      <c r="B3" s="1157"/>
      <c r="C3" s="1157"/>
      <c r="D3" s="1157"/>
      <c r="E3" s="1157"/>
      <c r="F3" s="1157"/>
      <c r="G3" s="666"/>
    </row>
    <row r="4" spans="1:7" ht="24" customHeight="1" x14ac:dyDescent="0.2">
      <c r="A4" s="386"/>
      <c r="B4" s="1157" t="s">
        <v>861</v>
      </c>
      <c r="C4" s="1157"/>
      <c r="D4" s="1157"/>
      <c r="E4" s="1157"/>
      <c r="F4" s="1157"/>
      <c r="G4" s="666"/>
    </row>
    <row r="5" spans="1:7" ht="15" customHeight="1" x14ac:dyDescent="0.2">
      <c r="A5" s="386"/>
      <c r="B5" s="1157" t="s">
        <v>428</v>
      </c>
      <c r="C5" s="1157"/>
      <c r="D5" s="1157"/>
      <c r="E5" s="1157"/>
      <c r="F5" s="1157"/>
      <c r="G5" s="666"/>
    </row>
    <row r="6" spans="1:7" ht="20.25" customHeight="1" thickBot="1" x14ac:dyDescent="0.25">
      <c r="A6" s="386"/>
      <c r="B6" s="1157" t="s">
        <v>429</v>
      </c>
      <c r="C6" s="1157"/>
      <c r="D6" s="1157"/>
      <c r="E6" s="1157"/>
      <c r="F6" s="1157"/>
      <c r="G6" s="666"/>
    </row>
    <row r="7" spans="1:7" ht="35.1" customHeight="1" x14ac:dyDescent="0.2">
      <c r="A7" s="1623" t="s">
        <v>381</v>
      </c>
      <c r="B7" s="1626" t="s">
        <v>382</v>
      </c>
      <c r="C7" s="1628" t="s">
        <v>383</v>
      </c>
      <c r="D7" s="1628" t="s">
        <v>384</v>
      </c>
      <c r="E7" s="1628" t="s">
        <v>385</v>
      </c>
      <c r="F7" s="1628" t="s">
        <v>386</v>
      </c>
      <c r="G7" s="1630" t="s">
        <v>387</v>
      </c>
    </row>
    <row r="8" spans="1:7" ht="21" customHeight="1" x14ac:dyDescent="0.2">
      <c r="A8" s="1624"/>
      <c r="B8" s="1627"/>
      <c r="C8" s="1629"/>
      <c r="D8" s="1629"/>
      <c r="E8" s="1629"/>
      <c r="F8" s="1629"/>
      <c r="G8" s="1631"/>
    </row>
    <row r="9" spans="1:7" ht="76.5" customHeight="1" x14ac:dyDescent="0.2">
      <c r="A9" s="621">
        <v>1</v>
      </c>
      <c r="B9" s="622" t="s">
        <v>533</v>
      </c>
      <c r="C9" s="614" t="s">
        <v>408</v>
      </c>
      <c r="D9" s="614" t="s">
        <v>526</v>
      </c>
      <c r="E9" s="615" t="s">
        <v>527</v>
      </c>
      <c r="F9" s="623"/>
      <c r="G9" s="667">
        <f>+G10</f>
        <v>874980.99</v>
      </c>
    </row>
    <row r="10" spans="1:7" ht="35.25" customHeight="1" x14ac:dyDescent="0.25">
      <c r="A10" s="387"/>
      <c r="B10" s="414" t="s">
        <v>214</v>
      </c>
      <c r="C10" s="331"/>
      <c r="D10" s="331"/>
      <c r="E10" s="332"/>
      <c r="F10" s="331">
        <v>61606</v>
      </c>
      <c r="G10" s="668">
        <v>874980.99</v>
      </c>
    </row>
    <row r="11" spans="1:7" ht="60" customHeight="1" x14ac:dyDescent="0.2">
      <c r="A11" s="612">
        <v>2</v>
      </c>
      <c r="B11" s="617" t="s">
        <v>540</v>
      </c>
      <c r="C11" s="613" t="s">
        <v>408</v>
      </c>
      <c r="D11" s="614" t="s">
        <v>526</v>
      </c>
      <c r="E11" s="615" t="s">
        <v>527</v>
      </c>
      <c r="F11" s="616"/>
      <c r="G11" s="669">
        <f>+G18</f>
        <v>583384.25</v>
      </c>
    </row>
    <row r="12" spans="1:7" ht="0.75" customHeight="1" x14ac:dyDescent="0.2">
      <c r="A12" s="389"/>
      <c r="B12" s="330" t="s">
        <v>389</v>
      </c>
      <c r="C12" s="331"/>
      <c r="D12" s="332"/>
      <c r="E12" s="330"/>
      <c r="F12" s="331">
        <v>54104</v>
      </c>
      <c r="G12" s="668"/>
    </row>
    <row r="13" spans="1:7" ht="60" hidden="1" customHeight="1" x14ac:dyDescent="0.2">
      <c r="A13" s="389"/>
      <c r="B13" s="330" t="s">
        <v>392</v>
      </c>
      <c r="C13" s="331"/>
      <c r="D13" s="332"/>
      <c r="E13" s="330"/>
      <c r="F13" s="331">
        <v>54106</v>
      </c>
      <c r="G13" s="668"/>
    </row>
    <row r="14" spans="1:7" ht="60" hidden="1" customHeight="1" x14ac:dyDescent="0.2">
      <c r="A14" s="389"/>
      <c r="B14" s="330" t="s">
        <v>368</v>
      </c>
      <c r="C14" s="331"/>
      <c r="D14" s="332"/>
      <c r="E14" s="330"/>
      <c r="F14" s="331">
        <v>54111</v>
      </c>
      <c r="G14" s="668"/>
    </row>
    <row r="15" spans="1:7" ht="60" hidden="1" customHeight="1" x14ac:dyDescent="0.2">
      <c r="A15" s="389"/>
      <c r="B15" s="330" t="s">
        <v>393</v>
      </c>
      <c r="C15" s="331"/>
      <c r="D15" s="332"/>
      <c r="E15" s="330"/>
      <c r="F15" s="331">
        <v>54112</v>
      </c>
      <c r="G15" s="668"/>
    </row>
    <row r="16" spans="1:7" ht="60" hidden="1" customHeight="1" x14ac:dyDescent="0.2">
      <c r="A16" s="389"/>
      <c r="B16" s="330" t="s">
        <v>369</v>
      </c>
      <c r="C16" s="331"/>
      <c r="D16" s="332"/>
      <c r="E16" s="330"/>
      <c r="F16" s="331">
        <v>54101</v>
      </c>
      <c r="G16" s="668"/>
    </row>
    <row r="17" spans="1:9" ht="60" hidden="1" customHeight="1" x14ac:dyDescent="0.2">
      <c r="A17" s="416"/>
      <c r="B17" s="417" t="s">
        <v>390</v>
      </c>
      <c r="C17" s="418"/>
      <c r="D17" s="419"/>
      <c r="E17" s="417"/>
      <c r="F17" s="418">
        <v>54199</v>
      </c>
      <c r="G17" s="670"/>
    </row>
    <row r="18" spans="1:9" ht="37.5" customHeight="1" x14ac:dyDescent="0.25">
      <c r="A18" s="389"/>
      <c r="B18" s="414" t="s">
        <v>211</v>
      </c>
      <c r="C18" s="420"/>
      <c r="D18" s="421"/>
      <c r="E18" s="330"/>
      <c r="F18" s="420">
        <v>61601</v>
      </c>
      <c r="G18" s="671">
        <v>583384.25</v>
      </c>
    </row>
    <row r="19" spans="1:9" ht="60" customHeight="1" x14ac:dyDescent="0.2">
      <c r="A19" s="621">
        <v>3</v>
      </c>
      <c r="B19" s="617" t="s">
        <v>541</v>
      </c>
      <c r="C19" s="614" t="s">
        <v>408</v>
      </c>
      <c r="D19" s="614" t="s">
        <v>526</v>
      </c>
      <c r="E19" s="615" t="s">
        <v>527</v>
      </c>
      <c r="F19" s="623"/>
      <c r="G19" s="667">
        <f>+G20</f>
        <v>135537.94</v>
      </c>
    </row>
    <row r="20" spans="1:9" ht="33.75" customHeight="1" x14ac:dyDescent="0.25">
      <c r="A20" s="387"/>
      <c r="B20" s="414" t="s">
        <v>449</v>
      </c>
      <c r="C20" s="331"/>
      <c r="D20" s="331"/>
      <c r="E20" s="332"/>
      <c r="F20" s="331">
        <v>61602</v>
      </c>
      <c r="G20" s="668">
        <f>270000-134462.06</f>
        <v>135537.94</v>
      </c>
    </row>
    <row r="21" spans="1:9" ht="59.25" customHeight="1" x14ac:dyDescent="0.2">
      <c r="A21" s="612">
        <v>4</v>
      </c>
      <c r="B21" s="617" t="s">
        <v>534</v>
      </c>
      <c r="C21" s="613" t="s">
        <v>408</v>
      </c>
      <c r="D21" s="614" t="s">
        <v>526</v>
      </c>
      <c r="E21" s="615" t="s">
        <v>527</v>
      </c>
      <c r="F21" s="616"/>
      <c r="G21" s="669">
        <f>+G22</f>
        <v>178226.41</v>
      </c>
    </row>
    <row r="22" spans="1:9" ht="37.5" customHeight="1" x14ac:dyDescent="0.25">
      <c r="A22" s="388"/>
      <c r="B22" s="414" t="s">
        <v>449</v>
      </c>
      <c r="C22" s="420"/>
      <c r="D22" s="421"/>
      <c r="E22" s="330"/>
      <c r="F22" s="420">
        <v>61602</v>
      </c>
      <c r="G22" s="671">
        <v>178226.41</v>
      </c>
    </row>
    <row r="23" spans="1:9" ht="50.1" customHeight="1" x14ac:dyDescent="0.2">
      <c r="A23" s="612">
        <v>5</v>
      </c>
      <c r="B23" s="617" t="s">
        <v>542</v>
      </c>
      <c r="C23" s="613" t="s">
        <v>408</v>
      </c>
      <c r="D23" s="614" t="s">
        <v>526</v>
      </c>
      <c r="E23" s="615" t="s">
        <v>527</v>
      </c>
      <c r="F23" s="616"/>
      <c r="G23" s="669">
        <f>+G24</f>
        <v>204045.15</v>
      </c>
      <c r="H23" s="337" t="e">
        <f>+#REF!</f>
        <v>#REF!</v>
      </c>
      <c r="I23" s="336"/>
    </row>
    <row r="24" spans="1:9" ht="31.5" customHeight="1" x14ac:dyDescent="0.25">
      <c r="A24" s="388"/>
      <c r="B24" s="414" t="s">
        <v>449</v>
      </c>
      <c r="C24" s="420"/>
      <c r="D24" s="421"/>
      <c r="E24" s="330"/>
      <c r="F24" s="420">
        <v>61602</v>
      </c>
      <c r="G24" s="671">
        <v>204045.15</v>
      </c>
      <c r="H24" s="337"/>
      <c r="I24" s="336"/>
    </row>
    <row r="25" spans="1:9" ht="50.1" customHeight="1" x14ac:dyDescent="0.2">
      <c r="A25" s="612">
        <v>6</v>
      </c>
      <c r="B25" s="617" t="s">
        <v>543</v>
      </c>
      <c r="C25" s="613" t="s">
        <v>408</v>
      </c>
      <c r="D25" s="614" t="s">
        <v>526</v>
      </c>
      <c r="E25" s="615" t="s">
        <v>527</v>
      </c>
      <c r="F25" s="616"/>
      <c r="G25" s="669">
        <f>+G26</f>
        <v>43881.13</v>
      </c>
      <c r="H25" s="338" t="e">
        <f>+G13+#REF!+#REF!</f>
        <v>#REF!</v>
      </c>
      <c r="I25" s="336"/>
    </row>
    <row r="26" spans="1:9" ht="34.5" customHeight="1" x14ac:dyDescent="0.25">
      <c r="A26" s="388"/>
      <c r="B26" s="414" t="s">
        <v>211</v>
      </c>
      <c r="C26" s="331"/>
      <c r="D26" s="331"/>
      <c r="E26" s="332"/>
      <c r="F26" s="331">
        <v>61601</v>
      </c>
      <c r="G26" s="668">
        <v>43881.13</v>
      </c>
      <c r="H26" s="338"/>
      <c r="I26" s="336"/>
    </row>
    <row r="27" spans="1:9" ht="60" customHeight="1" x14ac:dyDescent="0.2">
      <c r="A27" s="612">
        <v>7</v>
      </c>
      <c r="B27" s="617" t="s">
        <v>544</v>
      </c>
      <c r="C27" s="613" t="s">
        <v>408</v>
      </c>
      <c r="D27" s="614" t="s">
        <v>526</v>
      </c>
      <c r="E27" s="615" t="s">
        <v>527</v>
      </c>
      <c r="F27" s="616"/>
      <c r="G27" s="669">
        <f>+G28</f>
        <v>36367.520000000004</v>
      </c>
      <c r="H27" s="339" t="e">
        <f>+#REF!+#REF!+#REF!+#REF!+#REF!+#REF!</f>
        <v>#REF!</v>
      </c>
      <c r="I27" s="336"/>
    </row>
    <row r="28" spans="1:9" ht="34.5" customHeight="1" x14ac:dyDescent="0.25">
      <c r="A28" s="388"/>
      <c r="B28" s="414" t="s">
        <v>211</v>
      </c>
      <c r="C28" s="331"/>
      <c r="D28" s="331"/>
      <c r="E28" s="332"/>
      <c r="F28" s="331">
        <v>61601</v>
      </c>
      <c r="G28" s="668">
        <f>68173.88-31806.36</f>
        <v>36367.520000000004</v>
      </c>
      <c r="H28" s="339"/>
      <c r="I28" s="336"/>
    </row>
    <row r="29" spans="1:9" ht="60" customHeight="1" x14ac:dyDescent="0.2">
      <c r="A29" s="612">
        <v>8</v>
      </c>
      <c r="B29" s="617" t="s">
        <v>545</v>
      </c>
      <c r="C29" s="613" t="s">
        <v>408</v>
      </c>
      <c r="D29" s="614" t="s">
        <v>526</v>
      </c>
      <c r="E29" s="615" t="s">
        <v>527</v>
      </c>
      <c r="F29" s="616"/>
      <c r="G29" s="669">
        <f>+G30</f>
        <v>15301.01</v>
      </c>
      <c r="H29" s="338" t="e">
        <f>+#REF!+#REF!+#REF!</f>
        <v>#REF!</v>
      </c>
      <c r="I29" s="336"/>
    </row>
    <row r="30" spans="1:9" ht="36.75" customHeight="1" x14ac:dyDescent="0.25">
      <c r="A30" s="388"/>
      <c r="B30" s="414" t="s">
        <v>211</v>
      </c>
      <c r="C30" s="331"/>
      <c r="D30" s="331"/>
      <c r="E30" s="332"/>
      <c r="F30" s="331">
        <v>61601</v>
      </c>
      <c r="G30" s="668">
        <v>15301.01</v>
      </c>
      <c r="H30" s="338"/>
      <c r="I30" s="336"/>
    </row>
    <row r="31" spans="1:9" ht="60" customHeight="1" x14ac:dyDescent="0.2">
      <c r="A31" s="612">
        <v>9</v>
      </c>
      <c r="B31" s="617" t="s">
        <v>546</v>
      </c>
      <c r="C31" s="613" t="s">
        <v>408</v>
      </c>
      <c r="D31" s="614" t="s">
        <v>526</v>
      </c>
      <c r="E31" s="615" t="s">
        <v>527</v>
      </c>
      <c r="F31" s="616"/>
      <c r="G31" s="669">
        <f>+G32</f>
        <v>12804.29</v>
      </c>
      <c r="H31" s="338"/>
      <c r="I31" s="336"/>
    </row>
    <row r="32" spans="1:9" ht="36" customHeight="1" x14ac:dyDescent="0.25">
      <c r="A32" s="388"/>
      <c r="B32" s="414" t="s">
        <v>211</v>
      </c>
      <c r="C32" s="331"/>
      <c r="D32" s="331"/>
      <c r="E32" s="332"/>
      <c r="F32" s="331">
        <v>61601</v>
      </c>
      <c r="G32" s="668">
        <f>25000-12195.71</f>
        <v>12804.29</v>
      </c>
      <c r="H32" s="338"/>
      <c r="I32" s="336"/>
    </row>
    <row r="33" spans="1:9" ht="60" customHeight="1" x14ac:dyDescent="0.2">
      <c r="A33" s="612">
        <v>10</v>
      </c>
      <c r="B33" s="617" t="s">
        <v>547</v>
      </c>
      <c r="C33" s="613" t="s">
        <v>408</v>
      </c>
      <c r="D33" s="614" t="s">
        <v>526</v>
      </c>
      <c r="E33" s="615" t="s">
        <v>527</v>
      </c>
      <c r="F33" s="616"/>
      <c r="G33" s="669">
        <f>+G34</f>
        <v>74381.94</v>
      </c>
      <c r="H33" s="338"/>
      <c r="I33" s="336"/>
    </row>
    <row r="34" spans="1:9" ht="31.5" customHeight="1" x14ac:dyDescent="0.25">
      <c r="A34" s="388"/>
      <c r="B34" s="414" t="s">
        <v>211</v>
      </c>
      <c r="C34" s="331"/>
      <c r="D34" s="331"/>
      <c r="E34" s="332"/>
      <c r="F34" s="331">
        <v>61601</v>
      </c>
      <c r="G34" s="668">
        <f>147998.26-73616.32</f>
        <v>74381.94</v>
      </c>
      <c r="H34" s="338"/>
      <c r="I34" s="336"/>
    </row>
    <row r="35" spans="1:9" ht="60" customHeight="1" x14ac:dyDescent="0.2">
      <c r="A35" s="612">
        <v>11</v>
      </c>
      <c r="B35" s="617" t="s">
        <v>551</v>
      </c>
      <c r="C35" s="613" t="s">
        <v>408</v>
      </c>
      <c r="D35" s="614" t="s">
        <v>526</v>
      </c>
      <c r="E35" s="615" t="s">
        <v>527</v>
      </c>
      <c r="F35" s="616"/>
      <c r="G35" s="669">
        <f>+G36</f>
        <v>146033.16000000003</v>
      </c>
      <c r="H35" s="338"/>
      <c r="I35" s="336"/>
    </row>
    <row r="36" spans="1:9" ht="30.75" customHeight="1" x14ac:dyDescent="0.25">
      <c r="A36" s="388"/>
      <c r="B36" s="414" t="s">
        <v>552</v>
      </c>
      <c r="C36" s="420"/>
      <c r="D36" s="421"/>
      <c r="E36" s="330"/>
      <c r="F36" s="420">
        <v>61699</v>
      </c>
      <c r="G36" s="671">
        <f>290147.03-144113.87</f>
        <v>146033.16000000003</v>
      </c>
      <c r="H36" s="338"/>
      <c r="I36" s="336"/>
    </row>
    <row r="37" spans="1:9" ht="60" customHeight="1" x14ac:dyDescent="0.2">
      <c r="A37" s="612">
        <v>12</v>
      </c>
      <c r="B37" s="617" t="s">
        <v>548</v>
      </c>
      <c r="C37" s="613" t="s">
        <v>408</v>
      </c>
      <c r="D37" s="614" t="s">
        <v>526</v>
      </c>
      <c r="E37" s="615" t="s">
        <v>527</v>
      </c>
      <c r="F37" s="616"/>
      <c r="G37" s="669">
        <f>+G38</f>
        <v>4405.29</v>
      </c>
      <c r="H37" s="338"/>
      <c r="I37" s="336"/>
    </row>
    <row r="38" spans="1:9" ht="36.75" customHeight="1" x14ac:dyDescent="0.25">
      <c r="A38" s="388"/>
      <c r="B38" s="414" t="s">
        <v>552</v>
      </c>
      <c r="C38" s="331"/>
      <c r="D38" s="331"/>
      <c r="E38" s="332"/>
      <c r="F38" s="331">
        <v>61699</v>
      </c>
      <c r="G38" s="668">
        <v>4405.29</v>
      </c>
      <c r="H38" s="338"/>
      <c r="I38" s="336"/>
    </row>
    <row r="39" spans="1:9" ht="60" customHeight="1" x14ac:dyDescent="0.2">
      <c r="A39" s="612">
        <v>13</v>
      </c>
      <c r="B39" s="617" t="s">
        <v>549</v>
      </c>
      <c r="C39" s="613" t="s">
        <v>408</v>
      </c>
      <c r="D39" s="614" t="s">
        <v>526</v>
      </c>
      <c r="E39" s="615" t="s">
        <v>527</v>
      </c>
      <c r="F39" s="616"/>
      <c r="G39" s="669">
        <f>+G40</f>
        <v>505686.3</v>
      </c>
      <c r="H39" s="338"/>
      <c r="I39" s="336"/>
    </row>
    <row r="40" spans="1:9" ht="32.25" customHeight="1" x14ac:dyDescent="0.25">
      <c r="A40" s="388"/>
      <c r="B40" s="414" t="s">
        <v>211</v>
      </c>
      <c r="C40" s="331"/>
      <c r="D40" s="331"/>
      <c r="E40" s="332"/>
      <c r="F40" s="331">
        <v>61601</v>
      </c>
      <c r="G40" s="668">
        <v>505686.3</v>
      </c>
      <c r="H40" s="338"/>
      <c r="I40" s="336"/>
    </row>
    <row r="41" spans="1:9" ht="60" customHeight="1" x14ac:dyDescent="0.2">
      <c r="A41" s="612">
        <v>14</v>
      </c>
      <c r="B41" s="617" t="s">
        <v>550</v>
      </c>
      <c r="C41" s="613" t="s">
        <v>408</v>
      </c>
      <c r="D41" s="614" t="s">
        <v>526</v>
      </c>
      <c r="E41" s="615" t="s">
        <v>527</v>
      </c>
      <c r="F41" s="616"/>
      <c r="G41" s="669">
        <f>+G42</f>
        <v>258481.76</v>
      </c>
      <c r="H41" s="338"/>
      <c r="I41" s="336"/>
    </row>
    <row r="42" spans="1:9" ht="36.75" customHeight="1" x14ac:dyDescent="0.25">
      <c r="A42" s="388"/>
      <c r="B42" s="414" t="s">
        <v>552</v>
      </c>
      <c r="C42" s="420"/>
      <c r="D42" s="421"/>
      <c r="E42" s="330"/>
      <c r="F42" s="420">
        <v>61699</v>
      </c>
      <c r="G42" s="671">
        <v>258481.76</v>
      </c>
      <c r="H42" s="338"/>
      <c r="I42" s="336"/>
    </row>
    <row r="43" spans="1:9" ht="60" customHeight="1" x14ac:dyDescent="0.2">
      <c r="A43" s="612">
        <v>15</v>
      </c>
      <c r="B43" s="617" t="s">
        <v>535</v>
      </c>
      <c r="C43" s="613" t="s">
        <v>408</v>
      </c>
      <c r="D43" s="614" t="s">
        <v>526</v>
      </c>
      <c r="E43" s="615" t="s">
        <v>527</v>
      </c>
      <c r="F43" s="616"/>
      <c r="G43" s="669">
        <f>+G44</f>
        <v>97794.18</v>
      </c>
      <c r="H43" s="338"/>
      <c r="I43" s="336"/>
    </row>
    <row r="44" spans="1:9" ht="37.5" customHeight="1" x14ac:dyDescent="0.25">
      <c r="A44" s="388"/>
      <c r="B44" s="414" t="s">
        <v>552</v>
      </c>
      <c r="C44" s="420"/>
      <c r="D44" s="421"/>
      <c r="E44" s="330"/>
      <c r="F44" s="420">
        <v>61699</v>
      </c>
      <c r="G44" s="671">
        <v>97794.18</v>
      </c>
      <c r="H44" s="338"/>
      <c r="I44" s="336"/>
    </row>
    <row r="45" spans="1:9" ht="60" customHeight="1" x14ac:dyDescent="0.2">
      <c r="A45" s="612">
        <v>16</v>
      </c>
      <c r="B45" s="617" t="s">
        <v>536</v>
      </c>
      <c r="C45" s="613" t="s">
        <v>408</v>
      </c>
      <c r="D45" s="614" t="s">
        <v>526</v>
      </c>
      <c r="E45" s="615" t="s">
        <v>527</v>
      </c>
      <c r="F45" s="616"/>
      <c r="G45" s="672">
        <f>+G46</f>
        <v>90144.29</v>
      </c>
      <c r="H45" s="338"/>
      <c r="I45" s="336"/>
    </row>
    <row r="46" spans="1:9" ht="31.5" customHeight="1" x14ac:dyDescent="0.25">
      <c r="A46" s="388"/>
      <c r="B46" s="414" t="s">
        <v>552</v>
      </c>
      <c r="C46" s="420"/>
      <c r="D46" s="421"/>
      <c r="E46" s="330"/>
      <c r="F46" s="420">
        <v>61699</v>
      </c>
      <c r="G46" s="671">
        <f>179276.74-89132.45</f>
        <v>90144.29</v>
      </c>
      <c r="H46" s="338"/>
      <c r="I46" s="336"/>
    </row>
    <row r="47" spans="1:9" ht="50.1" customHeight="1" x14ac:dyDescent="0.2">
      <c r="A47" s="612">
        <v>17</v>
      </c>
      <c r="B47" s="617" t="s">
        <v>537</v>
      </c>
      <c r="C47" s="613" t="s">
        <v>408</v>
      </c>
      <c r="D47" s="614" t="s">
        <v>526</v>
      </c>
      <c r="E47" s="615" t="s">
        <v>527</v>
      </c>
      <c r="F47" s="616"/>
      <c r="G47" s="672">
        <f>+G48</f>
        <v>206965.43</v>
      </c>
      <c r="H47" s="94"/>
    </row>
    <row r="48" spans="1:9" ht="35.25" customHeight="1" x14ac:dyDescent="0.25">
      <c r="A48" s="388"/>
      <c r="B48" s="414" t="s">
        <v>552</v>
      </c>
      <c r="C48" s="420"/>
      <c r="D48" s="421"/>
      <c r="E48" s="330"/>
      <c r="F48" s="420">
        <v>61699</v>
      </c>
      <c r="G48" s="671">
        <v>206965.43</v>
      </c>
      <c r="H48" s="94"/>
    </row>
    <row r="49" spans="1:8" ht="50.1" customHeight="1" x14ac:dyDescent="0.2">
      <c r="A49" s="612">
        <v>18</v>
      </c>
      <c r="B49" s="617" t="s">
        <v>538</v>
      </c>
      <c r="C49" s="613" t="s">
        <v>408</v>
      </c>
      <c r="D49" s="614" t="s">
        <v>526</v>
      </c>
      <c r="E49" s="615" t="s">
        <v>527</v>
      </c>
      <c r="F49" s="616"/>
      <c r="G49" s="672">
        <f>+G50</f>
        <v>44115.87</v>
      </c>
      <c r="H49" s="94"/>
    </row>
    <row r="50" spans="1:8" ht="32.25" customHeight="1" x14ac:dyDescent="0.25">
      <c r="A50" s="388"/>
      <c r="B50" s="414" t="s">
        <v>211</v>
      </c>
      <c r="C50" s="331"/>
      <c r="D50" s="331"/>
      <c r="E50" s="332"/>
      <c r="F50" s="331">
        <v>61601</v>
      </c>
      <c r="G50" s="668">
        <f>87353.99-43238.12</f>
        <v>44115.87</v>
      </c>
      <c r="H50" s="94"/>
    </row>
    <row r="51" spans="1:8" ht="50.1" customHeight="1" x14ac:dyDescent="0.2">
      <c r="A51" s="612">
        <v>19</v>
      </c>
      <c r="B51" s="617" t="s">
        <v>539</v>
      </c>
      <c r="C51" s="613" t="s">
        <v>408</v>
      </c>
      <c r="D51" s="614" t="s">
        <v>526</v>
      </c>
      <c r="E51" s="615" t="s">
        <v>527</v>
      </c>
      <c r="F51" s="616"/>
      <c r="G51" s="672">
        <f>+G52</f>
        <v>505433.75</v>
      </c>
      <c r="H51" s="94"/>
    </row>
    <row r="52" spans="1:8" ht="38.25" customHeight="1" x14ac:dyDescent="0.25">
      <c r="A52" s="388"/>
      <c r="B52" s="414" t="s">
        <v>213</v>
      </c>
      <c r="C52" s="331"/>
      <c r="D52" s="331"/>
      <c r="E52" s="332"/>
      <c r="F52" s="331">
        <v>61603</v>
      </c>
      <c r="G52" s="668">
        <v>505433.75</v>
      </c>
      <c r="H52" s="94"/>
    </row>
    <row r="53" spans="1:8" ht="50.1" customHeight="1" x14ac:dyDescent="0.2">
      <c r="A53" s="612">
        <v>20</v>
      </c>
      <c r="B53" s="617" t="s">
        <v>553</v>
      </c>
      <c r="C53" s="613" t="s">
        <v>408</v>
      </c>
      <c r="D53" s="614" t="s">
        <v>526</v>
      </c>
      <c r="E53" s="615" t="s">
        <v>527</v>
      </c>
      <c r="F53" s="616"/>
      <c r="G53" s="672">
        <f>+G54</f>
        <v>277621.78000000003</v>
      </c>
      <c r="H53" s="94"/>
    </row>
    <row r="54" spans="1:8" ht="36" customHeight="1" x14ac:dyDescent="0.25">
      <c r="A54" s="388"/>
      <c r="B54" s="414" t="s">
        <v>554</v>
      </c>
      <c r="C54" s="331"/>
      <c r="D54" s="374"/>
      <c r="E54" s="375"/>
      <c r="F54" s="331">
        <v>61608</v>
      </c>
      <c r="G54" s="668">
        <v>277621.78000000003</v>
      </c>
      <c r="H54" s="94"/>
    </row>
    <row r="55" spans="1:8" ht="68.25" customHeight="1" x14ac:dyDescent="0.2">
      <c r="A55" s="612">
        <v>21</v>
      </c>
      <c r="B55" s="617" t="s">
        <v>555</v>
      </c>
      <c r="C55" s="613" t="s">
        <v>408</v>
      </c>
      <c r="D55" s="614" t="s">
        <v>526</v>
      </c>
      <c r="E55" s="615" t="s">
        <v>527</v>
      </c>
      <c r="F55" s="616"/>
      <c r="G55" s="672">
        <f>+G56</f>
        <v>65290.13</v>
      </c>
      <c r="H55" s="94"/>
    </row>
    <row r="56" spans="1:8" ht="37.5" customHeight="1" x14ac:dyDescent="0.25">
      <c r="A56" s="388"/>
      <c r="B56" s="414" t="s">
        <v>556</v>
      </c>
      <c r="C56" s="331"/>
      <c r="D56" s="374"/>
      <c r="E56" s="375"/>
      <c r="F56" s="331">
        <v>61105</v>
      </c>
      <c r="G56" s="668">
        <v>65290.13</v>
      </c>
      <c r="H56" s="94"/>
    </row>
    <row r="57" spans="1:8" ht="59.25" customHeight="1" x14ac:dyDescent="0.2">
      <c r="A57" s="612">
        <v>22</v>
      </c>
      <c r="B57" s="617" t="s">
        <v>862</v>
      </c>
      <c r="C57" s="613" t="s">
        <v>408</v>
      </c>
      <c r="D57" s="614" t="s">
        <v>526</v>
      </c>
      <c r="E57" s="615" t="s">
        <v>527</v>
      </c>
      <c r="F57" s="616"/>
      <c r="G57" s="672">
        <f>+G58</f>
        <v>77263.759999999995</v>
      </c>
      <c r="H57" s="94"/>
    </row>
    <row r="58" spans="1:8" ht="42.75" customHeight="1" x14ac:dyDescent="0.25">
      <c r="A58" s="388"/>
      <c r="B58" s="414" t="s">
        <v>214</v>
      </c>
      <c r="C58" s="331"/>
      <c r="D58" s="374"/>
      <c r="E58" s="375"/>
      <c r="F58" s="331">
        <v>61606</v>
      </c>
      <c r="G58" s="668">
        <f>153274.49-76010.73</f>
        <v>77263.759999999995</v>
      </c>
      <c r="H58" s="94"/>
    </row>
    <row r="59" spans="1:8" ht="55.5" customHeight="1" x14ac:dyDescent="0.2">
      <c r="A59" s="612">
        <v>23</v>
      </c>
      <c r="B59" s="617" t="s">
        <v>863</v>
      </c>
      <c r="C59" s="613" t="s">
        <v>408</v>
      </c>
      <c r="D59" s="614" t="s">
        <v>526</v>
      </c>
      <c r="E59" s="615" t="s">
        <v>527</v>
      </c>
      <c r="F59" s="616"/>
      <c r="G59" s="672">
        <f>+G60</f>
        <v>150000</v>
      </c>
      <c r="H59" s="94"/>
    </row>
    <row r="60" spans="1:8" ht="38.25" customHeight="1" x14ac:dyDescent="0.25">
      <c r="A60" s="388"/>
      <c r="B60" s="414" t="s">
        <v>449</v>
      </c>
      <c r="C60" s="331"/>
      <c r="D60" s="374"/>
      <c r="E60" s="375"/>
      <c r="F60" s="331">
        <v>61602</v>
      </c>
      <c r="G60" s="668">
        <v>150000</v>
      </c>
      <c r="H60" s="94"/>
    </row>
    <row r="61" spans="1:8" ht="68.25" customHeight="1" x14ac:dyDescent="0.2">
      <c r="A61" s="676">
        <v>24</v>
      </c>
      <c r="B61" s="1158" t="s">
        <v>864</v>
      </c>
      <c r="C61" s="634"/>
      <c r="D61" s="635"/>
      <c r="E61" s="677"/>
      <c r="F61" s="678"/>
      <c r="G61" s="679">
        <f>+G62</f>
        <v>430363.09</v>
      </c>
      <c r="H61" s="94"/>
    </row>
    <row r="62" spans="1:8" ht="35.25" customHeight="1" x14ac:dyDescent="0.25">
      <c r="A62" s="1041"/>
      <c r="B62" s="414" t="s">
        <v>449</v>
      </c>
      <c r="C62" s="420"/>
      <c r="D62" s="420"/>
      <c r="E62" s="421"/>
      <c r="F62" s="420">
        <v>61602</v>
      </c>
      <c r="G62" s="671">
        <v>430363.09</v>
      </c>
      <c r="H62" s="94"/>
    </row>
    <row r="63" spans="1:8" ht="68.25" customHeight="1" x14ac:dyDescent="0.25">
      <c r="A63" s="621">
        <v>25</v>
      </c>
      <c r="B63" s="680" t="s">
        <v>900</v>
      </c>
      <c r="C63" s="614" t="s">
        <v>408</v>
      </c>
      <c r="D63" s="614" t="s">
        <v>526</v>
      </c>
      <c r="E63" s="615" t="s">
        <v>527</v>
      </c>
      <c r="F63" s="623"/>
      <c r="G63" s="681">
        <f>+G64</f>
        <v>139.85</v>
      </c>
      <c r="H63" s="94"/>
    </row>
    <row r="64" spans="1:8" ht="33" customHeight="1" x14ac:dyDescent="0.25">
      <c r="A64" s="388"/>
      <c r="B64" s="414" t="s">
        <v>552</v>
      </c>
      <c r="C64" s="420"/>
      <c r="D64" s="421"/>
      <c r="E64" s="330"/>
      <c r="F64" s="420">
        <v>61699</v>
      </c>
      <c r="G64" s="671">
        <v>139.85</v>
      </c>
      <c r="H64" s="94"/>
    </row>
    <row r="65" spans="1:8" ht="68.25" customHeight="1" x14ac:dyDescent="0.25">
      <c r="A65" s="612">
        <v>26</v>
      </c>
      <c r="B65" s="618" t="s">
        <v>908</v>
      </c>
      <c r="C65" s="613" t="s">
        <v>408</v>
      </c>
      <c r="D65" s="614" t="s">
        <v>526</v>
      </c>
      <c r="E65" s="615" t="s">
        <v>527</v>
      </c>
      <c r="F65" s="619">
        <v>61601</v>
      </c>
      <c r="G65" s="673">
        <v>22374.31</v>
      </c>
      <c r="H65" s="94"/>
    </row>
    <row r="66" spans="1:8" ht="68.25" customHeight="1" x14ac:dyDescent="0.25">
      <c r="A66" s="612">
        <v>27</v>
      </c>
      <c r="B66" s="618" t="s">
        <v>909</v>
      </c>
      <c r="C66" s="613" t="s">
        <v>408</v>
      </c>
      <c r="D66" s="614" t="s">
        <v>526</v>
      </c>
      <c r="E66" s="615" t="s">
        <v>527</v>
      </c>
      <c r="F66" s="619">
        <v>61604</v>
      </c>
      <c r="G66" s="673">
        <v>688.34</v>
      </c>
      <c r="H66" s="94"/>
    </row>
    <row r="67" spans="1:8" ht="48" customHeight="1" x14ac:dyDescent="0.25">
      <c r="A67" s="612">
        <v>28</v>
      </c>
      <c r="B67" s="618" t="s">
        <v>910</v>
      </c>
      <c r="C67" s="613" t="s">
        <v>408</v>
      </c>
      <c r="D67" s="614" t="s">
        <v>526</v>
      </c>
      <c r="E67" s="615" t="s">
        <v>527</v>
      </c>
      <c r="F67" s="619">
        <v>61601</v>
      </c>
      <c r="G67" s="673">
        <v>3327.57</v>
      </c>
      <c r="H67" s="94"/>
    </row>
    <row r="68" spans="1:8" ht="68.25" customHeight="1" x14ac:dyDescent="0.25">
      <c r="A68" s="612">
        <v>29</v>
      </c>
      <c r="B68" s="618" t="s">
        <v>911</v>
      </c>
      <c r="C68" s="613" t="s">
        <v>408</v>
      </c>
      <c r="D68" s="614" t="s">
        <v>526</v>
      </c>
      <c r="E68" s="615" t="s">
        <v>527</v>
      </c>
      <c r="F68" s="619">
        <v>61699</v>
      </c>
      <c r="G68" s="673">
        <v>31721.17</v>
      </c>
      <c r="H68" s="94"/>
    </row>
    <row r="69" spans="1:8" ht="68.25" customHeight="1" x14ac:dyDescent="0.25">
      <c r="A69" s="612">
        <v>30</v>
      </c>
      <c r="B69" s="618" t="s">
        <v>912</v>
      </c>
      <c r="C69" s="613" t="s">
        <v>408</v>
      </c>
      <c r="D69" s="614" t="s">
        <v>526</v>
      </c>
      <c r="E69" s="615" t="s">
        <v>527</v>
      </c>
      <c r="F69" s="619">
        <v>61602</v>
      </c>
      <c r="G69" s="673">
        <v>8860.35</v>
      </c>
      <c r="H69" s="94"/>
    </row>
    <row r="70" spans="1:8" ht="68.25" customHeight="1" x14ac:dyDescent="0.25">
      <c r="A70" s="612">
        <v>31</v>
      </c>
      <c r="B70" s="618" t="s">
        <v>913</v>
      </c>
      <c r="C70" s="613" t="s">
        <v>408</v>
      </c>
      <c r="D70" s="614" t="s">
        <v>526</v>
      </c>
      <c r="E70" s="615" t="s">
        <v>527</v>
      </c>
      <c r="F70" s="619">
        <v>61699</v>
      </c>
      <c r="G70" s="673">
        <v>57717.06</v>
      </c>
      <c r="H70" s="94"/>
    </row>
    <row r="71" spans="1:8" ht="68.25" customHeight="1" x14ac:dyDescent="0.25">
      <c r="A71" s="612">
        <v>32</v>
      </c>
      <c r="B71" s="618" t="s">
        <v>914</v>
      </c>
      <c r="C71" s="613" t="s">
        <v>408</v>
      </c>
      <c r="D71" s="614" t="s">
        <v>526</v>
      </c>
      <c r="E71" s="615" t="s">
        <v>527</v>
      </c>
      <c r="F71" s="620">
        <v>61603</v>
      </c>
      <c r="G71" s="674">
        <v>73705.62</v>
      </c>
      <c r="H71" s="94"/>
    </row>
    <row r="72" spans="1:8" ht="68.25" customHeight="1" x14ac:dyDescent="0.25">
      <c r="A72" s="612">
        <v>33</v>
      </c>
      <c r="B72" s="618" t="s">
        <v>915</v>
      </c>
      <c r="C72" s="613" t="s">
        <v>408</v>
      </c>
      <c r="D72" s="614" t="s">
        <v>526</v>
      </c>
      <c r="E72" s="615" t="s">
        <v>527</v>
      </c>
      <c r="F72" s="619">
        <v>61603</v>
      </c>
      <c r="G72" s="673">
        <v>146715.16</v>
      </c>
      <c r="H72" s="94"/>
    </row>
    <row r="73" spans="1:8" ht="68.25" customHeight="1" x14ac:dyDescent="0.25">
      <c r="A73" s="612">
        <v>34</v>
      </c>
      <c r="B73" s="633" t="s">
        <v>916</v>
      </c>
      <c r="C73" s="634" t="s">
        <v>408</v>
      </c>
      <c r="D73" s="635" t="s">
        <v>526</v>
      </c>
      <c r="E73" s="636" t="s">
        <v>527</v>
      </c>
      <c r="F73" s="620">
        <v>61602</v>
      </c>
      <c r="G73" s="674">
        <v>937.89</v>
      </c>
      <c r="H73" s="94"/>
    </row>
    <row r="74" spans="1:8" ht="42.75" customHeight="1" x14ac:dyDescent="0.25">
      <c r="A74" s="632">
        <v>35</v>
      </c>
      <c r="B74" s="618" t="s">
        <v>556</v>
      </c>
      <c r="C74" s="639" t="s">
        <v>408</v>
      </c>
      <c r="D74" s="639" t="s">
        <v>526</v>
      </c>
      <c r="E74" s="638" t="s">
        <v>527</v>
      </c>
      <c r="F74" s="619">
        <v>61105</v>
      </c>
      <c r="G74" s="673">
        <v>30884.85</v>
      </c>
      <c r="H74" s="94"/>
    </row>
    <row r="75" spans="1:8" ht="50.1" customHeight="1" x14ac:dyDescent="0.2">
      <c r="A75" s="612">
        <v>36</v>
      </c>
      <c r="B75" s="637" t="s">
        <v>552</v>
      </c>
      <c r="C75" s="614" t="s">
        <v>408</v>
      </c>
      <c r="D75" s="614" t="s">
        <v>526</v>
      </c>
      <c r="E75" s="615" t="s">
        <v>527</v>
      </c>
      <c r="F75" s="623">
        <v>61699</v>
      </c>
      <c r="G75" s="675">
        <v>56386.04</v>
      </c>
      <c r="H75" s="94"/>
    </row>
    <row r="76" spans="1:8" ht="60" customHeight="1" thickBot="1" x14ac:dyDescent="0.25">
      <c r="A76" s="390"/>
      <c r="B76" s="735" t="s">
        <v>528</v>
      </c>
      <c r="C76" s="736"/>
      <c r="D76" s="736"/>
      <c r="E76" s="736"/>
      <c r="F76" s="736"/>
      <c r="G76" s="737">
        <f>+G9+G11+G19+G21+G23+G25+G27+G29+G31+G33+G35+G37+G39+G41+G43+G45+G47+G49+G51+G53+G55+G57+G59+G61+G63+G65+G66+G67+G68+G69+G70+G71+G72+G73+G75+G74</f>
        <v>5451967.629999998</v>
      </c>
    </row>
    <row r="81" spans="1:3" ht="35.1" customHeight="1" x14ac:dyDescent="0.2">
      <c r="A81" s="421" t="s">
        <v>158</v>
      </c>
      <c r="B81" s="330"/>
      <c r="C81" s="360">
        <f>+G18+G26+G28+G30+G32+G34+G40+G50+G65+G67</f>
        <v>1341624.1900000004</v>
      </c>
    </row>
    <row r="82" spans="1:3" ht="35.1" customHeight="1" x14ac:dyDescent="0.2">
      <c r="A82" s="375" t="s">
        <v>279</v>
      </c>
      <c r="B82" s="624"/>
      <c r="C82" s="625">
        <f>+G20+G22+G24+G60+G62+G69+G73</f>
        <v>1107970.83</v>
      </c>
    </row>
    <row r="83" spans="1:3" ht="35.1" customHeight="1" x14ac:dyDescent="0.2">
      <c r="A83" s="332" t="s">
        <v>159</v>
      </c>
      <c r="B83" s="330"/>
      <c r="C83" s="360">
        <f>+G52+G71+G72</f>
        <v>725854.53</v>
      </c>
    </row>
    <row r="84" spans="1:3" ht="35.1" customHeight="1" x14ac:dyDescent="0.2">
      <c r="A84" s="332" t="s">
        <v>162</v>
      </c>
      <c r="B84" s="330"/>
      <c r="C84" s="360">
        <f>+G10+G58</f>
        <v>952244.75</v>
      </c>
    </row>
    <row r="85" spans="1:3" ht="35.1" customHeight="1" x14ac:dyDescent="0.2">
      <c r="A85" s="332" t="s">
        <v>163</v>
      </c>
      <c r="B85" s="330"/>
      <c r="C85" s="360">
        <f>+G54</f>
        <v>277621.78000000003</v>
      </c>
    </row>
    <row r="86" spans="1:3" ht="35.1" customHeight="1" x14ac:dyDescent="0.2">
      <c r="A86" s="332" t="s">
        <v>160</v>
      </c>
      <c r="B86" s="330"/>
      <c r="C86" s="360">
        <f>+G36+G38+G42+G44+G46+G48+G64+G70+G75+G68</f>
        <v>949788.2300000001</v>
      </c>
    </row>
    <row r="87" spans="1:3" ht="35.1" customHeight="1" x14ac:dyDescent="0.2">
      <c r="A87" s="332" t="s">
        <v>296</v>
      </c>
      <c r="B87" s="330"/>
      <c r="C87" s="360">
        <f>+G56+G74</f>
        <v>96174.98</v>
      </c>
    </row>
    <row r="88" spans="1:3" ht="35.1" customHeight="1" x14ac:dyDescent="0.2">
      <c r="A88" s="332" t="s">
        <v>321</v>
      </c>
      <c r="B88" s="330"/>
      <c r="C88" s="360">
        <f>+G66</f>
        <v>688.34</v>
      </c>
    </row>
    <row r="89" spans="1:3" ht="35.1" customHeight="1" x14ac:dyDescent="0.2">
      <c r="A89" s="145">
        <v>72101</v>
      </c>
      <c r="B89" s="330"/>
      <c r="C89" s="360">
        <v>0</v>
      </c>
    </row>
    <row r="90" spans="1:3" ht="35.1" customHeight="1" x14ac:dyDescent="0.2">
      <c r="A90" s="145"/>
      <c r="B90" s="556" t="s">
        <v>238</v>
      </c>
      <c r="C90" s="399">
        <f>SUM(C81:C89)</f>
        <v>5451967.6300000018</v>
      </c>
    </row>
  </sheetData>
  <mergeCells count="8">
    <mergeCell ref="A7:A8"/>
    <mergeCell ref="A1:G1"/>
    <mergeCell ref="B7:B8"/>
    <mergeCell ref="C7:C8"/>
    <mergeCell ref="D7:D8"/>
    <mergeCell ref="E7:E8"/>
    <mergeCell ref="F7:F8"/>
    <mergeCell ref="G7:G8"/>
  </mergeCells>
  <pageMargins left="1.1023622047244095" right="0.70866141732283472" top="0.74803149606299213" bottom="0.74803149606299213" header="0.31496062992125984" footer="0.31496062992125984"/>
  <pageSetup scale="64" orientation="portrait" r:id="rId1"/>
  <rowBreaks count="4" manualBreakCount="4">
    <brk id="32" max="6" man="1"/>
    <brk id="54" max="6" man="1"/>
    <brk id="72" max="6" man="1"/>
    <brk id="76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S120"/>
  <sheetViews>
    <sheetView view="pageBreakPreview" topLeftCell="A110" zoomScale="95" zoomScaleNormal="98" zoomScaleSheetLayoutView="95" workbookViewId="0">
      <selection activeCell="L111" sqref="L111"/>
    </sheetView>
  </sheetViews>
  <sheetFormatPr baseColWidth="10" defaultRowHeight="12.75" x14ac:dyDescent="0.2"/>
  <cols>
    <col min="1" max="1" width="5.85546875" customWidth="1"/>
    <col min="2" max="2" width="10.140625" customWidth="1"/>
    <col min="3" max="3" width="25.28515625" customWidth="1"/>
    <col min="4" max="4" width="9.5703125" bestFit="1" customWidth="1"/>
    <col min="5" max="5" width="14.85546875" customWidth="1"/>
    <col min="6" max="6" width="15.28515625" customWidth="1"/>
    <col min="7" max="7" width="13.140625" customWidth="1"/>
    <col min="8" max="8" width="14.5703125" customWidth="1"/>
    <col min="9" max="9" width="7.28515625" bestFit="1" customWidth="1"/>
    <col min="10" max="10" width="10.42578125" customWidth="1"/>
    <col min="11" max="11" width="14.28515625" customWidth="1"/>
    <col min="12" max="12" width="15.85546875" customWidth="1"/>
    <col min="13" max="13" width="12.140625" bestFit="1" customWidth="1"/>
    <col min="14" max="14" width="13.7109375" bestFit="1" customWidth="1"/>
    <col min="15" max="15" width="10.140625" customWidth="1"/>
    <col min="16" max="16" width="11" customWidth="1"/>
    <col min="17" max="17" width="10.5703125" customWidth="1"/>
    <col min="18" max="18" width="16.140625" customWidth="1"/>
    <col min="19" max="19" width="12.7109375" bestFit="1" customWidth="1"/>
  </cols>
  <sheetData>
    <row r="1" spans="1:18" ht="25.35" customHeight="1" thickTop="1" x14ac:dyDescent="0.2">
      <c r="A1" s="1228" t="s">
        <v>557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30"/>
      <c r="P1" s="1230"/>
      <c r="Q1" s="1230"/>
      <c r="R1" s="1231"/>
    </row>
    <row r="2" spans="1:18" ht="25.35" customHeight="1" x14ac:dyDescent="0.2">
      <c r="A2" s="1243" t="s">
        <v>1158</v>
      </c>
      <c r="B2" s="1244"/>
      <c r="C2" s="1244"/>
      <c r="D2" s="1244"/>
      <c r="E2" s="1244"/>
      <c r="F2" s="1244"/>
      <c r="G2" s="1244"/>
      <c r="H2" s="1244"/>
      <c r="I2" s="1244"/>
      <c r="J2" s="1244"/>
      <c r="K2" s="1244"/>
      <c r="L2" s="1244"/>
      <c r="M2" s="1244"/>
      <c r="N2" s="1244"/>
      <c r="O2" s="1244"/>
      <c r="P2" s="1244"/>
      <c r="Q2" s="1245"/>
      <c r="R2" s="155" t="s">
        <v>244</v>
      </c>
    </row>
    <row r="3" spans="1:18" ht="22.5" customHeight="1" x14ac:dyDescent="0.2">
      <c r="A3" s="1232" t="s">
        <v>203</v>
      </c>
      <c r="B3" s="1233" t="s">
        <v>205</v>
      </c>
      <c r="C3" s="1233"/>
      <c r="D3" s="1234" t="s">
        <v>215</v>
      </c>
      <c r="E3" s="148" t="s">
        <v>217</v>
      </c>
      <c r="F3" s="1235" t="s">
        <v>312</v>
      </c>
      <c r="G3" s="1236" t="s">
        <v>225</v>
      </c>
      <c r="H3" s="1236"/>
      <c r="I3" s="1236"/>
      <c r="J3" s="1236"/>
      <c r="K3" s="1236"/>
      <c r="L3" s="1236"/>
      <c r="M3" s="1237" t="s">
        <v>226</v>
      </c>
      <c r="N3" s="148" t="s">
        <v>301</v>
      </c>
      <c r="O3" s="1239" t="s">
        <v>792</v>
      </c>
      <c r="P3" s="1240"/>
      <c r="Q3" s="1241"/>
      <c r="R3" s="1238" t="s">
        <v>558</v>
      </c>
    </row>
    <row r="4" spans="1:18" ht="60.75" customHeight="1" x14ac:dyDescent="0.2">
      <c r="A4" s="1232"/>
      <c r="B4" s="1233" t="s">
        <v>227</v>
      </c>
      <c r="C4" s="1233"/>
      <c r="D4" s="1234"/>
      <c r="E4" s="148" t="s">
        <v>220</v>
      </c>
      <c r="F4" s="1235"/>
      <c r="G4" s="148" t="s">
        <v>228</v>
      </c>
      <c r="H4" s="148" t="s">
        <v>229</v>
      </c>
      <c r="I4" s="148" t="s">
        <v>1001</v>
      </c>
      <c r="J4" s="148" t="s">
        <v>230</v>
      </c>
      <c r="K4" s="148" t="s">
        <v>231</v>
      </c>
      <c r="L4" s="148" t="s">
        <v>231</v>
      </c>
      <c r="M4" s="1237"/>
      <c r="N4" s="148" t="s">
        <v>302</v>
      </c>
      <c r="O4" s="506" t="s">
        <v>791</v>
      </c>
      <c r="P4" s="435" t="s">
        <v>229</v>
      </c>
      <c r="Q4" s="435" t="s">
        <v>230</v>
      </c>
      <c r="R4" s="1238"/>
    </row>
    <row r="5" spans="1:18" ht="34.5" customHeight="1" x14ac:dyDescent="0.2">
      <c r="A5" s="1232"/>
      <c r="B5" s="1234" t="s">
        <v>232</v>
      </c>
      <c r="C5" s="1234"/>
      <c r="D5" s="1234"/>
      <c r="E5" s="149" t="s">
        <v>509</v>
      </c>
      <c r="F5" s="150" t="s">
        <v>338</v>
      </c>
      <c r="G5" s="149" t="s">
        <v>403</v>
      </c>
      <c r="H5" s="149" t="s">
        <v>404</v>
      </c>
      <c r="I5" s="156" t="s">
        <v>404</v>
      </c>
      <c r="J5" s="149">
        <v>0.06</v>
      </c>
      <c r="K5" s="148" t="s">
        <v>233</v>
      </c>
      <c r="L5" s="148" t="s">
        <v>221</v>
      </c>
      <c r="M5" s="1237"/>
      <c r="N5" s="151">
        <v>0.3</v>
      </c>
      <c r="O5" s="156">
        <v>8.5000000000000006E-2</v>
      </c>
      <c r="P5" s="156" t="s">
        <v>404</v>
      </c>
      <c r="Q5" s="156">
        <v>0.06</v>
      </c>
      <c r="R5" s="1238"/>
    </row>
    <row r="6" spans="1:18" ht="20.100000000000001" customHeight="1" thickBot="1" x14ac:dyDescent="0.25">
      <c r="A6" s="325">
        <v>1</v>
      </c>
      <c r="B6" s="1254"/>
      <c r="C6" s="1254"/>
      <c r="D6" s="1254"/>
      <c r="E6" s="1254"/>
      <c r="F6" s="1254"/>
      <c r="G6" s="1254"/>
      <c r="H6" s="1254"/>
      <c r="I6" s="1254"/>
      <c r="J6" s="1254"/>
      <c r="K6" s="1254"/>
      <c r="L6" s="1254"/>
      <c r="M6" s="1254"/>
      <c r="N6" s="1254"/>
      <c r="O6" s="1255"/>
      <c r="P6" s="1255"/>
      <c r="Q6" s="1255"/>
      <c r="R6" s="1256"/>
    </row>
    <row r="7" spans="1:18" ht="20.100000000000001" customHeight="1" x14ac:dyDescent="0.2">
      <c r="A7" s="351" t="s">
        <v>207</v>
      </c>
      <c r="B7" s="1257" t="s">
        <v>234</v>
      </c>
      <c r="C7" s="1257"/>
      <c r="D7" s="1257"/>
      <c r="E7" s="1257"/>
      <c r="F7" s="1257"/>
      <c r="G7" s="1257"/>
      <c r="H7" s="1257"/>
      <c r="I7" s="1257"/>
      <c r="J7" s="1257"/>
      <c r="K7" s="1257"/>
      <c r="L7" s="1257"/>
      <c r="M7" s="1257"/>
      <c r="N7" s="1257"/>
      <c r="O7" s="1258"/>
      <c r="P7" s="1258"/>
      <c r="Q7" s="1258"/>
      <c r="R7" s="1259"/>
    </row>
    <row r="8" spans="1:18" ht="50.1" customHeight="1" x14ac:dyDescent="0.2">
      <c r="A8" s="1251"/>
      <c r="B8" s="1260" t="s">
        <v>235</v>
      </c>
      <c r="C8" s="152" t="str">
        <f>+'PRESUP.DE PERSONAL 2'!C8</f>
        <v>Regidor propietario</v>
      </c>
      <c r="D8" s="152">
        <f>+'PRESUP.DE PERSONAL 2'!D8</f>
        <v>1</v>
      </c>
      <c r="E8" s="153">
        <f>+'PRESUP.DE PERSONAL 2'!E8</f>
        <v>2200</v>
      </c>
      <c r="F8" s="153">
        <f>+'PRESUP.DE PERSONAL 2'!F8</f>
        <v>2200</v>
      </c>
      <c r="G8" s="100">
        <f t="shared" ref="G8:G15" si="0">ROUND(IF(E8&gt;=1000, 1000*$G$5, $F8*$G$5),2)</f>
        <v>85</v>
      </c>
      <c r="H8" s="100">
        <f>ROUND($F8*$H$5,2)</f>
        <v>192.5</v>
      </c>
      <c r="I8" s="100">
        <v>0</v>
      </c>
      <c r="J8" s="100">
        <v>0</v>
      </c>
      <c r="K8" s="100">
        <f>SUM(F8:J8)</f>
        <v>2477.5</v>
      </c>
      <c r="L8" s="100">
        <f>SUM(K8*9)</f>
        <v>22297.5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f>SUM(L8:Q8)</f>
        <v>22297.5</v>
      </c>
    </row>
    <row r="9" spans="1:18" ht="50.1" customHeight="1" x14ac:dyDescent="0.2">
      <c r="A9" s="1242"/>
      <c r="B9" s="1260"/>
      <c r="C9" s="152" t="str">
        <f>+'PRESUP.DE PERSONAL 2'!C9</f>
        <v>Regidor propietario</v>
      </c>
      <c r="D9" s="152">
        <f>+'PRESUP.DE PERSONAL 2'!D9</f>
        <v>1</v>
      </c>
      <c r="E9" s="153">
        <f>+'PRESUP.DE PERSONAL 2'!E9</f>
        <v>2200</v>
      </c>
      <c r="F9" s="153">
        <f>+'PRESUP.DE PERSONAL 2'!F9</f>
        <v>2200</v>
      </c>
      <c r="G9" s="100">
        <f t="shared" si="0"/>
        <v>85</v>
      </c>
      <c r="H9" s="100">
        <f t="shared" ref="H9:H15" si="1">ROUND($F9*$H$5,2)</f>
        <v>192.5</v>
      </c>
      <c r="I9" s="100">
        <v>0</v>
      </c>
      <c r="J9" s="100">
        <v>0</v>
      </c>
      <c r="K9" s="100">
        <f t="shared" ref="K9:K15" si="2">SUM(F9:J9)</f>
        <v>2477.5</v>
      </c>
      <c r="L9" s="100">
        <f t="shared" ref="L9:L15" si="3">SUM(K9*9)</f>
        <v>22297.5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f t="shared" ref="R9:R15" si="4">SUM(L9:Q9)</f>
        <v>22297.5</v>
      </c>
    </row>
    <row r="10" spans="1:18" ht="50.1" customHeight="1" x14ac:dyDescent="0.2">
      <c r="A10" s="1242"/>
      <c r="B10" s="1260"/>
      <c r="C10" s="152" t="str">
        <f>+'PRESUP.DE PERSONAL 2'!C10</f>
        <v>Regidor propietario</v>
      </c>
      <c r="D10" s="152">
        <f>+'PRESUP.DE PERSONAL 2'!D10</f>
        <v>1</v>
      </c>
      <c r="E10" s="153">
        <f>+'PRESUP.DE PERSONAL 2'!E10</f>
        <v>2200</v>
      </c>
      <c r="F10" s="153">
        <f>+'PRESUP.DE PERSONAL 2'!F10</f>
        <v>2200</v>
      </c>
      <c r="G10" s="100">
        <f t="shared" si="0"/>
        <v>85</v>
      </c>
      <c r="H10" s="100">
        <f t="shared" si="1"/>
        <v>192.5</v>
      </c>
      <c r="I10" s="100">
        <v>0</v>
      </c>
      <c r="J10" s="100">
        <v>0</v>
      </c>
      <c r="K10" s="100">
        <f t="shared" si="2"/>
        <v>2477.5</v>
      </c>
      <c r="L10" s="100">
        <f t="shared" si="3"/>
        <v>22297.5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f t="shared" si="4"/>
        <v>22297.5</v>
      </c>
    </row>
    <row r="11" spans="1:18" ht="50.1" customHeight="1" x14ac:dyDescent="0.2">
      <c r="A11" s="1242"/>
      <c r="B11" s="1260"/>
      <c r="C11" s="152" t="str">
        <f>+'PRESUP.DE PERSONAL 2'!C11</f>
        <v>Regidor propietario</v>
      </c>
      <c r="D11" s="152">
        <f>+'PRESUP.DE PERSONAL 2'!D11</f>
        <v>1</v>
      </c>
      <c r="E11" s="153">
        <f>+'PRESUP.DE PERSONAL 2'!E11</f>
        <v>2200</v>
      </c>
      <c r="F11" s="153">
        <f>+'PRESUP.DE PERSONAL 2'!F11</f>
        <v>2200</v>
      </c>
      <c r="G11" s="100">
        <f t="shared" si="0"/>
        <v>85</v>
      </c>
      <c r="H11" s="100">
        <f t="shared" si="1"/>
        <v>192.5</v>
      </c>
      <c r="I11" s="100">
        <v>0</v>
      </c>
      <c r="J11" s="100">
        <v>0</v>
      </c>
      <c r="K11" s="100">
        <f t="shared" si="2"/>
        <v>2477.5</v>
      </c>
      <c r="L11" s="100">
        <f t="shared" si="3"/>
        <v>22297.5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f t="shared" si="4"/>
        <v>22297.5</v>
      </c>
    </row>
    <row r="12" spans="1:18" ht="50.1" customHeight="1" x14ac:dyDescent="0.2">
      <c r="A12" s="1242"/>
      <c r="B12" s="1260"/>
      <c r="C12" s="152" t="str">
        <f>+'PRESUP.DE PERSONAL 2'!C12</f>
        <v>Regidor suplente</v>
      </c>
      <c r="D12" s="152">
        <f>+'PRESUP.DE PERSONAL 2'!D12</f>
        <v>1</v>
      </c>
      <c r="E12" s="153">
        <f>+'PRESUP.DE PERSONAL 2'!E12</f>
        <v>2200</v>
      </c>
      <c r="F12" s="153">
        <f>+'PRESUP.DE PERSONAL 2'!F12</f>
        <v>2200</v>
      </c>
      <c r="G12" s="100">
        <f t="shared" si="0"/>
        <v>85</v>
      </c>
      <c r="H12" s="100">
        <f t="shared" si="1"/>
        <v>192.5</v>
      </c>
      <c r="I12" s="100">
        <v>0</v>
      </c>
      <c r="J12" s="100">
        <v>0</v>
      </c>
      <c r="K12" s="100">
        <f t="shared" si="2"/>
        <v>2477.5</v>
      </c>
      <c r="L12" s="100">
        <f t="shared" si="3"/>
        <v>22297.5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100">
        <f t="shared" si="4"/>
        <v>22297.5</v>
      </c>
    </row>
    <row r="13" spans="1:18" ht="50.1" customHeight="1" x14ac:dyDescent="0.2">
      <c r="A13" s="1242"/>
      <c r="B13" s="1260"/>
      <c r="C13" s="152" t="str">
        <f>+'PRESUP.DE PERSONAL 2'!C13</f>
        <v>Regidor suplente</v>
      </c>
      <c r="D13" s="152">
        <f>+'PRESUP.DE PERSONAL 2'!D13</f>
        <v>1</v>
      </c>
      <c r="E13" s="153">
        <f>+'PRESUP.DE PERSONAL 2'!E13</f>
        <v>2200</v>
      </c>
      <c r="F13" s="153">
        <f>+'PRESUP.DE PERSONAL 2'!F13</f>
        <v>2200</v>
      </c>
      <c r="G13" s="100">
        <f t="shared" si="0"/>
        <v>85</v>
      </c>
      <c r="H13" s="100">
        <f t="shared" si="1"/>
        <v>192.5</v>
      </c>
      <c r="I13" s="100">
        <v>0</v>
      </c>
      <c r="J13" s="100">
        <v>0</v>
      </c>
      <c r="K13" s="100">
        <f t="shared" si="2"/>
        <v>2477.5</v>
      </c>
      <c r="L13" s="100">
        <f t="shared" si="3"/>
        <v>22297.5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100">
        <f t="shared" si="4"/>
        <v>22297.5</v>
      </c>
    </row>
    <row r="14" spans="1:18" ht="50.1" customHeight="1" x14ac:dyDescent="0.2">
      <c r="A14" s="1242"/>
      <c r="B14" s="1260"/>
      <c r="C14" s="152" t="str">
        <f>+'PRESUP.DE PERSONAL 2'!C14</f>
        <v>Regidor suplente</v>
      </c>
      <c r="D14" s="152">
        <f>+'PRESUP.DE PERSONAL 2'!D14</f>
        <v>1</v>
      </c>
      <c r="E14" s="153">
        <f>+'PRESUP.DE PERSONAL 2'!E14</f>
        <v>2200</v>
      </c>
      <c r="F14" s="153">
        <f>+'PRESUP.DE PERSONAL 2'!F14</f>
        <v>2200</v>
      </c>
      <c r="G14" s="100">
        <f t="shared" si="0"/>
        <v>85</v>
      </c>
      <c r="H14" s="100">
        <f t="shared" si="1"/>
        <v>192.5</v>
      </c>
      <c r="I14" s="100">
        <v>0</v>
      </c>
      <c r="J14" s="100">
        <v>0</v>
      </c>
      <c r="K14" s="100">
        <f t="shared" si="2"/>
        <v>2477.5</v>
      </c>
      <c r="L14" s="100">
        <f t="shared" si="3"/>
        <v>22297.5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f t="shared" si="4"/>
        <v>22297.5</v>
      </c>
    </row>
    <row r="15" spans="1:18" ht="50.1" customHeight="1" x14ac:dyDescent="0.2">
      <c r="A15" s="1242"/>
      <c r="B15" s="1260"/>
      <c r="C15" s="152" t="str">
        <f>+'PRESUP.DE PERSONAL 2'!C15</f>
        <v>Regidor suplente</v>
      </c>
      <c r="D15" s="152">
        <f>+'PRESUP.DE PERSONAL 2'!D15</f>
        <v>1</v>
      </c>
      <c r="E15" s="153">
        <f>+'PRESUP.DE PERSONAL 2'!E15</f>
        <v>2200</v>
      </c>
      <c r="F15" s="153">
        <f>+'PRESUP.DE PERSONAL 2'!F15</f>
        <v>2200</v>
      </c>
      <c r="G15" s="100">
        <f t="shared" si="0"/>
        <v>85</v>
      </c>
      <c r="H15" s="100">
        <f t="shared" si="1"/>
        <v>192.5</v>
      </c>
      <c r="I15" s="100">
        <v>0</v>
      </c>
      <c r="J15" s="100">
        <v>0</v>
      </c>
      <c r="K15" s="100">
        <f t="shared" si="2"/>
        <v>2477.5</v>
      </c>
      <c r="L15" s="100">
        <f t="shared" si="3"/>
        <v>22297.5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f t="shared" si="4"/>
        <v>22297.5</v>
      </c>
    </row>
    <row r="16" spans="1:18" ht="50.1" customHeight="1" thickBot="1" x14ac:dyDescent="0.25">
      <c r="A16" s="352"/>
      <c r="B16" s="353">
        <v>51105</v>
      </c>
      <c r="C16" s="322" t="s">
        <v>303</v>
      </c>
      <c r="D16" s="322">
        <f t="shared" ref="D16:N16" si="5">SUM(D8:D15)</f>
        <v>8</v>
      </c>
      <c r="E16" s="544">
        <f t="shared" si="5"/>
        <v>17600</v>
      </c>
      <c r="F16" s="544">
        <f t="shared" si="5"/>
        <v>17600</v>
      </c>
      <c r="G16" s="544">
        <f t="shared" si="5"/>
        <v>680</v>
      </c>
      <c r="H16" s="544">
        <f t="shared" si="5"/>
        <v>1540</v>
      </c>
      <c r="I16" s="544">
        <f t="shared" si="5"/>
        <v>0</v>
      </c>
      <c r="J16" s="544">
        <f t="shared" si="5"/>
        <v>0</v>
      </c>
      <c r="K16" s="544">
        <f t="shared" si="5"/>
        <v>19820</v>
      </c>
      <c r="L16" s="544">
        <f t="shared" si="5"/>
        <v>178380</v>
      </c>
      <c r="M16" s="544">
        <f t="shared" si="5"/>
        <v>0</v>
      </c>
      <c r="N16" s="544">
        <f t="shared" si="5"/>
        <v>0</v>
      </c>
      <c r="O16" s="544"/>
      <c r="P16" s="544"/>
      <c r="Q16" s="544"/>
      <c r="R16" s="544">
        <f>SUM(R8:R15)</f>
        <v>178380</v>
      </c>
    </row>
    <row r="17" spans="1:19" ht="50.1" customHeight="1" x14ac:dyDescent="0.2">
      <c r="A17" s="1252"/>
      <c r="B17" s="1247"/>
      <c r="C17" s="152" t="str">
        <f>+'PRESUP.DE PERSONAL 2'!C17</f>
        <v xml:space="preserve">Sindico Municipal   </v>
      </c>
      <c r="D17" s="152">
        <f>+'PRESUP.DE PERSONAL 2'!D17</f>
        <v>1</v>
      </c>
      <c r="E17" s="153">
        <f>+'PRESUP.DE PERSONAL 2'!E17</f>
        <v>3500</v>
      </c>
      <c r="F17" s="153">
        <f>+'PRESUP.DE PERSONAL 2'!F17</f>
        <v>3500</v>
      </c>
      <c r="G17" s="100">
        <f t="shared" ref="G17:G25" si="6">ROUND(IF(E17&gt;=1000, 1000*$G$5, $F17*$G$5),2)</f>
        <v>85</v>
      </c>
      <c r="H17" s="100">
        <f>ROUND($F17*$H$5,2)</f>
        <v>306.25</v>
      </c>
      <c r="I17" s="100">
        <v>0</v>
      </c>
      <c r="J17" s="100">
        <v>0</v>
      </c>
      <c r="K17" s="100">
        <f t="shared" ref="K17:K90" si="7">SUM(F17:J17)</f>
        <v>3891.25</v>
      </c>
      <c r="L17" s="100">
        <f>SUM(K17*8)</f>
        <v>31130</v>
      </c>
      <c r="M17" s="100">
        <f t="shared" ref="M17:M25" si="8">D17*E17</f>
        <v>3500</v>
      </c>
      <c r="N17" s="100"/>
      <c r="O17" s="100"/>
      <c r="P17" s="100"/>
      <c r="Q17" s="100"/>
      <c r="R17" s="100">
        <f>SUM(L17:Q17)</f>
        <v>34630</v>
      </c>
    </row>
    <row r="18" spans="1:19" ht="50.1" customHeight="1" x14ac:dyDescent="0.2">
      <c r="A18" s="1242"/>
      <c r="B18" s="1248"/>
      <c r="C18" s="152" t="str">
        <f>+'PRESUP.DE PERSONAL 2'!C18</f>
        <v>Secretaria sindico Municipal</v>
      </c>
      <c r="D18" s="152">
        <f>+'PRESUP.DE PERSONAL 2'!D18</f>
        <v>1</v>
      </c>
      <c r="E18" s="153">
        <f>+'PRESUP.DE PERSONAL 2'!E18</f>
        <v>500</v>
      </c>
      <c r="F18" s="153">
        <f>+'PRESUP.DE PERSONAL 2'!F18</f>
        <v>500</v>
      </c>
      <c r="G18" s="100">
        <f t="shared" si="6"/>
        <v>42.5</v>
      </c>
      <c r="H18" s="100">
        <f>ROUND($F18*$H$5,2)</f>
        <v>43.75</v>
      </c>
      <c r="I18" s="100">
        <v>0</v>
      </c>
      <c r="J18" s="100">
        <v>0</v>
      </c>
      <c r="K18" s="100">
        <f t="shared" si="7"/>
        <v>586.25</v>
      </c>
      <c r="L18" s="100">
        <f t="shared" ref="L18:L91" si="9">SUM(K18*8)</f>
        <v>4690</v>
      </c>
      <c r="M18" s="100">
        <f t="shared" si="8"/>
        <v>500</v>
      </c>
      <c r="N18" s="100"/>
      <c r="O18" s="100"/>
      <c r="P18" s="100"/>
      <c r="Q18" s="100"/>
      <c r="R18" s="100">
        <f t="shared" ref="R18:R90" si="10">SUM(L18:Q18)</f>
        <v>5190</v>
      </c>
    </row>
    <row r="19" spans="1:19" ht="50.1" customHeight="1" x14ac:dyDescent="0.2">
      <c r="A19" s="1242"/>
      <c r="B19" s="1248"/>
      <c r="C19" s="152" t="str">
        <f>+'PRESUP.DE PERSONAL 2'!C20</f>
        <v xml:space="preserve">Secretaría Municipal  </v>
      </c>
      <c r="D19" s="152">
        <f>+'PRESUP.DE PERSONAL 2'!D20</f>
        <v>1</v>
      </c>
      <c r="E19" s="153">
        <f>+'PRESUP.DE PERSONAL 2'!E20</f>
        <v>1600</v>
      </c>
      <c r="F19" s="153">
        <f>+'PRESUP.DE PERSONAL 2'!F20</f>
        <v>1600</v>
      </c>
      <c r="G19" s="100">
        <f t="shared" si="6"/>
        <v>85</v>
      </c>
      <c r="H19" s="100">
        <f>ROUND($F19*$H$5,2)</f>
        <v>140</v>
      </c>
      <c r="I19" s="100">
        <v>0</v>
      </c>
      <c r="J19" s="100">
        <v>0</v>
      </c>
      <c r="K19" s="100">
        <f t="shared" si="7"/>
        <v>1825</v>
      </c>
      <c r="L19" s="100">
        <f t="shared" si="9"/>
        <v>14600</v>
      </c>
      <c r="M19" s="100">
        <f t="shared" si="8"/>
        <v>1600</v>
      </c>
      <c r="N19" s="100"/>
      <c r="O19" s="100"/>
      <c r="P19" s="100"/>
      <c r="Q19" s="100"/>
      <c r="R19" s="100">
        <f t="shared" si="10"/>
        <v>16200</v>
      </c>
    </row>
    <row r="20" spans="1:19" ht="50.1" customHeight="1" x14ac:dyDescent="0.2">
      <c r="A20" s="1242"/>
      <c r="B20" s="1248"/>
      <c r="C20" s="152" t="str">
        <f>+'PRESUP.DE PERSONAL 2'!C21</f>
        <v>Asistente I</v>
      </c>
      <c r="D20" s="152">
        <f>+'PRESUP.DE PERSONAL 2'!D21</f>
        <v>1</v>
      </c>
      <c r="E20" s="153">
        <f>+'PRESUP.DE PERSONAL 2'!E21</f>
        <v>1250</v>
      </c>
      <c r="F20" s="153">
        <f>+'PRESUP.DE PERSONAL 2'!F21</f>
        <v>1250</v>
      </c>
      <c r="G20" s="100">
        <f t="shared" si="6"/>
        <v>85</v>
      </c>
      <c r="H20" s="100">
        <f t="shared" ref="H20:H67" si="11">ROUND($F20*$H$5,2)</f>
        <v>109.38</v>
      </c>
      <c r="I20" s="100">
        <v>0</v>
      </c>
      <c r="J20" s="100">
        <v>0</v>
      </c>
      <c r="K20" s="100">
        <f t="shared" si="7"/>
        <v>1444.38</v>
      </c>
      <c r="L20" s="100">
        <f t="shared" si="9"/>
        <v>11555.04</v>
      </c>
      <c r="M20" s="100">
        <f t="shared" si="8"/>
        <v>1250</v>
      </c>
      <c r="N20" s="100"/>
      <c r="O20" s="100"/>
      <c r="P20" s="100"/>
      <c r="Q20" s="100"/>
      <c r="R20" s="100">
        <f t="shared" si="10"/>
        <v>12805.04</v>
      </c>
    </row>
    <row r="21" spans="1:19" s="94" customFormat="1" ht="50.1" customHeight="1" x14ac:dyDescent="0.2">
      <c r="A21" s="1242"/>
      <c r="B21" s="1248"/>
      <c r="C21" s="885" t="str">
        <f>+'PRESUP.DE PERSONAL 2'!C22</f>
        <v>Asistente II</v>
      </c>
      <c r="D21" s="885">
        <f>+'PRESUP.DE PERSONAL 2'!D22</f>
        <v>1</v>
      </c>
      <c r="E21" s="886">
        <f>+'PRESUP.DE PERSONAL 2'!E22</f>
        <v>700</v>
      </c>
      <c r="F21" s="886">
        <f>+'PRESUP.DE PERSONAL 2'!F22</f>
        <v>700</v>
      </c>
      <c r="G21" s="235">
        <f>ROUND(IF(E21&gt;=1000, 1000*$G$5, $F21*$G$5),2)</f>
        <v>59.5</v>
      </c>
      <c r="H21" s="235">
        <f t="shared" si="11"/>
        <v>61.25</v>
      </c>
      <c r="I21" s="235">
        <v>0</v>
      </c>
      <c r="J21" s="235">
        <v>0</v>
      </c>
      <c r="K21" s="235">
        <f>SUM(F21:J21)</f>
        <v>820.75</v>
      </c>
      <c r="L21" s="235">
        <f>SUM(K21*1)</f>
        <v>820.75</v>
      </c>
      <c r="M21" s="235">
        <v>0</v>
      </c>
      <c r="N21" s="235"/>
      <c r="O21" s="235"/>
      <c r="P21" s="235"/>
      <c r="Q21" s="235"/>
      <c r="R21" s="235">
        <f>SUM(L21:Q21)</f>
        <v>820.75</v>
      </c>
      <c r="S21" s="94" t="s">
        <v>1068</v>
      </c>
    </row>
    <row r="22" spans="1:19" s="94" customFormat="1" ht="50.1" customHeight="1" x14ac:dyDescent="0.2">
      <c r="A22" s="1242"/>
      <c r="B22" s="1248"/>
      <c r="C22" s="885" t="str">
        <f>+'PRESUP.DE PERSONAL 2'!C23</f>
        <v>Secretaria</v>
      </c>
      <c r="D22" s="885">
        <f>+'PRESUP.DE PERSONAL 2'!D23</f>
        <v>1</v>
      </c>
      <c r="E22" s="886">
        <f>+'PRESUP.DE PERSONAL 2'!E23</f>
        <v>500</v>
      </c>
      <c r="F22" s="886">
        <f>+'PRESUP.DE PERSONAL 2'!F23</f>
        <v>500</v>
      </c>
      <c r="G22" s="235">
        <f t="shared" si="6"/>
        <v>42.5</v>
      </c>
      <c r="H22" s="235">
        <f t="shared" si="11"/>
        <v>43.75</v>
      </c>
      <c r="I22" s="235">
        <v>0</v>
      </c>
      <c r="J22" s="235">
        <v>0</v>
      </c>
      <c r="K22" s="235">
        <f t="shared" si="7"/>
        <v>586.25</v>
      </c>
      <c r="L22" s="235">
        <f>SUM(K22*7)</f>
        <v>4103.75</v>
      </c>
      <c r="M22" s="235">
        <f t="shared" si="8"/>
        <v>500</v>
      </c>
      <c r="N22" s="887"/>
      <c r="O22" s="887"/>
      <c r="P22" s="887"/>
      <c r="Q22" s="887"/>
      <c r="R22" s="887">
        <f t="shared" si="10"/>
        <v>4603.75</v>
      </c>
      <c r="S22" s="94" t="s">
        <v>1058</v>
      </c>
    </row>
    <row r="23" spans="1:19" ht="50.1" customHeight="1" x14ac:dyDescent="0.2">
      <c r="A23" s="1242"/>
      <c r="B23" s="1248"/>
      <c r="C23" s="152" t="str">
        <f>+'PRESUP.DE PERSONAL 2'!C25</f>
        <v>Auditor interno</v>
      </c>
      <c r="D23" s="152">
        <f>+'PRESUP.DE PERSONAL 2'!D25</f>
        <v>1</v>
      </c>
      <c r="E23" s="153">
        <f>+'PRESUP.DE PERSONAL 2'!E25</f>
        <v>1100</v>
      </c>
      <c r="F23" s="153">
        <f>+'PRESUP.DE PERSONAL 2'!F25</f>
        <v>1100</v>
      </c>
      <c r="G23" s="100">
        <f t="shared" si="6"/>
        <v>85</v>
      </c>
      <c r="H23" s="100">
        <f t="shared" si="11"/>
        <v>96.25</v>
      </c>
      <c r="I23" s="100">
        <v>0</v>
      </c>
      <c r="J23" s="100">
        <v>0</v>
      </c>
      <c r="K23" s="100">
        <f t="shared" si="7"/>
        <v>1281.25</v>
      </c>
      <c r="L23" s="100">
        <f t="shared" si="9"/>
        <v>10250</v>
      </c>
      <c r="M23" s="100">
        <f t="shared" si="8"/>
        <v>1100</v>
      </c>
      <c r="N23" s="100"/>
      <c r="O23" s="100"/>
      <c r="P23" s="100"/>
      <c r="Q23" s="100"/>
      <c r="R23" s="100">
        <f t="shared" si="10"/>
        <v>11350</v>
      </c>
    </row>
    <row r="24" spans="1:19" ht="50.1" customHeight="1" x14ac:dyDescent="0.2">
      <c r="A24" s="1242"/>
      <c r="B24" s="1248"/>
      <c r="C24" s="152" t="str">
        <f>+'PRESUP.DE PERSONAL 2'!C26</f>
        <v xml:space="preserve">Secretaria </v>
      </c>
      <c r="D24" s="152">
        <f>+'PRESUP.DE PERSONAL 2'!D26</f>
        <v>1</v>
      </c>
      <c r="E24" s="153">
        <f>+'PRESUP.DE PERSONAL 2'!E26</f>
        <v>647</v>
      </c>
      <c r="F24" s="153">
        <f>+'PRESUP.DE PERSONAL 2'!F26</f>
        <v>647</v>
      </c>
      <c r="G24" s="100">
        <f t="shared" si="6"/>
        <v>55</v>
      </c>
      <c r="H24" s="100">
        <f t="shared" si="11"/>
        <v>56.61</v>
      </c>
      <c r="I24" s="100">
        <v>0</v>
      </c>
      <c r="J24" s="100">
        <v>0</v>
      </c>
      <c r="K24" s="100">
        <f t="shared" si="7"/>
        <v>758.61</v>
      </c>
      <c r="L24" s="100">
        <f t="shared" si="9"/>
        <v>6068.88</v>
      </c>
      <c r="M24" s="100">
        <f t="shared" si="8"/>
        <v>647</v>
      </c>
      <c r="N24" s="100"/>
      <c r="O24" s="100"/>
      <c r="P24" s="100"/>
      <c r="Q24" s="100"/>
      <c r="R24" s="100">
        <f t="shared" si="10"/>
        <v>6715.88</v>
      </c>
    </row>
    <row r="25" spans="1:19" ht="50.1" customHeight="1" x14ac:dyDescent="0.2">
      <c r="A25" s="1242"/>
      <c r="B25" s="1248"/>
      <c r="C25" s="152" t="str">
        <f>+'PRESUP.DE PERSONAL 2'!C27</f>
        <v>Colaborador</v>
      </c>
      <c r="D25" s="152">
        <f>+'PRESUP.DE PERSONAL 2'!D27</f>
        <v>1</v>
      </c>
      <c r="E25" s="153">
        <f>+'PRESUP.DE PERSONAL 2'!E27</f>
        <v>697</v>
      </c>
      <c r="F25" s="153">
        <f>+'PRESUP.DE PERSONAL 2'!F27</f>
        <v>697</v>
      </c>
      <c r="G25" s="100">
        <f t="shared" si="6"/>
        <v>59.25</v>
      </c>
      <c r="H25" s="100">
        <f t="shared" si="11"/>
        <v>60.99</v>
      </c>
      <c r="I25" s="100">
        <v>0</v>
      </c>
      <c r="J25" s="100">
        <v>0</v>
      </c>
      <c r="K25" s="100">
        <f t="shared" si="7"/>
        <v>817.24</v>
      </c>
      <c r="L25" s="100">
        <f t="shared" si="9"/>
        <v>6537.92</v>
      </c>
      <c r="M25" s="100">
        <f t="shared" si="8"/>
        <v>697</v>
      </c>
      <c r="N25" s="100"/>
      <c r="O25" s="100"/>
      <c r="P25" s="100"/>
      <c r="Q25" s="100"/>
      <c r="R25" s="100">
        <f t="shared" si="10"/>
        <v>7234.92</v>
      </c>
    </row>
    <row r="26" spans="1:19" ht="50.1" customHeight="1" x14ac:dyDescent="0.2">
      <c r="A26" s="1242"/>
      <c r="B26" s="1248"/>
      <c r="C26" s="152" t="str">
        <f>+'PRESUP.DE PERSONAL 2'!C29</f>
        <v>Oficial de Cumplimiento</v>
      </c>
      <c r="D26" s="152">
        <f>+'PRESUP.DE PERSONAL 2'!D29</f>
        <v>1</v>
      </c>
      <c r="E26" s="153">
        <f>+'PRESUP.DE PERSONAL 2'!E29</f>
        <v>1200</v>
      </c>
      <c r="F26" s="153">
        <f>+'PRESUP.DE PERSONAL 2'!F29</f>
        <v>1200</v>
      </c>
      <c r="G26" s="100">
        <f>ROUND(IF(E26&gt;=1000, 1000*$G$5, $F26*$G$5),2)</f>
        <v>85</v>
      </c>
      <c r="H26" s="100">
        <f t="shared" si="11"/>
        <v>105</v>
      </c>
      <c r="I26" s="100">
        <v>0</v>
      </c>
      <c r="J26" s="100">
        <v>0</v>
      </c>
      <c r="K26" s="100">
        <f>SUM(F26:J26)</f>
        <v>1390</v>
      </c>
      <c r="L26" s="100">
        <f>SUM(K26*8)</f>
        <v>11120</v>
      </c>
      <c r="M26" s="100">
        <f>D26*E26</f>
        <v>1200</v>
      </c>
      <c r="N26" s="100"/>
      <c r="O26" s="100"/>
      <c r="P26" s="100"/>
      <c r="Q26" s="100"/>
      <c r="R26" s="100">
        <f>SUM(L26:Q26)</f>
        <v>12320</v>
      </c>
    </row>
    <row r="27" spans="1:19" ht="50.1" customHeight="1" x14ac:dyDescent="0.2">
      <c r="A27" s="1242"/>
      <c r="B27" s="1248"/>
      <c r="C27" s="152" t="str">
        <f>+'PRESUP.DE PERSONAL 2'!C31</f>
        <v xml:space="preserve">Alcalde Municipal  </v>
      </c>
      <c r="D27" s="152">
        <f>+'PRESUP.DE PERSONAL 2'!D31</f>
        <v>1</v>
      </c>
      <c r="E27" s="153">
        <f>+'PRESUP.DE PERSONAL 2'!E31</f>
        <v>5000</v>
      </c>
      <c r="F27" s="153">
        <f>+'PRESUP.DE PERSONAL 2'!F31</f>
        <v>5000</v>
      </c>
      <c r="G27" s="100">
        <f t="shared" ref="G27:G67" si="12">ROUND(IF(E27&gt;=1000, 1000*$G$5, $F27*$G$5),2)</f>
        <v>85</v>
      </c>
      <c r="H27" s="100">
        <f t="shared" si="11"/>
        <v>437.5</v>
      </c>
      <c r="I27" s="100">
        <v>0</v>
      </c>
      <c r="J27" s="100">
        <v>0</v>
      </c>
      <c r="K27" s="100">
        <f t="shared" si="7"/>
        <v>5522.5</v>
      </c>
      <c r="L27" s="100">
        <f t="shared" si="9"/>
        <v>44180</v>
      </c>
      <c r="M27" s="100">
        <f t="shared" ref="M27:M67" si="13">D27*E27</f>
        <v>5000</v>
      </c>
      <c r="N27" s="100"/>
      <c r="O27" s="100"/>
      <c r="P27" s="100"/>
      <c r="Q27" s="100"/>
      <c r="R27" s="100">
        <f t="shared" si="10"/>
        <v>49180</v>
      </c>
    </row>
    <row r="28" spans="1:19" s="94" customFormat="1" ht="50.1" customHeight="1" x14ac:dyDescent="0.2">
      <c r="A28" s="1242"/>
      <c r="B28" s="1248"/>
      <c r="C28" s="885" t="str">
        <f>+'PRESUP.DE PERSONAL 2'!C32</f>
        <v>Asistente</v>
      </c>
      <c r="D28" s="885">
        <f>+'PRESUP.DE PERSONAL 2'!D32</f>
        <v>1</v>
      </c>
      <c r="E28" s="886">
        <f>+'PRESUP.DE PERSONAL 2'!E32</f>
        <v>800</v>
      </c>
      <c r="F28" s="886">
        <f>+'PRESUP.DE PERSONAL 2'!F32</f>
        <v>800</v>
      </c>
      <c r="G28" s="235">
        <f>ROUND(IF(E28&gt;=1000, 1000*$G$5, $F28*$G$5),2)</f>
        <v>68</v>
      </c>
      <c r="H28" s="235">
        <f t="shared" si="11"/>
        <v>70</v>
      </c>
      <c r="I28" s="235">
        <v>0</v>
      </c>
      <c r="J28" s="235">
        <v>0</v>
      </c>
      <c r="K28" s="235">
        <f>SUM(F28:J28)</f>
        <v>938</v>
      </c>
      <c r="L28" s="235">
        <f>SUM(K28*7)</f>
        <v>6566</v>
      </c>
      <c r="M28" s="235">
        <f>D28*E28</f>
        <v>800</v>
      </c>
      <c r="N28" s="887"/>
      <c r="O28" s="887"/>
      <c r="P28" s="887"/>
      <c r="Q28" s="887"/>
      <c r="R28" s="887">
        <f>SUM(L28:Q28)</f>
        <v>7366</v>
      </c>
      <c r="S28" s="94" t="s">
        <v>1058</v>
      </c>
    </row>
    <row r="29" spans="1:19" s="94" customFormat="1" ht="50.1" customHeight="1" x14ac:dyDescent="0.2">
      <c r="A29" s="1242"/>
      <c r="B29" s="1248"/>
      <c r="C29" s="885" t="str">
        <f>+'PRESUP.DE PERSONAL 2'!C33</f>
        <v>Motorista</v>
      </c>
      <c r="D29" s="885">
        <f>+'PRESUP.DE PERSONAL 2'!D33</f>
        <v>1</v>
      </c>
      <c r="E29" s="886">
        <f>+'PRESUP.DE PERSONAL 2'!E33</f>
        <v>500</v>
      </c>
      <c r="F29" s="886">
        <f>+'PRESUP.DE PERSONAL 2'!F33</f>
        <v>500</v>
      </c>
      <c r="G29" s="235">
        <f>ROUND(IF(E29&gt;=1000, 1000*$G$5, $F29*$G$5),2)</f>
        <v>42.5</v>
      </c>
      <c r="H29" s="235">
        <f t="shared" si="11"/>
        <v>43.75</v>
      </c>
      <c r="I29" s="235">
        <v>0</v>
      </c>
      <c r="J29" s="235">
        <v>0</v>
      </c>
      <c r="K29" s="235">
        <f>SUM(F29:J29)</f>
        <v>586.25</v>
      </c>
      <c r="L29" s="235">
        <f>SUM(K29*7)</f>
        <v>4103.75</v>
      </c>
      <c r="M29" s="235">
        <f>D29*E29</f>
        <v>500</v>
      </c>
      <c r="N29" s="887"/>
      <c r="O29" s="887"/>
      <c r="P29" s="887"/>
      <c r="Q29" s="887"/>
      <c r="R29" s="887">
        <f>SUM(L29:Q29)</f>
        <v>4603.75</v>
      </c>
      <c r="S29" s="94" t="s">
        <v>1058</v>
      </c>
    </row>
    <row r="30" spans="1:19" s="94" customFormat="1" ht="50.1" customHeight="1" x14ac:dyDescent="0.2">
      <c r="A30" s="1242"/>
      <c r="B30" s="1248"/>
      <c r="C30" s="885" t="str">
        <f>+'PRESUP.DE PERSONAL 2'!C35</f>
        <v>Jefe de Asesoria Juridica</v>
      </c>
      <c r="D30" s="885">
        <f>+'PRESUP.DE PERSONAL 2'!D35</f>
        <v>1</v>
      </c>
      <c r="E30" s="886">
        <f>+'PRESUP.DE PERSONAL 2'!E35</f>
        <v>1300</v>
      </c>
      <c r="F30" s="886">
        <f>+'PRESUP.DE PERSONAL 2'!F35</f>
        <v>1300</v>
      </c>
      <c r="G30" s="235">
        <f t="shared" si="12"/>
        <v>85</v>
      </c>
      <c r="H30" s="235">
        <f t="shared" si="11"/>
        <v>113.75</v>
      </c>
      <c r="I30" s="235">
        <v>0</v>
      </c>
      <c r="J30" s="235">
        <v>0</v>
      </c>
      <c r="K30" s="235">
        <f t="shared" si="7"/>
        <v>1498.75</v>
      </c>
      <c r="L30" s="235">
        <f>SUM(K30*7)</f>
        <v>10491.25</v>
      </c>
      <c r="M30" s="235">
        <f t="shared" si="13"/>
        <v>1300</v>
      </c>
      <c r="N30" s="887"/>
      <c r="O30" s="887"/>
      <c r="P30" s="887"/>
      <c r="Q30" s="887"/>
      <c r="R30" s="887">
        <f t="shared" si="10"/>
        <v>11791.25</v>
      </c>
      <c r="S30" s="94" t="s">
        <v>1058</v>
      </c>
    </row>
    <row r="31" spans="1:19" s="94" customFormat="1" ht="50.1" customHeight="1" x14ac:dyDescent="0.2">
      <c r="A31" s="1242"/>
      <c r="B31" s="1248"/>
      <c r="C31" s="888" t="str">
        <f>+'PRESUP.DE PERSONAL 2'!C36</f>
        <v>Asistente</v>
      </c>
      <c r="D31" s="888">
        <f>+'PRESUP.DE PERSONAL 2'!D36</f>
        <v>1</v>
      </c>
      <c r="E31" s="886">
        <f>+'PRESUP.DE PERSONAL 2'!E36</f>
        <v>1000</v>
      </c>
      <c r="F31" s="886">
        <f>+'PRESUP.DE PERSONAL 2'!F36</f>
        <v>1000</v>
      </c>
      <c r="G31" s="887">
        <f t="shared" si="12"/>
        <v>85</v>
      </c>
      <c r="H31" s="887">
        <f t="shared" si="11"/>
        <v>87.5</v>
      </c>
      <c r="I31" s="887">
        <v>0</v>
      </c>
      <c r="J31" s="887">
        <v>0</v>
      </c>
      <c r="K31" s="887">
        <f t="shared" si="7"/>
        <v>1172.5</v>
      </c>
      <c r="L31" s="887">
        <f t="shared" si="9"/>
        <v>9380</v>
      </c>
      <c r="M31" s="887">
        <f t="shared" si="13"/>
        <v>1000</v>
      </c>
      <c r="N31" s="887"/>
      <c r="O31" s="887"/>
      <c r="P31" s="887"/>
      <c r="Q31" s="887"/>
      <c r="R31" s="887">
        <f t="shared" si="10"/>
        <v>10380</v>
      </c>
    </row>
    <row r="32" spans="1:19" s="94" customFormat="1" ht="50.1" customHeight="1" x14ac:dyDescent="0.2">
      <c r="A32" s="1242"/>
      <c r="B32" s="1248"/>
      <c r="C32" s="885" t="str">
        <f>+'PRESUP.DE PERSONAL 2'!C38</f>
        <v>Delegado contravencional</v>
      </c>
      <c r="D32" s="885">
        <f>+'PRESUP.DE PERSONAL 2'!D38</f>
        <v>1</v>
      </c>
      <c r="E32" s="886">
        <f>+'PRESUP.DE PERSONAL 2'!E38</f>
        <v>1000</v>
      </c>
      <c r="F32" s="886">
        <f>+'PRESUP.DE PERSONAL 2'!F38</f>
        <v>1000</v>
      </c>
      <c r="G32" s="235">
        <f t="shared" si="12"/>
        <v>85</v>
      </c>
      <c r="H32" s="235">
        <f t="shared" si="11"/>
        <v>87.5</v>
      </c>
      <c r="I32" s="235">
        <v>0</v>
      </c>
      <c r="J32" s="235">
        <v>0</v>
      </c>
      <c r="K32" s="235">
        <f t="shared" si="7"/>
        <v>1172.5</v>
      </c>
      <c r="L32" s="235">
        <f>SUM(K32*7)</f>
        <v>8207.5</v>
      </c>
      <c r="M32" s="235">
        <f t="shared" si="13"/>
        <v>1000</v>
      </c>
      <c r="N32" s="887"/>
      <c r="O32" s="887"/>
      <c r="P32" s="887"/>
      <c r="Q32" s="887"/>
      <c r="R32" s="887">
        <f t="shared" si="10"/>
        <v>9207.5</v>
      </c>
      <c r="S32" s="94" t="s">
        <v>1058</v>
      </c>
    </row>
    <row r="33" spans="1:19" s="94" customFormat="1" ht="50.1" customHeight="1" x14ac:dyDescent="0.2">
      <c r="A33" s="1242"/>
      <c r="B33" s="1248"/>
      <c r="C33" s="885" t="str">
        <f>+'PRESUP.DE PERSONAL 2'!C39</f>
        <v>Asistente</v>
      </c>
      <c r="D33" s="885">
        <f>+'PRESUP.DE PERSONAL 2'!D39</f>
        <v>1</v>
      </c>
      <c r="E33" s="886">
        <f>+'PRESUP.DE PERSONAL 2'!E39</f>
        <v>700</v>
      </c>
      <c r="F33" s="886">
        <f>+'PRESUP.DE PERSONAL 2'!F39</f>
        <v>700</v>
      </c>
      <c r="G33" s="235">
        <f t="shared" si="12"/>
        <v>59.5</v>
      </c>
      <c r="H33" s="235">
        <f t="shared" si="11"/>
        <v>61.25</v>
      </c>
      <c r="I33" s="235">
        <v>0</v>
      </c>
      <c r="J33" s="235">
        <v>0</v>
      </c>
      <c r="K33" s="235">
        <f t="shared" si="7"/>
        <v>820.75</v>
      </c>
      <c r="L33" s="235">
        <f>SUM(K33*7)</f>
        <v>5745.25</v>
      </c>
      <c r="M33" s="235">
        <f t="shared" si="13"/>
        <v>700</v>
      </c>
      <c r="N33" s="887"/>
      <c r="O33" s="887"/>
      <c r="P33" s="887"/>
      <c r="Q33" s="887"/>
      <c r="R33" s="887">
        <f t="shared" si="10"/>
        <v>6445.25</v>
      </c>
      <c r="S33" s="94" t="s">
        <v>1058</v>
      </c>
    </row>
    <row r="34" spans="1:19" s="94" customFormat="1" ht="50.1" customHeight="1" x14ac:dyDescent="0.2">
      <c r="A34" s="1242"/>
      <c r="B34" s="1248"/>
      <c r="C34" s="885" t="str">
        <f>+'PRESUP.DE PERSONAL 2'!C40</f>
        <v>Secretaria</v>
      </c>
      <c r="D34" s="885">
        <f>+'PRESUP.DE PERSONAL 2'!D40</f>
        <v>1</v>
      </c>
      <c r="E34" s="886">
        <f>+'PRESUP.DE PERSONAL 2'!E40</f>
        <v>500</v>
      </c>
      <c r="F34" s="886">
        <f>+'PRESUP.DE PERSONAL 2'!F40</f>
        <v>500</v>
      </c>
      <c r="G34" s="235">
        <f>ROUND(IF(E34&gt;=1000, 1000*$G$5, $F34*$G$5),2)</f>
        <v>42.5</v>
      </c>
      <c r="H34" s="235">
        <f t="shared" si="11"/>
        <v>43.75</v>
      </c>
      <c r="I34" s="235">
        <v>0</v>
      </c>
      <c r="J34" s="235">
        <v>0</v>
      </c>
      <c r="K34" s="235">
        <f>SUM(F34:J34)</f>
        <v>586.25</v>
      </c>
      <c r="L34" s="235">
        <f>SUM(K34*1)</f>
        <v>586.25</v>
      </c>
      <c r="M34" s="235">
        <v>0</v>
      </c>
      <c r="N34" s="887"/>
      <c r="O34" s="887"/>
      <c r="P34" s="887"/>
      <c r="Q34" s="887"/>
      <c r="R34" s="887">
        <f t="shared" si="10"/>
        <v>586.25</v>
      </c>
      <c r="S34" s="94" t="s">
        <v>1068</v>
      </c>
    </row>
    <row r="35" spans="1:19" ht="50.1" customHeight="1" x14ac:dyDescent="0.2">
      <c r="A35" s="1242"/>
      <c r="B35" s="1248"/>
      <c r="C35" s="152" t="str">
        <f>+'PRESUP.DE PERSONAL 2'!C41</f>
        <v xml:space="preserve">Subdelegada </v>
      </c>
      <c r="D35" s="152">
        <f>+'PRESUP.DE PERSONAL 2'!D41</f>
        <v>1</v>
      </c>
      <c r="E35" s="153">
        <f>+'PRESUP.DE PERSONAL 2'!E41</f>
        <v>775</v>
      </c>
      <c r="F35" s="153">
        <f>+'PRESUP.DE PERSONAL 2'!F41</f>
        <v>775</v>
      </c>
      <c r="G35" s="100">
        <f t="shared" si="12"/>
        <v>65.88</v>
      </c>
      <c r="H35" s="100">
        <f t="shared" si="11"/>
        <v>67.81</v>
      </c>
      <c r="I35" s="100">
        <v>0</v>
      </c>
      <c r="J35" s="100">
        <v>0</v>
      </c>
      <c r="K35" s="100">
        <f t="shared" si="7"/>
        <v>908.69</v>
      </c>
      <c r="L35" s="100">
        <f t="shared" si="9"/>
        <v>7269.52</v>
      </c>
      <c r="M35" s="100">
        <f t="shared" si="13"/>
        <v>775</v>
      </c>
      <c r="N35" s="100"/>
      <c r="O35" s="100"/>
      <c r="P35" s="100"/>
      <c r="Q35" s="100"/>
      <c r="R35" s="100">
        <f t="shared" si="10"/>
        <v>8044.52</v>
      </c>
    </row>
    <row r="36" spans="1:19" ht="50.1" customHeight="1" x14ac:dyDescent="0.2">
      <c r="A36" s="1242"/>
      <c r="B36" s="1248"/>
      <c r="C36" s="152" t="str">
        <f>+'PRESUP.DE PERSONAL 2'!C42</f>
        <v>Colaborador</v>
      </c>
      <c r="D36" s="152">
        <f>+'PRESUP.DE PERSONAL 2'!D42</f>
        <v>1</v>
      </c>
      <c r="E36" s="153">
        <f>+'PRESUP.DE PERSONAL 2'!E42</f>
        <v>547</v>
      </c>
      <c r="F36" s="153">
        <f>+'PRESUP.DE PERSONAL 2'!F42</f>
        <v>547</v>
      </c>
      <c r="G36" s="100">
        <f t="shared" si="12"/>
        <v>46.5</v>
      </c>
      <c r="H36" s="100">
        <f t="shared" si="11"/>
        <v>47.86</v>
      </c>
      <c r="I36" s="100">
        <v>0</v>
      </c>
      <c r="J36" s="100">
        <v>0</v>
      </c>
      <c r="K36" s="100">
        <f t="shared" si="7"/>
        <v>641.36</v>
      </c>
      <c r="L36" s="100">
        <f t="shared" si="9"/>
        <v>5130.88</v>
      </c>
      <c r="M36" s="100">
        <f t="shared" si="13"/>
        <v>547</v>
      </c>
      <c r="N36" s="100"/>
      <c r="O36" s="100"/>
      <c r="P36" s="100"/>
      <c r="Q36" s="100"/>
      <c r="R36" s="100">
        <f t="shared" si="10"/>
        <v>5677.88</v>
      </c>
    </row>
    <row r="37" spans="1:19" ht="50.1" customHeight="1" x14ac:dyDescent="0.2">
      <c r="A37" s="1242"/>
      <c r="B37" s="1248"/>
      <c r="C37" s="152" t="str">
        <f>+'PRESUP.DE PERSONAL 2'!C44</f>
        <v>Delegada de la Unidad de Proteccion de Animales de Compañía</v>
      </c>
      <c r="D37" s="152">
        <f>+'PRESUP.DE PERSONAL 2'!D44</f>
        <v>1</v>
      </c>
      <c r="E37" s="153">
        <f>+'PRESUP.DE PERSONAL 2'!E44</f>
        <v>780</v>
      </c>
      <c r="F37" s="153">
        <f>+'PRESUP.DE PERSONAL 2'!F44</f>
        <v>780</v>
      </c>
      <c r="G37" s="100">
        <f t="shared" si="12"/>
        <v>66.3</v>
      </c>
      <c r="H37" s="100">
        <f t="shared" si="11"/>
        <v>68.25</v>
      </c>
      <c r="I37" s="100">
        <v>0</v>
      </c>
      <c r="J37" s="100">
        <v>0</v>
      </c>
      <c r="K37" s="100">
        <f t="shared" si="7"/>
        <v>914.55</v>
      </c>
      <c r="L37" s="100">
        <f t="shared" si="9"/>
        <v>7316.4</v>
      </c>
      <c r="M37" s="100">
        <f t="shared" si="13"/>
        <v>780</v>
      </c>
      <c r="N37" s="100"/>
      <c r="O37" s="100"/>
      <c r="P37" s="100"/>
      <c r="Q37" s="100"/>
      <c r="R37" s="100">
        <f t="shared" si="10"/>
        <v>8096.4</v>
      </c>
    </row>
    <row r="38" spans="1:19" s="94" customFormat="1" ht="50.1" customHeight="1" x14ac:dyDescent="0.2">
      <c r="A38" s="1242"/>
      <c r="B38" s="1248"/>
      <c r="C38" s="885" t="str">
        <f>+'PRESUP.DE PERSONAL 2'!C45</f>
        <v>Medico Veterianario</v>
      </c>
      <c r="D38" s="885">
        <f>+'PRESUP.DE PERSONAL 2'!D45</f>
        <v>1</v>
      </c>
      <c r="E38" s="886">
        <f>+'PRESUP.DE PERSONAL 2'!E45</f>
        <v>700</v>
      </c>
      <c r="F38" s="886">
        <f>+'PRESUP.DE PERSONAL 2'!F45</f>
        <v>700</v>
      </c>
      <c r="G38" s="235">
        <f>ROUND(IF(E38&gt;=1000, 1000*$G$5, $F38*$G$5),2)</f>
        <v>59.5</v>
      </c>
      <c r="H38" s="235">
        <f t="shared" si="11"/>
        <v>61.25</v>
      </c>
      <c r="I38" s="235">
        <v>0</v>
      </c>
      <c r="J38" s="235">
        <v>0</v>
      </c>
      <c r="K38" s="235">
        <f t="shared" si="7"/>
        <v>820.75</v>
      </c>
      <c r="L38" s="235">
        <f>SUM(K38*6)</f>
        <v>4924.5</v>
      </c>
      <c r="M38" s="235">
        <f>D38*E38</f>
        <v>700</v>
      </c>
      <c r="N38" s="887"/>
      <c r="O38" s="887"/>
      <c r="P38" s="887"/>
      <c r="Q38" s="887"/>
      <c r="R38" s="887">
        <f t="shared" si="10"/>
        <v>5624.5</v>
      </c>
      <c r="S38" s="94" t="s">
        <v>1125</v>
      </c>
    </row>
    <row r="39" spans="1:19" ht="50.1" customHeight="1" x14ac:dyDescent="0.2">
      <c r="A39" s="1242"/>
      <c r="B39" s="1248"/>
      <c r="C39" s="152" t="str">
        <f>+'PRESUP.DE PERSONAL 2'!C46</f>
        <v>Colaborador I</v>
      </c>
      <c r="D39" s="152">
        <f>+'PRESUP.DE PERSONAL 2'!D46</f>
        <v>1</v>
      </c>
      <c r="E39" s="153">
        <f>+'PRESUP.DE PERSONAL 2'!E46</f>
        <v>597</v>
      </c>
      <c r="F39" s="153">
        <f>+'PRESUP.DE PERSONAL 2'!F46</f>
        <v>597</v>
      </c>
      <c r="G39" s="100">
        <f t="shared" si="12"/>
        <v>50.75</v>
      </c>
      <c r="H39" s="100">
        <f t="shared" si="11"/>
        <v>52.24</v>
      </c>
      <c r="I39" s="100">
        <v>0</v>
      </c>
      <c r="J39" s="100">
        <v>0</v>
      </c>
      <c r="K39" s="100">
        <f t="shared" si="7"/>
        <v>699.99</v>
      </c>
      <c r="L39" s="100">
        <f t="shared" si="9"/>
        <v>5599.92</v>
      </c>
      <c r="M39" s="100">
        <f t="shared" si="13"/>
        <v>597</v>
      </c>
      <c r="N39" s="100"/>
      <c r="O39" s="100"/>
      <c r="P39" s="100"/>
      <c r="Q39" s="100"/>
      <c r="R39" s="100">
        <f t="shared" si="10"/>
        <v>6196.92</v>
      </c>
    </row>
    <row r="40" spans="1:19" ht="50.1" customHeight="1" x14ac:dyDescent="0.2">
      <c r="A40" s="1242"/>
      <c r="B40" s="1248"/>
      <c r="C40" s="152" t="str">
        <f>+'PRESUP.DE PERSONAL 2'!C47</f>
        <v>Colaborador II</v>
      </c>
      <c r="D40" s="152">
        <f>+'PRESUP.DE PERSONAL 2'!D47</f>
        <v>1</v>
      </c>
      <c r="E40" s="153">
        <f>+'PRESUP.DE PERSONAL 2'!E47</f>
        <v>597</v>
      </c>
      <c r="F40" s="153">
        <f>+'PRESUP.DE PERSONAL 2'!F47</f>
        <v>597</v>
      </c>
      <c r="G40" s="100">
        <f>ROUND(IF(E40&gt;=1000, 1000*$G$5, $F40*$G$5),2)</f>
        <v>50.75</v>
      </c>
      <c r="H40" s="100">
        <v>0</v>
      </c>
      <c r="I40" s="100">
        <v>0</v>
      </c>
      <c r="J40" s="100">
        <f>+F40*6%</f>
        <v>35.82</v>
      </c>
      <c r="K40" s="100">
        <f>SUM(F40:J40)</f>
        <v>683.57</v>
      </c>
      <c r="L40" s="100">
        <f>SUM(K40*8)</f>
        <v>5468.56</v>
      </c>
      <c r="M40" s="100">
        <f>D40*E40</f>
        <v>597</v>
      </c>
      <c r="N40" s="100"/>
      <c r="O40" s="100"/>
      <c r="P40" s="100"/>
      <c r="Q40" s="100"/>
      <c r="R40" s="100">
        <f>SUM(L40:Q40)</f>
        <v>6065.56</v>
      </c>
    </row>
    <row r="41" spans="1:19" ht="50.1" customHeight="1" x14ac:dyDescent="0.2">
      <c r="A41" s="1242"/>
      <c r="B41" s="1248"/>
      <c r="C41" s="152" t="str">
        <f>+'PRESUP.DE PERSONAL 2'!C49</f>
        <v>Encargada de Unidad de Mediacion</v>
      </c>
      <c r="D41" s="152">
        <f>+'PRESUP.DE PERSONAL 2'!D49</f>
        <v>1</v>
      </c>
      <c r="E41" s="153">
        <f>+'PRESUP.DE PERSONAL 2'!E49</f>
        <v>800</v>
      </c>
      <c r="F41" s="153">
        <f>+'PRESUP.DE PERSONAL 2'!F49</f>
        <v>800</v>
      </c>
      <c r="G41" s="100">
        <f t="shared" si="12"/>
        <v>68</v>
      </c>
      <c r="H41" s="100">
        <f t="shared" si="11"/>
        <v>70</v>
      </c>
      <c r="I41" s="100">
        <v>0</v>
      </c>
      <c r="J41" s="100">
        <v>0</v>
      </c>
      <c r="K41" s="100">
        <f t="shared" si="7"/>
        <v>938</v>
      </c>
      <c r="L41" s="100">
        <f t="shared" si="9"/>
        <v>7504</v>
      </c>
      <c r="M41" s="100">
        <f t="shared" si="13"/>
        <v>800</v>
      </c>
      <c r="N41" s="100"/>
      <c r="O41" s="100"/>
      <c r="P41" s="100"/>
      <c r="Q41" s="100"/>
      <c r="R41" s="100">
        <f t="shared" si="10"/>
        <v>8304</v>
      </c>
    </row>
    <row r="42" spans="1:19" ht="50.1" customHeight="1" thickBot="1" x14ac:dyDescent="0.25">
      <c r="A42" s="1242"/>
      <c r="B42" s="1248"/>
      <c r="C42" s="782" t="str">
        <f>+'PRESUP.DE PERSONAL 2'!C50</f>
        <v xml:space="preserve">Colaborador de Unidad de Mediciacion </v>
      </c>
      <c r="D42" s="782">
        <f>+'PRESUP.DE PERSONAL 2'!D50</f>
        <v>1</v>
      </c>
      <c r="E42" s="783">
        <f>+'PRESUP.DE PERSONAL 2'!E50</f>
        <v>597</v>
      </c>
      <c r="F42" s="783">
        <f>+'PRESUP.DE PERSONAL 2'!F50</f>
        <v>597</v>
      </c>
      <c r="G42" s="771">
        <f t="shared" si="12"/>
        <v>50.75</v>
      </c>
      <c r="H42" s="771">
        <f t="shared" si="11"/>
        <v>52.24</v>
      </c>
      <c r="I42" s="771">
        <v>0</v>
      </c>
      <c r="J42" s="771">
        <v>0</v>
      </c>
      <c r="K42" s="771">
        <f t="shared" si="7"/>
        <v>699.99</v>
      </c>
      <c r="L42" s="771">
        <f t="shared" si="9"/>
        <v>5599.92</v>
      </c>
      <c r="M42" s="771">
        <f t="shared" si="13"/>
        <v>597</v>
      </c>
      <c r="N42" s="771"/>
      <c r="O42" s="771"/>
      <c r="P42" s="771"/>
      <c r="Q42" s="771"/>
      <c r="R42" s="771">
        <f t="shared" si="10"/>
        <v>6196.92</v>
      </c>
    </row>
    <row r="43" spans="1:19" ht="50.1" customHeight="1" x14ac:dyDescent="0.2">
      <c r="A43" s="1242"/>
      <c r="B43" s="1249"/>
      <c r="C43" s="911" t="str">
        <f>+'PRESUP.DE PERSONAL 2'!C52</f>
        <v>Director del CAM</v>
      </c>
      <c r="D43" s="892">
        <f>+'PRESUP.DE PERSONAL 2'!D52</f>
        <v>1</v>
      </c>
      <c r="E43" s="893">
        <f>+'PRESUP.DE PERSONAL 2'!E52</f>
        <v>1000</v>
      </c>
      <c r="F43" s="893">
        <f>+'PRESUP.DE PERSONAL 2'!F52</f>
        <v>1000</v>
      </c>
      <c r="G43" s="726">
        <f t="shared" si="12"/>
        <v>85</v>
      </c>
      <c r="H43" s="726">
        <f t="shared" si="11"/>
        <v>87.5</v>
      </c>
      <c r="I43" s="726">
        <v>0</v>
      </c>
      <c r="J43" s="726">
        <v>0</v>
      </c>
      <c r="K43" s="726">
        <f t="shared" si="7"/>
        <v>1172.5</v>
      </c>
      <c r="L43" s="726">
        <f t="shared" si="9"/>
        <v>9380</v>
      </c>
      <c r="M43" s="726">
        <f t="shared" si="13"/>
        <v>1000</v>
      </c>
      <c r="N43" s="726">
        <f>+F43/2*30%</f>
        <v>150</v>
      </c>
      <c r="O43" s="726">
        <f>+N43*0.085</f>
        <v>12.750000000000002</v>
      </c>
      <c r="P43" s="726">
        <f>+N43*8.75%</f>
        <v>13.125</v>
      </c>
      <c r="Q43" s="726"/>
      <c r="R43" s="894">
        <f t="shared" si="10"/>
        <v>10555.875</v>
      </c>
    </row>
    <row r="44" spans="1:19" ht="50.1" customHeight="1" x14ac:dyDescent="0.2">
      <c r="A44" s="1242"/>
      <c r="B44" s="1249"/>
      <c r="C44" s="912" t="str">
        <f>+'PRESUP.DE PERSONAL 2'!C53</f>
        <v>Sub Director del CAM</v>
      </c>
      <c r="D44" s="152">
        <f>+'PRESUP.DE PERSONAL 2'!D53</f>
        <v>1</v>
      </c>
      <c r="E44" s="153">
        <f>+'PRESUP.DE PERSONAL 2'!E53</f>
        <v>800</v>
      </c>
      <c r="F44" s="153">
        <f>+'PRESUP.DE PERSONAL 2'!F53</f>
        <v>800</v>
      </c>
      <c r="G44" s="100">
        <f t="shared" si="12"/>
        <v>68</v>
      </c>
      <c r="H44" s="100">
        <f t="shared" si="11"/>
        <v>70</v>
      </c>
      <c r="I44" s="100">
        <v>0</v>
      </c>
      <c r="J44" s="100">
        <v>0</v>
      </c>
      <c r="K44" s="100">
        <f t="shared" si="7"/>
        <v>938</v>
      </c>
      <c r="L44" s="100">
        <f t="shared" si="9"/>
        <v>7504</v>
      </c>
      <c r="M44" s="100">
        <f t="shared" si="13"/>
        <v>800</v>
      </c>
      <c r="N44" s="100">
        <f t="shared" ref="N44:N60" si="14">+F44/2*30%</f>
        <v>120</v>
      </c>
      <c r="O44" s="100">
        <f>+N44*0.085</f>
        <v>10.200000000000001</v>
      </c>
      <c r="P44" s="100">
        <f>+N44*8.75%</f>
        <v>10.5</v>
      </c>
      <c r="Q44" s="100"/>
      <c r="R44" s="801">
        <f t="shared" si="10"/>
        <v>8444.7000000000007</v>
      </c>
    </row>
    <row r="45" spans="1:19" ht="50.1" customHeight="1" x14ac:dyDescent="0.2">
      <c r="A45" s="1242"/>
      <c r="B45" s="1249"/>
      <c r="C45" s="912" t="str">
        <f>+'PRESUP.DE PERSONAL 2'!C54</f>
        <v>Secretaria del CAM</v>
      </c>
      <c r="D45" s="152">
        <f>+'PRESUP.DE PERSONAL 2'!D54</f>
        <v>1</v>
      </c>
      <c r="E45" s="153">
        <f>+'PRESUP.DE PERSONAL 2'!E54</f>
        <v>517</v>
      </c>
      <c r="F45" s="153">
        <f>+'PRESUP.DE PERSONAL 2'!F54</f>
        <v>517</v>
      </c>
      <c r="G45" s="100">
        <f t="shared" si="12"/>
        <v>43.95</v>
      </c>
      <c r="H45" s="100">
        <f t="shared" si="11"/>
        <v>45.24</v>
      </c>
      <c r="I45" s="100">
        <v>0</v>
      </c>
      <c r="J45" s="100">
        <v>0</v>
      </c>
      <c r="K45" s="100">
        <f t="shared" si="7"/>
        <v>606.19000000000005</v>
      </c>
      <c r="L45" s="100">
        <f t="shared" si="9"/>
        <v>4849.5200000000004</v>
      </c>
      <c r="M45" s="100">
        <f t="shared" si="13"/>
        <v>517</v>
      </c>
      <c r="N45" s="100">
        <v>0</v>
      </c>
      <c r="O45" s="100"/>
      <c r="P45" s="100"/>
      <c r="Q45" s="100"/>
      <c r="R45" s="801">
        <f t="shared" si="10"/>
        <v>5366.52</v>
      </c>
    </row>
    <row r="46" spans="1:19" ht="50.1" customHeight="1" x14ac:dyDescent="0.2">
      <c r="A46" s="1242"/>
      <c r="B46" s="1249"/>
      <c r="C46" s="912" t="str">
        <f>+'PRESUP.DE PERSONAL 2'!C55</f>
        <v>Motorista del CAM</v>
      </c>
      <c r="D46" s="152">
        <f>+'PRESUP.DE PERSONAL 2'!D55</f>
        <v>1</v>
      </c>
      <c r="E46" s="153">
        <f>+'PRESUP.DE PERSONAL 2'!E55</f>
        <v>697</v>
      </c>
      <c r="F46" s="153">
        <f>+'PRESUP.DE PERSONAL 2'!F55</f>
        <v>697</v>
      </c>
      <c r="G46" s="100">
        <f t="shared" si="12"/>
        <v>59.25</v>
      </c>
      <c r="H46" s="100">
        <f t="shared" si="11"/>
        <v>60.99</v>
      </c>
      <c r="I46" s="100">
        <v>0</v>
      </c>
      <c r="J46" s="100">
        <v>0</v>
      </c>
      <c r="K46" s="100">
        <f t="shared" si="7"/>
        <v>817.24</v>
      </c>
      <c r="L46" s="100">
        <f t="shared" si="9"/>
        <v>6537.92</v>
      </c>
      <c r="M46" s="100">
        <f t="shared" si="13"/>
        <v>697</v>
      </c>
      <c r="N46" s="100">
        <f t="shared" si="14"/>
        <v>104.55</v>
      </c>
      <c r="O46" s="100">
        <f>+N46*8.5%</f>
        <v>8.886750000000001</v>
      </c>
      <c r="P46" s="100">
        <f>+N46*8.75%</f>
        <v>9.1481249999999985</v>
      </c>
      <c r="Q46" s="100"/>
      <c r="R46" s="801">
        <f t="shared" si="10"/>
        <v>7357.5048749999996</v>
      </c>
    </row>
    <row r="47" spans="1:19" ht="50.1" customHeight="1" x14ac:dyDescent="0.2">
      <c r="A47" s="1242"/>
      <c r="B47" s="1249"/>
      <c r="C47" s="912" t="str">
        <f>+'PRESUP.DE PERSONAL 2'!C56</f>
        <v>Agente I CAM</v>
      </c>
      <c r="D47" s="152">
        <f>+'PRESUP.DE PERSONAL 2'!D56</f>
        <v>1</v>
      </c>
      <c r="E47" s="153">
        <f>+'PRESUP.DE PERSONAL 2'!E56</f>
        <v>735.15</v>
      </c>
      <c r="F47" s="153">
        <f>+'PRESUP.DE PERSONAL 2'!F56</f>
        <v>735.15</v>
      </c>
      <c r="G47" s="100">
        <f t="shared" si="12"/>
        <v>62.49</v>
      </c>
      <c r="H47" s="100">
        <f t="shared" si="11"/>
        <v>64.33</v>
      </c>
      <c r="I47" s="100">
        <v>0</v>
      </c>
      <c r="J47" s="100">
        <v>0</v>
      </c>
      <c r="K47" s="100">
        <f t="shared" si="7"/>
        <v>861.97</v>
      </c>
      <c r="L47" s="100">
        <f t="shared" si="9"/>
        <v>6895.76</v>
      </c>
      <c r="M47" s="100">
        <f t="shared" si="13"/>
        <v>735.15</v>
      </c>
      <c r="N47" s="100">
        <f t="shared" si="14"/>
        <v>110.27249999999999</v>
      </c>
      <c r="O47" s="100">
        <f t="shared" ref="O47:O59" si="15">+N47*8.5%</f>
        <v>9.3731624999999994</v>
      </c>
      <c r="P47" s="100">
        <f>+N47*8.75%</f>
        <v>9.6488437499999993</v>
      </c>
      <c r="Q47" s="100"/>
      <c r="R47" s="801">
        <f t="shared" si="10"/>
        <v>7760.2045062500001</v>
      </c>
    </row>
    <row r="48" spans="1:19" ht="50.1" customHeight="1" x14ac:dyDescent="0.2">
      <c r="A48" s="1242"/>
      <c r="B48" s="1249"/>
      <c r="C48" s="912" t="str">
        <f>+'PRESUP.DE PERSONAL 2'!C57</f>
        <v>Agente I CAM</v>
      </c>
      <c r="D48" s="152">
        <f>+'PRESUP.DE PERSONAL 2'!D57</f>
        <v>1</v>
      </c>
      <c r="E48" s="153">
        <f>+'PRESUP.DE PERSONAL 2'!E57</f>
        <v>735.15</v>
      </c>
      <c r="F48" s="153">
        <f>+'PRESUP.DE PERSONAL 2'!F57</f>
        <v>735.15</v>
      </c>
      <c r="G48" s="100">
        <f t="shared" si="12"/>
        <v>62.49</v>
      </c>
      <c r="H48" s="100">
        <v>0</v>
      </c>
      <c r="I48" s="152">
        <f>+'PRESUP.DE PERSONAL 2'!I57</f>
        <v>0</v>
      </c>
      <c r="J48" s="100">
        <f>+F48*6%</f>
        <v>44.108999999999995</v>
      </c>
      <c r="K48" s="100">
        <f t="shared" si="7"/>
        <v>841.74900000000002</v>
      </c>
      <c r="L48" s="100">
        <f t="shared" si="9"/>
        <v>6733.9920000000002</v>
      </c>
      <c r="M48" s="100">
        <f t="shared" si="13"/>
        <v>735.15</v>
      </c>
      <c r="N48" s="100">
        <f t="shared" si="14"/>
        <v>110.27249999999999</v>
      </c>
      <c r="O48" s="100">
        <f t="shared" si="15"/>
        <v>9.3731624999999994</v>
      </c>
      <c r="P48" s="100">
        <v>0</v>
      </c>
      <c r="Q48" s="100">
        <f>+N48*6%</f>
        <v>6.6163499999999997</v>
      </c>
      <c r="R48" s="801">
        <f t="shared" si="10"/>
        <v>7595.4040125000001</v>
      </c>
    </row>
    <row r="49" spans="1:19" ht="50.1" customHeight="1" x14ac:dyDescent="0.2">
      <c r="A49" s="1242"/>
      <c r="B49" s="1249"/>
      <c r="C49" s="912" t="str">
        <f>+'PRESUP.DE PERSONAL 2'!C58</f>
        <v>Agente II CAM</v>
      </c>
      <c r="D49" s="152">
        <f>+'PRESUP.DE PERSONAL 2'!D58</f>
        <v>1</v>
      </c>
      <c r="E49" s="153">
        <f>+'PRESUP.DE PERSONAL 2'!E58</f>
        <v>677</v>
      </c>
      <c r="F49" s="153">
        <f>+'PRESUP.DE PERSONAL 2'!F58</f>
        <v>677</v>
      </c>
      <c r="G49" s="100">
        <f t="shared" si="12"/>
        <v>57.55</v>
      </c>
      <c r="H49" s="100">
        <f t="shared" si="11"/>
        <v>59.24</v>
      </c>
      <c r="I49" s="100">
        <v>0</v>
      </c>
      <c r="J49" s="100">
        <v>0</v>
      </c>
      <c r="K49" s="100">
        <f t="shared" si="7"/>
        <v>793.79</v>
      </c>
      <c r="L49" s="100">
        <f t="shared" si="9"/>
        <v>6350.32</v>
      </c>
      <c r="M49" s="100">
        <f t="shared" si="13"/>
        <v>677</v>
      </c>
      <c r="N49" s="100">
        <f t="shared" si="14"/>
        <v>101.55</v>
      </c>
      <c r="O49" s="100">
        <f t="shared" si="15"/>
        <v>8.6317500000000003</v>
      </c>
      <c r="P49" s="100">
        <f>+N49*8.75%</f>
        <v>8.8856249999999992</v>
      </c>
      <c r="Q49" s="100"/>
      <c r="R49" s="801">
        <f t="shared" si="10"/>
        <v>7146.3873749999993</v>
      </c>
    </row>
    <row r="50" spans="1:19" ht="50.1" customHeight="1" x14ac:dyDescent="0.2">
      <c r="A50" s="1242"/>
      <c r="B50" s="1249"/>
      <c r="C50" s="912" t="str">
        <f>+'PRESUP.DE PERSONAL 2'!C59</f>
        <v>Agente II CAM</v>
      </c>
      <c r="D50" s="152">
        <f>+'PRESUP.DE PERSONAL 2'!D59</f>
        <v>1</v>
      </c>
      <c r="E50" s="153">
        <f>+'PRESUP.DE PERSONAL 2'!E59</f>
        <v>650</v>
      </c>
      <c r="F50" s="153">
        <f>+'PRESUP.DE PERSONAL 2'!F59</f>
        <v>650</v>
      </c>
      <c r="G50" s="100">
        <f t="shared" si="12"/>
        <v>55.25</v>
      </c>
      <c r="H50" s="100">
        <f t="shared" si="11"/>
        <v>56.88</v>
      </c>
      <c r="I50" s="100">
        <v>0</v>
      </c>
      <c r="J50" s="100">
        <v>0</v>
      </c>
      <c r="K50" s="100">
        <f t="shared" si="7"/>
        <v>762.13</v>
      </c>
      <c r="L50" s="100">
        <f t="shared" si="9"/>
        <v>6097.04</v>
      </c>
      <c r="M50" s="100">
        <f t="shared" si="13"/>
        <v>650</v>
      </c>
      <c r="N50" s="100">
        <f t="shared" si="14"/>
        <v>97.5</v>
      </c>
      <c r="O50" s="100">
        <f t="shared" si="15"/>
        <v>8.2875000000000014</v>
      </c>
      <c r="P50" s="100">
        <f t="shared" ref="P50:P59" si="16">+N50*8.75%</f>
        <v>8.53125</v>
      </c>
      <c r="Q50" s="100"/>
      <c r="R50" s="801">
        <f t="shared" si="10"/>
        <v>6861.3587500000003</v>
      </c>
    </row>
    <row r="51" spans="1:19" ht="50.1" customHeight="1" x14ac:dyDescent="0.2">
      <c r="A51" s="1242"/>
      <c r="B51" s="1249"/>
      <c r="C51" s="912" t="str">
        <f>+'PRESUP.DE PERSONAL 2'!C60</f>
        <v>Agente II CAM</v>
      </c>
      <c r="D51" s="152">
        <f>+'PRESUP.DE PERSONAL 2'!D60</f>
        <v>1</v>
      </c>
      <c r="E51" s="153">
        <f>+'PRESUP.DE PERSONAL 2'!E60</f>
        <v>600</v>
      </c>
      <c r="F51" s="153">
        <f>+'PRESUP.DE PERSONAL 2'!F60</f>
        <v>600</v>
      </c>
      <c r="G51" s="100">
        <f t="shared" si="12"/>
        <v>51</v>
      </c>
      <c r="H51" s="100">
        <f t="shared" si="11"/>
        <v>52.5</v>
      </c>
      <c r="I51" s="100">
        <v>0</v>
      </c>
      <c r="J51" s="100">
        <v>0</v>
      </c>
      <c r="K51" s="100">
        <f t="shared" si="7"/>
        <v>703.5</v>
      </c>
      <c r="L51" s="100">
        <f t="shared" si="9"/>
        <v>5628</v>
      </c>
      <c r="M51" s="100">
        <f t="shared" si="13"/>
        <v>600</v>
      </c>
      <c r="N51" s="100">
        <f t="shared" si="14"/>
        <v>90</v>
      </c>
      <c r="O51" s="100">
        <f t="shared" si="15"/>
        <v>7.65</v>
      </c>
      <c r="P51" s="100">
        <f t="shared" si="16"/>
        <v>7.8749999999999991</v>
      </c>
      <c r="Q51" s="100"/>
      <c r="R51" s="801">
        <f t="shared" si="10"/>
        <v>6333.5249999999996</v>
      </c>
    </row>
    <row r="52" spans="1:19" ht="50.1" customHeight="1" x14ac:dyDescent="0.2">
      <c r="A52" s="1242"/>
      <c r="B52" s="1249"/>
      <c r="C52" s="912" t="str">
        <f>+'PRESUP.DE PERSONAL 2'!C61</f>
        <v>Agente III CAM</v>
      </c>
      <c r="D52" s="152">
        <f>+'PRESUP.DE PERSONAL 2'!D61</f>
        <v>1</v>
      </c>
      <c r="E52" s="153">
        <f>+'PRESUP.DE PERSONAL 2'!E61</f>
        <v>900</v>
      </c>
      <c r="F52" s="153">
        <f>+'PRESUP.DE PERSONAL 2'!F61</f>
        <v>900</v>
      </c>
      <c r="G52" s="100">
        <f t="shared" si="12"/>
        <v>76.5</v>
      </c>
      <c r="H52" s="100">
        <f t="shared" si="11"/>
        <v>78.75</v>
      </c>
      <c r="I52" s="100"/>
      <c r="J52" s="100">
        <v>0</v>
      </c>
      <c r="K52" s="100">
        <f t="shared" si="7"/>
        <v>1055.25</v>
      </c>
      <c r="L52" s="100">
        <f t="shared" si="9"/>
        <v>8442</v>
      </c>
      <c r="M52" s="100">
        <f t="shared" si="13"/>
        <v>900</v>
      </c>
      <c r="N52" s="100">
        <f t="shared" si="14"/>
        <v>135</v>
      </c>
      <c r="O52" s="100">
        <f t="shared" si="15"/>
        <v>11.475000000000001</v>
      </c>
      <c r="P52" s="100">
        <v>0</v>
      </c>
      <c r="Q52" s="100">
        <f>+N52*6%</f>
        <v>8.1</v>
      </c>
      <c r="R52" s="801">
        <f t="shared" si="10"/>
        <v>9496.5750000000007</v>
      </c>
    </row>
    <row r="53" spans="1:19" ht="50.1" customHeight="1" x14ac:dyDescent="0.2">
      <c r="A53" s="1242"/>
      <c r="B53" s="1249"/>
      <c r="C53" s="912" t="str">
        <f>+'PRESUP.DE PERSONAL 2'!C62</f>
        <v>Agente III CAM</v>
      </c>
      <c r="D53" s="152">
        <f>+'PRESUP.DE PERSONAL 2'!D62</f>
        <v>8</v>
      </c>
      <c r="E53" s="153">
        <f>+'PRESUP.DE PERSONAL 2'!E62</f>
        <v>597</v>
      </c>
      <c r="F53" s="153">
        <f>+'PRESUP.DE PERSONAL 2'!F62</f>
        <v>4776</v>
      </c>
      <c r="G53" s="100">
        <f t="shared" si="12"/>
        <v>405.96</v>
      </c>
      <c r="H53" s="100">
        <f t="shared" si="11"/>
        <v>417.9</v>
      </c>
      <c r="I53" s="100">
        <v>0</v>
      </c>
      <c r="J53" s="100">
        <v>0</v>
      </c>
      <c r="K53" s="100">
        <f t="shared" si="7"/>
        <v>5599.86</v>
      </c>
      <c r="L53" s="100">
        <f t="shared" si="9"/>
        <v>44798.879999999997</v>
      </c>
      <c r="M53" s="100">
        <f t="shared" si="13"/>
        <v>4776</v>
      </c>
      <c r="N53" s="100">
        <f t="shared" si="14"/>
        <v>716.4</v>
      </c>
      <c r="O53" s="100">
        <f t="shared" si="15"/>
        <v>60.894000000000005</v>
      </c>
      <c r="P53" s="100">
        <f t="shared" si="16"/>
        <v>62.684999999999995</v>
      </c>
      <c r="Q53" s="100"/>
      <c r="R53" s="801">
        <f t="shared" si="10"/>
        <v>50414.858999999997</v>
      </c>
    </row>
    <row r="54" spans="1:19" ht="50.1" customHeight="1" x14ac:dyDescent="0.2">
      <c r="A54" s="1242"/>
      <c r="B54" s="1249"/>
      <c r="C54" s="912" t="str">
        <f>+'PRESUP.DE PERSONAL 2'!C63</f>
        <v>Agente III CAM</v>
      </c>
      <c r="D54" s="152">
        <f>+'PRESUP.DE PERSONAL 2'!D63</f>
        <v>2</v>
      </c>
      <c r="E54" s="153">
        <f>+'PRESUP.DE PERSONAL 2'!E63</f>
        <v>597</v>
      </c>
      <c r="F54" s="153">
        <f>+'PRESUP.DE PERSONAL 2'!F63</f>
        <v>1194</v>
      </c>
      <c r="G54" s="100">
        <f t="shared" si="12"/>
        <v>101.49</v>
      </c>
      <c r="H54" s="100"/>
      <c r="I54" s="100"/>
      <c r="J54" s="100">
        <f>+F54*6%</f>
        <v>71.64</v>
      </c>
      <c r="K54" s="100">
        <f t="shared" si="7"/>
        <v>1367.13</v>
      </c>
      <c r="L54" s="100">
        <f t="shared" si="9"/>
        <v>10937.04</v>
      </c>
      <c r="M54" s="100">
        <f t="shared" si="13"/>
        <v>1194</v>
      </c>
      <c r="N54" s="100">
        <f t="shared" si="14"/>
        <v>179.1</v>
      </c>
      <c r="O54" s="100">
        <f t="shared" si="15"/>
        <v>15.223500000000001</v>
      </c>
      <c r="P54" s="100">
        <v>0</v>
      </c>
      <c r="Q54" s="100">
        <f>+N54*6%</f>
        <v>10.745999999999999</v>
      </c>
      <c r="R54" s="801">
        <f t="shared" si="10"/>
        <v>12336.1095</v>
      </c>
    </row>
    <row r="55" spans="1:19" ht="50.1" customHeight="1" x14ac:dyDescent="0.2">
      <c r="A55" s="1242"/>
      <c r="B55" s="1249"/>
      <c r="C55" s="912" t="str">
        <f>+'PRESUP.DE PERSONAL 2'!C64</f>
        <v>Agente IV CAM</v>
      </c>
      <c r="D55" s="152">
        <f>+'PRESUP.DE PERSONAL 2'!D64</f>
        <v>2</v>
      </c>
      <c r="E55" s="153">
        <f>+'PRESUP.DE PERSONAL 2'!E64</f>
        <v>547</v>
      </c>
      <c r="F55" s="153">
        <f>+'PRESUP.DE PERSONAL 2'!F64</f>
        <v>1094</v>
      </c>
      <c r="G55" s="100">
        <f t="shared" si="12"/>
        <v>92.99</v>
      </c>
      <c r="H55" s="100">
        <f t="shared" si="11"/>
        <v>95.73</v>
      </c>
      <c r="I55" s="100"/>
      <c r="J55" s="100">
        <v>0</v>
      </c>
      <c r="K55" s="100">
        <f t="shared" si="7"/>
        <v>1282.72</v>
      </c>
      <c r="L55" s="100">
        <f t="shared" si="9"/>
        <v>10261.76</v>
      </c>
      <c r="M55" s="100">
        <f t="shared" si="13"/>
        <v>1094</v>
      </c>
      <c r="N55" s="100">
        <f t="shared" si="14"/>
        <v>164.1</v>
      </c>
      <c r="O55" s="100">
        <f t="shared" si="15"/>
        <v>13.948500000000001</v>
      </c>
      <c r="P55" s="100"/>
      <c r="Q55" s="100">
        <f>+N55*6%</f>
        <v>9.8460000000000001</v>
      </c>
      <c r="R55" s="801">
        <f t="shared" si="10"/>
        <v>11543.654500000001</v>
      </c>
    </row>
    <row r="56" spans="1:19" ht="50.1" customHeight="1" x14ac:dyDescent="0.2">
      <c r="A56" s="1242"/>
      <c r="B56" s="1249"/>
      <c r="C56" s="912" t="str">
        <f>+'PRESUP.DE PERSONAL 2'!C65</f>
        <v>Agente V CAM</v>
      </c>
      <c r="D56" s="152">
        <f>+'PRESUP.DE PERSONAL 2'!D65</f>
        <v>3</v>
      </c>
      <c r="E56" s="153">
        <f>+'PRESUP.DE PERSONAL 2'!E65</f>
        <v>517</v>
      </c>
      <c r="F56" s="153">
        <f>+'PRESUP.DE PERSONAL 2'!F65</f>
        <v>1551</v>
      </c>
      <c r="G56" s="100">
        <f t="shared" si="12"/>
        <v>131.84</v>
      </c>
      <c r="H56" s="100">
        <f t="shared" si="11"/>
        <v>135.71</v>
      </c>
      <c r="I56" s="100">
        <v>0</v>
      </c>
      <c r="J56" s="100">
        <v>0</v>
      </c>
      <c r="K56" s="100">
        <f t="shared" si="7"/>
        <v>1818.55</v>
      </c>
      <c r="L56" s="100">
        <f t="shared" si="9"/>
        <v>14548.4</v>
      </c>
      <c r="M56" s="100">
        <f t="shared" si="13"/>
        <v>1551</v>
      </c>
      <c r="N56" s="100">
        <f t="shared" si="14"/>
        <v>232.64999999999998</v>
      </c>
      <c r="O56" s="100">
        <f t="shared" si="15"/>
        <v>19.77525</v>
      </c>
      <c r="P56" s="100">
        <f t="shared" si="16"/>
        <v>20.356874999999995</v>
      </c>
      <c r="Q56" s="100"/>
      <c r="R56" s="801">
        <f t="shared" si="10"/>
        <v>16372.182124999999</v>
      </c>
    </row>
    <row r="57" spans="1:19" ht="50.1" customHeight="1" x14ac:dyDescent="0.2">
      <c r="A57" s="1242"/>
      <c r="B57" s="1249"/>
      <c r="C57" s="912" t="str">
        <f>+'PRESUP.DE PERSONAL 2'!C66</f>
        <v>Agente V CAM</v>
      </c>
      <c r="D57" s="152">
        <f>+'PRESUP.DE PERSONAL 2'!D66</f>
        <v>1</v>
      </c>
      <c r="E57" s="153">
        <f>+'PRESUP.DE PERSONAL 2'!E66</f>
        <v>517</v>
      </c>
      <c r="F57" s="153">
        <f>+'PRESUP.DE PERSONAL 2'!F66</f>
        <v>517</v>
      </c>
      <c r="G57" s="100">
        <f t="shared" si="12"/>
        <v>43.95</v>
      </c>
      <c r="H57" s="100"/>
      <c r="I57" s="100"/>
      <c r="J57" s="100">
        <f>+F57*6%</f>
        <v>31.02</v>
      </c>
      <c r="K57" s="100">
        <f t="shared" si="7"/>
        <v>591.97</v>
      </c>
      <c r="L57" s="100">
        <f t="shared" si="9"/>
        <v>4735.76</v>
      </c>
      <c r="M57" s="100">
        <f t="shared" si="13"/>
        <v>517</v>
      </c>
      <c r="N57" s="100">
        <f t="shared" si="14"/>
        <v>77.55</v>
      </c>
      <c r="O57" s="100">
        <f t="shared" si="15"/>
        <v>6.5917500000000002</v>
      </c>
      <c r="P57" s="100">
        <v>0</v>
      </c>
      <c r="Q57" s="100">
        <f>+N57*6%</f>
        <v>4.6529999999999996</v>
      </c>
      <c r="R57" s="801">
        <f t="shared" si="10"/>
        <v>5341.5547500000002</v>
      </c>
    </row>
    <row r="58" spans="1:19" ht="50.1" customHeight="1" x14ac:dyDescent="0.2">
      <c r="A58" s="1242"/>
      <c r="B58" s="1249"/>
      <c r="C58" s="912" t="str">
        <f>+'PRESUP.DE PERSONAL 2'!C67</f>
        <v>Agente VI CAM</v>
      </c>
      <c r="D58" s="152">
        <f>+'PRESUP.DE PERSONAL 2'!D67</f>
        <v>1</v>
      </c>
      <c r="E58" s="153">
        <f>+'PRESUP.DE PERSONAL 2'!E67</f>
        <v>467</v>
      </c>
      <c r="F58" s="153">
        <f>+'PRESUP.DE PERSONAL 2'!F67</f>
        <v>467</v>
      </c>
      <c r="G58" s="100">
        <f t="shared" si="12"/>
        <v>39.700000000000003</v>
      </c>
      <c r="H58" s="100">
        <f t="shared" si="11"/>
        <v>40.86</v>
      </c>
      <c r="I58" s="100">
        <v>0</v>
      </c>
      <c r="J58" s="100">
        <v>0</v>
      </c>
      <c r="K58" s="100">
        <f t="shared" si="7"/>
        <v>547.55999999999995</v>
      </c>
      <c r="L58" s="100">
        <f t="shared" si="9"/>
        <v>4380.4799999999996</v>
      </c>
      <c r="M58" s="100">
        <f t="shared" si="13"/>
        <v>467</v>
      </c>
      <c r="N58" s="100">
        <f t="shared" si="14"/>
        <v>70.05</v>
      </c>
      <c r="O58" s="100">
        <f t="shared" si="15"/>
        <v>5.95425</v>
      </c>
      <c r="P58" s="100">
        <f t="shared" si="16"/>
        <v>6.1293749999999996</v>
      </c>
      <c r="Q58" s="100"/>
      <c r="R58" s="801">
        <f t="shared" si="10"/>
        <v>4929.613625</v>
      </c>
    </row>
    <row r="59" spans="1:19" ht="50.1" customHeight="1" x14ac:dyDescent="0.2">
      <c r="A59" s="1242"/>
      <c r="B59" s="1249"/>
      <c r="C59" s="912" t="str">
        <f>+'PRESUP.DE PERSONAL 2'!C68</f>
        <v>Agente VI CAM</v>
      </c>
      <c r="D59" s="152">
        <f>+'PRESUP.DE PERSONAL 2'!D68</f>
        <v>12</v>
      </c>
      <c r="E59" s="153">
        <f>+'PRESUP.DE PERSONAL 2'!E68</f>
        <v>417</v>
      </c>
      <c r="F59" s="153">
        <f>+'PRESUP.DE PERSONAL 2'!F68</f>
        <v>5004</v>
      </c>
      <c r="G59" s="100">
        <f t="shared" si="12"/>
        <v>425.34</v>
      </c>
      <c r="H59" s="100">
        <f t="shared" si="11"/>
        <v>437.85</v>
      </c>
      <c r="I59" s="100">
        <v>0</v>
      </c>
      <c r="J59" s="100">
        <v>0</v>
      </c>
      <c r="K59" s="100">
        <f t="shared" si="7"/>
        <v>5867.1900000000005</v>
      </c>
      <c r="L59" s="100">
        <f t="shared" si="9"/>
        <v>46937.520000000004</v>
      </c>
      <c r="M59" s="100">
        <f t="shared" si="13"/>
        <v>5004</v>
      </c>
      <c r="N59" s="100">
        <f t="shared" si="14"/>
        <v>750.6</v>
      </c>
      <c r="O59" s="100">
        <f t="shared" si="15"/>
        <v>63.801000000000009</v>
      </c>
      <c r="P59" s="100">
        <f t="shared" si="16"/>
        <v>65.677499999999995</v>
      </c>
      <c r="Q59" s="100"/>
      <c r="R59" s="801">
        <f t="shared" si="10"/>
        <v>52821.5985</v>
      </c>
      <c r="S59" s="87"/>
    </row>
    <row r="60" spans="1:19" ht="50.1" customHeight="1" x14ac:dyDescent="0.2">
      <c r="A60" s="1242"/>
      <c r="B60" s="1249"/>
      <c r="C60" s="912" t="str">
        <f>+'PRESUP.DE PERSONAL 2'!C69</f>
        <v>Agente VI CAM</v>
      </c>
      <c r="D60" s="152">
        <f>+'PRESUP.DE PERSONAL 2'!D69</f>
        <v>1</v>
      </c>
      <c r="E60" s="153">
        <f>+'PRESUP.DE PERSONAL 2'!E69</f>
        <v>417</v>
      </c>
      <c r="F60" s="153">
        <f>+'PRESUP.DE PERSONAL 2'!F69</f>
        <v>417</v>
      </c>
      <c r="G60" s="100">
        <f t="shared" si="12"/>
        <v>35.450000000000003</v>
      </c>
      <c r="H60" s="100">
        <v>0</v>
      </c>
      <c r="I60" s="100">
        <v>0</v>
      </c>
      <c r="J60" s="100">
        <f>+F60*6%</f>
        <v>25.02</v>
      </c>
      <c r="K60" s="100">
        <f>SUM(F60:J60)</f>
        <v>477.46999999999997</v>
      </c>
      <c r="L60" s="100">
        <f>SUM(K60*8)</f>
        <v>3819.7599999999998</v>
      </c>
      <c r="M60" s="100">
        <f>D60*E60</f>
        <v>417</v>
      </c>
      <c r="N60" s="100">
        <f t="shared" si="14"/>
        <v>62.55</v>
      </c>
      <c r="O60" s="100">
        <f>+N60*8.5%</f>
        <v>5.3167499999999999</v>
      </c>
      <c r="P60" s="100">
        <f>+N60*8.75%</f>
        <v>5.4731249999999996</v>
      </c>
      <c r="Q60" s="100"/>
      <c r="R60" s="801">
        <f t="shared" si="10"/>
        <v>4310.0998750000008</v>
      </c>
      <c r="S60" s="87"/>
    </row>
    <row r="61" spans="1:19" s="94" customFormat="1" ht="50.1" customHeight="1" x14ac:dyDescent="0.2">
      <c r="A61" s="1242"/>
      <c r="B61" s="1249"/>
      <c r="C61" s="913" t="str">
        <f>+'PRESUP.DE PERSONAL 2'!C70</f>
        <v>Agente VI CAM</v>
      </c>
      <c r="D61" s="885">
        <f>+'PRESUP.DE PERSONAL 2'!D70</f>
        <v>1</v>
      </c>
      <c r="E61" s="886">
        <f>+'PRESUP.DE PERSONAL 2'!E70</f>
        <v>417</v>
      </c>
      <c r="F61" s="886">
        <f>+'PRESUP.DE PERSONAL 2'!F70</f>
        <v>417</v>
      </c>
      <c r="G61" s="235">
        <f>ROUND(IF(E61&gt;=1000, 1000*$G$5, $F61*$G$5),2)</f>
        <v>35.450000000000003</v>
      </c>
      <c r="H61" s="235">
        <f t="shared" si="11"/>
        <v>36.49</v>
      </c>
      <c r="I61" s="235">
        <v>0</v>
      </c>
      <c r="J61" s="235">
        <v>0</v>
      </c>
      <c r="K61" s="235">
        <f>SUM(F61:J61)</f>
        <v>488.94</v>
      </c>
      <c r="L61" s="235">
        <f>SUM(K61*1)</f>
        <v>488.94</v>
      </c>
      <c r="M61" s="235">
        <v>0</v>
      </c>
      <c r="N61" s="887">
        <v>0</v>
      </c>
      <c r="O61" s="235">
        <v>0</v>
      </c>
      <c r="P61" s="235">
        <f>+N61*8.75%</f>
        <v>0</v>
      </c>
      <c r="Q61" s="235"/>
      <c r="R61" s="895">
        <f>SUM(L61:Q61)</f>
        <v>488.94</v>
      </c>
      <c r="S61" s="889" t="s">
        <v>1068</v>
      </c>
    </row>
    <row r="62" spans="1:19" s="94" customFormat="1" ht="50.1" customHeight="1" thickBot="1" x14ac:dyDescent="0.25">
      <c r="A62" s="1242"/>
      <c r="B62" s="1249"/>
      <c r="C62" s="914" t="str">
        <f>+'PRESUP.DE PERSONAL 2'!C71</f>
        <v>Agente VI CAM</v>
      </c>
      <c r="D62" s="915">
        <v>10</v>
      </c>
      <c r="E62" s="916">
        <v>417</v>
      </c>
      <c r="F62" s="916">
        <f>+E62*D62</f>
        <v>4170</v>
      </c>
      <c r="G62" s="693">
        <f t="shared" si="12"/>
        <v>354.45</v>
      </c>
      <c r="H62" s="693">
        <f t="shared" si="11"/>
        <v>364.88</v>
      </c>
      <c r="I62" s="693"/>
      <c r="J62" s="693"/>
      <c r="K62" s="693">
        <f>SUM(F62:J62)</f>
        <v>4889.33</v>
      </c>
      <c r="L62" s="693">
        <f>SUM(K62*2)</f>
        <v>9778.66</v>
      </c>
      <c r="M62" s="693">
        <f>+F62/12*2</f>
        <v>695</v>
      </c>
      <c r="N62" s="918">
        <v>0</v>
      </c>
      <c r="O62" s="693"/>
      <c r="P62" s="693"/>
      <c r="Q62" s="693"/>
      <c r="R62" s="917">
        <f t="shared" si="10"/>
        <v>10473.66</v>
      </c>
      <c r="S62" s="889" t="s">
        <v>1069</v>
      </c>
    </row>
    <row r="63" spans="1:19" ht="50.1" customHeight="1" x14ac:dyDescent="0.2">
      <c r="A63" s="1242"/>
      <c r="B63" s="1249"/>
      <c r="C63" s="911" t="str">
        <f>+'PRESUP.DE PERSONAL 2'!C73</f>
        <v>Jefe de Comunicaciones y relaciones Publicas</v>
      </c>
      <c r="D63" s="892">
        <f>+'PRESUP.DE PERSONAL 2'!D73</f>
        <v>1</v>
      </c>
      <c r="E63" s="893">
        <f>+'PRESUP.DE PERSONAL 2'!E73</f>
        <v>1025</v>
      </c>
      <c r="F63" s="893">
        <f>+'PRESUP.DE PERSONAL 2'!F73</f>
        <v>1025</v>
      </c>
      <c r="G63" s="726">
        <f t="shared" si="12"/>
        <v>85</v>
      </c>
      <c r="H63" s="726">
        <f t="shared" si="11"/>
        <v>89.69</v>
      </c>
      <c r="I63" s="726">
        <v>0</v>
      </c>
      <c r="J63" s="726">
        <v>0</v>
      </c>
      <c r="K63" s="726">
        <f t="shared" si="7"/>
        <v>1199.69</v>
      </c>
      <c r="L63" s="726">
        <f t="shared" si="9"/>
        <v>9597.52</v>
      </c>
      <c r="M63" s="726">
        <f t="shared" si="13"/>
        <v>1025</v>
      </c>
      <c r="N63" s="726">
        <v>0</v>
      </c>
      <c r="O63" s="726"/>
      <c r="P63" s="726"/>
      <c r="Q63" s="726"/>
      <c r="R63" s="894">
        <f t="shared" si="10"/>
        <v>10622.52</v>
      </c>
      <c r="S63" s="87"/>
    </row>
    <row r="64" spans="1:19" ht="50.1" customHeight="1" x14ac:dyDescent="0.2">
      <c r="A64" s="1242"/>
      <c r="B64" s="1249"/>
      <c r="C64" s="912" t="str">
        <f>+'PRESUP.DE PERSONAL 2'!C74</f>
        <v xml:space="preserve">Secretaria </v>
      </c>
      <c r="D64" s="152">
        <f>+'PRESUP.DE PERSONAL 2'!D74</f>
        <v>1</v>
      </c>
      <c r="E64" s="153">
        <f>+'PRESUP.DE PERSONAL 2'!E74</f>
        <v>500</v>
      </c>
      <c r="F64" s="153">
        <f>+'PRESUP.DE PERSONAL 2'!F74</f>
        <v>500</v>
      </c>
      <c r="G64" s="100">
        <f t="shared" si="12"/>
        <v>42.5</v>
      </c>
      <c r="H64" s="100">
        <f t="shared" si="11"/>
        <v>43.75</v>
      </c>
      <c r="I64" s="100">
        <v>0</v>
      </c>
      <c r="J64" s="100">
        <v>0</v>
      </c>
      <c r="K64" s="100">
        <f t="shared" si="7"/>
        <v>586.25</v>
      </c>
      <c r="L64" s="100">
        <f t="shared" si="9"/>
        <v>4690</v>
      </c>
      <c r="M64" s="100">
        <f t="shared" si="13"/>
        <v>500</v>
      </c>
      <c r="N64" s="100">
        <v>0</v>
      </c>
      <c r="O64" s="100"/>
      <c r="P64" s="100"/>
      <c r="Q64" s="100"/>
      <c r="R64" s="801">
        <f t="shared" si="10"/>
        <v>5190</v>
      </c>
      <c r="S64" s="87"/>
    </row>
    <row r="65" spans="1:19" ht="50.1" customHeight="1" x14ac:dyDescent="0.2">
      <c r="A65" s="1242"/>
      <c r="B65" s="1249"/>
      <c r="C65" s="912" t="str">
        <f>+'PRESUP.DE PERSONAL 2'!C75</f>
        <v>Encargado de prensa</v>
      </c>
      <c r="D65" s="152">
        <f>+'PRESUP.DE PERSONAL 2'!D75</f>
        <v>1</v>
      </c>
      <c r="E65" s="153">
        <f>+'PRESUP.DE PERSONAL 2'!E75</f>
        <v>700</v>
      </c>
      <c r="F65" s="153">
        <f>+'PRESUP.DE PERSONAL 2'!F75</f>
        <v>700</v>
      </c>
      <c r="G65" s="100">
        <f t="shared" si="12"/>
        <v>59.5</v>
      </c>
      <c r="H65" s="100">
        <f t="shared" si="11"/>
        <v>61.25</v>
      </c>
      <c r="I65" s="100">
        <v>0</v>
      </c>
      <c r="J65" s="100">
        <v>0</v>
      </c>
      <c r="K65" s="100">
        <f t="shared" si="7"/>
        <v>820.75</v>
      </c>
      <c r="L65" s="100">
        <f t="shared" si="9"/>
        <v>6566</v>
      </c>
      <c r="M65" s="100">
        <f t="shared" si="13"/>
        <v>700</v>
      </c>
      <c r="N65" s="100">
        <v>0</v>
      </c>
      <c r="O65" s="100"/>
      <c r="P65" s="100"/>
      <c r="Q65" s="100"/>
      <c r="R65" s="801">
        <f t="shared" si="10"/>
        <v>7266</v>
      </c>
      <c r="S65" s="87"/>
    </row>
    <row r="66" spans="1:19" ht="50.1" customHeight="1" x14ac:dyDescent="0.2">
      <c r="A66" s="1242"/>
      <c r="B66" s="1249"/>
      <c r="C66" s="912" t="str">
        <f>+'PRESUP.DE PERSONAL 2'!C76</f>
        <v>Colaborador I</v>
      </c>
      <c r="D66" s="152">
        <f>+'PRESUP.DE PERSONAL 2'!D76</f>
        <v>1</v>
      </c>
      <c r="E66" s="153">
        <f>+'PRESUP.DE PERSONAL 2'!E76</f>
        <v>500</v>
      </c>
      <c r="F66" s="153">
        <f>+'PRESUP.DE PERSONAL 2'!F76</f>
        <v>500</v>
      </c>
      <c r="G66" s="100">
        <f t="shared" si="12"/>
        <v>42.5</v>
      </c>
      <c r="H66" s="100">
        <f t="shared" si="11"/>
        <v>43.75</v>
      </c>
      <c r="I66" s="100">
        <v>0</v>
      </c>
      <c r="J66" s="100">
        <v>0</v>
      </c>
      <c r="K66" s="100">
        <f t="shared" si="7"/>
        <v>586.25</v>
      </c>
      <c r="L66" s="100">
        <f t="shared" si="9"/>
        <v>4690</v>
      </c>
      <c r="M66" s="100">
        <f t="shared" si="13"/>
        <v>500</v>
      </c>
      <c r="N66" s="100">
        <v>0</v>
      </c>
      <c r="O66" s="100"/>
      <c r="P66" s="100"/>
      <c r="Q66" s="100"/>
      <c r="R66" s="801">
        <f t="shared" si="10"/>
        <v>5190</v>
      </c>
      <c r="S66" s="87"/>
    </row>
    <row r="67" spans="1:19" ht="50.1" customHeight="1" x14ac:dyDescent="0.2">
      <c r="A67" s="1242"/>
      <c r="B67" s="1249"/>
      <c r="C67" s="912" t="str">
        <f>+'PRESUP.DE PERSONAL 2'!C77</f>
        <v>Colaborador II</v>
      </c>
      <c r="D67" s="152">
        <f>+'PRESUP.DE PERSONAL 2'!D77</f>
        <v>2</v>
      </c>
      <c r="E67" s="153">
        <f>+'PRESUP.DE PERSONAL 2'!E77</f>
        <v>417</v>
      </c>
      <c r="F67" s="153">
        <f>+'PRESUP.DE PERSONAL 2'!F77</f>
        <v>834</v>
      </c>
      <c r="G67" s="100">
        <f t="shared" si="12"/>
        <v>70.89</v>
      </c>
      <c r="H67" s="100">
        <f t="shared" si="11"/>
        <v>72.98</v>
      </c>
      <c r="I67" s="100">
        <v>0</v>
      </c>
      <c r="J67" s="100">
        <v>0</v>
      </c>
      <c r="K67" s="100">
        <f t="shared" si="7"/>
        <v>977.87</v>
      </c>
      <c r="L67" s="100">
        <f t="shared" si="9"/>
        <v>7822.96</v>
      </c>
      <c r="M67" s="100">
        <f t="shared" si="13"/>
        <v>834</v>
      </c>
      <c r="N67" s="100">
        <v>0</v>
      </c>
      <c r="O67" s="100"/>
      <c r="P67" s="100"/>
      <c r="Q67" s="100"/>
      <c r="R67" s="801">
        <f t="shared" si="10"/>
        <v>8656.9599999999991</v>
      </c>
      <c r="S67" s="87"/>
    </row>
    <row r="68" spans="1:19" ht="50.1" customHeight="1" x14ac:dyDescent="0.2">
      <c r="A68" s="1242"/>
      <c r="B68" s="1249"/>
      <c r="C68" s="912" t="str">
        <f>+'PRESUP.DE PERSONAL 2'!C79</f>
        <v>Encargado de Unidad Ambiental</v>
      </c>
      <c r="D68" s="152">
        <f>+'PRESUP.DE PERSONAL 2'!D79</f>
        <v>1</v>
      </c>
      <c r="E68" s="153">
        <f>+'PRESUP.DE PERSONAL 2'!E79</f>
        <v>800</v>
      </c>
      <c r="F68" s="153">
        <f>+'PRESUP.DE PERSONAL 2'!F79</f>
        <v>800</v>
      </c>
      <c r="G68" s="100">
        <f t="shared" ref="G68:G73" si="17">ROUND(IF(E68&gt;=1000, 1000*$G$5, $F68*$G$5),2)</f>
        <v>68</v>
      </c>
      <c r="H68" s="100">
        <f t="shared" ref="H68:H110" si="18">ROUND($F68*$H$5,2)</f>
        <v>70</v>
      </c>
      <c r="I68" s="153">
        <f>+'PRESUP.DE PERSONAL 2'!I21</f>
        <v>0</v>
      </c>
      <c r="J68" s="153">
        <f>+'PRESUP.DE PERSONAL 2'!J21</f>
        <v>0</v>
      </c>
      <c r="K68" s="100">
        <f t="shared" si="7"/>
        <v>938</v>
      </c>
      <c r="L68" s="100">
        <f t="shared" si="9"/>
        <v>7504</v>
      </c>
      <c r="M68" s="100">
        <f t="shared" ref="M68:M73" si="19">D68*E68</f>
        <v>800</v>
      </c>
      <c r="N68" s="153">
        <f>+'PRESUP.DE PERSONAL 2'!N21</f>
        <v>0</v>
      </c>
      <c r="O68" s="153"/>
      <c r="P68" s="153"/>
      <c r="Q68" s="153"/>
      <c r="R68" s="801">
        <f t="shared" si="10"/>
        <v>8304</v>
      </c>
    </row>
    <row r="69" spans="1:19" s="94" customFormat="1" ht="50.1" customHeight="1" x14ac:dyDescent="0.2">
      <c r="A69" s="1242"/>
      <c r="B69" s="1249"/>
      <c r="C69" s="913" t="str">
        <f>+'PRESUP.DE PERSONAL 2'!C80</f>
        <v>Inspector de Unidad Ambiental</v>
      </c>
      <c r="D69" s="885">
        <f>+'PRESUP.DE PERSONAL 2'!D80</f>
        <v>1</v>
      </c>
      <c r="E69" s="886">
        <f>+'PRESUP.DE PERSONAL 2'!E80</f>
        <v>697</v>
      </c>
      <c r="F69" s="886">
        <f>+'PRESUP.DE PERSONAL 2'!F80</f>
        <v>697</v>
      </c>
      <c r="G69" s="235">
        <f t="shared" si="17"/>
        <v>59.25</v>
      </c>
      <c r="H69" s="235">
        <f t="shared" si="18"/>
        <v>60.99</v>
      </c>
      <c r="I69" s="235">
        <v>0</v>
      </c>
      <c r="J69" s="235">
        <v>0</v>
      </c>
      <c r="K69" s="235">
        <f t="shared" si="7"/>
        <v>817.24</v>
      </c>
      <c r="L69" s="235">
        <f>SUM(K69*7)</f>
        <v>5720.68</v>
      </c>
      <c r="M69" s="235">
        <f t="shared" si="19"/>
        <v>697</v>
      </c>
      <c r="N69" s="235"/>
      <c r="O69" s="235"/>
      <c r="P69" s="235"/>
      <c r="Q69" s="235"/>
      <c r="R69" s="895">
        <f t="shared" si="10"/>
        <v>6417.68</v>
      </c>
      <c r="S69" s="94" t="s">
        <v>1058</v>
      </c>
    </row>
    <row r="70" spans="1:19" s="94" customFormat="1" ht="50.1" customHeight="1" x14ac:dyDescent="0.2">
      <c r="A70" s="1242"/>
      <c r="B70" s="1249"/>
      <c r="C70" s="913" t="str">
        <f>+'PRESUP.DE PERSONAL 2'!C81</f>
        <v>Inspector de Unidad Ambiental (into)</v>
      </c>
      <c r="D70" s="885">
        <f>+'PRESUP.DE PERSONAL 2'!D81</f>
        <v>1</v>
      </c>
      <c r="E70" s="886">
        <f>+'PRESUP.DE PERSONAL 2'!E81</f>
        <v>697</v>
      </c>
      <c r="F70" s="886">
        <f>+'PRESUP.DE PERSONAL 2'!F81</f>
        <v>697</v>
      </c>
      <c r="G70" s="235">
        <f t="shared" si="17"/>
        <v>59.25</v>
      </c>
      <c r="H70" s="235">
        <v>0</v>
      </c>
      <c r="I70" s="235">
        <v>0</v>
      </c>
      <c r="J70" s="235">
        <f>+F70*6%</f>
        <v>41.82</v>
      </c>
      <c r="K70" s="235">
        <f>SUM(F70:J70)</f>
        <v>798.07</v>
      </c>
      <c r="L70" s="235">
        <f>SUM(K70*2)</f>
        <v>1596.14</v>
      </c>
      <c r="M70" s="235">
        <v>0</v>
      </c>
      <c r="N70" s="235"/>
      <c r="O70" s="235"/>
      <c r="P70" s="235"/>
      <c r="Q70" s="235"/>
      <c r="R70" s="895">
        <f t="shared" si="10"/>
        <v>1596.14</v>
      </c>
      <c r="S70" s="94" t="s">
        <v>1069</v>
      </c>
    </row>
    <row r="71" spans="1:19" ht="50.1" customHeight="1" x14ac:dyDescent="0.2">
      <c r="A71" s="1242"/>
      <c r="B71" s="1249"/>
      <c r="C71" s="912" t="str">
        <f>+'PRESUP.DE PERSONAL 2'!C82</f>
        <v>Colaborador de Unidad Ambiental</v>
      </c>
      <c r="D71" s="152">
        <f>+'PRESUP.DE PERSONAL 2'!D82</f>
        <v>1</v>
      </c>
      <c r="E71" s="153">
        <f>+'PRESUP.DE PERSONAL 2'!E82</f>
        <v>697</v>
      </c>
      <c r="F71" s="153">
        <f>+'PRESUP.DE PERSONAL 2'!F82</f>
        <v>697</v>
      </c>
      <c r="G71" s="100">
        <f t="shared" si="17"/>
        <v>59.25</v>
      </c>
      <c r="H71" s="100">
        <f t="shared" si="18"/>
        <v>60.99</v>
      </c>
      <c r="I71" s="100">
        <v>0</v>
      </c>
      <c r="J71" s="100">
        <v>0</v>
      </c>
      <c r="K71" s="100">
        <f t="shared" si="7"/>
        <v>817.24</v>
      </c>
      <c r="L71" s="100">
        <f t="shared" si="9"/>
        <v>6537.92</v>
      </c>
      <c r="M71" s="100">
        <f t="shared" si="19"/>
        <v>697</v>
      </c>
      <c r="N71" s="100"/>
      <c r="O71" s="100"/>
      <c r="P71" s="100"/>
      <c r="Q71" s="100"/>
      <c r="R71" s="801">
        <f t="shared" si="10"/>
        <v>7234.92</v>
      </c>
    </row>
    <row r="72" spans="1:19" ht="50.1" customHeight="1" x14ac:dyDescent="0.2">
      <c r="A72" s="1242"/>
      <c r="B72" s="1249"/>
      <c r="C72" s="912" t="str">
        <f>+'PRESUP.DE PERSONAL 2'!C84</f>
        <v>Encargado de Unidad de Mitigacion de Riesgos</v>
      </c>
      <c r="D72" s="152">
        <f>+'PRESUP.DE PERSONAL 2'!D84</f>
        <v>1</v>
      </c>
      <c r="E72" s="153">
        <f>+'PRESUP.DE PERSONAL 2'!E84</f>
        <v>900</v>
      </c>
      <c r="F72" s="153">
        <f>+'PRESUP.DE PERSONAL 2'!F84</f>
        <v>900</v>
      </c>
      <c r="G72" s="100">
        <f t="shared" si="17"/>
        <v>76.5</v>
      </c>
      <c r="H72" s="100">
        <f t="shared" si="18"/>
        <v>78.75</v>
      </c>
      <c r="I72" s="100">
        <v>0</v>
      </c>
      <c r="J72" s="100">
        <v>0</v>
      </c>
      <c r="K72" s="100">
        <f t="shared" si="7"/>
        <v>1055.25</v>
      </c>
      <c r="L72" s="100">
        <f t="shared" si="9"/>
        <v>8442</v>
      </c>
      <c r="M72" s="100">
        <f t="shared" si="19"/>
        <v>900</v>
      </c>
      <c r="N72" s="145"/>
      <c r="O72" s="145"/>
      <c r="P72" s="145"/>
      <c r="Q72" s="145"/>
      <c r="R72" s="801">
        <f t="shared" si="10"/>
        <v>9342</v>
      </c>
    </row>
    <row r="73" spans="1:19" ht="50.1" customHeight="1" x14ac:dyDescent="0.2">
      <c r="A73" s="1253"/>
      <c r="B73" s="1250"/>
      <c r="C73" s="912" t="str">
        <f>+'PRESUP.DE PERSONAL 2'!C85</f>
        <v>Motorista de Unidad Ambiental</v>
      </c>
      <c r="D73" s="152">
        <f>+'PRESUP.DE PERSONAL 2'!D85</f>
        <v>1</v>
      </c>
      <c r="E73" s="153">
        <f>+'PRESUP.DE PERSONAL 2'!E85</f>
        <v>417</v>
      </c>
      <c r="F73" s="153">
        <f>+'PRESUP.DE PERSONAL 2'!F85</f>
        <v>417</v>
      </c>
      <c r="G73" s="100">
        <f t="shared" si="17"/>
        <v>35.450000000000003</v>
      </c>
      <c r="H73" s="100">
        <f t="shared" si="18"/>
        <v>36.49</v>
      </c>
      <c r="I73" s="100">
        <v>0</v>
      </c>
      <c r="J73" s="100">
        <v>0</v>
      </c>
      <c r="K73" s="100">
        <f t="shared" si="7"/>
        <v>488.94</v>
      </c>
      <c r="L73" s="100">
        <f t="shared" si="9"/>
        <v>3911.52</v>
      </c>
      <c r="M73" s="100">
        <f t="shared" si="19"/>
        <v>417</v>
      </c>
      <c r="N73" s="100">
        <v>0</v>
      </c>
      <c r="O73" s="100"/>
      <c r="P73" s="100"/>
      <c r="Q73" s="100"/>
      <c r="R73" s="801">
        <f t="shared" si="10"/>
        <v>4328.5200000000004</v>
      </c>
    </row>
    <row r="74" spans="1:19" ht="50.1" customHeight="1" x14ac:dyDescent="0.2">
      <c r="A74" s="505"/>
      <c r="B74" s="909"/>
      <c r="C74" s="912" t="str">
        <f>+'PRESUP.DE PERSONAL 2'!C87</f>
        <v>Encargado de Unidad de Gestion y Cooperacion</v>
      </c>
      <c r="D74" s="152">
        <f>+'PRESUP.DE PERSONAL 2'!D87</f>
        <v>1</v>
      </c>
      <c r="E74" s="153">
        <f>+'PRESUP.DE PERSONAL 2'!E87</f>
        <v>1000</v>
      </c>
      <c r="F74" s="153">
        <f>+'PRESUP.DE PERSONAL 2'!F87</f>
        <v>1000</v>
      </c>
      <c r="G74" s="100">
        <f t="shared" ref="G74:G110" si="20">ROUND(IF(E74&gt;=1000, 1000*$G$5, $F74*$G$5),2)</f>
        <v>85</v>
      </c>
      <c r="H74" s="100">
        <f t="shared" si="18"/>
        <v>87.5</v>
      </c>
      <c r="I74" s="100">
        <v>0</v>
      </c>
      <c r="J74" s="100">
        <v>0</v>
      </c>
      <c r="K74" s="100">
        <f t="shared" si="7"/>
        <v>1172.5</v>
      </c>
      <c r="L74" s="100">
        <f t="shared" si="9"/>
        <v>9380</v>
      </c>
      <c r="M74" s="100">
        <f t="shared" ref="M74:M110" si="21">D74*E74</f>
        <v>1000</v>
      </c>
      <c r="N74" s="100">
        <v>0</v>
      </c>
      <c r="O74" s="100"/>
      <c r="P74" s="100"/>
      <c r="Q74" s="100"/>
      <c r="R74" s="801">
        <f t="shared" si="10"/>
        <v>10380</v>
      </c>
    </row>
    <row r="75" spans="1:19" ht="50.1" customHeight="1" x14ac:dyDescent="0.2">
      <c r="A75" s="505"/>
      <c r="B75" s="909"/>
      <c r="C75" s="912" t="str">
        <f>+'PRESUP.DE PERSONAL 2'!C88</f>
        <v>Colaborador Unidad de Gestion y Cooperacion</v>
      </c>
      <c r="D75" s="152">
        <f>+'PRESUP.DE PERSONAL 2'!D88</f>
        <v>1</v>
      </c>
      <c r="E75" s="153">
        <f>+'PRESUP.DE PERSONAL 2'!E88</f>
        <v>500</v>
      </c>
      <c r="F75" s="153">
        <f>+'PRESUP.DE PERSONAL 2'!F88</f>
        <v>500</v>
      </c>
      <c r="G75" s="100">
        <f t="shared" si="20"/>
        <v>42.5</v>
      </c>
      <c r="H75" s="100">
        <f t="shared" si="18"/>
        <v>43.75</v>
      </c>
      <c r="I75" s="100">
        <v>0</v>
      </c>
      <c r="J75" s="100">
        <v>0</v>
      </c>
      <c r="K75" s="100">
        <f t="shared" si="7"/>
        <v>586.25</v>
      </c>
      <c r="L75" s="100">
        <f t="shared" si="9"/>
        <v>4690</v>
      </c>
      <c r="M75" s="100">
        <f t="shared" si="21"/>
        <v>500</v>
      </c>
      <c r="N75" s="100">
        <v>0</v>
      </c>
      <c r="O75" s="100"/>
      <c r="P75" s="100"/>
      <c r="Q75" s="100"/>
      <c r="R75" s="801">
        <f t="shared" si="10"/>
        <v>5190</v>
      </c>
    </row>
    <row r="76" spans="1:19" ht="50.1" customHeight="1" x14ac:dyDescent="0.2">
      <c r="A76" s="505"/>
      <c r="B76" s="909"/>
      <c r="C76" s="912" t="str">
        <f>+'PRESUP.DE PERSONAL 2'!C90</f>
        <v>Gerencia General</v>
      </c>
      <c r="D76" s="152">
        <f>+'PRESUP.DE PERSONAL 2'!D90</f>
        <v>1</v>
      </c>
      <c r="E76" s="153">
        <f>+'PRESUP.DE PERSONAL 2'!E90</f>
        <v>1900</v>
      </c>
      <c r="F76" s="153">
        <f>+'PRESUP.DE PERSONAL 2'!F90</f>
        <v>1900</v>
      </c>
      <c r="G76" s="100">
        <f t="shared" si="20"/>
        <v>85</v>
      </c>
      <c r="H76" s="100">
        <f t="shared" si="18"/>
        <v>166.25</v>
      </c>
      <c r="I76" s="100">
        <v>0</v>
      </c>
      <c r="J76" s="100">
        <v>0</v>
      </c>
      <c r="K76" s="100">
        <f t="shared" si="7"/>
        <v>2151.25</v>
      </c>
      <c r="L76" s="100">
        <f t="shared" si="9"/>
        <v>17210</v>
      </c>
      <c r="M76" s="100">
        <f t="shared" si="21"/>
        <v>1900</v>
      </c>
      <c r="N76" s="100">
        <v>0</v>
      </c>
      <c r="O76" s="100"/>
      <c r="P76" s="100"/>
      <c r="Q76" s="100"/>
      <c r="R76" s="801">
        <f t="shared" si="10"/>
        <v>19110</v>
      </c>
    </row>
    <row r="77" spans="1:19" ht="50.1" customHeight="1" x14ac:dyDescent="0.2">
      <c r="A77" s="505"/>
      <c r="B77" s="909"/>
      <c r="C77" s="912" t="str">
        <f>+'PRESUP.DE PERSONAL 2'!C91</f>
        <v>Asistente de Gerencia</v>
      </c>
      <c r="D77" s="152">
        <f>+'PRESUP.DE PERSONAL 2'!D91</f>
        <v>1</v>
      </c>
      <c r="E77" s="153">
        <f>+'PRESUP.DE PERSONAL 2'!E91</f>
        <v>1000</v>
      </c>
      <c r="F77" s="153">
        <f>+'PRESUP.DE PERSONAL 2'!F91</f>
        <v>1000</v>
      </c>
      <c r="G77" s="100">
        <f>ROUND(IF(E77&gt;=1000, 1000*$G$5, $F77*$G$5),2)</f>
        <v>85</v>
      </c>
      <c r="H77" s="100">
        <f t="shared" si="18"/>
        <v>87.5</v>
      </c>
      <c r="I77" s="100">
        <v>0</v>
      </c>
      <c r="J77" s="100">
        <v>0</v>
      </c>
      <c r="K77" s="100">
        <f>SUM(F77:J77)</f>
        <v>1172.5</v>
      </c>
      <c r="L77" s="100">
        <f>SUM(K77*8)</f>
        <v>9380</v>
      </c>
      <c r="M77" s="100">
        <f>D77*E77</f>
        <v>1000</v>
      </c>
      <c r="N77" s="100">
        <v>0</v>
      </c>
      <c r="O77" s="100"/>
      <c r="P77" s="100"/>
      <c r="Q77" s="100"/>
      <c r="R77" s="801">
        <f>SUM(L77:Q77)</f>
        <v>10380</v>
      </c>
    </row>
    <row r="78" spans="1:19" ht="50.1" customHeight="1" x14ac:dyDescent="0.2">
      <c r="A78" s="505"/>
      <c r="B78" s="909"/>
      <c r="C78" s="912" t="str">
        <f>+'PRESUP.DE PERSONAL 2'!C92</f>
        <v>Encargada de Control de Combustible</v>
      </c>
      <c r="D78" s="152">
        <f>+'PRESUP.DE PERSONAL 2'!D92</f>
        <v>1</v>
      </c>
      <c r="E78" s="153">
        <f>+'PRESUP.DE PERSONAL 2'!E92</f>
        <v>800</v>
      </c>
      <c r="F78" s="153">
        <f>+'PRESUP.DE PERSONAL 2'!F92</f>
        <v>800</v>
      </c>
      <c r="G78" s="100">
        <f t="shared" si="20"/>
        <v>68</v>
      </c>
      <c r="H78" s="100">
        <f t="shared" si="18"/>
        <v>70</v>
      </c>
      <c r="I78" s="100">
        <v>0</v>
      </c>
      <c r="J78" s="100">
        <v>0</v>
      </c>
      <c r="K78" s="100">
        <f t="shared" si="7"/>
        <v>938</v>
      </c>
      <c r="L78" s="100">
        <f t="shared" si="9"/>
        <v>7504</v>
      </c>
      <c r="M78" s="100">
        <f t="shared" si="21"/>
        <v>800</v>
      </c>
      <c r="N78" s="100">
        <v>0</v>
      </c>
      <c r="O78" s="100"/>
      <c r="P78" s="100"/>
      <c r="Q78" s="100"/>
      <c r="R78" s="801">
        <f t="shared" si="10"/>
        <v>8304</v>
      </c>
    </row>
    <row r="79" spans="1:19" ht="50.1" customHeight="1" x14ac:dyDescent="0.2">
      <c r="A79" s="505"/>
      <c r="B79" s="909"/>
      <c r="C79" s="912" t="str">
        <f>+'PRESUP.DE PERSONAL 2'!C94</f>
        <v>Jefe de Unidad de Gestion del Talento Humano (UGTH)</v>
      </c>
      <c r="D79" s="152">
        <f>+'PRESUP.DE PERSONAL 2'!D94</f>
        <v>1</v>
      </c>
      <c r="E79" s="153">
        <f>+'PRESUP.DE PERSONAL 2'!E94</f>
        <v>1600</v>
      </c>
      <c r="F79" s="153">
        <f>+'PRESUP.DE PERSONAL 2'!F94</f>
        <v>1600</v>
      </c>
      <c r="G79" s="100">
        <f t="shared" si="20"/>
        <v>85</v>
      </c>
      <c r="H79" s="100">
        <f t="shared" si="18"/>
        <v>140</v>
      </c>
      <c r="I79" s="100">
        <v>0</v>
      </c>
      <c r="J79" s="100">
        <v>0</v>
      </c>
      <c r="K79" s="100">
        <f t="shared" si="7"/>
        <v>1825</v>
      </c>
      <c r="L79" s="100">
        <f t="shared" si="9"/>
        <v>14600</v>
      </c>
      <c r="M79" s="100">
        <f t="shared" si="21"/>
        <v>1600</v>
      </c>
      <c r="N79" s="100">
        <v>0</v>
      </c>
      <c r="O79" s="100"/>
      <c r="P79" s="100"/>
      <c r="Q79" s="100"/>
      <c r="R79" s="801">
        <f t="shared" si="10"/>
        <v>16200</v>
      </c>
    </row>
    <row r="80" spans="1:19" s="94" customFormat="1" ht="50.1" customHeight="1" thickBot="1" x14ac:dyDescent="0.25">
      <c r="A80" s="890"/>
      <c r="B80" s="910"/>
      <c r="C80" s="914" t="str">
        <f>+'PRESUP.DE PERSONAL 2'!C95</f>
        <v>Subjefe UGTH</v>
      </c>
      <c r="D80" s="915">
        <f>+'PRESUP.DE PERSONAL 2'!D95</f>
        <v>1</v>
      </c>
      <c r="E80" s="916">
        <f>+'PRESUP.DE PERSONAL 2'!E95</f>
        <v>1200</v>
      </c>
      <c r="F80" s="916">
        <f>+'PRESUP.DE PERSONAL 2'!F95</f>
        <v>1200</v>
      </c>
      <c r="G80" s="693">
        <f t="shared" si="20"/>
        <v>85</v>
      </c>
      <c r="H80" s="693">
        <f t="shared" si="18"/>
        <v>105</v>
      </c>
      <c r="I80" s="693">
        <v>0</v>
      </c>
      <c r="J80" s="693">
        <v>0</v>
      </c>
      <c r="K80" s="693">
        <f t="shared" si="7"/>
        <v>1390</v>
      </c>
      <c r="L80" s="693">
        <f>SUM(K80*7)</f>
        <v>9730</v>
      </c>
      <c r="M80" s="693">
        <f t="shared" si="21"/>
        <v>1200</v>
      </c>
      <c r="N80" s="693">
        <v>0</v>
      </c>
      <c r="O80" s="693"/>
      <c r="P80" s="693"/>
      <c r="Q80" s="693"/>
      <c r="R80" s="917">
        <f t="shared" si="10"/>
        <v>10930</v>
      </c>
      <c r="S80" s="94" t="s">
        <v>1058</v>
      </c>
    </row>
    <row r="81" spans="1:19" s="94" customFormat="1" ht="50.1" customHeight="1" x14ac:dyDescent="0.2">
      <c r="A81" s="898"/>
      <c r="B81" s="899"/>
      <c r="C81" s="900" t="str">
        <f>+'PRESUP.DE PERSONAL 2'!C96</f>
        <v>Asistente I</v>
      </c>
      <c r="D81" s="900">
        <f>+'PRESUP.DE PERSONAL 2'!D96</f>
        <v>1</v>
      </c>
      <c r="E81" s="901">
        <f>+'PRESUP.DE PERSONAL 2'!E96</f>
        <v>1000</v>
      </c>
      <c r="F81" s="901">
        <f>+'PRESUP.DE PERSONAL 2'!F96</f>
        <v>1000</v>
      </c>
      <c r="G81" s="902">
        <f t="shared" si="20"/>
        <v>85</v>
      </c>
      <c r="H81" s="902">
        <f t="shared" si="18"/>
        <v>87.5</v>
      </c>
      <c r="I81" s="902">
        <v>0</v>
      </c>
      <c r="J81" s="902">
        <v>0</v>
      </c>
      <c r="K81" s="902">
        <f t="shared" si="7"/>
        <v>1172.5</v>
      </c>
      <c r="L81" s="902">
        <f>SUM(K81*1)</f>
        <v>1172.5</v>
      </c>
      <c r="M81" s="902">
        <v>0</v>
      </c>
      <c r="N81" s="902">
        <v>0</v>
      </c>
      <c r="O81" s="902"/>
      <c r="P81" s="902"/>
      <c r="Q81" s="902"/>
      <c r="R81" s="903">
        <f t="shared" si="10"/>
        <v>1172.5</v>
      </c>
      <c r="S81" s="94" t="s">
        <v>1127</v>
      </c>
    </row>
    <row r="82" spans="1:19" s="94" customFormat="1" ht="50.1" customHeight="1" x14ac:dyDescent="0.2">
      <c r="A82" s="890"/>
      <c r="B82" s="891"/>
      <c r="C82" s="885" t="str">
        <f>+'PRESUP.DE PERSONAL 2'!C97</f>
        <v>Asistente II</v>
      </c>
      <c r="D82" s="885">
        <f>+'PRESUP.DE PERSONAL 2'!D97</f>
        <v>1</v>
      </c>
      <c r="E82" s="886">
        <f>+'PRESUP.DE PERSONAL 2'!E97</f>
        <v>880</v>
      </c>
      <c r="F82" s="886">
        <f>+'PRESUP.DE PERSONAL 2'!F97</f>
        <v>880</v>
      </c>
      <c r="G82" s="235">
        <f>ROUND(IF(E82&gt;=1000, 1000*$G$5, $F82*$G$5),2)</f>
        <v>74.8</v>
      </c>
      <c r="H82" s="235">
        <f t="shared" si="18"/>
        <v>77</v>
      </c>
      <c r="I82" s="235">
        <v>0</v>
      </c>
      <c r="J82" s="235">
        <v>0</v>
      </c>
      <c r="K82" s="235">
        <f>SUM(F82:J82)</f>
        <v>1031.8</v>
      </c>
      <c r="L82" s="235">
        <f>SUM(K82*7)</f>
        <v>7222.5999999999995</v>
      </c>
      <c r="M82" s="235">
        <f t="shared" si="21"/>
        <v>880</v>
      </c>
      <c r="N82" s="235">
        <v>0</v>
      </c>
      <c r="O82" s="235"/>
      <c r="P82" s="235"/>
      <c r="Q82" s="235"/>
      <c r="R82" s="895">
        <f>SUM(L82:Q82)</f>
        <v>8102.5999999999995</v>
      </c>
      <c r="S82" s="94" t="s">
        <v>1058</v>
      </c>
    </row>
    <row r="83" spans="1:19" s="94" customFormat="1" ht="50.1" customHeight="1" x14ac:dyDescent="0.2">
      <c r="A83" s="890"/>
      <c r="B83" s="891"/>
      <c r="C83" s="885" t="str">
        <f>+'PRESUP.DE PERSONAL 2'!C98</f>
        <v>Secretaria I</v>
      </c>
      <c r="D83" s="885">
        <f>+'PRESUP.DE PERSONAL 2'!D98</f>
        <v>1</v>
      </c>
      <c r="E83" s="886">
        <f>+'PRESUP.DE PERSONAL 2'!E98</f>
        <v>780</v>
      </c>
      <c r="F83" s="886">
        <f>+'PRESUP.DE PERSONAL 2'!F98</f>
        <v>780</v>
      </c>
      <c r="G83" s="235">
        <f t="shared" si="20"/>
        <v>66.3</v>
      </c>
      <c r="H83" s="235">
        <f t="shared" si="18"/>
        <v>68.25</v>
      </c>
      <c r="I83" s="235">
        <v>0</v>
      </c>
      <c r="J83" s="235">
        <v>0</v>
      </c>
      <c r="K83" s="235">
        <f t="shared" si="7"/>
        <v>914.55</v>
      </c>
      <c r="L83" s="235">
        <f>SUM(K83*1)</f>
        <v>914.55</v>
      </c>
      <c r="M83" s="235">
        <v>0</v>
      </c>
      <c r="N83" s="235">
        <v>0</v>
      </c>
      <c r="O83" s="235"/>
      <c r="P83" s="235"/>
      <c r="Q83" s="235"/>
      <c r="R83" s="895">
        <f t="shared" si="10"/>
        <v>914.55</v>
      </c>
      <c r="S83" s="94" t="s">
        <v>1068</v>
      </c>
    </row>
    <row r="84" spans="1:19" s="94" customFormat="1" ht="50.1" customHeight="1" x14ac:dyDescent="0.2">
      <c r="A84" s="890"/>
      <c r="B84" s="891"/>
      <c r="C84" s="885" t="str">
        <f>+'PRESUP.DE PERSONAL 2'!C99</f>
        <v>Secretaria II</v>
      </c>
      <c r="D84" s="885">
        <f>+'PRESUP.DE PERSONAL 2'!D99</f>
        <v>1</v>
      </c>
      <c r="E84" s="886">
        <f>+'PRESUP.DE PERSONAL 2'!E99</f>
        <v>600</v>
      </c>
      <c r="F84" s="886">
        <f>+'PRESUP.DE PERSONAL 2'!F99</f>
        <v>600</v>
      </c>
      <c r="G84" s="235">
        <f>ROUND(IF(E84&gt;=1000, 1000*$G$5, $F84*$G$5),2)</f>
        <v>51</v>
      </c>
      <c r="H84" s="235">
        <f t="shared" si="18"/>
        <v>52.5</v>
      </c>
      <c r="I84" s="235">
        <v>0</v>
      </c>
      <c r="J84" s="235">
        <v>0</v>
      </c>
      <c r="K84" s="235">
        <f>SUM(F84:J84)</f>
        <v>703.5</v>
      </c>
      <c r="L84" s="235">
        <f>SUM(K84*7)</f>
        <v>4924.5</v>
      </c>
      <c r="M84" s="235">
        <f t="shared" si="21"/>
        <v>600</v>
      </c>
      <c r="N84" s="235">
        <v>0</v>
      </c>
      <c r="O84" s="235"/>
      <c r="P84" s="235"/>
      <c r="Q84" s="235"/>
      <c r="R84" s="895">
        <f>SUM(L84:Q84)</f>
        <v>5524.5</v>
      </c>
      <c r="S84" s="94" t="s">
        <v>1058</v>
      </c>
    </row>
    <row r="85" spans="1:19" s="94" customFormat="1" ht="50.1" customHeight="1" x14ac:dyDescent="0.2">
      <c r="A85" s="890"/>
      <c r="B85" s="891"/>
      <c r="C85" s="885" t="str">
        <f>+'PRESUP.DE PERSONAL 2'!C100</f>
        <v>Colaborador UGTH I</v>
      </c>
      <c r="D85" s="885">
        <f>+'PRESUP.DE PERSONAL 2'!D100</f>
        <v>1</v>
      </c>
      <c r="E85" s="886">
        <f>+'PRESUP.DE PERSONAL 2'!E100</f>
        <v>600</v>
      </c>
      <c r="F85" s="886">
        <f>+'PRESUP.DE PERSONAL 2'!F100</f>
        <v>600</v>
      </c>
      <c r="G85" s="235">
        <f>ROUND(IF(E85&gt;=1000, 1000*$G$5, $F85*$G$5),2)</f>
        <v>51</v>
      </c>
      <c r="H85" s="235">
        <f t="shared" si="18"/>
        <v>52.5</v>
      </c>
      <c r="I85" s="235">
        <v>0</v>
      </c>
      <c r="J85" s="235">
        <v>0</v>
      </c>
      <c r="K85" s="235">
        <f>SUM(F85:J85)</f>
        <v>703.5</v>
      </c>
      <c r="L85" s="235">
        <f>SUM(K85*1)</f>
        <v>703.5</v>
      </c>
      <c r="M85" s="235">
        <v>0</v>
      </c>
      <c r="N85" s="235">
        <v>0</v>
      </c>
      <c r="O85" s="235"/>
      <c r="P85" s="235"/>
      <c r="Q85" s="235"/>
      <c r="R85" s="895">
        <f>SUM(L85:Q85)</f>
        <v>703.5</v>
      </c>
      <c r="S85" s="94" t="s">
        <v>1127</v>
      </c>
    </row>
    <row r="86" spans="1:19" ht="50.1" customHeight="1" x14ac:dyDescent="0.2">
      <c r="A86" s="505"/>
      <c r="B86" s="323"/>
      <c r="C86" s="152" t="str">
        <f>+'PRESUP.DE PERSONAL 2'!C101</f>
        <v>Colaborador UGTH II</v>
      </c>
      <c r="D86" s="152">
        <f>+'PRESUP.DE PERSONAL 2'!D101</f>
        <v>1</v>
      </c>
      <c r="E86" s="153">
        <f>+'PRESUP.DE PERSONAL 2'!E101</f>
        <v>417</v>
      </c>
      <c r="F86" s="153">
        <f>+'PRESUP.DE PERSONAL 2'!F101</f>
        <v>417</v>
      </c>
      <c r="G86" s="100">
        <f t="shared" si="20"/>
        <v>35.450000000000003</v>
      </c>
      <c r="H86" s="100">
        <f t="shared" si="18"/>
        <v>36.49</v>
      </c>
      <c r="I86" s="100">
        <v>0</v>
      </c>
      <c r="J86" s="100">
        <v>0</v>
      </c>
      <c r="K86" s="100">
        <f t="shared" si="7"/>
        <v>488.94</v>
      </c>
      <c r="L86" s="100">
        <f t="shared" si="9"/>
        <v>3911.52</v>
      </c>
      <c r="M86" s="100">
        <f t="shared" si="21"/>
        <v>417</v>
      </c>
      <c r="N86" s="100">
        <v>0</v>
      </c>
      <c r="O86" s="100"/>
      <c r="P86" s="100"/>
      <c r="Q86" s="100"/>
      <c r="R86" s="801">
        <f t="shared" si="10"/>
        <v>4328.5200000000004</v>
      </c>
    </row>
    <row r="87" spans="1:19" ht="50.1" customHeight="1" x14ac:dyDescent="0.2">
      <c r="A87" s="505"/>
      <c r="B87" s="323"/>
      <c r="C87" s="152" t="str">
        <f>+'PRESUP.DE PERSONAL 2'!C102</f>
        <v>Colaborador UGTH III</v>
      </c>
      <c r="D87" s="152">
        <v>1</v>
      </c>
      <c r="E87" s="153">
        <f>+'PRESUP.DE PERSONAL 2'!E102</f>
        <v>417</v>
      </c>
      <c r="F87" s="153">
        <f>+'PRESUP.DE PERSONAL 2'!F102</f>
        <v>417</v>
      </c>
      <c r="G87" s="100">
        <f t="shared" si="20"/>
        <v>35.450000000000003</v>
      </c>
      <c r="H87" s="100">
        <f t="shared" si="18"/>
        <v>36.49</v>
      </c>
      <c r="I87" s="100">
        <v>0</v>
      </c>
      <c r="J87" s="100">
        <v>0</v>
      </c>
      <c r="K87" s="100">
        <f t="shared" si="7"/>
        <v>488.94</v>
      </c>
      <c r="L87" s="100">
        <f t="shared" si="9"/>
        <v>3911.52</v>
      </c>
      <c r="M87" s="100">
        <f t="shared" si="21"/>
        <v>417</v>
      </c>
      <c r="N87" s="100">
        <v>0</v>
      </c>
      <c r="O87" s="100"/>
      <c r="P87" s="100"/>
      <c r="Q87" s="100"/>
      <c r="R87" s="801">
        <f t="shared" si="10"/>
        <v>4328.5200000000004</v>
      </c>
    </row>
    <row r="88" spans="1:19" ht="50.1" customHeight="1" x14ac:dyDescent="0.2">
      <c r="A88" s="505"/>
      <c r="B88" s="323"/>
      <c r="C88" s="152" t="str">
        <f>+'PRESUP.DE PERSONAL 2'!C104</f>
        <v>Encargada de Unidad de Atencion al Cliente</v>
      </c>
      <c r="D88" s="152">
        <f>+'PRESUP.DE PERSONAL 2'!D104</f>
        <v>1</v>
      </c>
      <c r="E88" s="153">
        <f>+'PRESUP.DE PERSONAL 2'!E104</f>
        <v>800</v>
      </c>
      <c r="F88" s="153">
        <f>+'PRESUP.DE PERSONAL 2'!F104</f>
        <v>800</v>
      </c>
      <c r="G88" s="100">
        <f t="shared" si="20"/>
        <v>68</v>
      </c>
      <c r="H88" s="100">
        <f t="shared" si="18"/>
        <v>70</v>
      </c>
      <c r="I88" s="100">
        <v>0</v>
      </c>
      <c r="J88" s="100">
        <v>0</v>
      </c>
      <c r="K88" s="100">
        <f t="shared" si="7"/>
        <v>938</v>
      </c>
      <c r="L88" s="100">
        <f t="shared" si="9"/>
        <v>7504</v>
      </c>
      <c r="M88" s="100">
        <f t="shared" si="21"/>
        <v>800</v>
      </c>
      <c r="N88" s="100">
        <v>0</v>
      </c>
      <c r="O88" s="100"/>
      <c r="P88" s="100"/>
      <c r="Q88" s="100"/>
      <c r="R88" s="801">
        <f t="shared" si="10"/>
        <v>8304</v>
      </c>
    </row>
    <row r="89" spans="1:19" ht="50.1" customHeight="1" x14ac:dyDescent="0.2">
      <c r="A89" s="505"/>
      <c r="B89" s="323"/>
      <c r="C89" s="152" t="str">
        <f>+'PRESUP.DE PERSONAL 2'!C105</f>
        <v>Encargado de Seguridad Ocupacional</v>
      </c>
      <c r="D89" s="152">
        <f>+'PRESUP.DE PERSONAL 2'!D105</f>
        <v>1</v>
      </c>
      <c r="E89" s="153">
        <f>+'PRESUP.DE PERSONAL 2'!E105</f>
        <v>847</v>
      </c>
      <c r="F89" s="153">
        <f>+'PRESUP.DE PERSONAL 2'!F105</f>
        <v>847</v>
      </c>
      <c r="G89" s="100">
        <f t="shared" si="20"/>
        <v>72</v>
      </c>
      <c r="H89" s="100">
        <f t="shared" si="18"/>
        <v>74.11</v>
      </c>
      <c r="I89" s="100">
        <v>0</v>
      </c>
      <c r="J89" s="100">
        <v>0</v>
      </c>
      <c r="K89" s="100">
        <f t="shared" si="7"/>
        <v>993.11</v>
      </c>
      <c r="L89" s="100">
        <f t="shared" si="9"/>
        <v>7944.88</v>
      </c>
      <c r="M89" s="100">
        <f t="shared" si="21"/>
        <v>847</v>
      </c>
      <c r="N89" s="100">
        <v>0</v>
      </c>
      <c r="O89" s="100"/>
      <c r="P89" s="100"/>
      <c r="Q89" s="100"/>
      <c r="R89" s="801">
        <f t="shared" si="10"/>
        <v>8791.880000000001</v>
      </c>
    </row>
    <row r="90" spans="1:19" ht="50.1" customHeight="1" x14ac:dyDescent="0.2">
      <c r="A90" s="505"/>
      <c r="B90" s="323"/>
      <c r="C90" s="152" t="str">
        <f>+'PRESUP.DE PERSONAL 2'!C106</f>
        <v>supervisora de ordenanzas</v>
      </c>
      <c r="D90" s="152">
        <f>+'PRESUP.DE PERSONAL 2'!D106</f>
        <v>1</v>
      </c>
      <c r="E90" s="153">
        <f>+'PRESUP.DE PERSONAL 2'!E106</f>
        <v>700</v>
      </c>
      <c r="F90" s="153">
        <f>+'PRESUP.DE PERSONAL 2'!F106</f>
        <v>700</v>
      </c>
      <c r="G90" s="100">
        <f t="shared" si="20"/>
        <v>59.5</v>
      </c>
      <c r="H90" s="100">
        <f t="shared" si="18"/>
        <v>61.25</v>
      </c>
      <c r="I90" s="100">
        <v>0</v>
      </c>
      <c r="J90" s="100">
        <v>0</v>
      </c>
      <c r="K90" s="100">
        <f t="shared" si="7"/>
        <v>820.75</v>
      </c>
      <c r="L90" s="100">
        <f t="shared" si="9"/>
        <v>6566</v>
      </c>
      <c r="M90" s="100">
        <f t="shared" si="21"/>
        <v>700</v>
      </c>
      <c r="N90" s="100">
        <v>0</v>
      </c>
      <c r="O90" s="100"/>
      <c r="P90" s="100"/>
      <c r="Q90" s="100"/>
      <c r="R90" s="801">
        <f t="shared" si="10"/>
        <v>7266</v>
      </c>
    </row>
    <row r="91" spans="1:19" ht="50.1" customHeight="1" x14ac:dyDescent="0.2">
      <c r="A91" s="505"/>
      <c r="B91" s="323"/>
      <c r="C91" s="152" t="str">
        <f>+'PRESUP.DE PERSONAL 2'!C107</f>
        <v>Recepcionista</v>
      </c>
      <c r="D91" s="152">
        <f>+'PRESUP.DE PERSONAL 2'!D107</f>
        <v>1</v>
      </c>
      <c r="E91" s="153">
        <f>+'PRESUP.DE PERSONAL 2'!E107</f>
        <v>597</v>
      </c>
      <c r="F91" s="153">
        <f>+'PRESUP.DE PERSONAL 2'!F107</f>
        <v>597</v>
      </c>
      <c r="G91" s="100">
        <f t="shared" si="20"/>
        <v>50.75</v>
      </c>
      <c r="H91" s="100">
        <f t="shared" si="18"/>
        <v>52.24</v>
      </c>
      <c r="I91" s="100">
        <v>0</v>
      </c>
      <c r="J91" s="100">
        <v>0</v>
      </c>
      <c r="K91" s="100">
        <f t="shared" ref="K91:K109" si="22">SUM(F91:J91)</f>
        <v>699.99</v>
      </c>
      <c r="L91" s="100">
        <f t="shared" si="9"/>
        <v>5599.92</v>
      </c>
      <c r="M91" s="100">
        <f t="shared" si="21"/>
        <v>597</v>
      </c>
      <c r="N91" s="100">
        <v>0</v>
      </c>
      <c r="O91" s="100"/>
      <c r="P91" s="100"/>
      <c r="Q91" s="100"/>
      <c r="R91" s="801">
        <f t="shared" ref="R91:R110" si="23">SUM(L91:Q91)</f>
        <v>6196.92</v>
      </c>
    </row>
    <row r="92" spans="1:19" ht="50.1" customHeight="1" x14ac:dyDescent="0.2">
      <c r="A92" s="505"/>
      <c r="B92" s="323"/>
      <c r="C92" s="152" t="str">
        <f>+'PRESUP.DE PERSONAL 2'!C108</f>
        <v>Ordenanza I</v>
      </c>
      <c r="D92" s="152">
        <f>+'PRESUP.DE PERSONAL 2'!D108</f>
        <v>1</v>
      </c>
      <c r="E92" s="153">
        <f>+'PRESUP.DE PERSONAL 2'!E108</f>
        <v>735.15</v>
      </c>
      <c r="F92" s="153">
        <f>+'PRESUP.DE PERSONAL 2'!F108</f>
        <v>735.15</v>
      </c>
      <c r="G92" s="100">
        <f t="shared" si="20"/>
        <v>62.49</v>
      </c>
      <c r="H92" s="100">
        <f t="shared" si="18"/>
        <v>64.33</v>
      </c>
      <c r="I92" s="100">
        <v>0</v>
      </c>
      <c r="J92" s="100">
        <v>0</v>
      </c>
      <c r="K92" s="100">
        <f t="shared" si="22"/>
        <v>861.97</v>
      </c>
      <c r="L92" s="100">
        <f t="shared" ref="L92:L110" si="24">SUM(K92*8)</f>
        <v>6895.76</v>
      </c>
      <c r="M92" s="100">
        <f t="shared" si="21"/>
        <v>735.15</v>
      </c>
      <c r="N92" s="100">
        <v>0</v>
      </c>
      <c r="O92" s="100"/>
      <c r="P92" s="100"/>
      <c r="Q92" s="100"/>
      <c r="R92" s="801">
        <f t="shared" si="23"/>
        <v>7630.91</v>
      </c>
    </row>
    <row r="93" spans="1:19" ht="50.1" customHeight="1" x14ac:dyDescent="0.2">
      <c r="A93" s="505"/>
      <c r="B93" s="323"/>
      <c r="C93" s="152" t="str">
        <f>+'PRESUP.DE PERSONAL 2'!C109</f>
        <v>Ordenanza I</v>
      </c>
      <c r="D93" s="152">
        <f>+'PRESUP.DE PERSONAL 2'!D109</f>
        <v>1</v>
      </c>
      <c r="E93" s="153">
        <f>+'PRESUP.DE PERSONAL 2'!E109</f>
        <v>712.29</v>
      </c>
      <c r="F93" s="153">
        <f>+'PRESUP.DE PERSONAL 2'!F109</f>
        <v>712.29</v>
      </c>
      <c r="G93" s="100">
        <f t="shared" si="20"/>
        <v>60.54</v>
      </c>
      <c r="H93" s="100">
        <f t="shared" si="18"/>
        <v>62.33</v>
      </c>
      <c r="I93" s="100">
        <v>0</v>
      </c>
      <c r="J93" s="100">
        <v>0</v>
      </c>
      <c r="K93" s="100">
        <f t="shared" si="22"/>
        <v>835.16</v>
      </c>
      <c r="L93" s="100">
        <f t="shared" si="24"/>
        <v>6681.28</v>
      </c>
      <c r="M93" s="100">
        <f t="shared" si="21"/>
        <v>712.29</v>
      </c>
      <c r="N93" s="100">
        <v>0</v>
      </c>
      <c r="O93" s="100"/>
      <c r="P93" s="100"/>
      <c r="Q93" s="100"/>
      <c r="R93" s="801">
        <f t="shared" si="23"/>
        <v>7393.57</v>
      </c>
    </row>
    <row r="94" spans="1:19" ht="50.1" customHeight="1" x14ac:dyDescent="0.2">
      <c r="A94" s="505"/>
      <c r="B94" s="323"/>
      <c r="C94" s="152" t="str">
        <f>+'PRESUP.DE PERSONAL 2'!C110</f>
        <v>Ordenanza I</v>
      </c>
      <c r="D94" s="152">
        <f>+'PRESUP.DE PERSONAL 2'!D110</f>
        <v>1</v>
      </c>
      <c r="E94" s="153">
        <f>+'PRESUP.DE PERSONAL 2'!E110</f>
        <v>677</v>
      </c>
      <c r="F94" s="153">
        <f>+'PRESUP.DE PERSONAL 2'!F110</f>
        <v>677</v>
      </c>
      <c r="G94" s="100">
        <f t="shared" si="20"/>
        <v>57.55</v>
      </c>
      <c r="H94" s="100">
        <f t="shared" si="18"/>
        <v>59.24</v>
      </c>
      <c r="I94" s="100">
        <v>0</v>
      </c>
      <c r="J94" s="100">
        <v>0</v>
      </c>
      <c r="K94" s="100">
        <f t="shared" si="22"/>
        <v>793.79</v>
      </c>
      <c r="L94" s="100">
        <f t="shared" si="24"/>
        <v>6350.32</v>
      </c>
      <c r="M94" s="100">
        <f t="shared" si="21"/>
        <v>677</v>
      </c>
      <c r="N94" s="100">
        <v>0</v>
      </c>
      <c r="O94" s="100"/>
      <c r="P94" s="100"/>
      <c r="Q94" s="100"/>
      <c r="R94" s="801">
        <f t="shared" si="23"/>
        <v>7027.32</v>
      </c>
    </row>
    <row r="95" spans="1:19" ht="50.1" customHeight="1" x14ac:dyDescent="0.2">
      <c r="A95" s="505"/>
      <c r="B95" s="323"/>
      <c r="C95" s="152" t="str">
        <f>+'PRESUP.DE PERSONAL 2'!C111</f>
        <v>Ordenanza II</v>
      </c>
      <c r="D95" s="152">
        <f>+'PRESUP.DE PERSONAL 2'!D111</f>
        <v>2</v>
      </c>
      <c r="E95" s="153">
        <f>+'PRESUP.DE PERSONAL 2'!E111</f>
        <v>597</v>
      </c>
      <c r="F95" s="153">
        <f>+'PRESUP.DE PERSONAL 2'!F111</f>
        <v>1194</v>
      </c>
      <c r="G95" s="100">
        <f t="shared" si="20"/>
        <v>101.49</v>
      </c>
      <c r="H95" s="100">
        <f t="shared" si="18"/>
        <v>104.48</v>
      </c>
      <c r="I95" s="100">
        <v>0</v>
      </c>
      <c r="J95" s="100">
        <v>0</v>
      </c>
      <c r="K95" s="100">
        <f t="shared" si="22"/>
        <v>1399.97</v>
      </c>
      <c r="L95" s="100">
        <f t="shared" si="24"/>
        <v>11199.76</v>
      </c>
      <c r="M95" s="100">
        <f t="shared" si="21"/>
        <v>1194</v>
      </c>
      <c r="N95" s="100">
        <v>0</v>
      </c>
      <c r="O95" s="100"/>
      <c r="P95" s="100"/>
      <c r="Q95" s="100"/>
      <c r="R95" s="801">
        <f t="shared" si="23"/>
        <v>12393.76</v>
      </c>
    </row>
    <row r="96" spans="1:19" ht="50.1" customHeight="1" x14ac:dyDescent="0.2">
      <c r="A96" s="505"/>
      <c r="B96" s="323"/>
      <c r="C96" s="152" t="str">
        <f>+'PRESUP.DE PERSONAL 2'!C112</f>
        <v>Ordenanza II</v>
      </c>
      <c r="D96" s="152">
        <f>+'PRESUP.DE PERSONAL 2'!D112</f>
        <v>1</v>
      </c>
      <c r="E96" s="153">
        <f>+'PRESUP.DE PERSONAL 2'!E112</f>
        <v>517</v>
      </c>
      <c r="F96" s="153">
        <f>+'PRESUP.DE PERSONAL 2'!F112</f>
        <v>517</v>
      </c>
      <c r="G96" s="100">
        <f t="shared" si="20"/>
        <v>43.95</v>
      </c>
      <c r="H96" s="100">
        <f t="shared" si="18"/>
        <v>45.24</v>
      </c>
      <c r="I96" s="100">
        <v>0</v>
      </c>
      <c r="J96" s="100">
        <v>0</v>
      </c>
      <c r="K96" s="100">
        <f t="shared" si="22"/>
        <v>606.19000000000005</v>
      </c>
      <c r="L96" s="100">
        <f t="shared" si="24"/>
        <v>4849.5200000000004</v>
      </c>
      <c r="M96" s="100">
        <f t="shared" si="21"/>
        <v>517</v>
      </c>
      <c r="N96" s="100">
        <v>0</v>
      </c>
      <c r="O96" s="100"/>
      <c r="P96" s="100"/>
      <c r="Q96" s="100"/>
      <c r="R96" s="801">
        <f t="shared" si="23"/>
        <v>5366.52</v>
      </c>
    </row>
    <row r="97" spans="1:19" ht="50.1" customHeight="1" x14ac:dyDescent="0.2">
      <c r="A97" s="505"/>
      <c r="B97" s="323"/>
      <c r="C97" s="152" t="str">
        <f>+'PRESUP.DE PERSONAL 2'!C113</f>
        <v>Ordenanza III</v>
      </c>
      <c r="D97" s="152">
        <f>+'PRESUP.DE PERSONAL 2'!D113</f>
        <v>5</v>
      </c>
      <c r="E97" s="153">
        <f>+'PRESUP.DE PERSONAL 2'!E113</f>
        <v>417</v>
      </c>
      <c r="F97" s="153">
        <f>+'PRESUP.DE PERSONAL 2'!F113</f>
        <v>2085</v>
      </c>
      <c r="G97" s="100">
        <f t="shared" si="20"/>
        <v>177.23</v>
      </c>
      <c r="H97" s="100">
        <f t="shared" si="18"/>
        <v>182.44</v>
      </c>
      <c r="I97" s="100">
        <v>0</v>
      </c>
      <c r="J97" s="100">
        <v>0</v>
      </c>
      <c r="K97" s="100">
        <f t="shared" si="22"/>
        <v>2444.67</v>
      </c>
      <c r="L97" s="100">
        <f t="shared" si="24"/>
        <v>19557.36</v>
      </c>
      <c r="M97" s="100">
        <f t="shared" si="21"/>
        <v>2085</v>
      </c>
      <c r="N97" s="100">
        <v>0</v>
      </c>
      <c r="O97" s="100"/>
      <c r="P97" s="100"/>
      <c r="Q97" s="100"/>
      <c r="R97" s="801">
        <f t="shared" si="23"/>
        <v>21642.36</v>
      </c>
    </row>
    <row r="98" spans="1:19" s="94" customFormat="1" ht="50.1" customHeight="1" x14ac:dyDescent="0.2">
      <c r="A98" s="890"/>
      <c r="B98" s="891"/>
      <c r="C98" s="885" t="str">
        <f>+'PRESUP.DE PERSONAL 2'!C114</f>
        <v>Ordenanza III</v>
      </c>
      <c r="D98" s="885">
        <f>+'PRESUP.DE PERSONAL 2'!D114</f>
        <v>4</v>
      </c>
      <c r="E98" s="886">
        <f>+'PRESUP.DE PERSONAL 2'!E114</f>
        <v>417</v>
      </c>
      <c r="F98" s="886">
        <f>+'PRESUP.DE PERSONAL 2'!F114</f>
        <v>1668</v>
      </c>
      <c r="G98" s="235">
        <f>ROUND(IF(E98&gt;=1000, 1000*$G$5, $F98*$G$5),2)</f>
        <v>141.78</v>
      </c>
      <c r="H98" s="235">
        <f t="shared" si="18"/>
        <v>145.94999999999999</v>
      </c>
      <c r="I98" s="235">
        <v>0</v>
      </c>
      <c r="J98" s="235">
        <v>0</v>
      </c>
      <c r="K98" s="235">
        <f>SUM(F98:J98)</f>
        <v>1955.73</v>
      </c>
      <c r="L98" s="235">
        <f>SUM(K98*5)</f>
        <v>9778.65</v>
      </c>
      <c r="M98" s="235">
        <v>695</v>
      </c>
      <c r="N98" s="235">
        <v>0</v>
      </c>
      <c r="O98" s="235"/>
      <c r="P98" s="235"/>
      <c r="Q98" s="235"/>
      <c r="R98" s="895">
        <f>SUM(L98:Q98)</f>
        <v>10473.65</v>
      </c>
      <c r="S98" s="94" t="s">
        <v>1072</v>
      </c>
    </row>
    <row r="99" spans="1:19" ht="50.1" customHeight="1" thickBot="1" x14ac:dyDescent="0.25">
      <c r="A99" s="904"/>
      <c r="B99" s="905"/>
      <c r="C99" s="906" t="str">
        <f>+'PRESUP.DE PERSONAL 2'!C116</f>
        <v>Oficial de Informacion Publica</v>
      </c>
      <c r="D99" s="906">
        <f>+'PRESUP.DE PERSONAL 2'!D116</f>
        <v>1</v>
      </c>
      <c r="E99" s="907">
        <f>+'PRESUP.DE PERSONAL 2'!E116</f>
        <v>725</v>
      </c>
      <c r="F99" s="907">
        <f>+'PRESUP.DE PERSONAL 2'!F116</f>
        <v>725</v>
      </c>
      <c r="G99" s="718">
        <f t="shared" si="20"/>
        <v>61.63</v>
      </c>
      <c r="H99" s="718">
        <f t="shared" si="18"/>
        <v>63.44</v>
      </c>
      <c r="I99" s="718">
        <v>0</v>
      </c>
      <c r="J99" s="718">
        <v>0</v>
      </c>
      <c r="K99" s="718">
        <f t="shared" si="22"/>
        <v>850.06999999999994</v>
      </c>
      <c r="L99" s="718">
        <f t="shared" si="24"/>
        <v>6800.5599999999995</v>
      </c>
      <c r="M99" s="718">
        <f t="shared" si="21"/>
        <v>725</v>
      </c>
      <c r="N99" s="718">
        <v>0</v>
      </c>
      <c r="O99" s="718"/>
      <c r="P99" s="718"/>
      <c r="Q99" s="718"/>
      <c r="R99" s="908">
        <f t="shared" si="23"/>
        <v>7525.5599999999995</v>
      </c>
    </row>
    <row r="100" spans="1:19" ht="50.1" customHeight="1" x14ac:dyDescent="0.2">
      <c r="A100" s="827"/>
      <c r="B100" s="826"/>
      <c r="C100" s="892" t="str">
        <f>+'PRESUP.DE PERSONAL 2'!C118</f>
        <v>Encargado de Unidad de gestion Documental de Archivo</v>
      </c>
      <c r="D100" s="892">
        <f>+'PRESUP.DE PERSONAL 2'!D118</f>
        <v>1</v>
      </c>
      <c r="E100" s="893">
        <f>+'PRESUP.DE PERSONAL 2'!E118</f>
        <v>814.86</v>
      </c>
      <c r="F100" s="893">
        <f>+'PRESUP.DE PERSONAL 2'!F118</f>
        <v>814.86</v>
      </c>
      <c r="G100" s="726">
        <f t="shared" si="20"/>
        <v>69.260000000000005</v>
      </c>
      <c r="H100" s="726">
        <f t="shared" si="18"/>
        <v>71.3</v>
      </c>
      <c r="I100" s="726">
        <v>0</v>
      </c>
      <c r="J100" s="726">
        <v>0</v>
      </c>
      <c r="K100" s="726">
        <f t="shared" si="22"/>
        <v>955.42</v>
      </c>
      <c r="L100" s="726">
        <f t="shared" si="24"/>
        <v>7643.36</v>
      </c>
      <c r="M100" s="726">
        <f t="shared" si="21"/>
        <v>814.86</v>
      </c>
      <c r="N100" s="726">
        <v>0</v>
      </c>
      <c r="O100" s="726"/>
      <c r="P100" s="726"/>
      <c r="Q100" s="726"/>
      <c r="R100" s="894">
        <f t="shared" si="23"/>
        <v>8458.2199999999993</v>
      </c>
    </row>
    <row r="101" spans="1:19" ht="50.1" customHeight="1" x14ac:dyDescent="0.2">
      <c r="A101" s="505"/>
      <c r="B101" s="323"/>
      <c r="C101" s="152" t="str">
        <f>+'PRESUP.DE PERSONAL 2'!C119</f>
        <v xml:space="preserve">Colaborador I </v>
      </c>
      <c r="D101" s="152">
        <f>+'PRESUP.DE PERSONAL 2'!D119</f>
        <v>1</v>
      </c>
      <c r="E101" s="153">
        <f>+'PRESUP.DE PERSONAL 2'!E119</f>
        <v>735</v>
      </c>
      <c r="F101" s="153">
        <f>+'PRESUP.DE PERSONAL 2'!F119</f>
        <v>735</v>
      </c>
      <c r="G101" s="100">
        <f t="shared" si="20"/>
        <v>62.48</v>
      </c>
      <c r="H101" s="100">
        <f t="shared" si="18"/>
        <v>64.31</v>
      </c>
      <c r="I101" s="100">
        <v>0</v>
      </c>
      <c r="J101" s="100">
        <v>0</v>
      </c>
      <c r="K101" s="100">
        <f t="shared" si="22"/>
        <v>861.79</v>
      </c>
      <c r="L101" s="100">
        <f t="shared" si="24"/>
        <v>6894.32</v>
      </c>
      <c r="M101" s="100">
        <f t="shared" si="21"/>
        <v>735</v>
      </c>
      <c r="N101" s="100">
        <v>0</v>
      </c>
      <c r="O101" s="100"/>
      <c r="P101" s="100"/>
      <c r="Q101" s="100"/>
      <c r="R101" s="801">
        <f t="shared" si="23"/>
        <v>7629.32</v>
      </c>
    </row>
    <row r="102" spans="1:19" ht="50.1" customHeight="1" x14ac:dyDescent="0.2">
      <c r="A102" s="505"/>
      <c r="B102" s="323"/>
      <c r="C102" s="152" t="str">
        <f>+'PRESUP.DE PERSONAL 2'!C120</f>
        <v xml:space="preserve">Colaborador I </v>
      </c>
      <c r="D102" s="152">
        <f>+'PRESUP.DE PERSONAL 2'!D120</f>
        <v>1</v>
      </c>
      <c r="E102" s="153">
        <f>+'PRESUP.DE PERSONAL 2'!E120</f>
        <v>677</v>
      </c>
      <c r="F102" s="153">
        <f>+'PRESUP.DE PERSONAL 2'!F120</f>
        <v>677</v>
      </c>
      <c r="G102" s="100">
        <f t="shared" si="20"/>
        <v>57.55</v>
      </c>
      <c r="H102" s="100">
        <f t="shared" si="18"/>
        <v>59.24</v>
      </c>
      <c r="I102" s="100">
        <v>0</v>
      </c>
      <c r="J102" s="100">
        <v>0</v>
      </c>
      <c r="K102" s="100">
        <f t="shared" si="22"/>
        <v>793.79</v>
      </c>
      <c r="L102" s="100">
        <f t="shared" si="24"/>
        <v>6350.32</v>
      </c>
      <c r="M102" s="100">
        <f t="shared" si="21"/>
        <v>677</v>
      </c>
      <c r="N102" s="100">
        <v>0</v>
      </c>
      <c r="O102" s="100"/>
      <c r="P102" s="100"/>
      <c r="Q102" s="100"/>
      <c r="R102" s="801">
        <f t="shared" si="23"/>
        <v>7027.32</v>
      </c>
    </row>
    <row r="103" spans="1:19" ht="50.1" customHeight="1" x14ac:dyDescent="0.2">
      <c r="A103" s="505"/>
      <c r="B103" s="323"/>
      <c r="C103" s="152" t="str">
        <f>+'PRESUP.DE PERSONAL 2'!C121</f>
        <v xml:space="preserve">Colaborador II </v>
      </c>
      <c r="D103" s="152">
        <f>+'PRESUP.DE PERSONAL 2'!D121</f>
        <v>1</v>
      </c>
      <c r="E103" s="153">
        <f>+'PRESUP.DE PERSONAL 2'!E121</f>
        <v>607</v>
      </c>
      <c r="F103" s="153">
        <f>+'PRESUP.DE PERSONAL 2'!F121</f>
        <v>607</v>
      </c>
      <c r="G103" s="100">
        <f t="shared" si="20"/>
        <v>51.6</v>
      </c>
      <c r="H103" s="100">
        <f t="shared" si="18"/>
        <v>53.11</v>
      </c>
      <c r="I103" s="100">
        <v>0</v>
      </c>
      <c r="J103" s="100">
        <v>0</v>
      </c>
      <c r="K103" s="100">
        <f t="shared" si="22"/>
        <v>711.71</v>
      </c>
      <c r="L103" s="100">
        <f t="shared" si="24"/>
        <v>5693.68</v>
      </c>
      <c r="M103" s="100">
        <f t="shared" si="21"/>
        <v>607</v>
      </c>
      <c r="N103" s="100">
        <v>0</v>
      </c>
      <c r="O103" s="100"/>
      <c r="P103" s="100"/>
      <c r="Q103" s="100"/>
      <c r="R103" s="801">
        <f t="shared" si="23"/>
        <v>6300.68</v>
      </c>
    </row>
    <row r="104" spans="1:19" ht="50.1" customHeight="1" x14ac:dyDescent="0.2">
      <c r="A104" s="505"/>
      <c r="B104" s="323"/>
      <c r="C104" s="152" t="str">
        <f>+'PRESUP.DE PERSONAL 2'!C122</f>
        <v xml:space="preserve">Colaborador III </v>
      </c>
      <c r="D104" s="152">
        <f>+'PRESUP.DE PERSONAL 2'!D122</f>
        <v>1</v>
      </c>
      <c r="E104" s="153">
        <f>+'PRESUP.DE PERSONAL 2'!E122</f>
        <v>417</v>
      </c>
      <c r="F104" s="153">
        <f>+'PRESUP.DE PERSONAL 2'!F122</f>
        <v>417</v>
      </c>
      <c r="G104" s="100">
        <f t="shared" si="20"/>
        <v>35.450000000000003</v>
      </c>
      <c r="H104" s="100">
        <f t="shared" si="18"/>
        <v>36.49</v>
      </c>
      <c r="I104" s="100">
        <v>0</v>
      </c>
      <c r="J104" s="100">
        <v>0</v>
      </c>
      <c r="K104" s="100">
        <f t="shared" si="22"/>
        <v>488.94</v>
      </c>
      <c r="L104" s="100">
        <f t="shared" si="24"/>
        <v>3911.52</v>
      </c>
      <c r="M104" s="100">
        <f t="shared" si="21"/>
        <v>417</v>
      </c>
      <c r="N104" s="100">
        <v>0</v>
      </c>
      <c r="O104" s="100"/>
      <c r="P104" s="100"/>
      <c r="Q104" s="100"/>
      <c r="R104" s="801">
        <f t="shared" si="23"/>
        <v>4328.5200000000004</v>
      </c>
    </row>
    <row r="105" spans="1:19" ht="50.1" customHeight="1" x14ac:dyDescent="0.2">
      <c r="A105" s="505"/>
      <c r="B105" s="323"/>
      <c r="C105" s="152" t="str">
        <f>+'PRESUP.DE PERSONAL 2'!C124</f>
        <v>Jefe de Unidad de Tecnologias de la Informacion y Comunicación</v>
      </c>
      <c r="D105" s="152">
        <f>+'PRESUP.DE PERSONAL 2'!D124</f>
        <v>1</v>
      </c>
      <c r="E105" s="153">
        <f>+'PRESUP.DE PERSONAL 2'!E124</f>
        <v>1000</v>
      </c>
      <c r="F105" s="153">
        <f>+'PRESUP.DE PERSONAL 2'!F124</f>
        <v>1000</v>
      </c>
      <c r="G105" s="100">
        <f t="shared" si="20"/>
        <v>85</v>
      </c>
      <c r="H105" s="100">
        <f t="shared" si="18"/>
        <v>87.5</v>
      </c>
      <c r="I105" s="100">
        <v>0</v>
      </c>
      <c r="J105" s="100">
        <v>0</v>
      </c>
      <c r="K105" s="100">
        <f t="shared" si="22"/>
        <v>1172.5</v>
      </c>
      <c r="L105" s="100">
        <f t="shared" si="24"/>
        <v>9380</v>
      </c>
      <c r="M105" s="100">
        <f t="shared" si="21"/>
        <v>1000</v>
      </c>
      <c r="N105" s="100">
        <v>0</v>
      </c>
      <c r="O105" s="100"/>
      <c r="P105" s="100"/>
      <c r="Q105" s="100"/>
      <c r="R105" s="801">
        <f t="shared" si="23"/>
        <v>10380</v>
      </c>
    </row>
    <row r="106" spans="1:19" ht="50.1" customHeight="1" x14ac:dyDescent="0.2">
      <c r="A106" s="505"/>
      <c r="B106" s="323"/>
      <c r="C106" s="152" t="str">
        <f>+'PRESUP.DE PERSONAL 2'!C125</f>
        <v>Sub Jefe de Unidad de Tecnologias de la Informacion y Comunicación</v>
      </c>
      <c r="D106" s="152">
        <f>+'PRESUP.DE PERSONAL 2'!D125</f>
        <v>1</v>
      </c>
      <c r="E106" s="153">
        <f>+'PRESUP.DE PERSONAL 2'!E125</f>
        <v>842</v>
      </c>
      <c r="F106" s="153">
        <f>+'PRESUP.DE PERSONAL 2'!F125</f>
        <v>842</v>
      </c>
      <c r="G106" s="100">
        <f t="shared" si="20"/>
        <v>71.569999999999993</v>
      </c>
      <c r="H106" s="100">
        <f t="shared" si="18"/>
        <v>73.680000000000007</v>
      </c>
      <c r="I106" s="100">
        <v>0</v>
      </c>
      <c r="J106" s="100">
        <v>0</v>
      </c>
      <c r="K106" s="100">
        <f t="shared" si="22"/>
        <v>987.25</v>
      </c>
      <c r="L106" s="100">
        <f t="shared" si="24"/>
        <v>7898</v>
      </c>
      <c r="M106" s="100">
        <f t="shared" si="21"/>
        <v>842</v>
      </c>
      <c r="N106" s="100">
        <v>0</v>
      </c>
      <c r="O106" s="100"/>
      <c r="P106" s="100"/>
      <c r="Q106" s="100"/>
      <c r="R106" s="801">
        <f t="shared" si="23"/>
        <v>8740</v>
      </c>
    </row>
    <row r="107" spans="1:19" s="94" customFormat="1" ht="50.1" customHeight="1" x14ac:dyDescent="0.2">
      <c r="A107" s="890"/>
      <c r="B107" s="891"/>
      <c r="C107" s="885" t="str">
        <f>+'PRESUP.DE PERSONAL 2'!C126</f>
        <v>Encargado de Soporte Tecnico de equipo</v>
      </c>
      <c r="D107" s="885">
        <f>+'PRESUP.DE PERSONAL 2'!D126</f>
        <v>1</v>
      </c>
      <c r="E107" s="886">
        <f>+'PRESUP.DE PERSONAL 2'!E126</f>
        <v>1000</v>
      </c>
      <c r="F107" s="886">
        <f>+'PRESUP.DE PERSONAL 2'!F126</f>
        <v>1000</v>
      </c>
      <c r="G107" s="235">
        <f>ROUND(IF(E107&gt;=1000, 1000*$G$5, $F107*$G$5),2)</f>
        <v>85</v>
      </c>
      <c r="H107" s="235">
        <f t="shared" si="18"/>
        <v>87.5</v>
      </c>
      <c r="I107" s="235">
        <v>0</v>
      </c>
      <c r="J107" s="235">
        <v>0</v>
      </c>
      <c r="K107" s="235">
        <f>SUM(F107:J107)</f>
        <v>1172.5</v>
      </c>
      <c r="L107" s="235">
        <f>SUM(K107*1)</f>
        <v>1172.5</v>
      </c>
      <c r="M107" s="235">
        <v>0</v>
      </c>
      <c r="N107" s="235">
        <v>0</v>
      </c>
      <c r="O107" s="235"/>
      <c r="P107" s="235"/>
      <c r="Q107" s="235"/>
      <c r="R107" s="895">
        <f>SUM(L107:Q107)</f>
        <v>1172.5</v>
      </c>
      <c r="S107" s="94" t="s">
        <v>1159</v>
      </c>
    </row>
    <row r="108" spans="1:19" ht="50.1" customHeight="1" x14ac:dyDescent="0.2">
      <c r="A108" s="505"/>
      <c r="B108" s="323"/>
      <c r="C108" s="152" t="str">
        <f>+'PRESUP.DE PERSONAL 2'!C127</f>
        <v>Encargado de Redes y Comunicaciones</v>
      </c>
      <c r="D108" s="152">
        <f>+'PRESUP.DE PERSONAL 2'!D127</f>
        <v>1</v>
      </c>
      <c r="E108" s="153">
        <f>+'PRESUP.DE PERSONAL 2'!E127</f>
        <v>792</v>
      </c>
      <c r="F108" s="153">
        <f>+'PRESUP.DE PERSONAL 2'!F127</f>
        <v>792</v>
      </c>
      <c r="G108" s="100">
        <f t="shared" si="20"/>
        <v>67.319999999999993</v>
      </c>
      <c r="H108" s="100">
        <f t="shared" si="18"/>
        <v>69.3</v>
      </c>
      <c r="I108" s="100">
        <v>0</v>
      </c>
      <c r="J108" s="100">
        <v>0</v>
      </c>
      <c r="K108" s="100">
        <f t="shared" si="22"/>
        <v>928.61999999999989</v>
      </c>
      <c r="L108" s="100">
        <f t="shared" si="24"/>
        <v>7428.9599999999991</v>
      </c>
      <c r="M108" s="100">
        <f t="shared" si="21"/>
        <v>792</v>
      </c>
      <c r="N108" s="100">
        <v>0</v>
      </c>
      <c r="O108" s="100"/>
      <c r="P108" s="100"/>
      <c r="Q108" s="100"/>
      <c r="R108" s="801">
        <f t="shared" si="23"/>
        <v>8220.9599999999991</v>
      </c>
    </row>
    <row r="109" spans="1:19" ht="50.1" customHeight="1" x14ac:dyDescent="0.2">
      <c r="A109" s="505"/>
      <c r="B109" s="323"/>
      <c r="C109" s="152" t="str">
        <f>+'PRESUP.DE PERSONAL 2'!C128</f>
        <v>Videovigilancia y radiocomunicacion</v>
      </c>
      <c r="D109" s="152">
        <f>+'PRESUP.DE PERSONAL 2'!D128</f>
        <v>1</v>
      </c>
      <c r="E109" s="153">
        <f>+'PRESUP.DE PERSONAL 2'!E128</f>
        <v>550</v>
      </c>
      <c r="F109" s="153">
        <f>+'PRESUP.DE PERSONAL 2'!F128</f>
        <v>550</v>
      </c>
      <c r="G109" s="100">
        <f t="shared" si="20"/>
        <v>46.75</v>
      </c>
      <c r="H109" s="100">
        <f t="shared" si="18"/>
        <v>48.13</v>
      </c>
      <c r="I109" s="100">
        <v>0</v>
      </c>
      <c r="J109" s="100">
        <v>0</v>
      </c>
      <c r="K109" s="100">
        <f t="shared" si="22"/>
        <v>644.88</v>
      </c>
      <c r="L109" s="100">
        <f t="shared" si="24"/>
        <v>5159.04</v>
      </c>
      <c r="M109" s="100">
        <f t="shared" si="21"/>
        <v>550</v>
      </c>
      <c r="N109" s="100">
        <v>0</v>
      </c>
      <c r="O109" s="100"/>
      <c r="P109" s="100"/>
      <c r="Q109" s="100"/>
      <c r="R109" s="801">
        <f t="shared" si="23"/>
        <v>5709.04</v>
      </c>
    </row>
    <row r="110" spans="1:19" ht="50.1" customHeight="1" x14ac:dyDescent="0.2">
      <c r="A110" s="505"/>
      <c r="B110" s="323"/>
      <c r="C110" s="152" t="str">
        <f>+'PRESUP.DE PERSONAL 2'!C129</f>
        <v>Encargado de Sistemas informaticos</v>
      </c>
      <c r="D110" s="152">
        <f>+'PRESUP.DE PERSONAL 2'!D129</f>
        <v>1</v>
      </c>
      <c r="E110" s="153">
        <f>+'PRESUP.DE PERSONAL 2'!E129</f>
        <v>500</v>
      </c>
      <c r="F110" s="153">
        <f>+'PRESUP.DE PERSONAL 2'!F129</f>
        <v>500</v>
      </c>
      <c r="G110" s="100">
        <f t="shared" si="20"/>
        <v>42.5</v>
      </c>
      <c r="H110" s="100">
        <f t="shared" si="18"/>
        <v>43.75</v>
      </c>
      <c r="I110" s="100">
        <v>0</v>
      </c>
      <c r="J110" s="100">
        <v>0</v>
      </c>
      <c r="K110" s="100">
        <f>SUM(F110:J110)</f>
        <v>586.25</v>
      </c>
      <c r="L110" s="100">
        <f t="shared" si="24"/>
        <v>4690</v>
      </c>
      <c r="M110" s="100">
        <f t="shared" si="21"/>
        <v>500</v>
      </c>
      <c r="N110" s="100">
        <v>0</v>
      </c>
      <c r="O110" s="100"/>
      <c r="P110" s="100"/>
      <c r="Q110" s="100"/>
      <c r="R110" s="801">
        <f t="shared" si="23"/>
        <v>5190</v>
      </c>
    </row>
    <row r="111" spans="1:19" ht="50.1" customHeight="1" x14ac:dyDescent="0.2">
      <c r="A111" s="1242"/>
      <c r="B111" s="322"/>
      <c r="C111" s="348" t="s">
        <v>1079</v>
      </c>
      <c r="D111" s="349">
        <f>+D17+D18+D19+D20+D23+D24+D25+D26+D27+D31+D35+D36+D37+D39+D40+D41+D42+D43+D44+D45+D46+D47+D48+D49+D50+D51+D52+D53+D54+D55+D56+D57+D58+D59+D60+D63+D64+D65+D66+D67+D68+D71+D72+D73+D74+D75+D76+D77+D78+D79+D86+D87+D88+D89+D90+D91+D92+D93+D94+D95+D96+D97+D99+D100+D101+D102+D103+D104+D105+D106+D108+D109+D110</f>
        <v>101</v>
      </c>
      <c r="E111" s="350">
        <f>+E17+E18+E19+E20+E23+E24+E25+E26+E27+E31+E35+E36+E37+E39+E40+E41+E42+E43+E44+E45+E46+E47+E48+E49+E51+E50+E52+E53+E54+E55+E56+E57+E58+E59+E60+E63+E64+E65+E66+E67+E68+E71+E72+E73+E74+E75+E76+E77+E78+E79+E86+E87+E88+E89+E90+E91+E92+E93+E94+E95+E96+E97+E99+E100+E101+E102+E103+E104+E105+E106+E108+E109+E110</f>
        <v>60423.600000000006</v>
      </c>
      <c r="F111" s="350">
        <f t="shared" ref="F111:R111" si="25">+F17+F18+F19+F20+F23+F24+F25+F26+F27+F31+F35+F36+F37+F39+F40+F41+F42+F43+F44+F45+F46+F47+F48+F49+F51+F50+F52+F53+F54+F55+F56+F57+F58+F59+F60+F63+F64+F65+F66+F67+F68+F71+F72+F73+F74+F75+F76+F77+F78+F79+F86+F87+F88+F89+F90+F91+F92+F93+F94+F95+F96+F97+F99+F100+F101+F102+F103+F104+F105+F106+F108+F109+F110</f>
        <v>74049.600000000006</v>
      </c>
      <c r="G111" s="350">
        <f t="shared" si="25"/>
        <v>5514.4799999999977</v>
      </c>
      <c r="H111" s="350">
        <f t="shared" si="25"/>
        <v>6176.6499999999969</v>
      </c>
      <c r="I111" s="350">
        <f t="shared" si="25"/>
        <v>0</v>
      </c>
      <c r="J111" s="350">
        <f t="shared" si="25"/>
        <v>207.60900000000004</v>
      </c>
      <c r="K111" s="350">
        <f t="shared" si="25"/>
        <v>85948.339000000036</v>
      </c>
      <c r="L111" s="350">
        <f t="shared" si="25"/>
        <v>687586.71200000029</v>
      </c>
      <c r="M111" s="350">
        <f t="shared" si="25"/>
        <v>74049.600000000006</v>
      </c>
      <c r="N111" s="350">
        <f t="shared" si="25"/>
        <v>3272.1450000000004</v>
      </c>
      <c r="O111" s="350">
        <f t="shared" si="25"/>
        <v>278.13232500000004</v>
      </c>
      <c r="P111" s="350">
        <f t="shared" si="25"/>
        <v>228.03571875000003</v>
      </c>
      <c r="Q111" s="350">
        <f t="shared" si="25"/>
        <v>39.961349999999996</v>
      </c>
      <c r="R111" s="896">
        <f t="shared" si="25"/>
        <v>765454.58639375016</v>
      </c>
    </row>
    <row r="112" spans="1:19" ht="50.1" customHeight="1" x14ac:dyDescent="0.2">
      <c r="A112" s="1242"/>
      <c r="B112" s="322"/>
      <c r="C112" s="348" t="s">
        <v>1074</v>
      </c>
      <c r="D112" s="349">
        <f>+D21+D34+D61+D81+D83+D85+D107</f>
        <v>7</v>
      </c>
      <c r="E112" s="350">
        <f>+E21+E34+E61+E81+E83+E85+E107</f>
        <v>4997</v>
      </c>
      <c r="F112" s="350">
        <f t="shared" ref="F112:R112" si="26">+F21+F34+F61+F81+F83+F85+F107</f>
        <v>4997</v>
      </c>
      <c r="G112" s="350">
        <f t="shared" si="26"/>
        <v>424.75</v>
      </c>
      <c r="H112" s="350">
        <f t="shared" si="26"/>
        <v>437.24</v>
      </c>
      <c r="I112" s="350">
        <f t="shared" si="26"/>
        <v>0</v>
      </c>
      <c r="J112" s="350">
        <f t="shared" si="26"/>
        <v>0</v>
      </c>
      <c r="K112" s="350">
        <f t="shared" si="26"/>
        <v>5858.99</v>
      </c>
      <c r="L112" s="350">
        <f t="shared" si="26"/>
        <v>5858.99</v>
      </c>
      <c r="M112" s="350">
        <f t="shared" si="26"/>
        <v>0</v>
      </c>
      <c r="N112" s="350">
        <f t="shared" si="26"/>
        <v>0</v>
      </c>
      <c r="O112" s="350">
        <f t="shared" si="26"/>
        <v>0</v>
      </c>
      <c r="P112" s="350">
        <f t="shared" si="26"/>
        <v>0</v>
      </c>
      <c r="Q112" s="350">
        <f t="shared" si="26"/>
        <v>0</v>
      </c>
      <c r="R112" s="896">
        <f t="shared" si="26"/>
        <v>5858.99</v>
      </c>
    </row>
    <row r="113" spans="1:19" ht="50.1" customHeight="1" x14ac:dyDescent="0.2">
      <c r="A113" s="1242"/>
      <c r="B113" s="322"/>
      <c r="C113" s="348" t="s">
        <v>1075</v>
      </c>
      <c r="D113" s="349">
        <f>+D62+D70</f>
        <v>11</v>
      </c>
      <c r="E113" s="350">
        <f>+E62+E70</f>
        <v>1114</v>
      </c>
      <c r="F113" s="350">
        <f t="shared" ref="F113:R113" si="27">+F62+F70</f>
        <v>4867</v>
      </c>
      <c r="G113" s="350">
        <f t="shared" si="27"/>
        <v>413.7</v>
      </c>
      <c r="H113" s="350">
        <f t="shared" si="27"/>
        <v>364.88</v>
      </c>
      <c r="I113" s="350">
        <f t="shared" si="27"/>
        <v>0</v>
      </c>
      <c r="J113" s="350">
        <f t="shared" si="27"/>
        <v>41.82</v>
      </c>
      <c r="K113" s="350">
        <f t="shared" si="27"/>
        <v>5687.4</v>
      </c>
      <c r="L113" s="350">
        <f t="shared" si="27"/>
        <v>11374.8</v>
      </c>
      <c r="M113" s="350">
        <f t="shared" si="27"/>
        <v>695</v>
      </c>
      <c r="N113" s="350">
        <f t="shared" si="27"/>
        <v>0</v>
      </c>
      <c r="O113" s="350">
        <f t="shared" si="27"/>
        <v>0</v>
      </c>
      <c r="P113" s="350">
        <f t="shared" si="27"/>
        <v>0</v>
      </c>
      <c r="Q113" s="350">
        <f t="shared" si="27"/>
        <v>0</v>
      </c>
      <c r="R113" s="896">
        <f t="shared" si="27"/>
        <v>12069.8</v>
      </c>
    </row>
    <row r="114" spans="1:19" ht="50.1" customHeight="1" x14ac:dyDescent="0.2">
      <c r="A114" s="1242"/>
      <c r="B114" s="322"/>
      <c r="C114" s="348" t="s">
        <v>1077</v>
      </c>
      <c r="D114" s="349">
        <f>+D98</f>
        <v>4</v>
      </c>
      <c r="E114" s="350">
        <f>+E98</f>
        <v>417</v>
      </c>
      <c r="F114" s="350">
        <f>+F98</f>
        <v>1668</v>
      </c>
      <c r="G114" s="350">
        <f t="shared" ref="G114:R114" si="28">+G98</f>
        <v>141.78</v>
      </c>
      <c r="H114" s="350">
        <f t="shared" si="28"/>
        <v>145.94999999999999</v>
      </c>
      <c r="I114" s="350">
        <f t="shared" si="28"/>
        <v>0</v>
      </c>
      <c r="J114" s="350">
        <f t="shared" si="28"/>
        <v>0</v>
      </c>
      <c r="K114" s="350">
        <f t="shared" si="28"/>
        <v>1955.73</v>
      </c>
      <c r="L114" s="350">
        <f t="shared" si="28"/>
        <v>9778.65</v>
      </c>
      <c r="M114" s="350">
        <f t="shared" si="28"/>
        <v>695</v>
      </c>
      <c r="N114" s="350">
        <f t="shared" si="28"/>
        <v>0</v>
      </c>
      <c r="O114" s="350">
        <f t="shared" si="28"/>
        <v>0</v>
      </c>
      <c r="P114" s="350">
        <f t="shared" si="28"/>
        <v>0</v>
      </c>
      <c r="Q114" s="350">
        <f t="shared" si="28"/>
        <v>0</v>
      </c>
      <c r="R114" s="896">
        <f t="shared" si="28"/>
        <v>10473.65</v>
      </c>
    </row>
    <row r="115" spans="1:19" ht="50.1" customHeight="1" x14ac:dyDescent="0.2">
      <c r="A115" s="1242"/>
      <c r="B115" s="322"/>
      <c r="C115" s="348" t="s">
        <v>1076</v>
      </c>
      <c r="D115" s="349">
        <f>+D38</f>
        <v>1</v>
      </c>
      <c r="E115" s="350">
        <f>+E38</f>
        <v>700</v>
      </c>
      <c r="F115" s="350">
        <f>+F38</f>
        <v>700</v>
      </c>
      <c r="G115" s="350">
        <f t="shared" ref="G115:R115" si="29">+G38</f>
        <v>59.5</v>
      </c>
      <c r="H115" s="350">
        <f t="shared" si="29"/>
        <v>61.25</v>
      </c>
      <c r="I115" s="350">
        <f t="shared" si="29"/>
        <v>0</v>
      </c>
      <c r="J115" s="350">
        <f t="shared" si="29"/>
        <v>0</v>
      </c>
      <c r="K115" s="350">
        <f t="shared" si="29"/>
        <v>820.75</v>
      </c>
      <c r="L115" s="350">
        <f t="shared" si="29"/>
        <v>4924.5</v>
      </c>
      <c r="M115" s="350">
        <f t="shared" si="29"/>
        <v>700</v>
      </c>
      <c r="N115" s="350">
        <f t="shared" si="29"/>
        <v>0</v>
      </c>
      <c r="O115" s="350">
        <f t="shared" si="29"/>
        <v>0</v>
      </c>
      <c r="P115" s="350">
        <f t="shared" si="29"/>
        <v>0</v>
      </c>
      <c r="Q115" s="350">
        <f t="shared" si="29"/>
        <v>0</v>
      </c>
      <c r="R115" s="896">
        <f t="shared" si="29"/>
        <v>5624.5</v>
      </c>
    </row>
    <row r="116" spans="1:19" ht="50.1" customHeight="1" x14ac:dyDescent="0.2">
      <c r="A116" s="1242"/>
      <c r="B116" s="322"/>
      <c r="C116" s="348" t="s">
        <v>1078</v>
      </c>
      <c r="D116" s="349">
        <f>+D22+D28+D29+D30+D32+D33+D80+D82+D84+D69</f>
        <v>10</v>
      </c>
      <c r="E116" s="350">
        <f>+E22+E28+E29+E30+E33+E32+E80+E82+E84+E69</f>
        <v>8177</v>
      </c>
      <c r="F116" s="350">
        <f t="shared" ref="F116:R116" si="30">+F22+F28+F29+F30+F33+F32+F80+F82+F84+F69</f>
        <v>8177</v>
      </c>
      <c r="G116" s="350">
        <f t="shared" si="30"/>
        <v>652.54999999999995</v>
      </c>
      <c r="H116" s="350">
        <f t="shared" si="30"/>
        <v>715.49</v>
      </c>
      <c r="I116" s="350">
        <f t="shared" si="30"/>
        <v>0</v>
      </c>
      <c r="J116" s="350">
        <f t="shared" si="30"/>
        <v>0</v>
      </c>
      <c r="K116" s="350">
        <f t="shared" si="30"/>
        <v>9545.0399999999991</v>
      </c>
      <c r="L116" s="350">
        <f t="shared" si="30"/>
        <v>66815.28</v>
      </c>
      <c r="M116" s="350">
        <f t="shared" si="30"/>
        <v>8177</v>
      </c>
      <c r="N116" s="350">
        <f t="shared" si="30"/>
        <v>0</v>
      </c>
      <c r="O116" s="350">
        <f t="shared" si="30"/>
        <v>0</v>
      </c>
      <c r="P116" s="350">
        <f t="shared" si="30"/>
        <v>0</v>
      </c>
      <c r="Q116" s="350">
        <f t="shared" si="30"/>
        <v>0</v>
      </c>
      <c r="R116" s="896">
        <f t="shared" si="30"/>
        <v>74992.28</v>
      </c>
    </row>
    <row r="117" spans="1:19" ht="50.1" customHeight="1" thickBot="1" x14ac:dyDescent="0.25">
      <c r="A117" s="505"/>
      <c r="B117" s="322"/>
      <c r="C117" s="348" t="s">
        <v>1073</v>
      </c>
      <c r="D117" s="349">
        <f>+D111+D112+D113+D114+D115+D116</f>
        <v>134</v>
      </c>
      <c r="E117" s="350">
        <f>+E111+E112+E113+E114+E115+E116</f>
        <v>75828.600000000006</v>
      </c>
      <c r="F117" s="350">
        <f t="shared" ref="F117:R117" si="31">+F111+F112+F113+F114+F115+F116</f>
        <v>94458.6</v>
      </c>
      <c r="G117" s="350">
        <f t="shared" si="31"/>
        <v>7206.7599999999975</v>
      </c>
      <c r="H117" s="350">
        <f t="shared" si="31"/>
        <v>7901.4599999999964</v>
      </c>
      <c r="I117" s="350">
        <f t="shared" si="31"/>
        <v>0</v>
      </c>
      <c r="J117" s="350">
        <f t="shared" si="31"/>
        <v>249.42900000000003</v>
      </c>
      <c r="K117" s="350">
        <f t="shared" si="31"/>
        <v>109816.24900000003</v>
      </c>
      <c r="L117" s="350">
        <f t="shared" si="31"/>
        <v>786338.93200000038</v>
      </c>
      <c r="M117" s="350">
        <f t="shared" si="31"/>
        <v>84316.6</v>
      </c>
      <c r="N117" s="350">
        <f t="shared" si="31"/>
        <v>3272.1450000000004</v>
      </c>
      <c r="O117" s="350">
        <f t="shared" si="31"/>
        <v>278.13232500000004</v>
      </c>
      <c r="P117" s="350">
        <f t="shared" si="31"/>
        <v>228.03571875000003</v>
      </c>
      <c r="Q117" s="350">
        <f t="shared" si="31"/>
        <v>39.961349999999996</v>
      </c>
      <c r="R117" s="896">
        <f t="shared" si="31"/>
        <v>874473.80639375024</v>
      </c>
    </row>
    <row r="118" spans="1:19" ht="50.1" customHeight="1" thickBot="1" x14ac:dyDescent="0.25">
      <c r="A118" s="354"/>
      <c r="B118" s="1246" t="s">
        <v>348</v>
      </c>
      <c r="C118" s="1246"/>
      <c r="D118" s="355">
        <f>D16+D111+D112+D113+D114+D115+D116</f>
        <v>142</v>
      </c>
      <c r="E118" s="356">
        <f>E16+E111+E112+E113+E114+E115+E116</f>
        <v>93428.6</v>
      </c>
      <c r="F118" s="356">
        <f t="shared" ref="F118:R118" si="32">F16+F111+F112+F113+F114+F115+F116</f>
        <v>112058.6</v>
      </c>
      <c r="G118" s="356">
        <f t="shared" si="32"/>
        <v>7886.7599999999975</v>
      </c>
      <c r="H118" s="356">
        <f t="shared" si="32"/>
        <v>9441.4599999999973</v>
      </c>
      <c r="I118" s="356">
        <f t="shared" si="32"/>
        <v>0</v>
      </c>
      <c r="J118" s="356">
        <f t="shared" si="32"/>
        <v>249.42900000000003</v>
      </c>
      <c r="K118" s="356">
        <f t="shared" si="32"/>
        <v>129636.24900000003</v>
      </c>
      <c r="L118" s="356">
        <f t="shared" si="32"/>
        <v>964718.93200000038</v>
      </c>
      <c r="M118" s="356">
        <f t="shared" si="32"/>
        <v>84316.6</v>
      </c>
      <c r="N118" s="356">
        <f t="shared" si="32"/>
        <v>3272.1450000000004</v>
      </c>
      <c r="O118" s="356">
        <f t="shared" si="32"/>
        <v>278.13232500000004</v>
      </c>
      <c r="P118" s="356">
        <f t="shared" si="32"/>
        <v>228.03571875000003</v>
      </c>
      <c r="Q118" s="356">
        <f t="shared" si="32"/>
        <v>39.961349999999996</v>
      </c>
      <c r="R118" s="897">
        <f t="shared" si="32"/>
        <v>1052853.8063937502</v>
      </c>
    </row>
    <row r="119" spans="1:19" x14ac:dyDescent="0.2"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</row>
    <row r="120" spans="1:19" x14ac:dyDescent="0.2"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</row>
  </sheetData>
  <mergeCells count="20">
    <mergeCell ref="A111:A116"/>
    <mergeCell ref="A2:Q2"/>
    <mergeCell ref="B118:C118"/>
    <mergeCell ref="B17:B73"/>
    <mergeCell ref="A8:A15"/>
    <mergeCell ref="A17:A73"/>
    <mergeCell ref="B6:R6"/>
    <mergeCell ref="B7:R7"/>
    <mergeCell ref="B8:B15"/>
    <mergeCell ref="A1:R1"/>
    <mergeCell ref="A3:A5"/>
    <mergeCell ref="B3:C3"/>
    <mergeCell ref="D3:D5"/>
    <mergeCell ref="F3:F4"/>
    <mergeCell ref="G3:L3"/>
    <mergeCell ref="M3:M5"/>
    <mergeCell ref="B5:C5"/>
    <mergeCell ref="R3:R5"/>
    <mergeCell ref="B4:C4"/>
    <mergeCell ref="O3:Q3"/>
  </mergeCells>
  <printOptions horizontalCentered="1" verticalCentered="1"/>
  <pageMargins left="0.15748031496062992" right="0.15748031496062992" top="1.0629921259842521" bottom="0.27559055118110237" header="0" footer="0"/>
  <pageSetup scale="53" firstPageNumber="0" orientation="landscape" r:id="rId1"/>
  <headerFooter alignWithMargins="0"/>
  <rowBreaks count="2" manualBreakCount="2">
    <brk id="80" max="17" man="1"/>
    <brk id="9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R63"/>
  <sheetViews>
    <sheetView view="pageBreakPreview" topLeftCell="A59" zoomScale="87" zoomScaleNormal="100" zoomScaleSheetLayoutView="87" workbookViewId="0">
      <selection activeCell="G57" sqref="G57"/>
    </sheetView>
  </sheetViews>
  <sheetFormatPr baseColWidth="10" defaultRowHeight="12.75" x14ac:dyDescent="0.2"/>
  <cols>
    <col min="1" max="1" width="8.42578125" customWidth="1"/>
    <col min="2" max="2" width="41.140625" customWidth="1"/>
    <col min="3" max="3" width="11" customWidth="1"/>
    <col min="4" max="4" width="13.28515625" customWidth="1"/>
    <col min="5" max="5" width="14.7109375" customWidth="1"/>
    <col min="6" max="6" width="16" customWidth="1"/>
    <col min="7" max="7" width="16.7109375" customWidth="1"/>
    <col min="8" max="8" width="9.42578125" customWidth="1"/>
    <col min="9" max="9" width="9.28515625" customWidth="1"/>
    <col min="10" max="10" width="15.140625" customWidth="1"/>
    <col min="11" max="11" width="16.28515625" customWidth="1"/>
    <col min="12" max="12" width="16" customWidth="1"/>
    <col min="13" max="13" width="13.7109375" bestFit="1" customWidth="1"/>
    <col min="14" max="14" width="14.140625" customWidth="1"/>
    <col min="15" max="16" width="12.7109375" bestFit="1" customWidth="1"/>
    <col min="17" max="17" width="11.7109375" bestFit="1" customWidth="1"/>
  </cols>
  <sheetData>
    <row r="1" spans="1:18" ht="37.5" customHeight="1" x14ac:dyDescent="0.2">
      <c r="A1" s="1272" t="s">
        <v>557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4"/>
    </row>
    <row r="2" spans="1:18" ht="36" customHeight="1" thickBot="1" x14ac:dyDescent="0.25">
      <c r="A2" s="713" t="s">
        <v>988</v>
      </c>
      <c r="B2" s="1284" t="s">
        <v>1145</v>
      </c>
      <c r="C2" s="1285"/>
      <c r="D2" s="1285"/>
      <c r="E2" s="1285"/>
      <c r="F2" s="1285"/>
      <c r="G2" s="1285"/>
      <c r="H2" s="1285"/>
      <c r="I2" s="1285"/>
      <c r="J2" s="1285"/>
      <c r="K2" s="1285"/>
      <c r="L2" s="1285"/>
      <c r="M2" s="1285"/>
      <c r="N2" s="1286"/>
      <c r="O2" s="828"/>
      <c r="P2" s="828"/>
      <c r="Q2" s="828"/>
      <c r="R2" s="829"/>
    </row>
    <row r="3" spans="1:18" ht="45" customHeight="1" thickBot="1" x14ac:dyDescent="0.25">
      <c r="A3" s="1275" t="s">
        <v>203</v>
      </c>
      <c r="B3" s="702" t="s">
        <v>205</v>
      </c>
      <c r="C3" s="1269" t="s">
        <v>215</v>
      </c>
      <c r="D3" s="696" t="s">
        <v>217</v>
      </c>
      <c r="E3" s="1267" t="s">
        <v>312</v>
      </c>
      <c r="F3" s="1264" t="s">
        <v>225</v>
      </c>
      <c r="G3" s="1265"/>
      <c r="H3" s="1265"/>
      <c r="I3" s="1265"/>
      <c r="J3" s="1265"/>
      <c r="K3" s="1266"/>
      <c r="L3" s="1281" t="s">
        <v>226</v>
      </c>
      <c r="M3" s="697" t="s">
        <v>301</v>
      </c>
      <c r="N3" s="1278" t="s">
        <v>558</v>
      </c>
    </row>
    <row r="4" spans="1:18" ht="30.75" customHeight="1" thickBot="1" x14ac:dyDescent="0.25">
      <c r="A4" s="1276"/>
      <c r="B4" s="703" t="s">
        <v>227</v>
      </c>
      <c r="C4" s="1270"/>
      <c r="D4" s="686" t="s">
        <v>220</v>
      </c>
      <c r="E4" s="1268"/>
      <c r="F4" s="686" t="s">
        <v>228</v>
      </c>
      <c r="G4" s="686" t="s">
        <v>229</v>
      </c>
      <c r="H4" s="686" t="s">
        <v>1001</v>
      </c>
      <c r="I4" s="686" t="s">
        <v>230</v>
      </c>
      <c r="J4" s="686" t="s">
        <v>231</v>
      </c>
      <c r="K4" s="686" t="s">
        <v>231</v>
      </c>
      <c r="L4" s="1282"/>
      <c r="M4" s="113" t="s">
        <v>302</v>
      </c>
      <c r="N4" s="1279"/>
    </row>
    <row r="5" spans="1:18" ht="48" customHeight="1" thickBot="1" x14ac:dyDescent="0.25">
      <c r="A5" s="1277"/>
      <c r="B5" s="706" t="s">
        <v>232</v>
      </c>
      <c r="C5" s="1271"/>
      <c r="D5" s="698" t="s">
        <v>509</v>
      </c>
      <c r="E5" s="699" t="s">
        <v>311</v>
      </c>
      <c r="F5" s="698">
        <v>8.5000000000000006E-2</v>
      </c>
      <c r="G5" s="698" t="s">
        <v>404</v>
      </c>
      <c r="H5" s="698" t="s">
        <v>404</v>
      </c>
      <c r="I5" s="698">
        <v>0.06</v>
      </c>
      <c r="J5" s="700" t="s">
        <v>233</v>
      </c>
      <c r="K5" s="700" t="s">
        <v>221</v>
      </c>
      <c r="L5" s="1283"/>
      <c r="M5" s="701">
        <v>0.3</v>
      </c>
      <c r="N5" s="1280"/>
    </row>
    <row r="6" spans="1:18" ht="30" customHeight="1" thickBot="1" x14ac:dyDescent="0.25">
      <c r="A6" s="705" t="s">
        <v>468</v>
      </c>
      <c r="B6" s="1261" t="s">
        <v>236</v>
      </c>
      <c r="C6" s="1262"/>
      <c r="D6" s="1262"/>
      <c r="E6" s="1262"/>
      <c r="F6" s="1262"/>
      <c r="G6" s="1262"/>
      <c r="H6" s="1262"/>
      <c r="I6" s="1262"/>
      <c r="J6" s="1262"/>
      <c r="K6" s="1262"/>
      <c r="L6" s="1262"/>
      <c r="M6" s="1262"/>
      <c r="N6" s="1263"/>
    </row>
    <row r="7" spans="1:18" ht="45" customHeight="1" x14ac:dyDescent="0.2">
      <c r="A7" s="712"/>
      <c r="B7" s="695" t="str">
        <f>+'PRESUP.DE PERSONAL 2'!C133</f>
        <v>Jefe de UCP</v>
      </c>
      <c r="C7" s="695">
        <f>+'PRESUP.DE PERSONAL 2'!D133</f>
        <v>1</v>
      </c>
      <c r="D7" s="707">
        <f>+'PRESUP.DE PERSONAL 2'!E133</f>
        <v>1600</v>
      </c>
      <c r="E7" s="708">
        <f>+'PRESUP.DE PERSONAL 2'!F133</f>
        <v>1600</v>
      </c>
      <c r="F7" s="154">
        <f t="shared" ref="F7:F57" si="0">ROUND(IF(D7&gt;=1000, 1000*$F$5, $E7*$F$5),2)</f>
        <v>85</v>
      </c>
      <c r="G7" s="154">
        <f>ROUND($E7*$G$5,2)</f>
        <v>140</v>
      </c>
      <c r="H7" s="154">
        <v>0</v>
      </c>
      <c r="I7" s="154">
        <v>0</v>
      </c>
      <c r="J7" s="709">
        <f>SUM(E7:I7)</f>
        <v>1825</v>
      </c>
      <c r="K7" s="710">
        <f>SUM(J7*8)</f>
        <v>14600</v>
      </c>
      <c r="L7" s="321">
        <f>C7*D7</f>
        <v>1600</v>
      </c>
      <c r="M7" s="154"/>
      <c r="N7" s="711">
        <f>SUM(K7:M7)</f>
        <v>16200</v>
      </c>
    </row>
    <row r="8" spans="1:18" ht="45" customHeight="1" x14ac:dyDescent="0.2">
      <c r="A8" s="704"/>
      <c r="B8" s="83" t="str">
        <f>+'PRESUP.DE PERSONAL 2'!C134</f>
        <v>Asistente UCP</v>
      </c>
      <c r="C8" s="83">
        <f>+'PRESUP.DE PERSONAL 2'!D134</f>
        <v>1</v>
      </c>
      <c r="D8" s="511">
        <f>+'PRESUP.DE PERSONAL 2'!E134</f>
        <v>759.57</v>
      </c>
      <c r="E8" s="114">
        <f>+'PRESUP.DE PERSONAL 2'!F134</f>
        <v>759.57</v>
      </c>
      <c r="F8" s="100">
        <f t="shared" si="0"/>
        <v>64.56</v>
      </c>
      <c r="G8" s="82">
        <f t="shared" ref="G8:G58" si="1">ROUND($E8*$G$5,2)</f>
        <v>66.459999999999994</v>
      </c>
      <c r="H8" s="82">
        <v>0</v>
      </c>
      <c r="I8" s="82">
        <v>0</v>
      </c>
      <c r="J8" s="115">
        <f t="shared" ref="J8:J57" si="2">SUM(E8:I8)</f>
        <v>890.59000000000015</v>
      </c>
      <c r="K8" s="710">
        <f t="shared" ref="K8:K56" si="3">SUM(J8*8)</f>
        <v>7124.7200000000012</v>
      </c>
      <c r="L8" s="112">
        <f>C8*D8</f>
        <v>759.57</v>
      </c>
      <c r="M8" s="100"/>
      <c r="N8" s="408">
        <f>SUM(K8:M8)</f>
        <v>7884.2900000000009</v>
      </c>
    </row>
    <row r="9" spans="1:18" ht="45" customHeight="1" x14ac:dyDescent="0.2">
      <c r="A9" s="704"/>
      <c r="B9" s="83" t="str">
        <f>+'PRESUP.DE PERSONAL 2'!C135</f>
        <v>Gestor de Compras UCP</v>
      </c>
      <c r="C9" s="83">
        <f>+'PRESUP.DE PERSONAL 2'!D135</f>
        <v>1</v>
      </c>
      <c r="D9" s="511">
        <f>+'PRESUP.DE PERSONAL 2'!E135</f>
        <v>700</v>
      </c>
      <c r="E9" s="114">
        <f>+'PRESUP.DE PERSONAL 2'!F135</f>
        <v>700</v>
      </c>
      <c r="F9" s="100">
        <f t="shared" si="0"/>
        <v>59.5</v>
      </c>
      <c r="G9" s="82">
        <f t="shared" si="1"/>
        <v>61.25</v>
      </c>
      <c r="H9" s="82">
        <v>0</v>
      </c>
      <c r="I9" s="82">
        <v>0</v>
      </c>
      <c r="J9" s="115">
        <f t="shared" si="2"/>
        <v>820.75</v>
      </c>
      <c r="K9" s="710">
        <f t="shared" si="3"/>
        <v>6566</v>
      </c>
      <c r="L9" s="112">
        <f t="shared" ref="L9:L24" si="4">C9*D9</f>
        <v>700</v>
      </c>
      <c r="M9" s="100"/>
      <c r="N9" s="408">
        <f t="shared" ref="N9:N24" si="5">SUM(K9:M9)</f>
        <v>7266</v>
      </c>
    </row>
    <row r="10" spans="1:18" ht="45" customHeight="1" x14ac:dyDescent="0.2">
      <c r="A10" s="704"/>
      <c r="B10" s="83" t="str">
        <f>+'PRESUP.DE PERSONAL 2'!C136</f>
        <v>Colaboradora UCP</v>
      </c>
      <c r="C10" s="83">
        <f>+'PRESUP.DE PERSONAL 2'!D136</f>
        <v>1</v>
      </c>
      <c r="D10" s="511">
        <f>+'PRESUP.DE PERSONAL 2'!E136</f>
        <v>597</v>
      </c>
      <c r="E10" s="114">
        <f>+'PRESUP.DE PERSONAL 2'!F136</f>
        <v>597</v>
      </c>
      <c r="F10" s="100">
        <f t="shared" si="0"/>
        <v>50.75</v>
      </c>
      <c r="G10" s="82">
        <f t="shared" si="1"/>
        <v>52.24</v>
      </c>
      <c r="H10" s="82">
        <v>0</v>
      </c>
      <c r="I10" s="82">
        <v>0</v>
      </c>
      <c r="J10" s="115">
        <f t="shared" si="2"/>
        <v>699.99</v>
      </c>
      <c r="K10" s="710">
        <f t="shared" si="3"/>
        <v>5599.92</v>
      </c>
      <c r="L10" s="112">
        <f t="shared" si="4"/>
        <v>597</v>
      </c>
      <c r="M10" s="100"/>
      <c r="N10" s="408">
        <f t="shared" si="5"/>
        <v>6196.92</v>
      </c>
    </row>
    <row r="11" spans="1:18" s="94" customFormat="1" ht="45" customHeight="1" x14ac:dyDescent="0.2">
      <c r="A11" s="919"/>
      <c r="B11" s="759" t="str">
        <f>+'PRESUP.DE PERSONAL 2'!C137</f>
        <v>Colaboradora UCP</v>
      </c>
      <c r="C11" s="759">
        <f>+'PRESUP.DE PERSONAL 2'!D137</f>
        <v>1</v>
      </c>
      <c r="D11" s="760">
        <f>+'PRESUP.DE PERSONAL 2'!E137</f>
        <v>417</v>
      </c>
      <c r="E11" s="761">
        <f>+'PRESUP.DE PERSONAL 2'!F137</f>
        <v>417</v>
      </c>
      <c r="F11" s="235">
        <f>ROUND(IF(D11&gt;=1000, 1000*$F$5, $E11*$F$5),2)</f>
        <v>35.450000000000003</v>
      </c>
      <c r="G11" s="762">
        <f t="shared" si="1"/>
        <v>36.49</v>
      </c>
      <c r="H11" s="762">
        <v>0</v>
      </c>
      <c r="I11" s="762">
        <v>0</v>
      </c>
      <c r="J11" s="764">
        <f>SUM(E11:I11)</f>
        <v>488.94</v>
      </c>
      <c r="K11" s="765">
        <f>SUM(J11*1)</f>
        <v>488.94</v>
      </c>
      <c r="L11" s="766">
        <v>0</v>
      </c>
      <c r="M11" s="235"/>
      <c r="N11" s="767">
        <f>SUM(K11:M11)</f>
        <v>488.94</v>
      </c>
    </row>
    <row r="12" spans="1:18" s="94" customFormat="1" ht="45" customHeight="1" x14ac:dyDescent="0.2">
      <c r="A12" s="919"/>
      <c r="B12" s="759" t="str">
        <f>+'PRESUP.DE PERSONAL 2'!C138</f>
        <v>Colaboradora UCP</v>
      </c>
      <c r="C12" s="759">
        <f>+'PRESUP.DE PERSONAL 2'!D138</f>
        <v>1</v>
      </c>
      <c r="D12" s="760">
        <f>+'PRESUP.DE PERSONAL 2'!E138</f>
        <v>517</v>
      </c>
      <c r="E12" s="761">
        <f>+'PRESUP.DE PERSONAL 2'!F138</f>
        <v>517</v>
      </c>
      <c r="F12" s="235">
        <f>ROUND(IF(D12&gt;=1000, 1000*$F$5, $E12*$F$5),2)</f>
        <v>43.95</v>
      </c>
      <c r="G12" s="762">
        <f t="shared" si="1"/>
        <v>45.24</v>
      </c>
      <c r="H12" s="762">
        <v>0</v>
      </c>
      <c r="I12" s="762">
        <v>0</v>
      </c>
      <c r="J12" s="764">
        <f>SUM(E12:I12)</f>
        <v>606.19000000000005</v>
      </c>
      <c r="K12" s="765">
        <f>SUM(J12*7)</f>
        <v>4243.33</v>
      </c>
      <c r="L12" s="766">
        <f>C12*D12</f>
        <v>517</v>
      </c>
      <c r="M12" s="235"/>
      <c r="N12" s="767">
        <f>SUM(K12:M12)</f>
        <v>4760.33</v>
      </c>
    </row>
    <row r="13" spans="1:18" ht="45" customHeight="1" x14ac:dyDescent="0.2">
      <c r="A13" s="704"/>
      <c r="B13" s="83" t="str">
        <f>+'PRESUP.DE PERSONAL 2'!C139</f>
        <v>Encargado de proveeduria</v>
      </c>
      <c r="C13" s="83">
        <f>+'PRESUP.DE PERSONAL 2'!D139</f>
        <v>1</v>
      </c>
      <c r="D13" s="511">
        <f>+'PRESUP.DE PERSONAL 2'!E139</f>
        <v>800</v>
      </c>
      <c r="E13" s="114">
        <f>+'PRESUP.DE PERSONAL 2'!F139</f>
        <v>800</v>
      </c>
      <c r="F13" s="100">
        <f t="shared" si="0"/>
        <v>68</v>
      </c>
      <c r="G13" s="82">
        <f t="shared" si="1"/>
        <v>70</v>
      </c>
      <c r="H13" s="82">
        <v>0</v>
      </c>
      <c r="I13" s="82">
        <v>0</v>
      </c>
      <c r="J13" s="115">
        <f t="shared" si="2"/>
        <v>938</v>
      </c>
      <c r="K13" s="710">
        <f t="shared" si="3"/>
        <v>7504</v>
      </c>
      <c r="L13" s="112">
        <f t="shared" si="4"/>
        <v>800</v>
      </c>
      <c r="M13" s="100"/>
      <c r="N13" s="408">
        <f t="shared" si="5"/>
        <v>8304</v>
      </c>
    </row>
    <row r="14" spans="1:18" ht="45" customHeight="1" x14ac:dyDescent="0.2">
      <c r="A14" s="704"/>
      <c r="B14" s="83" t="str">
        <f>+'PRESUP.DE PERSONAL 2'!C140</f>
        <v>Colaborador de proveeduria</v>
      </c>
      <c r="C14" s="83">
        <f>+'PRESUP.DE PERSONAL 2'!D140</f>
        <v>1</v>
      </c>
      <c r="D14" s="511">
        <f>+'PRESUP.DE PERSONAL 2'!E140</f>
        <v>547</v>
      </c>
      <c r="E14" s="114">
        <f>+'PRESUP.DE PERSONAL 2'!F140</f>
        <v>547</v>
      </c>
      <c r="F14" s="100">
        <f t="shared" si="0"/>
        <v>46.5</v>
      </c>
      <c r="G14" s="82">
        <f t="shared" si="1"/>
        <v>47.86</v>
      </c>
      <c r="H14" s="82">
        <v>0</v>
      </c>
      <c r="I14" s="82">
        <v>0</v>
      </c>
      <c r="J14" s="115">
        <f t="shared" si="2"/>
        <v>641.36</v>
      </c>
      <c r="K14" s="710">
        <f t="shared" si="3"/>
        <v>5130.88</v>
      </c>
      <c r="L14" s="112">
        <f t="shared" si="4"/>
        <v>547</v>
      </c>
      <c r="M14" s="100"/>
      <c r="N14" s="408">
        <f t="shared" si="5"/>
        <v>5677.88</v>
      </c>
    </row>
    <row r="15" spans="1:18" ht="45" customHeight="1" x14ac:dyDescent="0.2">
      <c r="A15" s="704"/>
      <c r="B15" s="83" t="str">
        <f>+'PRESUP.DE PERSONAL 2'!C142</f>
        <v>Jefe UATM</v>
      </c>
      <c r="C15" s="83">
        <f>+'PRESUP.DE PERSONAL 2'!D142</f>
        <v>1</v>
      </c>
      <c r="D15" s="511">
        <f>+'PRESUP.DE PERSONAL 2'!E142</f>
        <v>1100</v>
      </c>
      <c r="E15" s="114">
        <f>+'PRESUP.DE PERSONAL 2'!F142</f>
        <v>1100</v>
      </c>
      <c r="F15" s="100">
        <f t="shared" si="0"/>
        <v>85</v>
      </c>
      <c r="G15" s="82">
        <f t="shared" si="1"/>
        <v>96.25</v>
      </c>
      <c r="H15" s="82">
        <v>0</v>
      </c>
      <c r="I15" s="82">
        <v>0</v>
      </c>
      <c r="J15" s="115">
        <f t="shared" si="2"/>
        <v>1281.25</v>
      </c>
      <c r="K15" s="710">
        <f t="shared" si="3"/>
        <v>10250</v>
      </c>
      <c r="L15" s="112">
        <f t="shared" si="4"/>
        <v>1100</v>
      </c>
      <c r="M15" s="100"/>
      <c r="N15" s="408">
        <f t="shared" si="5"/>
        <v>11350</v>
      </c>
    </row>
    <row r="16" spans="1:18" ht="45" customHeight="1" x14ac:dyDescent="0.2">
      <c r="A16" s="704"/>
      <c r="B16" s="83" t="str">
        <f>+'PRESUP.DE PERSONAL 2'!C143</f>
        <v>Asistente de UATM</v>
      </c>
      <c r="C16" s="83">
        <f>+'PRESUP.DE PERSONAL 2'!D143</f>
        <v>1</v>
      </c>
      <c r="D16" s="511">
        <f>+'PRESUP.DE PERSONAL 2'!E143</f>
        <v>800</v>
      </c>
      <c r="E16" s="114">
        <f>+'PRESUP.DE PERSONAL 2'!F143</f>
        <v>800</v>
      </c>
      <c r="F16" s="100">
        <f t="shared" si="0"/>
        <v>68</v>
      </c>
      <c r="G16" s="82">
        <f t="shared" si="1"/>
        <v>70</v>
      </c>
      <c r="H16" s="82">
        <v>0</v>
      </c>
      <c r="I16" s="82">
        <v>0</v>
      </c>
      <c r="J16" s="115">
        <f t="shared" si="2"/>
        <v>938</v>
      </c>
      <c r="K16" s="710">
        <f t="shared" si="3"/>
        <v>7504</v>
      </c>
      <c r="L16" s="112">
        <f t="shared" si="4"/>
        <v>800</v>
      </c>
      <c r="M16" s="100"/>
      <c r="N16" s="408">
        <f t="shared" si="5"/>
        <v>8304</v>
      </c>
    </row>
    <row r="17" spans="1:14" ht="45" customHeight="1" x14ac:dyDescent="0.2">
      <c r="A17" s="704"/>
      <c r="B17" s="83" t="str">
        <f>+'PRESUP.DE PERSONAL 2'!C144</f>
        <v>Colaborador de UATM</v>
      </c>
      <c r="C17" s="83">
        <f>+'PRESUP.DE PERSONAL 2'!D144</f>
        <v>1</v>
      </c>
      <c r="D17" s="511">
        <f>+'PRESUP.DE PERSONAL 2'!E144</f>
        <v>677</v>
      </c>
      <c r="E17" s="114">
        <f>+'PRESUP.DE PERSONAL 2'!F144</f>
        <v>677</v>
      </c>
      <c r="F17" s="100">
        <f t="shared" si="0"/>
        <v>57.55</v>
      </c>
      <c r="G17" s="82">
        <f t="shared" si="1"/>
        <v>59.24</v>
      </c>
      <c r="H17" s="82">
        <v>0</v>
      </c>
      <c r="I17" s="82">
        <v>0</v>
      </c>
      <c r="J17" s="115">
        <f t="shared" si="2"/>
        <v>793.79</v>
      </c>
      <c r="K17" s="710">
        <f t="shared" si="3"/>
        <v>6350.32</v>
      </c>
      <c r="L17" s="112">
        <f t="shared" si="4"/>
        <v>677</v>
      </c>
      <c r="M17" s="100"/>
      <c r="N17" s="408">
        <f t="shared" si="5"/>
        <v>7027.32</v>
      </c>
    </row>
    <row r="18" spans="1:14" ht="45" customHeight="1" x14ac:dyDescent="0.2">
      <c r="A18" s="704"/>
      <c r="B18" s="83" t="str">
        <f>+'PRESUP.DE PERSONAL 2'!C145</f>
        <v>Encargado de Secc.R.C.T.</v>
      </c>
      <c r="C18" s="83">
        <f>+'PRESUP.DE PERSONAL 2'!D145</f>
        <v>1</v>
      </c>
      <c r="D18" s="511">
        <f>+'PRESUP.DE PERSONAL 2'!E145</f>
        <v>725</v>
      </c>
      <c r="E18" s="114">
        <f>+'PRESUP.DE PERSONAL 2'!F145</f>
        <v>725</v>
      </c>
      <c r="F18" s="100">
        <f t="shared" si="0"/>
        <v>61.63</v>
      </c>
      <c r="G18" s="82">
        <f t="shared" si="1"/>
        <v>63.44</v>
      </c>
      <c r="H18" s="82">
        <v>0</v>
      </c>
      <c r="I18" s="82">
        <v>0</v>
      </c>
      <c r="J18" s="115">
        <f t="shared" si="2"/>
        <v>850.06999999999994</v>
      </c>
      <c r="K18" s="710">
        <f t="shared" si="3"/>
        <v>6800.5599999999995</v>
      </c>
      <c r="L18" s="112">
        <f t="shared" si="4"/>
        <v>725</v>
      </c>
      <c r="M18" s="100"/>
      <c r="N18" s="408">
        <f t="shared" si="5"/>
        <v>7525.5599999999995</v>
      </c>
    </row>
    <row r="19" spans="1:14" ht="45" customHeight="1" thickBot="1" x14ac:dyDescent="0.25">
      <c r="A19" s="714"/>
      <c r="B19" s="715" t="str">
        <f>+'PRESUP.DE PERSONAL 2'!C146</f>
        <v>Inspector de empresas</v>
      </c>
      <c r="C19" s="715">
        <f>+'PRESUP.DE PERSONAL 2'!D146</f>
        <v>1</v>
      </c>
      <c r="D19" s="716">
        <f>+'PRESUP.DE PERSONAL 2'!E146</f>
        <v>600</v>
      </c>
      <c r="E19" s="717">
        <f>+'PRESUP.DE PERSONAL 2'!F146</f>
        <v>600</v>
      </c>
      <c r="F19" s="718">
        <f t="shared" si="0"/>
        <v>51</v>
      </c>
      <c r="G19" s="719">
        <f t="shared" si="1"/>
        <v>52.5</v>
      </c>
      <c r="H19" s="719">
        <v>0</v>
      </c>
      <c r="I19" s="719">
        <v>0</v>
      </c>
      <c r="J19" s="720">
        <f t="shared" si="2"/>
        <v>703.5</v>
      </c>
      <c r="K19" s="926">
        <f t="shared" si="3"/>
        <v>5628</v>
      </c>
      <c r="L19" s="721">
        <f t="shared" si="4"/>
        <v>600</v>
      </c>
      <c r="M19" s="718"/>
      <c r="N19" s="722">
        <f t="shared" si="5"/>
        <v>6228</v>
      </c>
    </row>
    <row r="20" spans="1:14" ht="45" customHeight="1" x14ac:dyDescent="0.2">
      <c r="A20" s="712"/>
      <c r="B20" s="723" t="str">
        <f>+'PRESUP.DE PERSONAL 2'!C147</f>
        <v>Inspector de inmuebles I</v>
      </c>
      <c r="C20" s="723">
        <f>+'PRESUP.DE PERSONAL 2'!D147</f>
        <v>1</v>
      </c>
      <c r="D20" s="724">
        <f>+'PRESUP.DE PERSONAL 2'!E147</f>
        <v>615</v>
      </c>
      <c r="E20" s="725">
        <f>+'PRESUP.DE PERSONAL 2'!F147</f>
        <v>615</v>
      </c>
      <c r="F20" s="726">
        <f t="shared" si="0"/>
        <v>52.28</v>
      </c>
      <c r="G20" s="727">
        <f t="shared" si="1"/>
        <v>53.81</v>
      </c>
      <c r="H20" s="727">
        <v>0</v>
      </c>
      <c r="I20" s="727">
        <v>0</v>
      </c>
      <c r="J20" s="728">
        <f t="shared" si="2"/>
        <v>721.08999999999992</v>
      </c>
      <c r="K20" s="927">
        <f t="shared" si="3"/>
        <v>5768.7199999999993</v>
      </c>
      <c r="L20" s="729">
        <f t="shared" si="4"/>
        <v>615</v>
      </c>
      <c r="M20" s="726"/>
      <c r="N20" s="730">
        <f t="shared" si="5"/>
        <v>6383.7199999999993</v>
      </c>
    </row>
    <row r="21" spans="1:14" ht="45" customHeight="1" x14ac:dyDescent="0.2">
      <c r="A21" s="704"/>
      <c r="B21" s="83" t="str">
        <f>+'PRESUP.DE PERSONAL 2'!C148</f>
        <v>Colaborador de RCT</v>
      </c>
      <c r="C21" s="83">
        <f>+'PRESUP.DE PERSONAL 2'!D148</f>
        <v>1</v>
      </c>
      <c r="D21" s="511">
        <f>+'PRESUP.DE PERSONAL 2'!E148</f>
        <v>702</v>
      </c>
      <c r="E21" s="114">
        <f>+'PRESUP.DE PERSONAL 2'!F148</f>
        <v>702</v>
      </c>
      <c r="F21" s="100">
        <f t="shared" si="0"/>
        <v>59.67</v>
      </c>
      <c r="G21" s="82">
        <f t="shared" si="1"/>
        <v>61.43</v>
      </c>
      <c r="H21" s="82">
        <v>0</v>
      </c>
      <c r="I21" s="82">
        <v>0</v>
      </c>
      <c r="J21" s="115">
        <f t="shared" si="2"/>
        <v>823.09999999999991</v>
      </c>
      <c r="K21" s="710">
        <f t="shared" si="3"/>
        <v>6584.7999999999993</v>
      </c>
      <c r="L21" s="112">
        <f t="shared" si="4"/>
        <v>702</v>
      </c>
      <c r="M21" s="100"/>
      <c r="N21" s="408">
        <f t="shared" si="5"/>
        <v>7286.7999999999993</v>
      </c>
    </row>
    <row r="22" spans="1:14" ht="45" customHeight="1" x14ac:dyDescent="0.2">
      <c r="A22" s="704"/>
      <c r="B22" s="83" t="str">
        <f>+'PRESUP.DE PERSONAL 2'!C149</f>
        <v>Encargada de Cuentas Corrientes</v>
      </c>
      <c r="C22" s="83">
        <f>+'PRESUP.DE PERSONAL 2'!D149</f>
        <v>1</v>
      </c>
      <c r="D22" s="511">
        <f>+'PRESUP.DE PERSONAL 2'!E149</f>
        <v>775</v>
      </c>
      <c r="E22" s="114">
        <f>+'PRESUP.DE PERSONAL 2'!F149</f>
        <v>775</v>
      </c>
      <c r="F22" s="100">
        <f t="shared" si="0"/>
        <v>65.88</v>
      </c>
      <c r="G22" s="82">
        <f t="shared" si="1"/>
        <v>67.81</v>
      </c>
      <c r="H22" s="82">
        <v>0</v>
      </c>
      <c r="I22" s="82">
        <v>0</v>
      </c>
      <c r="J22" s="115">
        <f t="shared" si="2"/>
        <v>908.69</v>
      </c>
      <c r="K22" s="710">
        <f t="shared" si="3"/>
        <v>7269.52</v>
      </c>
      <c r="L22" s="112">
        <f t="shared" si="4"/>
        <v>775</v>
      </c>
      <c r="M22" s="100"/>
      <c r="N22" s="408">
        <f t="shared" si="5"/>
        <v>8044.52</v>
      </c>
    </row>
    <row r="23" spans="1:14" ht="45" customHeight="1" x14ac:dyDescent="0.2">
      <c r="A23" s="704"/>
      <c r="B23" s="83" t="str">
        <f>+'PRESUP.DE PERSONAL 2'!C153</f>
        <v>Colaborador de cuentas corrientes IV</v>
      </c>
      <c r="C23" s="83">
        <f>+'PRESUP.DE PERSONAL 2'!D153</f>
        <v>1</v>
      </c>
      <c r="D23" s="511">
        <f>+'PRESUP.DE PERSONAL 2'!E153</f>
        <v>597</v>
      </c>
      <c r="E23" s="114">
        <f>+'PRESUP.DE PERSONAL 2'!F153</f>
        <v>597</v>
      </c>
      <c r="F23" s="100">
        <f t="shared" si="0"/>
        <v>50.75</v>
      </c>
      <c r="G23" s="82">
        <f t="shared" si="1"/>
        <v>52.24</v>
      </c>
      <c r="H23" s="82">
        <v>0</v>
      </c>
      <c r="I23" s="82">
        <v>0</v>
      </c>
      <c r="J23" s="115">
        <f t="shared" si="2"/>
        <v>699.99</v>
      </c>
      <c r="K23" s="710">
        <f t="shared" si="3"/>
        <v>5599.92</v>
      </c>
      <c r="L23" s="112">
        <f t="shared" si="4"/>
        <v>597</v>
      </c>
      <c r="M23" s="100"/>
      <c r="N23" s="408">
        <f t="shared" si="5"/>
        <v>6196.92</v>
      </c>
    </row>
    <row r="24" spans="1:14" ht="45" customHeight="1" x14ac:dyDescent="0.2">
      <c r="A24" s="704"/>
      <c r="B24" s="83" t="str">
        <f>+'PRESUP.DE PERSONAL 2'!C152</f>
        <v>Colaborador de cuentas corrientes III</v>
      </c>
      <c r="C24" s="83">
        <f>+'PRESUP.DE PERSONAL 2'!D152</f>
        <v>1</v>
      </c>
      <c r="D24" s="511">
        <f>+'PRESUP.DE PERSONAL 2'!E152</f>
        <v>647</v>
      </c>
      <c r="E24" s="114">
        <f>+'PRESUP.DE PERSONAL 2'!F152</f>
        <v>647</v>
      </c>
      <c r="F24" s="100">
        <f t="shared" si="0"/>
        <v>55</v>
      </c>
      <c r="G24" s="82">
        <f t="shared" si="1"/>
        <v>56.61</v>
      </c>
      <c r="H24" s="82">
        <v>0</v>
      </c>
      <c r="I24" s="82">
        <v>0</v>
      </c>
      <c r="J24" s="115">
        <f t="shared" si="2"/>
        <v>758.61</v>
      </c>
      <c r="K24" s="710">
        <f t="shared" si="3"/>
        <v>6068.88</v>
      </c>
      <c r="L24" s="112">
        <f t="shared" si="4"/>
        <v>647</v>
      </c>
      <c r="M24" s="100"/>
      <c r="N24" s="408">
        <f t="shared" si="5"/>
        <v>6715.88</v>
      </c>
    </row>
    <row r="25" spans="1:14" ht="45" customHeight="1" x14ac:dyDescent="0.2">
      <c r="A25" s="704"/>
      <c r="B25" s="83" t="str">
        <f>+'PRESUP.DE PERSONAL 2'!C151</f>
        <v>Colaborador de cuentas corrientes II</v>
      </c>
      <c r="C25" s="83">
        <f>+'PRESUP.DE PERSONAL 2'!D151</f>
        <v>1</v>
      </c>
      <c r="D25" s="511">
        <f>+'PRESUP.DE PERSONAL 2'!E151</f>
        <v>700</v>
      </c>
      <c r="E25" s="114">
        <f>+'PRESUP.DE PERSONAL 2'!F151</f>
        <v>700</v>
      </c>
      <c r="F25" s="100">
        <f t="shared" si="0"/>
        <v>59.5</v>
      </c>
      <c r="G25" s="82">
        <f t="shared" si="1"/>
        <v>61.25</v>
      </c>
      <c r="H25" s="80">
        <v>0</v>
      </c>
      <c r="I25" s="80">
        <v>0</v>
      </c>
      <c r="J25" s="115">
        <f t="shared" si="2"/>
        <v>820.75</v>
      </c>
      <c r="K25" s="710">
        <f t="shared" si="3"/>
        <v>6566</v>
      </c>
      <c r="L25" s="112">
        <f t="shared" ref="L25:L33" si="6">C25*D25</f>
        <v>700</v>
      </c>
      <c r="M25" s="100"/>
      <c r="N25" s="408">
        <f t="shared" ref="N25:N33" si="7">SUM(K25:M25)</f>
        <v>7266</v>
      </c>
    </row>
    <row r="26" spans="1:14" ht="45" customHeight="1" x14ac:dyDescent="0.2">
      <c r="A26" s="704"/>
      <c r="B26" s="83" t="str">
        <f>+'PRESUP.DE PERSONAL 2'!C154</f>
        <v>Colaborador de cuentas corrientes V</v>
      </c>
      <c r="C26" s="83">
        <f>+'PRESUP.DE PERSONAL 2'!D154</f>
        <v>1</v>
      </c>
      <c r="D26" s="511">
        <f>+'PRESUP.DE PERSONAL 2'!E154</f>
        <v>547</v>
      </c>
      <c r="E26" s="114">
        <f>+'PRESUP.DE PERSONAL 2'!F154</f>
        <v>547</v>
      </c>
      <c r="F26" s="100">
        <f t="shared" si="0"/>
        <v>46.5</v>
      </c>
      <c r="G26" s="82">
        <f t="shared" si="1"/>
        <v>47.86</v>
      </c>
      <c r="H26" s="80">
        <v>0</v>
      </c>
      <c r="I26" s="80">
        <v>0</v>
      </c>
      <c r="J26" s="115">
        <f t="shared" si="2"/>
        <v>641.36</v>
      </c>
      <c r="K26" s="710">
        <f t="shared" si="3"/>
        <v>5130.88</v>
      </c>
      <c r="L26" s="112">
        <f t="shared" si="6"/>
        <v>547</v>
      </c>
      <c r="M26" s="100"/>
      <c r="N26" s="408">
        <f t="shared" si="7"/>
        <v>5677.88</v>
      </c>
    </row>
    <row r="27" spans="1:14" ht="45" customHeight="1" x14ac:dyDescent="0.2">
      <c r="A27" s="704"/>
      <c r="B27" s="83" t="str">
        <f>+'PRESUP.DE PERSONAL 2'!C150</f>
        <v>Colaborador de cuentas corrientes I</v>
      </c>
      <c r="C27" s="83">
        <f>+'PRESUP.DE PERSONAL 2'!D150</f>
        <v>1</v>
      </c>
      <c r="D27" s="511">
        <f>+'PRESUP.DE PERSONAL 2'!E150</f>
        <v>1025</v>
      </c>
      <c r="E27" s="114">
        <f>+'PRESUP.DE PERSONAL 2'!F150</f>
        <v>1025</v>
      </c>
      <c r="F27" s="100">
        <f>ROUND(IF(D27&gt;=1000, 1000*$F$5, $E27*$F$5),2)</f>
        <v>85</v>
      </c>
      <c r="G27" s="82">
        <f t="shared" si="1"/>
        <v>89.69</v>
      </c>
      <c r="H27" s="80">
        <v>0</v>
      </c>
      <c r="I27" s="80">
        <v>0</v>
      </c>
      <c r="J27" s="115">
        <f>SUM(E27:I27)</f>
        <v>1199.69</v>
      </c>
      <c r="K27" s="710">
        <f t="shared" si="3"/>
        <v>9597.52</v>
      </c>
      <c r="L27" s="112">
        <f>C27*D27</f>
        <v>1025</v>
      </c>
      <c r="M27" s="100"/>
      <c r="N27" s="408">
        <f>SUM(K27:M27)</f>
        <v>10622.52</v>
      </c>
    </row>
    <row r="28" spans="1:14" ht="45" customHeight="1" x14ac:dyDescent="0.2">
      <c r="A28" s="704"/>
      <c r="B28" s="83" t="str">
        <f>+'PRESUP.DE PERSONAL 2'!C155</f>
        <v>Encargado de recuperacion de mora</v>
      </c>
      <c r="C28" s="83">
        <f>+'PRESUP.DE PERSONAL 2'!D155</f>
        <v>1</v>
      </c>
      <c r="D28" s="511">
        <f>+'PRESUP.DE PERSONAL 2'!E155</f>
        <v>827</v>
      </c>
      <c r="E28" s="114">
        <f>+'PRESUP.DE PERSONAL 2'!F155</f>
        <v>827</v>
      </c>
      <c r="F28" s="100">
        <f t="shared" si="0"/>
        <v>70.3</v>
      </c>
      <c r="G28" s="82">
        <f t="shared" si="1"/>
        <v>72.36</v>
      </c>
      <c r="H28" s="109">
        <f>+'PRESUP.DE PERSONAL 2'!I174</f>
        <v>0</v>
      </c>
      <c r="I28" s="114">
        <f>+'PRESUP.DE PERSONAL 2'!J174</f>
        <v>0</v>
      </c>
      <c r="J28" s="115">
        <f t="shared" si="2"/>
        <v>969.66</v>
      </c>
      <c r="K28" s="710">
        <f t="shared" si="3"/>
        <v>7757.28</v>
      </c>
      <c r="L28" s="100">
        <f t="shared" si="6"/>
        <v>827</v>
      </c>
      <c r="M28" s="153">
        <f>+'PRESUP.DE PERSONAL 2'!N174</f>
        <v>0</v>
      </c>
      <c r="N28" s="408">
        <f t="shared" si="7"/>
        <v>8584.2799999999988</v>
      </c>
    </row>
    <row r="29" spans="1:14" ht="45" customHeight="1" x14ac:dyDescent="0.2">
      <c r="A29" s="704"/>
      <c r="B29" s="83" t="str">
        <f>+'PRESUP.DE PERSONAL 2'!C156</f>
        <v>Colaborador de recuperacion de mora I</v>
      </c>
      <c r="C29" s="83">
        <f>+'PRESUP.DE PERSONAL 2'!D156</f>
        <v>1</v>
      </c>
      <c r="D29" s="511">
        <f>+'PRESUP.DE PERSONAL 2'!E156</f>
        <v>697</v>
      </c>
      <c r="E29" s="114">
        <f>+'PRESUP.DE PERSONAL 2'!F156</f>
        <v>697</v>
      </c>
      <c r="F29" s="100">
        <f t="shared" si="0"/>
        <v>59.25</v>
      </c>
      <c r="G29" s="82">
        <f t="shared" si="1"/>
        <v>60.99</v>
      </c>
      <c r="H29" s="80">
        <v>0</v>
      </c>
      <c r="I29" s="80">
        <v>0</v>
      </c>
      <c r="J29" s="115">
        <f t="shared" si="2"/>
        <v>817.24</v>
      </c>
      <c r="K29" s="710">
        <f t="shared" si="3"/>
        <v>6537.92</v>
      </c>
      <c r="L29" s="321">
        <f t="shared" si="6"/>
        <v>697</v>
      </c>
      <c r="M29" s="154"/>
      <c r="N29" s="408">
        <f t="shared" si="7"/>
        <v>7234.92</v>
      </c>
    </row>
    <row r="30" spans="1:14" ht="45" customHeight="1" x14ac:dyDescent="0.2">
      <c r="A30" s="704"/>
      <c r="B30" s="83" t="str">
        <f>+'PRESUP.DE PERSONAL 2'!C157</f>
        <v>Colaborador de recuperacion de mora II</v>
      </c>
      <c r="C30" s="83">
        <f>+'PRESUP.DE PERSONAL 2'!D157</f>
        <v>1</v>
      </c>
      <c r="D30" s="511">
        <f>+'PRESUP.DE PERSONAL 2'!E157</f>
        <v>597</v>
      </c>
      <c r="E30" s="114">
        <f>+'PRESUP.DE PERSONAL 2'!F157</f>
        <v>597</v>
      </c>
      <c r="F30" s="100">
        <f t="shared" si="0"/>
        <v>50.75</v>
      </c>
      <c r="G30" s="82">
        <f t="shared" si="1"/>
        <v>52.24</v>
      </c>
      <c r="H30" s="80">
        <v>0</v>
      </c>
      <c r="I30" s="80">
        <v>0</v>
      </c>
      <c r="J30" s="115">
        <f t="shared" si="2"/>
        <v>699.99</v>
      </c>
      <c r="K30" s="710">
        <f t="shared" si="3"/>
        <v>5599.92</v>
      </c>
      <c r="L30" s="112">
        <f t="shared" si="6"/>
        <v>597</v>
      </c>
      <c r="M30" s="100"/>
      <c r="N30" s="408">
        <f t="shared" si="7"/>
        <v>6196.92</v>
      </c>
    </row>
    <row r="31" spans="1:14" ht="45" customHeight="1" x14ac:dyDescent="0.2">
      <c r="A31" s="704"/>
      <c r="B31" s="83" t="str">
        <f>+'PRESUP.DE PERSONAL 2'!C158</f>
        <v>Encargada de Fiscalizacion</v>
      </c>
      <c r="C31" s="83">
        <f>+'PRESUP.DE PERSONAL 2'!D158</f>
        <v>1</v>
      </c>
      <c r="D31" s="511">
        <f>+'PRESUP.DE PERSONAL 2'!E158</f>
        <v>1300</v>
      </c>
      <c r="E31" s="114">
        <f>+'PRESUP.DE PERSONAL 2'!F158</f>
        <v>1300</v>
      </c>
      <c r="F31" s="100">
        <f t="shared" si="0"/>
        <v>85</v>
      </c>
      <c r="G31" s="82">
        <f t="shared" si="1"/>
        <v>113.75</v>
      </c>
      <c r="H31" s="80">
        <v>0</v>
      </c>
      <c r="I31" s="80">
        <v>0</v>
      </c>
      <c r="J31" s="115">
        <f t="shared" si="2"/>
        <v>1498.75</v>
      </c>
      <c r="K31" s="710">
        <f t="shared" si="3"/>
        <v>11990</v>
      </c>
      <c r="L31" s="112">
        <f t="shared" si="6"/>
        <v>1300</v>
      </c>
      <c r="M31" s="100"/>
      <c r="N31" s="408">
        <f t="shared" si="7"/>
        <v>13290</v>
      </c>
    </row>
    <row r="32" spans="1:14" ht="45" customHeight="1" x14ac:dyDescent="0.2">
      <c r="A32" s="704"/>
      <c r="B32" s="83" t="str">
        <f>+'PRESUP.DE PERSONAL 2'!C159</f>
        <v>Notificador I</v>
      </c>
      <c r="C32" s="83">
        <f>+'PRESUP.DE PERSONAL 2'!D159</f>
        <v>1</v>
      </c>
      <c r="D32" s="511">
        <f>+'PRESUP.DE PERSONAL 2'!E159</f>
        <v>597</v>
      </c>
      <c r="E32" s="114">
        <f>+'PRESUP.DE PERSONAL 2'!F159</f>
        <v>597</v>
      </c>
      <c r="F32" s="100">
        <f t="shared" si="0"/>
        <v>50.75</v>
      </c>
      <c r="G32" s="82">
        <f t="shared" si="1"/>
        <v>52.24</v>
      </c>
      <c r="H32" s="80"/>
      <c r="I32" s="80"/>
      <c r="J32" s="115">
        <f t="shared" si="2"/>
        <v>699.99</v>
      </c>
      <c r="K32" s="710">
        <f t="shared" si="3"/>
        <v>5599.92</v>
      </c>
      <c r="L32" s="112">
        <f t="shared" si="6"/>
        <v>597</v>
      </c>
      <c r="M32" s="100"/>
      <c r="N32" s="408">
        <f t="shared" si="7"/>
        <v>6196.92</v>
      </c>
    </row>
    <row r="33" spans="1:14" ht="45" customHeight="1" x14ac:dyDescent="0.2">
      <c r="A33" s="704"/>
      <c r="B33" s="83" t="str">
        <f>+'PRESUP.DE PERSONAL 2'!C160</f>
        <v>Notificador II</v>
      </c>
      <c r="C33" s="83">
        <f>+'PRESUP.DE PERSONAL 2'!D160</f>
        <v>2</v>
      </c>
      <c r="D33" s="511">
        <f>+'PRESUP.DE PERSONAL 2'!E160</f>
        <v>417</v>
      </c>
      <c r="E33" s="114">
        <f>+'PRESUP.DE PERSONAL 2'!F160</f>
        <v>834</v>
      </c>
      <c r="F33" s="100">
        <f t="shared" si="0"/>
        <v>70.89</v>
      </c>
      <c r="G33" s="82">
        <f t="shared" si="1"/>
        <v>72.98</v>
      </c>
      <c r="H33" s="80">
        <v>0</v>
      </c>
      <c r="I33" s="80">
        <v>0</v>
      </c>
      <c r="J33" s="115">
        <f t="shared" si="2"/>
        <v>977.87</v>
      </c>
      <c r="K33" s="710">
        <f t="shared" si="3"/>
        <v>7822.96</v>
      </c>
      <c r="L33" s="112">
        <f t="shared" si="6"/>
        <v>834</v>
      </c>
      <c r="M33" s="100">
        <v>0</v>
      </c>
      <c r="N33" s="408">
        <f t="shared" si="7"/>
        <v>8656.9599999999991</v>
      </c>
    </row>
    <row r="34" spans="1:14" ht="45" customHeight="1" x14ac:dyDescent="0.2">
      <c r="A34" s="704"/>
      <c r="B34" s="83" t="str">
        <f>+'PRESUP.DE PERSONAL 2'!C162</f>
        <v>Jefe UFI</v>
      </c>
      <c r="C34" s="83">
        <f>+'PRESUP.DE PERSONAL 2'!D162</f>
        <v>1</v>
      </c>
      <c r="D34" s="511">
        <f>+'PRESUP.DE PERSONAL 2'!E162</f>
        <v>1900</v>
      </c>
      <c r="E34" s="114">
        <f>+'PRESUP.DE PERSONAL 2'!F162</f>
        <v>1900</v>
      </c>
      <c r="F34" s="100">
        <f t="shared" si="0"/>
        <v>85</v>
      </c>
      <c r="G34" s="82">
        <f t="shared" si="1"/>
        <v>166.25</v>
      </c>
      <c r="H34" s="80">
        <v>0</v>
      </c>
      <c r="I34" s="80">
        <v>0</v>
      </c>
      <c r="J34" s="115">
        <f t="shared" si="2"/>
        <v>2151.25</v>
      </c>
      <c r="K34" s="710">
        <f t="shared" si="3"/>
        <v>17210</v>
      </c>
      <c r="L34" s="112">
        <f t="shared" ref="L34:L57" si="8">C34*D34</f>
        <v>1900</v>
      </c>
      <c r="M34" s="100">
        <v>0</v>
      </c>
      <c r="N34" s="408">
        <f t="shared" ref="N34:N57" si="9">SUM(K34:M34)</f>
        <v>19110</v>
      </c>
    </row>
    <row r="35" spans="1:14" ht="45" customHeight="1" x14ac:dyDescent="0.2">
      <c r="A35" s="704"/>
      <c r="B35" s="83" t="str">
        <f>+'PRESUP.DE PERSONAL 2'!C163</f>
        <v>Asistente</v>
      </c>
      <c r="C35" s="83">
        <f>+'PRESUP.DE PERSONAL 2'!D163</f>
        <v>1</v>
      </c>
      <c r="D35" s="511">
        <f>+'PRESUP.DE PERSONAL 2'!E163</f>
        <v>1025</v>
      </c>
      <c r="E35" s="114">
        <f>+'PRESUP.DE PERSONAL 2'!F163</f>
        <v>1025</v>
      </c>
      <c r="F35" s="100">
        <f>ROUND(IF(D35&gt;=1000, 1000*$F$5, $E35*$F$5),2)</f>
        <v>85</v>
      </c>
      <c r="G35" s="82">
        <f t="shared" si="1"/>
        <v>89.69</v>
      </c>
      <c r="H35" s="80">
        <v>0</v>
      </c>
      <c r="I35" s="80">
        <v>0</v>
      </c>
      <c r="J35" s="115">
        <f>SUM(E35:I35)</f>
        <v>1199.69</v>
      </c>
      <c r="K35" s="710">
        <f t="shared" si="3"/>
        <v>9597.52</v>
      </c>
      <c r="L35" s="112">
        <f>C35*D35</f>
        <v>1025</v>
      </c>
      <c r="M35" s="100">
        <v>0</v>
      </c>
      <c r="N35" s="408">
        <f>SUM(K35:M35)</f>
        <v>10622.52</v>
      </c>
    </row>
    <row r="36" spans="1:14" ht="45" customHeight="1" x14ac:dyDescent="0.2">
      <c r="A36" s="704"/>
      <c r="B36" s="83" t="str">
        <f>+'PRESUP.DE PERSONAL 2'!C164</f>
        <v>Encargado de Analisis Financiero</v>
      </c>
      <c r="C36" s="83">
        <f>+'PRESUP.DE PERSONAL 2'!D164</f>
        <v>1</v>
      </c>
      <c r="D36" s="511">
        <f>+'PRESUP.DE PERSONAL 2'!E164</f>
        <v>1300</v>
      </c>
      <c r="E36" s="114">
        <f>+'PRESUP.DE PERSONAL 2'!F164</f>
        <v>1300</v>
      </c>
      <c r="F36" s="100">
        <f>ROUND(IF(D36&gt;=1000, 1000*$F$5, $E36*$F$5),2)</f>
        <v>85</v>
      </c>
      <c r="G36" s="82">
        <f t="shared" si="1"/>
        <v>113.75</v>
      </c>
      <c r="H36" s="80">
        <v>0</v>
      </c>
      <c r="I36" s="80">
        <v>0</v>
      </c>
      <c r="J36" s="115">
        <f>SUM(E36:I36)</f>
        <v>1498.75</v>
      </c>
      <c r="K36" s="710">
        <f t="shared" si="3"/>
        <v>11990</v>
      </c>
      <c r="L36" s="112">
        <f>C36*D36</f>
        <v>1300</v>
      </c>
      <c r="M36" s="100">
        <v>0</v>
      </c>
      <c r="N36" s="408">
        <f>SUM(K36:M36)</f>
        <v>13290</v>
      </c>
    </row>
    <row r="37" spans="1:14" ht="45" customHeight="1" thickBot="1" x14ac:dyDescent="0.25">
      <c r="A37" s="714"/>
      <c r="B37" s="715" t="str">
        <f>+'PRESUP.DE PERSONAL 2'!C166</f>
        <v>Jefe de presupuesto</v>
      </c>
      <c r="C37" s="715">
        <f>+'PRESUP.DE PERSONAL 2'!D166</f>
        <v>1</v>
      </c>
      <c r="D37" s="716">
        <f>+'PRESUP.DE PERSONAL 2'!E166</f>
        <v>1300</v>
      </c>
      <c r="E37" s="717">
        <f>+'PRESUP.DE PERSONAL 2'!F166</f>
        <v>1300</v>
      </c>
      <c r="F37" s="718">
        <f t="shared" si="0"/>
        <v>85</v>
      </c>
      <c r="G37" s="719">
        <f t="shared" si="1"/>
        <v>113.75</v>
      </c>
      <c r="H37" s="731">
        <v>0</v>
      </c>
      <c r="I37" s="731">
        <v>0</v>
      </c>
      <c r="J37" s="720">
        <f t="shared" si="2"/>
        <v>1498.75</v>
      </c>
      <c r="K37" s="926">
        <f t="shared" si="3"/>
        <v>11990</v>
      </c>
      <c r="L37" s="721">
        <f t="shared" si="8"/>
        <v>1300</v>
      </c>
      <c r="M37" s="718">
        <v>0</v>
      </c>
      <c r="N37" s="722">
        <f t="shared" si="9"/>
        <v>13290</v>
      </c>
    </row>
    <row r="38" spans="1:14" ht="45" customHeight="1" x14ac:dyDescent="0.2">
      <c r="A38" s="712"/>
      <c r="B38" s="723" t="str">
        <f>+'PRESUP.DE PERSONAL 2'!C167</f>
        <v>Asistente de presupuesto</v>
      </c>
      <c r="C38" s="723">
        <f>+'PRESUP.DE PERSONAL 2'!D167</f>
        <v>1</v>
      </c>
      <c r="D38" s="724">
        <f>+'PRESUP.DE PERSONAL 2'!E167</f>
        <v>800</v>
      </c>
      <c r="E38" s="725">
        <f>+'PRESUP.DE PERSONAL 2'!F167</f>
        <v>800</v>
      </c>
      <c r="F38" s="726">
        <f t="shared" si="0"/>
        <v>68</v>
      </c>
      <c r="G38" s="727">
        <f t="shared" si="1"/>
        <v>70</v>
      </c>
      <c r="H38" s="727">
        <v>0</v>
      </c>
      <c r="I38" s="727">
        <v>0</v>
      </c>
      <c r="J38" s="728">
        <f t="shared" si="2"/>
        <v>938</v>
      </c>
      <c r="K38" s="927">
        <f t="shared" si="3"/>
        <v>7504</v>
      </c>
      <c r="L38" s="729">
        <f t="shared" si="8"/>
        <v>800</v>
      </c>
      <c r="M38" s="726">
        <v>0</v>
      </c>
      <c r="N38" s="730">
        <f t="shared" si="9"/>
        <v>8304</v>
      </c>
    </row>
    <row r="39" spans="1:14" ht="45" customHeight="1" x14ac:dyDescent="0.2">
      <c r="A39" s="704"/>
      <c r="B39" s="83" t="str">
        <f>+'PRESUP.DE PERSONAL 2'!C168</f>
        <v>Colaborador de presupuesto</v>
      </c>
      <c r="C39" s="83">
        <f>+'PRESUP.DE PERSONAL 2'!D168</f>
        <v>1</v>
      </c>
      <c r="D39" s="511">
        <f>+'PRESUP.DE PERSONAL 2'!E168</f>
        <v>600</v>
      </c>
      <c r="E39" s="114">
        <f>+'PRESUP.DE PERSONAL 2'!F168</f>
        <v>600</v>
      </c>
      <c r="F39" s="100">
        <f t="shared" si="0"/>
        <v>51</v>
      </c>
      <c r="G39" s="82">
        <f t="shared" si="1"/>
        <v>52.5</v>
      </c>
      <c r="H39" s="80">
        <v>0</v>
      </c>
      <c r="I39" s="80">
        <v>0</v>
      </c>
      <c r="J39" s="115">
        <f t="shared" si="2"/>
        <v>703.5</v>
      </c>
      <c r="K39" s="710">
        <f t="shared" si="3"/>
        <v>5628</v>
      </c>
      <c r="L39" s="112">
        <f t="shared" si="8"/>
        <v>600</v>
      </c>
      <c r="M39" s="100">
        <v>0</v>
      </c>
      <c r="N39" s="408">
        <f t="shared" si="9"/>
        <v>6228</v>
      </c>
    </row>
    <row r="40" spans="1:14" ht="45" customHeight="1" x14ac:dyDescent="0.2">
      <c r="A40" s="704"/>
      <c r="B40" s="83" t="str">
        <f>+'PRESUP.DE PERSONAL 2'!C170</f>
        <v>Jefe de Tesoreria</v>
      </c>
      <c r="C40" s="83">
        <f>+'PRESUP.DE PERSONAL 2'!D170</f>
        <v>1</v>
      </c>
      <c r="D40" s="511">
        <f>+'PRESUP.DE PERSONAL 2'!E170</f>
        <v>1800</v>
      </c>
      <c r="E40" s="114">
        <f>+'PRESUP.DE PERSONAL 2'!F170</f>
        <v>1800</v>
      </c>
      <c r="F40" s="100">
        <f t="shared" si="0"/>
        <v>85</v>
      </c>
      <c r="G40" s="82">
        <f t="shared" si="1"/>
        <v>157.5</v>
      </c>
      <c r="H40" s="80">
        <v>0</v>
      </c>
      <c r="I40" s="80">
        <v>0</v>
      </c>
      <c r="J40" s="115">
        <f t="shared" si="2"/>
        <v>2042.5</v>
      </c>
      <c r="K40" s="710">
        <f t="shared" si="3"/>
        <v>16340</v>
      </c>
      <c r="L40" s="112">
        <f t="shared" si="8"/>
        <v>1800</v>
      </c>
      <c r="M40" s="100">
        <v>0</v>
      </c>
      <c r="N40" s="408">
        <f t="shared" si="9"/>
        <v>18140</v>
      </c>
    </row>
    <row r="41" spans="1:14" ht="45" customHeight="1" x14ac:dyDescent="0.2">
      <c r="A41" s="704"/>
      <c r="B41" s="83" t="str">
        <f>+'PRESUP.DE PERSONAL 2'!C171</f>
        <v>Encargado de pagos</v>
      </c>
      <c r="C41" s="83">
        <f>+'PRESUP.DE PERSONAL 2'!D171</f>
        <v>1</v>
      </c>
      <c r="D41" s="511">
        <f>+'PRESUP.DE PERSONAL 2'!E171</f>
        <v>759.57</v>
      </c>
      <c r="E41" s="114">
        <f>+'PRESUP.DE PERSONAL 2'!F171</f>
        <v>759.57</v>
      </c>
      <c r="F41" s="100">
        <f t="shared" si="0"/>
        <v>64.56</v>
      </c>
      <c r="G41" s="82">
        <f t="shared" si="1"/>
        <v>66.459999999999994</v>
      </c>
      <c r="H41" s="80">
        <v>0</v>
      </c>
      <c r="I41" s="80">
        <v>0</v>
      </c>
      <c r="J41" s="115">
        <f t="shared" si="2"/>
        <v>890.59000000000015</v>
      </c>
      <c r="K41" s="710">
        <f t="shared" si="3"/>
        <v>7124.7200000000012</v>
      </c>
      <c r="L41" s="112">
        <f t="shared" si="8"/>
        <v>759.57</v>
      </c>
      <c r="M41" s="100">
        <v>0</v>
      </c>
      <c r="N41" s="408">
        <f t="shared" si="9"/>
        <v>7884.2900000000009</v>
      </c>
    </row>
    <row r="42" spans="1:14" ht="45" customHeight="1" x14ac:dyDescent="0.2">
      <c r="A42" s="704"/>
      <c r="B42" s="83" t="str">
        <f>+'PRESUP.DE PERSONAL 2'!C172</f>
        <v>Colector de Aduana</v>
      </c>
      <c r="C42" s="83">
        <f>+'PRESUP.DE PERSONAL 2'!D172</f>
        <v>1</v>
      </c>
      <c r="D42" s="511">
        <f>+'PRESUP.DE PERSONAL 2'!E172</f>
        <v>800</v>
      </c>
      <c r="E42" s="114">
        <f>+'PRESUP.DE PERSONAL 2'!F172</f>
        <v>800</v>
      </c>
      <c r="F42" s="100">
        <f t="shared" si="0"/>
        <v>68</v>
      </c>
      <c r="G42" s="82">
        <f t="shared" si="1"/>
        <v>70</v>
      </c>
      <c r="H42" s="80">
        <v>0</v>
      </c>
      <c r="I42" s="80">
        <v>0</v>
      </c>
      <c r="J42" s="115">
        <f t="shared" si="2"/>
        <v>938</v>
      </c>
      <c r="K42" s="710">
        <f t="shared" si="3"/>
        <v>7504</v>
      </c>
      <c r="L42" s="112">
        <f t="shared" si="8"/>
        <v>800</v>
      </c>
      <c r="M42" s="100">
        <v>0</v>
      </c>
      <c r="N42" s="408">
        <f t="shared" si="9"/>
        <v>8304</v>
      </c>
    </row>
    <row r="43" spans="1:14" ht="45" customHeight="1" x14ac:dyDescent="0.2">
      <c r="A43" s="704"/>
      <c r="B43" s="83" t="str">
        <f>+'PRESUP.DE PERSONAL 2'!C173</f>
        <v>Cajera</v>
      </c>
      <c r="C43" s="83">
        <f>+'PRESUP.DE PERSONAL 2'!D173</f>
        <v>2</v>
      </c>
      <c r="D43" s="511">
        <f>+'PRESUP.DE PERSONAL 2'!E173</f>
        <v>600</v>
      </c>
      <c r="E43" s="114">
        <f>+'PRESUP.DE PERSONAL 2'!F173</f>
        <v>1200</v>
      </c>
      <c r="F43" s="100">
        <f t="shared" si="0"/>
        <v>102</v>
      </c>
      <c r="G43" s="82">
        <f t="shared" si="1"/>
        <v>105</v>
      </c>
      <c r="H43" s="80">
        <v>0</v>
      </c>
      <c r="I43" s="80">
        <v>0</v>
      </c>
      <c r="J43" s="115">
        <f t="shared" si="2"/>
        <v>1407</v>
      </c>
      <c r="K43" s="710">
        <f t="shared" si="3"/>
        <v>11256</v>
      </c>
      <c r="L43" s="112">
        <f t="shared" si="8"/>
        <v>1200</v>
      </c>
      <c r="M43" s="100">
        <v>0</v>
      </c>
      <c r="N43" s="408">
        <f t="shared" si="9"/>
        <v>12456</v>
      </c>
    </row>
    <row r="44" spans="1:14" s="94" customFormat="1" ht="45" customHeight="1" x14ac:dyDescent="0.2">
      <c r="A44" s="919"/>
      <c r="B44" s="759" t="str">
        <f>+'PRESUP.DE PERSONAL 2'!C174</f>
        <v>Asistente I</v>
      </c>
      <c r="C44" s="759">
        <f>+'PRESUP.DE PERSONAL 2'!D174</f>
        <v>1</v>
      </c>
      <c r="D44" s="760">
        <f>+'PRESUP.DE PERSONAL 2'!E174</f>
        <v>1025</v>
      </c>
      <c r="E44" s="761">
        <f>+'PRESUP.DE PERSONAL 2'!F174</f>
        <v>1025</v>
      </c>
      <c r="F44" s="235">
        <f t="shared" si="0"/>
        <v>85</v>
      </c>
      <c r="G44" s="762">
        <f t="shared" si="1"/>
        <v>89.69</v>
      </c>
      <c r="H44" s="763">
        <v>0</v>
      </c>
      <c r="I44" s="763">
        <v>0</v>
      </c>
      <c r="J44" s="764">
        <f t="shared" si="2"/>
        <v>1199.69</v>
      </c>
      <c r="K44" s="765">
        <f>SUM(J44*1)</f>
        <v>1199.69</v>
      </c>
      <c r="L44" s="766">
        <v>0</v>
      </c>
      <c r="M44" s="235">
        <v>0</v>
      </c>
      <c r="N44" s="767">
        <f t="shared" si="9"/>
        <v>1199.69</v>
      </c>
    </row>
    <row r="45" spans="1:14" ht="45" customHeight="1" x14ac:dyDescent="0.2">
      <c r="A45" s="704"/>
      <c r="B45" s="759" t="str">
        <f>+'PRESUP.DE PERSONAL 2'!C175</f>
        <v>Asistente II</v>
      </c>
      <c r="C45" s="759">
        <f>+'PRESUP.DE PERSONAL 2'!D175</f>
        <v>1</v>
      </c>
      <c r="D45" s="760">
        <f>+'PRESUP.DE PERSONAL 2'!E175</f>
        <v>1000</v>
      </c>
      <c r="E45" s="761">
        <f>+'PRESUP.DE PERSONAL 2'!F175</f>
        <v>1000</v>
      </c>
      <c r="F45" s="235">
        <f>ROUND(IF(D45&gt;=1000, 1000*$F$5, $E45*$F$5),2)</f>
        <v>85</v>
      </c>
      <c r="G45" s="762">
        <f t="shared" si="1"/>
        <v>87.5</v>
      </c>
      <c r="H45" s="763">
        <v>0</v>
      </c>
      <c r="I45" s="763">
        <v>0</v>
      </c>
      <c r="J45" s="764">
        <f>SUM(E45:I45)</f>
        <v>1172.5</v>
      </c>
      <c r="K45" s="765">
        <f t="shared" ref="K45:K50" si="10">SUM(J45*8)</f>
        <v>9380</v>
      </c>
      <c r="L45" s="766">
        <f>C45*D45</f>
        <v>1000</v>
      </c>
      <c r="M45" s="235">
        <v>0</v>
      </c>
      <c r="N45" s="767">
        <f>SUM(K45:M45)</f>
        <v>10380</v>
      </c>
    </row>
    <row r="46" spans="1:14" ht="45" customHeight="1" x14ac:dyDescent="0.2">
      <c r="A46" s="704"/>
      <c r="B46" s="83" t="str">
        <f>+'PRESUP.DE PERSONAL 2'!C176</f>
        <v>Colaborador de Tesoreria I</v>
      </c>
      <c r="C46" s="83">
        <f>+'PRESUP.DE PERSONAL 2'!D176</f>
        <v>1</v>
      </c>
      <c r="D46" s="511">
        <f>+'PRESUP.DE PERSONAL 2'!E176</f>
        <v>697</v>
      </c>
      <c r="E46" s="114">
        <f>+'PRESUP.DE PERSONAL 2'!F176</f>
        <v>697</v>
      </c>
      <c r="F46" s="100">
        <f>ROUND(IF(D46&gt;=1000, 1000*$F$5, $E46*$F$5),2)</f>
        <v>59.25</v>
      </c>
      <c r="G46" s="82">
        <f t="shared" si="1"/>
        <v>60.99</v>
      </c>
      <c r="H46" s="80">
        <v>0</v>
      </c>
      <c r="I46" s="80">
        <v>0</v>
      </c>
      <c r="J46" s="115">
        <f>SUM(E46:I46)</f>
        <v>817.24</v>
      </c>
      <c r="K46" s="765">
        <f t="shared" si="10"/>
        <v>6537.92</v>
      </c>
      <c r="L46" s="112">
        <f>C46*D46</f>
        <v>697</v>
      </c>
      <c r="M46" s="100">
        <v>0</v>
      </c>
      <c r="N46" s="408">
        <f>SUM(K46:M46)</f>
        <v>7234.92</v>
      </c>
    </row>
    <row r="47" spans="1:14" ht="45" customHeight="1" x14ac:dyDescent="0.2">
      <c r="A47" s="704"/>
      <c r="B47" s="83" t="str">
        <f>+'PRESUP.DE PERSONAL 2'!C177</f>
        <v>Colaborador de Tesoreria I</v>
      </c>
      <c r="C47" s="83">
        <f>+'PRESUP.DE PERSONAL 2'!D177</f>
        <v>1</v>
      </c>
      <c r="D47" s="511">
        <f>+'PRESUP.DE PERSONAL 2'!E177</f>
        <v>800</v>
      </c>
      <c r="E47" s="114">
        <f>+'PRESUP.DE PERSONAL 2'!F177</f>
        <v>800</v>
      </c>
      <c r="F47" s="100">
        <f t="shared" si="0"/>
        <v>68</v>
      </c>
      <c r="G47" s="82">
        <f t="shared" si="1"/>
        <v>70</v>
      </c>
      <c r="H47" s="80">
        <v>0</v>
      </c>
      <c r="I47" s="80">
        <v>0</v>
      </c>
      <c r="J47" s="115">
        <f t="shared" si="2"/>
        <v>938</v>
      </c>
      <c r="K47" s="765">
        <f t="shared" si="10"/>
        <v>7504</v>
      </c>
      <c r="L47" s="112">
        <f t="shared" si="8"/>
        <v>800</v>
      </c>
      <c r="M47" s="100">
        <v>0</v>
      </c>
      <c r="N47" s="408">
        <f t="shared" si="9"/>
        <v>8304</v>
      </c>
    </row>
    <row r="48" spans="1:14" ht="45" customHeight="1" x14ac:dyDescent="0.2">
      <c r="A48" s="704"/>
      <c r="B48" s="83" t="str">
        <f>+'PRESUP.DE PERSONAL 2'!C178</f>
        <v>Colaborador de Tesoreria I</v>
      </c>
      <c r="C48" s="83">
        <f>+'PRESUP.DE PERSONAL 2'!D178</f>
        <v>1</v>
      </c>
      <c r="D48" s="511">
        <f>+'PRESUP.DE PERSONAL 2'!E178</f>
        <v>727</v>
      </c>
      <c r="E48" s="114">
        <f>+'PRESUP.DE PERSONAL 2'!F178</f>
        <v>727</v>
      </c>
      <c r="F48" s="100">
        <f t="shared" si="0"/>
        <v>61.8</v>
      </c>
      <c r="G48" s="82">
        <f t="shared" si="1"/>
        <v>63.61</v>
      </c>
      <c r="H48" s="80">
        <v>0</v>
      </c>
      <c r="I48" s="80">
        <v>0</v>
      </c>
      <c r="J48" s="115">
        <f t="shared" si="2"/>
        <v>852.41</v>
      </c>
      <c r="K48" s="765">
        <f t="shared" si="10"/>
        <v>6819.28</v>
      </c>
      <c r="L48" s="112">
        <f t="shared" si="8"/>
        <v>727</v>
      </c>
      <c r="M48" s="100">
        <v>0</v>
      </c>
      <c r="N48" s="408">
        <f t="shared" si="9"/>
        <v>7546.28</v>
      </c>
    </row>
    <row r="49" spans="1:14" ht="45" customHeight="1" x14ac:dyDescent="0.2">
      <c r="A49" s="704"/>
      <c r="B49" s="83" t="str">
        <f>+'PRESUP.DE PERSONAL 2'!C179</f>
        <v>Colaborador de Tesoreria II</v>
      </c>
      <c r="C49" s="83">
        <f>+'PRESUP.DE PERSONAL 2'!D179</f>
        <v>1</v>
      </c>
      <c r="D49" s="511">
        <f>+'PRESUP.DE PERSONAL 2'!E179</f>
        <v>697</v>
      </c>
      <c r="E49" s="114">
        <f>+'PRESUP.DE PERSONAL 2'!F179</f>
        <v>697</v>
      </c>
      <c r="F49" s="100">
        <f t="shared" si="0"/>
        <v>59.25</v>
      </c>
      <c r="G49" s="82">
        <f t="shared" si="1"/>
        <v>60.99</v>
      </c>
      <c r="H49" s="80">
        <v>0</v>
      </c>
      <c r="I49" s="80">
        <v>0</v>
      </c>
      <c r="J49" s="115">
        <f t="shared" si="2"/>
        <v>817.24</v>
      </c>
      <c r="K49" s="765">
        <f t="shared" si="10"/>
        <v>6537.92</v>
      </c>
      <c r="L49" s="112">
        <f t="shared" si="8"/>
        <v>697</v>
      </c>
      <c r="M49" s="100">
        <v>0</v>
      </c>
      <c r="N49" s="408">
        <f t="shared" si="9"/>
        <v>7234.92</v>
      </c>
    </row>
    <row r="50" spans="1:14" ht="45" customHeight="1" x14ac:dyDescent="0.2">
      <c r="A50" s="704"/>
      <c r="B50" s="83" t="str">
        <f>+'PRESUP.DE PERSONAL 2'!C180</f>
        <v>Colaborador de Tesoreria III</v>
      </c>
      <c r="C50" s="83">
        <f>+'PRESUP.DE PERSONAL 2'!D180</f>
        <v>1</v>
      </c>
      <c r="D50" s="511">
        <f>+'PRESUP.DE PERSONAL 2'!E180</f>
        <v>727</v>
      </c>
      <c r="E50" s="114">
        <f>+'PRESUP.DE PERSONAL 2'!F180</f>
        <v>727</v>
      </c>
      <c r="F50" s="100">
        <f t="shared" si="0"/>
        <v>61.8</v>
      </c>
      <c r="G50" s="82">
        <f t="shared" si="1"/>
        <v>63.61</v>
      </c>
      <c r="H50" s="80">
        <v>0</v>
      </c>
      <c r="I50" s="80">
        <v>0</v>
      </c>
      <c r="J50" s="115">
        <f t="shared" si="2"/>
        <v>852.41</v>
      </c>
      <c r="K50" s="765">
        <f t="shared" si="10"/>
        <v>6819.28</v>
      </c>
      <c r="L50" s="112">
        <f t="shared" si="8"/>
        <v>727</v>
      </c>
      <c r="M50" s="100">
        <v>0</v>
      </c>
      <c r="N50" s="408">
        <f t="shared" si="9"/>
        <v>7546.28</v>
      </c>
    </row>
    <row r="51" spans="1:14" s="94" customFormat="1" ht="45" customHeight="1" x14ac:dyDescent="0.2">
      <c r="A51" s="919"/>
      <c r="B51" s="759" t="str">
        <f>+'PRESUP.DE PERSONAL 2'!C181</f>
        <v>Colaborador de cartas de venta</v>
      </c>
      <c r="C51" s="759">
        <f>+'PRESUP.DE PERSONAL 2'!D181</f>
        <v>1</v>
      </c>
      <c r="D51" s="760">
        <f>+'PRESUP.DE PERSONAL 2'!E181</f>
        <v>417</v>
      </c>
      <c r="E51" s="761">
        <f>+'PRESUP.DE PERSONAL 2'!F181</f>
        <v>417</v>
      </c>
      <c r="F51" s="235">
        <f>ROUND(IF(D51&gt;=1000, 1000*$F$5, $E51*$F$5),2)</f>
        <v>35.450000000000003</v>
      </c>
      <c r="G51" s="762">
        <f t="shared" si="1"/>
        <v>36.49</v>
      </c>
      <c r="H51" s="763">
        <v>0</v>
      </c>
      <c r="I51" s="763">
        <v>0</v>
      </c>
      <c r="J51" s="764">
        <f>SUM(E51:I51)</f>
        <v>488.94</v>
      </c>
      <c r="K51" s="765">
        <f>SUM(J51*1)</f>
        <v>488.94</v>
      </c>
      <c r="L51" s="766">
        <v>0</v>
      </c>
      <c r="M51" s="235"/>
      <c r="N51" s="767">
        <f>SUM(K51:M51)</f>
        <v>488.94</v>
      </c>
    </row>
    <row r="52" spans="1:14" s="94" customFormat="1" ht="45" customHeight="1" x14ac:dyDescent="0.2">
      <c r="A52" s="919"/>
      <c r="B52" s="759" t="str">
        <f>+'PRESUP.DE PERSONAL 2'!C182</f>
        <v>Colaborador IV</v>
      </c>
      <c r="C52" s="759">
        <f>+'PRESUP.DE PERSONAL 2'!D182</f>
        <v>1</v>
      </c>
      <c r="D52" s="760">
        <f>+'PRESUP.DE PERSONAL 2'!E182</f>
        <v>600</v>
      </c>
      <c r="E52" s="761">
        <f>+'PRESUP.DE PERSONAL 2'!F182</f>
        <v>600</v>
      </c>
      <c r="F52" s="235">
        <f>ROUND(IF(D52&gt;=1000, 1000*$F$5, $E52*$F$5),2)</f>
        <v>51</v>
      </c>
      <c r="G52" s="762">
        <f t="shared" si="1"/>
        <v>52.5</v>
      </c>
      <c r="H52" s="763">
        <v>0</v>
      </c>
      <c r="I52" s="763">
        <v>0</v>
      </c>
      <c r="J52" s="764">
        <f>SUM(E52:I52)</f>
        <v>703.5</v>
      </c>
      <c r="K52" s="765">
        <f>SUM(J52*7)</f>
        <v>4924.5</v>
      </c>
      <c r="L52" s="766">
        <f>C52*D52</f>
        <v>600</v>
      </c>
      <c r="M52" s="235"/>
      <c r="N52" s="767">
        <f>SUM(K52:M52)</f>
        <v>5524.5</v>
      </c>
    </row>
    <row r="53" spans="1:14" ht="45" customHeight="1" x14ac:dyDescent="0.2">
      <c r="A53" s="704"/>
      <c r="B53" s="83" t="str">
        <f>+'PRESUP.DE PERSONAL 2'!C183</f>
        <v>Ordenanza de Tesoreria</v>
      </c>
      <c r="C53" s="83">
        <f>+'PRESUP.DE PERSONAL 2'!D183</f>
        <v>1</v>
      </c>
      <c r="D53" s="511">
        <f>+'PRESUP.DE PERSONAL 2'!E183</f>
        <v>677</v>
      </c>
      <c r="E53" s="114">
        <f>+'PRESUP.DE PERSONAL 2'!F183</f>
        <v>677</v>
      </c>
      <c r="F53" s="100">
        <f t="shared" si="0"/>
        <v>57.55</v>
      </c>
      <c r="G53" s="82">
        <f t="shared" si="1"/>
        <v>59.24</v>
      </c>
      <c r="H53" s="80">
        <v>0</v>
      </c>
      <c r="I53" s="80">
        <v>0</v>
      </c>
      <c r="J53" s="115">
        <f t="shared" si="2"/>
        <v>793.79</v>
      </c>
      <c r="K53" s="710">
        <f t="shared" si="3"/>
        <v>6350.32</v>
      </c>
      <c r="L53" s="112">
        <f t="shared" si="8"/>
        <v>677</v>
      </c>
      <c r="M53" s="100">
        <v>0</v>
      </c>
      <c r="N53" s="408">
        <f t="shared" si="9"/>
        <v>7027.32</v>
      </c>
    </row>
    <row r="54" spans="1:14" ht="45" customHeight="1" thickBot="1" x14ac:dyDescent="0.25">
      <c r="A54" s="714"/>
      <c r="B54" s="715" t="str">
        <f>+'PRESUP.DE PERSONAL 2'!C185</f>
        <v>Jefe de Contabilidad</v>
      </c>
      <c r="C54" s="715">
        <f>+'PRESUP.DE PERSONAL 2'!D185</f>
        <v>1</v>
      </c>
      <c r="D54" s="716">
        <f>+'PRESUP.DE PERSONAL 2'!E185</f>
        <v>1300</v>
      </c>
      <c r="E54" s="717">
        <f>+'PRESUP.DE PERSONAL 2'!F185</f>
        <v>1300</v>
      </c>
      <c r="F54" s="718">
        <f t="shared" si="0"/>
        <v>85</v>
      </c>
      <c r="G54" s="719">
        <f t="shared" si="1"/>
        <v>113.75</v>
      </c>
      <c r="H54" s="731">
        <v>0</v>
      </c>
      <c r="I54" s="731">
        <v>0</v>
      </c>
      <c r="J54" s="720">
        <f t="shared" si="2"/>
        <v>1498.75</v>
      </c>
      <c r="K54" s="926">
        <f t="shared" si="3"/>
        <v>11990</v>
      </c>
      <c r="L54" s="721">
        <f t="shared" si="8"/>
        <v>1300</v>
      </c>
      <c r="M54" s="718">
        <v>0</v>
      </c>
      <c r="N54" s="722">
        <f t="shared" si="9"/>
        <v>13290</v>
      </c>
    </row>
    <row r="55" spans="1:14" ht="45" customHeight="1" x14ac:dyDescent="0.2">
      <c r="A55" s="930"/>
      <c r="B55" s="933" t="str">
        <f>+'PRESUP.DE PERSONAL 2'!C186</f>
        <v>Asistente de Contabilidad</v>
      </c>
      <c r="C55" s="723">
        <f>+'PRESUP.DE PERSONAL 2'!D186</f>
        <v>1</v>
      </c>
      <c r="D55" s="724">
        <f>+'PRESUP.DE PERSONAL 2'!E186</f>
        <v>837</v>
      </c>
      <c r="E55" s="725">
        <f>+'PRESUP.DE PERSONAL 2'!F186</f>
        <v>837</v>
      </c>
      <c r="F55" s="726">
        <f t="shared" si="0"/>
        <v>71.150000000000006</v>
      </c>
      <c r="G55" s="727">
        <f t="shared" si="1"/>
        <v>73.239999999999995</v>
      </c>
      <c r="H55" s="727">
        <v>0</v>
      </c>
      <c r="I55" s="727">
        <v>0</v>
      </c>
      <c r="J55" s="728">
        <f t="shared" si="2"/>
        <v>981.39</v>
      </c>
      <c r="K55" s="927">
        <f t="shared" si="3"/>
        <v>7851.12</v>
      </c>
      <c r="L55" s="729">
        <f t="shared" si="8"/>
        <v>837</v>
      </c>
      <c r="M55" s="726">
        <v>0</v>
      </c>
      <c r="N55" s="730">
        <f t="shared" si="9"/>
        <v>8688.119999999999</v>
      </c>
    </row>
    <row r="56" spans="1:14" ht="45" customHeight="1" x14ac:dyDescent="0.2">
      <c r="A56" s="772"/>
      <c r="B56" s="934" t="str">
        <f>+'PRESUP.DE PERSONAL 2'!C187</f>
        <v>Colaborador de Inventarios</v>
      </c>
      <c r="C56" s="83">
        <f>+'PRESUP.DE PERSONAL 2'!D187</f>
        <v>1</v>
      </c>
      <c r="D56" s="511">
        <f>+'PRESUP.DE PERSONAL 2'!E187</f>
        <v>797</v>
      </c>
      <c r="E56" s="114">
        <f>+'PRESUP.DE PERSONAL 2'!F187</f>
        <v>797</v>
      </c>
      <c r="F56" s="100">
        <f t="shared" si="0"/>
        <v>67.75</v>
      </c>
      <c r="G56" s="82">
        <f t="shared" si="1"/>
        <v>69.739999999999995</v>
      </c>
      <c r="H56" s="80">
        <v>0</v>
      </c>
      <c r="I56" s="80">
        <v>0</v>
      </c>
      <c r="J56" s="115">
        <f t="shared" si="2"/>
        <v>934.49</v>
      </c>
      <c r="K56" s="710">
        <f t="shared" si="3"/>
        <v>7475.92</v>
      </c>
      <c r="L56" s="112">
        <f t="shared" si="8"/>
        <v>797</v>
      </c>
      <c r="M56" s="100">
        <v>0</v>
      </c>
      <c r="N56" s="408">
        <f t="shared" si="9"/>
        <v>8272.92</v>
      </c>
    </row>
    <row r="57" spans="1:14" s="94" customFormat="1" ht="45" customHeight="1" x14ac:dyDescent="0.2">
      <c r="A57" s="931"/>
      <c r="B57" s="935" t="str">
        <f>+'PRESUP.DE PERSONAL 2'!C188</f>
        <v>Colaborador de Contabilidad I</v>
      </c>
      <c r="C57" s="759">
        <f>+'PRESUP.DE PERSONAL 2'!D188</f>
        <v>1</v>
      </c>
      <c r="D57" s="760">
        <f>+'PRESUP.DE PERSONAL 2'!E188</f>
        <v>700</v>
      </c>
      <c r="E57" s="761">
        <f>+'PRESUP.DE PERSONAL 2'!F188</f>
        <v>700</v>
      </c>
      <c r="F57" s="235">
        <f t="shared" si="0"/>
        <v>59.5</v>
      </c>
      <c r="G57" s="762">
        <f t="shared" si="1"/>
        <v>61.25</v>
      </c>
      <c r="H57" s="763">
        <v>0</v>
      </c>
      <c r="I57" s="763">
        <v>0</v>
      </c>
      <c r="J57" s="764">
        <f t="shared" si="2"/>
        <v>820.75</v>
      </c>
      <c r="K57" s="765">
        <f>SUM(J57*7)</f>
        <v>5745.25</v>
      </c>
      <c r="L57" s="766">
        <f t="shared" si="8"/>
        <v>700</v>
      </c>
      <c r="M57" s="235">
        <v>0</v>
      </c>
      <c r="N57" s="767">
        <f t="shared" si="9"/>
        <v>6445.25</v>
      </c>
    </row>
    <row r="58" spans="1:14" ht="45" customHeight="1" thickBot="1" x14ac:dyDescent="0.25">
      <c r="A58" s="772"/>
      <c r="B58" s="936" t="str">
        <f>+'PRESUP.DE PERSONAL 2'!C189</f>
        <v>Colaborador de Contabilidad II</v>
      </c>
      <c r="C58" s="773">
        <f>+'PRESUP.DE PERSONAL 2'!D189</f>
        <v>1</v>
      </c>
      <c r="D58" s="774">
        <f>+'PRESUP.DE PERSONAL 2'!E189</f>
        <v>600</v>
      </c>
      <c r="E58" s="775">
        <f>+'PRESUP.DE PERSONAL 2'!F189</f>
        <v>600</v>
      </c>
      <c r="F58" s="771">
        <f>ROUND(IF(D58&gt;=1000, 1000*$F$5, $E58*$F$5),2)</f>
        <v>51</v>
      </c>
      <c r="G58" s="776">
        <f t="shared" si="1"/>
        <v>52.5</v>
      </c>
      <c r="H58" s="777">
        <v>0</v>
      </c>
      <c r="I58" s="777">
        <v>0</v>
      </c>
      <c r="J58" s="778">
        <f>SUM(E58:I58)</f>
        <v>703.5</v>
      </c>
      <c r="K58" s="779">
        <f>SUM(J58*8)</f>
        <v>5628</v>
      </c>
      <c r="L58" s="780">
        <f>C58*D58</f>
        <v>600</v>
      </c>
      <c r="M58" s="771">
        <v>0</v>
      </c>
      <c r="N58" s="781">
        <f>SUM(K58:M58)</f>
        <v>6228</v>
      </c>
    </row>
    <row r="59" spans="1:14" ht="45" customHeight="1" thickBot="1" x14ac:dyDescent="0.25">
      <c r="A59" s="772"/>
      <c r="B59" s="938" t="s">
        <v>1080</v>
      </c>
      <c r="C59" s="939">
        <f>+C11+C44+C51</f>
        <v>3</v>
      </c>
      <c r="D59" s="940">
        <f>+D11+D44+D51</f>
        <v>1859</v>
      </c>
      <c r="E59" s="941">
        <f>+E11+E44+E51</f>
        <v>1859</v>
      </c>
      <c r="F59" s="941">
        <f t="shared" ref="F59:N59" si="11">+F11+F44+F51</f>
        <v>155.9</v>
      </c>
      <c r="G59" s="941">
        <f t="shared" si="11"/>
        <v>162.67000000000002</v>
      </c>
      <c r="H59" s="941">
        <f t="shared" si="11"/>
        <v>0</v>
      </c>
      <c r="I59" s="941">
        <f t="shared" si="11"/>
        <v>0</v>
      </c>
      <c r="J59" s="941">
        <f t="shared" si="11"/>
        <v>2177.5700000000002</v>
      </c>
      <c r="K59" s="941">
        <f t="shared" si="11"/>
        <v>2177.5700000000002</v>
      </c>
      <c r="L59" s="941">
        <f t="shared" si="11"/>
        <v>0</v>
      </c>
      <c r="M59" s="941">
        <f t="shared" si="11"/>
        <v>0</v>
      </c>
      <c r="N59" s="942">
        <f t="shared" si="11"/>
        <v>2177.5700000000002</v>
      </c>
    </row>
    <row r="60" spans="1:14" ht="45" customHeight="1" thickBot="1" x14ac:dyDescent="0.25">
      <c r="A60" s="772"/>
      <c r="B60" s="937" t="s">
        <v>1081</v>
      </c>
      <c r="C60" s="920">
        <f>+C12+C52+C57</f>
        <v>3</v>
      </c>
      <c r="D60" s="921">
        <f>D12+D52+D57</f>
        <v>1817</v>
      </c>
      <c r="E60" s="350">
        <f>+E12+E52+E57</f>
        <v>1817</v>
      </c>
      <c r="F60" s="350">
        <f t="shared" ref="F60:N60" si="12">+F12+F52+F57</f>
        <v>154.44999999999999</v>
      </c>
      <c r="G60" s="350">
        <f t="shared" si="12"/>
        <v>158.99</v>
      </c>
      <c r="H60" s="350">
        <f t="shared" si="12"/>
        <v>0</v>
      </c>
      <c r="I60" s="350">
        <f t="shared" si="12"/>
        <v>0</v>
      </c>
      <c r="J60" s="350">
        <f t="shared" si="12"/>
        <v>2130.44</v>
      </c>
      <c r="K60" s="350">
        <f t="shared" si="12"/>
        <v>14913.08</v>
      </c>
      <c r="L60" s="350">
        <f t="shared" si="12"/>
        <v>1817</v>
      </c>
      <c r="M60" s="350">
        <f t="shared" si="12"/>
        <v>0</v>
      </c>
      <c r="N60" s="896">
        <f t="shared" si="12"/>
        <v>16730.080000000002</v>
      </c>
    </row>
    <row r="61" spans="1:14" ht="45" customHeight="1" thickBot="1" x14ac:dyDescent="0.25">
      <c r="A61" s="772"/>
      <c r="B61" s="937" t="s">
        <v>1082</v>
      </c>
      <c r="C61" s="922">
        <f>+C7+C8+C9+C10+C13+C14+C15+C16+C17+C18+C19+C20+C21+C22+C23+C24+C25+C26+C27+C28+C29+C30+C31+C32+C33+C34+C35+C36+C37+C38+C39+C40+C41+C42+C43+C45+C46+C47+C48+C49+C50+C53+C54+C55+C56+C58</f>
        <v>48</v>
      </c>
      <c r="D61" s="923">
        <f>+D7+D8+D9+D10+D13+D14+D15+D16+D17+D18+D19+D20+D21+D22+D23+D24+D25+D26+D27+D28+D29+D30+D31+D32+D33+D34+D35+D36+D37+D38+D39+D40+D41+D42+D43+D45+D46+D47+D48+D49+D50+D53+D54+D55+D56+D58</f>
        <v>38692.14</v>
      </c>
      <c r="E61" s="924">
        <f>+E7+E8+E9+E10+E13+E14+E15+E16+E17+E18+E19+E20+E21+E22+E23+E24+E25+E26+E27+E28+E29+E30+E31+E32+E33+E34+E35+E36+E37+E38+E39+E40+E41+E42+E43+E45+E46+E47+E48+E49+E50+E53+E54+E55+E56+E58</f>
        <v>39709.14</v>
      </c>
      <c r="F61" s="924">
        <f t="shared" ref="F61:L61" si="13">+F7+F8+F9+F10+F13+F14+F15+F16+F17+F18+F19+F20+F21+F22+F23+F24+F25+F26+F27+F28+F29+F30+F31+F32+F33+F34+F35+F36+F37+F38+F39+F40+F41+F42+F43+F45+F46+F47+F48+F49+F50+F53+F54+F55+F56+F58</f>
        <v>3065.1200000000003</v>
      </c>
      <c r="G61" s="924">
        <f t="shared" si="13"/>
        <v>3474.5699999999988</v>
      </c>
      <c r="H61" s="924">
        <f t="shared" si="13"/>
        <v>0</v>
      </c>
      <c r="I61" s="924">
        <f t="shared" si="13"/>
        <v>0</v>
      </c>
      <c r="J61" s="924">
        <f t="shared" si="13"/>
        <v>46248.83</v>
      </c>
      <c r="K61" s="924">
        <f>+K7+K8+K9+K10+K13+K14+K15+K16+K17+K18+K19+K20+K21+K22+K23+K24+K25+K26+K27+K28+K29+K30+K31+K32+K33+K34+K35+K36+K37+K38+K39+K40+K41+K42+K43+K45+K46+K47+K48+K49+K50+K53+K54+K55+K56+K58</f>
        <v>369990.64</v>
      </c>
      <c r="L61" s="924">
        <f t="shared" si="13"/>
        <v>39709.14</v>
      </c>
      <c r="M61" s="924">
        <v>0</v>
      </c>
      <c r="N61" s="928">
        <f>+N7+N8+N9+N10+N13+N14+N15+N16+N17+N18+N19+N20+N21+N22+N23+N24+N25+N26+N27+N28+N29+N30+N31+N32+N33+N34+N35+N36+N37+N38+N39+N40+N41+N42+N43+N45+N46+N47+N48+N49+N50+N53+N54+N55+N56+N58</f>
        <v>409699.77999999997</v>
      </c>
    </row>
    <row r="62" spans="1:14" ht="40.35" customHeight="1" thickBot="1" x14ac:dyDescent="0.25">
      <c r="A62" s="932"/>
      <c r="B62" s="937" t="s">
        <v>115</v>
      </c>
      <c r="C62" s="925">
        <f>+C59+C60+C61</f>
        <v>54</v>
      </c>
      <c r="D62" s="409">
        <f>+D59+D60+D61</f>
        <v>42368.14</v>
      </c>
      <c r="E62" s="409">
        <f>+E59+E60+E61</f>
        <v>43385.14</v>
      </c>
      <c r="F62" s="409">
        <f t="shared" ref="F62:N62" si="14">+F59+F60+F61</f>
        <v>3375.4700000000003</v>
      </c>
      <c r="G62" s="409">
        <f t="shared" si="14"/>
        <v>3796.2299999999987</v>
      </c>
      <c r="H62" s="409">
        <f t="shared" si="14"/>
        <v>0</v>
      </c>
      <c r="I62" s="409">
        <f t="shared" si="14"/>
        <v>0</v>
      </c>
      <c r="J62" s="409">
        <f t="shared" si="14"/>
        <v>50556.840000000004</v>
      </c>
      <c r="K62" s="409">
        <f t="shared" si="14"/>
        <v>387081.29000000004</v>
      </c>
      <c r="L62" s="409">
        <f t="shared" si="14"/>
        <v>41526.14</v>
      </c>
      <c r="M62" s="409">
        <f t="shared" si="14"/>
        <v>0</v>
      </c>
      <c r="N62" s="929">
        <f t="shared" si="14"/>
        <v>428607.43</v>
      </c>
    </row>
    <row r="63" spans="1:14" ht="25.35" customHeight="1" x14ac:dyDescent="0.2">
      <c r="A63" s="84"/>
      <c r="B63" s="85"/>
      <c r="C63" s="86"/>
      <c r="D63" s="87"/>
      <c r="E63" s="87"/>
      <c r="F63" s="88"/>
      <c r="G63" s="88"/>
      <c r="H63" s="87"/>
      <c r="I63" s="87"/>
      <c r="J63" s="87"/>
      <c r="K63" s="87"/>
      <c r="L63" s="87"/>
      <c r="M63" s="87"/>
      <c r="N63" s="87"/>
    </row>
  </sheetData>
  <mergeCells count="9">
    <mergeCell ref="B6:N6"/>
    <mergeCell ref="F3:K3"/>
    <mergeCell ref="E3:E4"/>
    <mergeCell ref="C3:C5"/>
    <mergeCell ref="A1:N1"/>
    <mergeCell ref="A3:A5"/>
    <mergeCell ref="N3:N5"/>
    <mergeCell ref="L3:L5"/>
    <mergeCell ref="B2:N2"/>
  </mergeCells>
  <printOptions horizontalCentered="1" verticalCentered="1"/>
  <pageMargins left="0.15748031496062992" right="0.15748031496062992" top="1.0629921259842521" bottom="0.27559055118110237" header="0" footer="0"/>
  <pageSetup scale="60" firstPageNumber="0" orientation="landscape" r:id="rId1"/>
  <headerFooter alignWithMargins="0"/>
  <rowBreaks count="3" manualBreakCount="3">
    <brk id="19" max="16383" man="1"/>
    <brk id="37" max="16383" man="1"/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P59"/>
  <sheetViews>
    <sheetView view="pageBreakPreview" topLeftCell="A46" zoomScale="85" zoomScaleNormal="115" zoomScaleSheetLayoutView="85" workbookViewId="0">
      <selection activeCell="K41" sqref="K41"/>
    </sheetView>
  </sheetViews>
  <sheetFormatPr baseColWidth="10" defaultRowHeight="12.75" x14ac:dyDescent="0.2"/>
  <cols>
    <col min="1" max="1" width="10.42578125" customWidth="1"/>
    <col min="2" max="2" width="14.7109375" customWidth="1"/>
    <col min="3" max="3" width="25.28515625" customWidth="1"/>
    <col min="4" max="4" width="8.140625" style="821" bestFit="1" customWidth="1"/>
    <col min="5" max="5" width="12.42578125" bestFit="1" customWidth="1"/>
    <col min="6" max="6" width="13.42578125" customWidth="1"/>
    <col min="7" max="8" width="11.28515625" customWidth="1"/>
    <col min="9" max="9" width="7.28515625" customWidth="1"/>
    <col min="10" max="10" width="9.28515625" customWidth="1"/>
    <col min="11" max="12" width="13.28515625" customWidth="1"/>
    <col min="13" max="13" width="13.28515625" bestFit="1" customWidth="1"/>
    <col min="14" max="14" width="13.28515625" customWidth="1"/>
    <col min="15" max="15" width="14.140625" customWidth="1"/>
  </cols>
  <sheetData>
    <row r="1" spans="1:16" ht="25.35" customHeight="1" x14ac:dyDescent="0.2">
      <c r="A1" s="1293" t="s">
        <v>557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5"/>
    </row>
    <row r="2" spans="1:16" ht="25.35" customHeight="1" x14ac:dyDescent="0.2">
      <c r="A2" s="1303" t="s">
        <v>1146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5"/>
    </row>
    <row r="3" spans="1:16" x14ac:dyDescent="0.2">
      <c r="A3" s="1301" t="s">
        <v>203</v>
      </c>
      <c r="B3" s="1297" t="s">
        <v>205</v>
      </c>
      <c r="C3" s="1297"/>
      <c r="D3" s="1298" t="s">
        <v>215</v>
      </c>
      <c r="E3" s="435" t="s">
        <v>217</v>
      </c>
      <c r="F3" s="1302" t="s">
        <v>312</v>
      </c>
      <c r="G3" s="1299" t="s">
        <v>225</v>
      </c>
      <c r="H3" s="1299"/>
      <c r="I3" s="1299"/>
      <c r="J3" s="1299"/>
      <c r="K3" s="1299"/>
      <c r="L3" s="1299"/>
      <c r="M3" s="1300" t="s">
        <v>226</v>
      </c>
      <c r="N3" s="435" t="s">
        <v>304</v>
      </c>
      <c r="O3" s="1296" t="s">
        <v>558</v>
      </c>
    </row>
    <row r="4" spans="1:16" x14ac:dyDescent="0.2">
      <c r="A4" s="1301"/>
      <c r="B4" s="1297" t="s">
        <v>227</v>
      </c>
      <c r="C4" s="1297"/>
      <c r="D4" s="1298"/>
      <c r="E4" s="435" t="s">
        <v>220</v>
      </c>
      <c r="F4" s="1302"/>
      <c r="G4" s="435" t="s">
        <v>228</v>
      </c>
      <c r="H4" s="435" t="s">
        <v>229</v>
      </c>
      <c r="I4" s="435" t="s">
        <v>1001</v>
      </c>
      <c r="J4" s="435" t="s">
        <v>230</v>
      </c>
      <c r="K4" s="435" t="s">
        <v>231</v>
      </c>
      <c r="L4" s="435" t="s">
        <v>231</v>
      </c>
      <c r="M4" s="1300"/>
      <c r="N4" s="435" t="s">
        <v>302</v>
      </c>
      <c r="O4" s="1296"/>
    </row>
    <row r="5" spans="1:16" ht="40.5" customHeight="1" x14ac:dyDescent="0.2">
      <c r="A5" s="1301"/>
      <c r="B5" s="1298" t="s">
        <v>232</v>
      </c>
      <c r="C5" s="1298"/>
      <c r="D5" s="1298"/>
      <c r="E5" s="156" t="s">
        <v>509</v>
      </c>
      <c r="F5" s="1302"/>
      <c r="G5" s="156">
        <v>8.5000000000000006E-2</v>
      </c>
      <c r="H5" s="156" t="s">
        <v>404</v>
      </c>
      <c r="I5" s="156" t="s">
        <v>404</v>
      </c>
      <c r="J5" s="156">
        <v>0.06</v>
      </c>
      <c r="K5" s="435" t="s">
        <v>233</v>
      </c>
      <c r="L5" s="435" t="s">
        <v>221</v>
      </c>
      <c r="M5" s="1300"/>
      <c r="N5" s="157">
        <v>0.3</v>
      </c>
      <c r="O5" s="1296"/>
    </row>
    <row r="6" spans="1:16" ht="40.35" customHeight="1" thickBot="1" x14ac:dyDescent="0.25">
      <c r="A6" s="438" t="s">
        <v>208</v>
      </c>
      <c r="B6" s="1290" t="s">
        <v>300</v>
      </c>
      <c r="C6" s="1291"/>
      <c r="D6" s="1291"/>
      <c r="E6" s="1291"/>
      <c r="F6" s="1291"/>
      <c r="G6" s="1291"/>
      <c r="H6" s="1291"/>
      <c r="I6" s="1291"/>
      <c r="J6" s="1291"/>
      <c r="K6" s="1291"/>
      <c r="L6" s="1291"/>
      <c r="M6" s="1291"/>
      <c r="N6" s="1291"/>
      <c r="O6" s="1292"/>
    </row>
    <row r="7" spans="1:16" s="94" customFormat="1" ht="45" customHeight="1" x14ac:dyDescent="0.2">
      <c r="A7" s="1287"/>
      <c r="B7" s="1306"/>
      <c r="C7" s="949" t="str">
        <f>+'PRESUP.DE PERSONAL 2'!C193</f>
        <v>Jefe de Bienestar Social y Prevencion de la violencia</v>
      </c>
      <c r="D7" s="950">
        <f>+'PRESUP.DE PERSONAL 2'!D193</f>
        <v>1</v>
      </c>
      <c r="E7" s="951">
        <f>+'PRESUP.DE PERSONAL 2'!E193</f>
        <v>1000</v>
      </c>
      <c r="F7" s="951">
        <f>+'PRESUP.DE PERSONAL 2'!F193</f>
        <v>1000</v>
      </c>
      <c r="G7" s="952">
        <f>ROUND(IF(E7&gt;=1000, 1000*$G$5, $F7*$G$5),2)</f>
        <v>85</v>
      </c>
      <c r="H7" s="952">
        <f>ROUND(F7*$H$5,2)</f>
        <v>87.5</v>
      </c>
      <c r="I7" s="952">
        <v>0</v>
      </c>
      <c r="J7" s="952">
        <v>0</v>
      </c>
      <c r="K7" s="952">
        <f>SUM(F7:J7)</f>
        <v>1172.5</v>
      </c>
      <c r="L7" s="952">
        <f>SUM(K7*7)</f>
        <v>8207.5</v>
      </c>
      <c r="M7" s="952">
        <f>D7*E7</f>
        <v>1000</v>
      </c>
      <c r="N7" s="952"/>
      <c r="O7" s="953">
        <f>SUM(L7:N7)</f>
        <v>9207.5</v>
      </c>
      <c r="P7" s="94" t="s">
        <v>1054</v>
      </c>
    </row>
    <row r="8" spans="1:16" ht="45" customHeight="1" x14ac:dyDescent="0.2">
      <c r="A8" s="1287"/>
      <c r="B8" s="1307"/>
      <c r="C8" s="954" t="str">
        <f>+'PRESUP.DE PERSONAL 2'!C194</f>
        <v>Encargado de Bienestar Social y Prevencion de la violencia</v>
      </c>
      <c r="D8" s="784">
        <f>+'PRESUP.DE PERSONAL 2'!D194</f>
        <v>1</v>
      </c>
      <c r="E8" s="551">
        <f>+'PRESUP.DE PERSONAL 2'!E194</f>
        <v>1000</v>
      </c>
      <c r="F8" s="551">
        <f>+'PRESUP.DE PERSONAL 2'!F194</f>
        <v>1000</v>
      </c>
      <c r="G8" s="159">
        <f>ROUND(IF(E8&gt;=1000, 1000*$G$5, $F8*$G$5),2)</f>
        <v>85</v>
      </c>
      <c r="H8" s="159">
        <f>ROUND(F8*$H$5,2)</f>
        <v>87.5</v>
      </c>
      <c r="I8" s="159">
        <v>0</v>
      </c>
      <c r="J8" s="159">
        <v>0</v>
      </c>
      <c r="K8" s="159">
        <f>SUM(F8:J8)</f>
        <v>1172.5</v>
      </c>
      <c r="L8" s="159">
        <f>SUM(K8*8)</f>
        <v>9380</v>
      </c>
      <c r="M8" s="159">
        <f>D8*E8</f>
        <v>1000</v>
      </c>
      <c r="N8" s="159"/>
      <c r="O8" s="785">
        <f>SUM(L8:N8)</f>
        <v>10380</v>
      </c>
    </row>
    <row r="9" spans="1:16" ht="45" customHeight="1" x14ac:dyDescent="0.2">
      <c r="A9" s="1287"/>
      <c r="B9" s="1307"/>
      <c r="C9" s="955" t="str">
        <f>+'PRESUP.DE PERSONAL 2'!C195</f>
        <v>Asistente de  Bienestar Social y Prevencion de la violencia</v>
      </c>
      <c r="D9" s="357">
        <f>+'PRESUP.DE PERSONAL 2'!D195</f>
        <v>1</v>
      </c>
      <c r="E9" s="158">
        <f>+'PRESUP.DE PERSONAL 2'!E195</f>
        <v>500</v>
      </c>
      <c r="F9" s="158">
        <f>+'PRESUP.DE PERSONAL 2'!F195</f>
        <v>500</v>
      </c>
      <c r="G9" s="81">
        <f t="shared" ref="G9:G54" si="0">ROUND(IF(E9&gt;=1000, 1000*$G$5, $F9*$G$5),2)</f>
        <v>42.5</v>
      </c>
      <c r="H9" s="81">
        <f>ROUND(F9*$H$5,2)</f>
        <v>43.75</v>
      </c>
      <c r="I9" s="81">
        <v>0</v>
      </c>
      <c r="J9" s="81">
        <v>0</v>
      </c>
      <c r="K9" s="81">
        <f t="shared" ref="K9:K54" si="1">SUM(F9:J9)</f>
        <v>586.25</v>
      </c>
      <c r="L9" s="81">
        <f t="shared" ref="L9:L54" si="2">SUM(K9*8)</f>
        <v>4690</v>
      </c>
      <c r="M9" s="81">
        <f>D9*E9</f>
        <v>500</v>
      </c>
      <c r="N9" s="81"/>
      <c r="O9" s="439">
        <f>SUM(L9:N9)</f>
        <v>5190</v>
      </c>
    </row>
    <row r="10" spans="1:16" ht="45" customHeight="1" x14ac:dyDescent="0.2">
      <c r="A10" s="1287"/>
      <c r="B10" s="1307"/>
      <c r="C10" s="955" t="str">
        <f>+'PRESUP.DE PERSONAL 2'!C196</f>
        <v>Encargada de Centro de Bienestar Infantil Metalio</v>
      </c>
      <c r="D10" s="357">
        <f>+'PRESUP.DE PERSONAL 2'!D196</f>
        <v>1</v>
      </c>
      <c r="E10" s="158">
        <f>+'PRESUP.DE PERSONAL 2'!E196</f>
        <v>700</v>
      </c>
      <c r="F10" s="158">
        <f>+'PRESUP.DE PERSONAL 2'!F196</f>
        <v>700</v>
      </c>
      <c r="G10" s="81">
        <f>ROUND(IF(E10&gt;=1000, 1000*$G$5, $F10*$G$5),2)</f>
        <v>59.5</v>
      </c>
      <c r="H10" s="81">
        <f t="shared" ref="H10:H32" si="3">ROUND(F10*$H$5,2)</f>
        <v>61.25</v>
      </c>
      <c r="I10" s="81">
        <v>0</v>
      </c>
      <c r="J10" s="81">
        <v>0</v>
      </c>
      <c r="K10" s="81">
        <f t="shared" si="1"/>
        <v>820.75</v>
      </c>
      <c r="L10" s="81">
        <f t="shared" si="2"/>
        <v>6566</v>
      </c>
      <c r="M10" s="81">
        <f t="shared" ref="M10:M32" si="4">D10*E10</f>
        <v>700</v>
      </c>
      <c r="N10" s="81"/>
      <c r="O10" s="439">
        <f t="shared" ref="O10:O32" si="5">SUM(L10:N10)</f>
        <v>7266</v>
      </c>
    </row>
    <row r="11" spans="1:16" ht="45" customHeight="1" x14ac:dyDescent="0.2">
      <c r="A11" s="1287"/>
      <c r="B11" s="1307"/>
      <c r="C11" s="955" t="str">
        <f>+'PRESUP.DE PERSONAL 2'!C197</f>
        <v>Maestra de Centro de Bienestar Infantil</v>
      </c>
      <c r="D11" s="357">
        <f>+'PRESUP.DE PERSONAL 2'!D197</f>
        <v>1</v>
      </c>
      <c r="E11" s="158">
        <f>+'PRESUP.DE PERSONAL 2'!E197</f>
        <v>697</v>
      </c>
      <c r="F11" s="158">
        <f>+'PRESUP.DE PERSONAL 2'!F197</f>
        <v>697</v>
      </c>
      <c r="G11" s="81">
        <f t="shared" si="0"/>
        <v>59.25</v>
      </c>
      <c r="H11" s="81">
        <f t="shared" si="3"/>
        <v>60.99</v>
      </c>
      <c r="I11" s="81">
        <v>0</v>
      </c>
      <c r="J11" s="81">
        <v>0</v>
      </c>
      <c r="K11" s="81">
        <f t="shared" si="1"/>
        <v>817.24</v>
      </c>
      <c r="L11" s="81">
        <f t="shared" si="2"/>
        <v>6537.92</v>
      </c>
      <c r="M11" s="81">
        <f t="shared" si="4"/>
        <v>697</v>
      </c>
      <c r="N11" s="81"/>
      <c r="O11" s="439">
        <f t="shared" si="5"/>
        <v>7234.92</v>
      </c>
    </row>
    <row r="12" spans="1:16" ht="45" customHeight="1" x14ac:dyDescent="0.2">
      <c r="A12" s="1287"/>
      <c r="B12" s="1307"/>
      <c r="C12" s="955" t="str">
        <f>+'PRESUP.DE PERSONAL 2'!C198</f>
        <v>Ordenanza I Bienestar Social</v>
      </c>
      <c r="D12" s="357">
        <f>+'PRESUP.DE PERSONAL 2'!D198</f>
        <v>1</v>
      </c>
      <c r="E12" s="158">
        <f>+'PRESUP.DE PERSONAL 2'!E198</f>
        <v>677</v>
      </c>
      <c r="F12" s="158">
        <f>+'PRESUP.DE PERSONAL 2'!F198</f>
        <v>677</v>
      </c>
      <c r="G12" s="81">
        <f t="shared" si="0"/>
        <v>57.55</v>
      </c>
      <c r="H12" s="81">
        <f t="shared" si="3"/>
        <v>59.24</v>
      </c>
      <c r="I12" s="81">
        <v>0</v>
      </c>
      <c r="J12" s="81">
        <v>0</v>
      </c>
      <c r="K12" s="81">
        <f t="shared" si="1"/>
        <v>793.79</v>
      </c>
      <c r="L12" s="81">
        <f t="shared" si="2"/>
        <v>6350.32</v>
      </c>
      <c r="M12" s="81">
        <f t="shared" si="4"/>
        <v>677</v>
      </c>
      <c r="N12" s="81"/>
      <c r="O12" s="439">
        <f t="shared" si="5"/>
        <v>7027.32</v>
      </c>
    </row>
    <row r="13" spans="1:16" ht="45" customHeight="1" x14ac:dyDescent="0.2">
      <c r="A13" s="1287"/>
      <c r="B13" s="1307"/>
      <c r="C13" s="955" t="str">
        <f>+'PRESUP.DE PERSONAL 2'!C200</f>
        <v>Jefe de Proyeccion Social</v>
      </c>
      <c r="D13" s="357">
        <f>+'PRESUP.DE PERSONAL 2'!D200</f>
        <v>1</v>
      </c>
      <c r="E13" s="158">
        <f>+'PRESUP.DE PERSONAL 2'!E200</f>
        <v>1000</v>
      </c>
      <c r="F13" s="158">
        <f>+'PRESUP.DE PERSONAL 2'!F200</f>
        <v>1000</v>
      </c>
      <c r="G13" s="81">
        <f t="shared" si="0"/>
        <v>85</v>
      </c>
      <c r="H13" s="81">
        <f t="shared" si="3"/>
        <v>87.5</v>
      </c>
      <c r="I13" s="81">
        <v>0</v>
      </c>
      <c r="J13" s="81">
        <v>0</v>
      </c>
      <c r="K13" s="81">
        <f t="shared" si="1"/>
        <v>1172.5</v>
      </c>
      <c r="L13" s="81">
        <f t="shared" si="2"/>
        <v>9380</v>
      </c>
      <c r="M13" s="81">
        <f t="shared" si="4"/>
        <v>1000</v>
      </c>
      <c r="N13" s="81"/>
      <c r="O13" s="439">
        <f t="shared" si="5"/>
        <v>10380</v>
      </c>
    </row>
    <row r="14" spans="1:16" ht="45" customHeight="1" x14ac:dyDescent="0.2">
      <c r="A14" s="1287"/>
      <c r="B14" s="1307"/>
      <c r="C14" s="955" t="str">
        <f>+'PRESUP.DE PERSONAL 2'!C201</f>
        <v>Secretaria de proyeccion Social</v>
      </c>
      <c r="D14" s="357">
        <f>+'PRESUP.DE PERSONAL 2'!D201</f>
        <v>1</v>
      </c>
      <c r="E14" s="158">
        <f>+'PRESUP.DE PERSONAL 2'!E201</f>
        <v>700</v>
      </c>
      <c r="F14" s="158">
        <f>+'PRESUP.DE PERSONAL 2'!F201</f>
        <v>700</v>
      </c>
      <c r="G14" s="81">
        <f t="shared" si="0"/>
        <v>59.5</v>
      </c>
      <c r="H14" s="81">
        <f t="shared" si="3"/>
        <v>61.25</v>
      </c>
      <c r="I14" s="81">
        <v>0</v>
      </c>
      <c r="J14" s="81">
        <v>0</v>
      </c>
      <c r="K14" s="81">
        <f t="shared" si="1"/>
        <v>820.75</v>
      </c>
      <c r="L14" s="81">
        <f t="shared" si="2"/>
        <v>6566</v>
      </c>
      <c r="M14" s="81">
        <f t="shared" si="4"/>
        <v>700</v>
      </c>
      <c r="N14" s="81"/>
      <c r="O14" s="439">
        <f t="shared" si="5"/>
        <v>7266</v>
      </c>
    </row>
    <row r="15" spans="1:16" ht="45" customHeight="1" x14ac:dyDescent="0.2">
      <c r="A15" s="1287"/>
      <c r="B15" s="1307"/>
      <c r="C15" s="955" t="str">
        <f>+'PRESUP.DE PERSONAL 2'!C202</f>
        <v>Promotor I</v>
      </c>
      <c r="D15" s="357">
        <f>+'PRESUP.DE PERSONAL 2'!D202</f>
        <v>1</v>
      </c>
      <c r="E15" s="158">
        <f>+'PRESUP.DE PERSONAL 2'!E202</f>
        <v>697</v>
      </c>
      <c r="F15" s="158">
        <f>+'PRESUP.DE PERSONAL 2'!F202</f>
        <v>697</v>
      </c>
      <c r="G15" s="81">
        <f t="shared" si="0"/>
        <v>59.25</v>
      </c>
      <c r="H15" s="81">
        <v>0</v>
      </c>
      <c r="I15" s="81">
        <v>0</v>
      </c>
      <c r="J15" s="100">
        <f>+F15*6%</f>
        <v>41.82</v>
      </c>
      <c r="K15" s="81">
        <f t="shared" si="1"/>
        <v>798.07</v>
      </c>
      <c r="L15" s="81">
        <f t="shared" si="2"/>
        <v>6384.56</v>
      </c>
      <c r="M15" s="81">
        <f t="shared" si="4"/>
        <v>697</v>
      </c>
      <c r="N15" s="81"/>
      <c r="O15" s="439">
        <f t="shared" si="5"/>
        <v>7081.56</v>
      </c>
    </row>
    <row r="16" spans="1:16" ht="45" customHeight="1" x14ac:dyDescent="0.2">
      <c r="A16" s="1287"/>
      <c r="B16" s="1307"/>
      <c r="C16" s="955" t="str">
        <f>+'PRESUP.DE PERSONAL 2'!C203</f>
        <v>Promotor I</v>
      </c>
      <c r="D16" s="357">
        <f>+'PRESUP.DE PERSONAL 2'!D203</f>
        <v>2</v>
      </c>
      <c r="E16" s="158">
        <f>+'PRESUP.DE PERSONAL 2'!E203</f>
        <v>597</v>
      </c>
      <c r="F16" s="158">
        <f>+'PRESUP.DE PERSONAL 2'!F203</f>
        <v>1194</v>
      </c>
      <c r="G16" s="81">
        <f t="shared" si="0"/>
        <v>101.49</v>
      </c>
      <c r="H16" s="81">
        <f t="shared" si="3"/>
        <v>104.48</v>
      </c>
      <c r="I16" s="81">
        <v>0</v>
      </c>
      <c r="J16" s="81">
        <v>0</v>
      </c>
      <c r="K16" s="81">
        <f t="shared" si="1"/>
        <v>1399.97</v>
      </c>
      <c r="L16" s="81">
        <f t="shared" si="2"/>
        <v>11199.76</v>
      </c>
      <c r="M16" s="81">
        <f t="shared" si="4"/>
        <v>1194</v>
      </c>
      <c r="N16" s="81"/>
      <c r="O16" s="439">
        <f t="shared" si="5"/>
        <v>12393.76</v>
      </c>
    </row>
    <row r="17" spans="1:16" ht="45" customHeight="1" x14ac:dyDescent="0.2">
      <c r="A17" s="1287"/>
      <c r="B17" s="1307"/>
      <c r="C17" s="955" t="str">
        <f>+'PRESUP.DE PERSONAL 2'!C204</f>
        <v>Promotor I</v>
      </c>
      <c r="D17" s="357">
        <f>+'PRESUP.DE PERSONAL 2'!D204</f>
        <v>1</v>
      </c>
      <c r="E17" s="158">
        <f>+'PRESUP.DE PERSONAL 2'!E204</f>
        <v>742</v>
      </c>
      <c r="F17" s="158">
        <f>+'PRESUP.DE PERSONAL 2'!F204</f>
        <v>742</v>
      </c>
      <c r="G17" s="81">
        <f t="shared" si="0"/>
        <v>63.07</v>
      </c>
      <c r="H17" s="81">
        <f t="shared" si="3"/>
        <v>64.930000000000007</v>
      </c>
      <c r="I17" s="81">
        <v>0</v>
      </c>
      <c r="J17" s="81">
        <v>0</v>
      </c>
      <c r="K17" s="81">
        <f t="shared" si="1"/>
        <v>870</v>
      </c>
      <c r="L17" s="81">
        <f t="shared" si="2"/>
        <v>6960</v>
      </c>
      <c r="M17" s="81">
        <f t="shared" si="4"/>
        <v>742</v>
      </c>
      <c r="N17" s="81"/>
      <c r="O17" s="439">
        <f t="shared" si="5"/>
        <v>7702</v>
      </c>
    </row>
    <row r="18" spans="1:16" ht="45" customHeight="1" x14ac:dyDescent="0.2">
      <c r="A18" s="1287"/>
      <c r="B18" s="1307"/>
      <c r="C18" s="955" t="str">
        <f>+'PRESUP.DE PERSONAL 2'!C205</f>
        <v>Promotor II</v>
      </c>
      <c r="D18" s="357">
        <f>+'PRESUP.DE PERSONAL 2'!D205</f>
        <v>2</v>
      </c>
      <c r="E18" s="158">
        <f>+'PRESUP.DE PERSONAL 2'!E205</f>
        <v>517</v>
      </c>
      <c r="F18" s="158">
        <f>+'PRESUP.DE PERSONAL 2'!F205</f>
        <v>1034</v>
      </c>
      <c r="G18" s="81">
        <f t="shared" si="0"/>
        <v>87.89</v>
      </c>
      <c r="H18" s="81">
        <f t="shared" si="3"/>
        <v>90.48</v>
      </c>
      <c r="I18" s="81">
        <v>0</v>
      </c>
      <c r="J18" s="81">
        <v>0</v>
      </c>
      <c r="K18" s="81">
        <f t="shared" si="1"/>
        <v>1212.3700000000001</v>
      </c>
      <c r="L18" s="81">
        <f t="shared" si="2"/>
        <v>9698.9600000000009</v>
      </c>
      <c r="M18" s="81">
        <f t="shared" si="4"/>
        <v>1034</v>
      </c>
      <c r="N18" s="81"/>
      <c r="O18" s="439">
        <f t="shared" si="5"/>
        <v>10732.960000000001</v>
      </c>
    </row>
    <row r="19" spans="1:16" s="94" customFormat="1" ht="45" customHeight="1" x14ac:dyDescent="0.2">
      <c r="A19" s="1287"/>
      <c r="B19" s="1307"/>
      <c r="C19" s="954" t="str">
        <f>+'PRESUP.DE PERSONAL 2'!C206</f>
        <v>Promotor II</v>
      </c>
      <c r="D19" s="784">
        <f>+'PRESUP.DE PERSONAL 2'!D206</f>
        <v>1</v>
      </c>
      <c r="E19" s="551">
        <f>+'PRESUP.DE PERSONAL 2'!E206</f>
        <v>517</v>
      </c>
      <c r="F19" s="551">
        <f>+'PRESUP.DE PERSONAL 2'!F206</f>
        <v>517</v>
      </c>
      <c r="G19" s="159">
        <f>ROUND(IF(E19&gt;=1000, 1000*$G$5, $F19*$G$5),2)</f>
        <v>43.95</v>
      </c>
      <c r="H19" s="159">
        <f>ROUND(F19*$H$5,2)</f>
        <v>45.24</v>
      </c>
      <c r="I19" s="159">
        <v>0</v>
      </c>
      <c r="J19" s="159">
        <v>0</v>
      </c>
      <c r="K19" s="159">
        <f>SUM(F19:J19)</f>
        <v>606.19000000000005</v>
      </c>
      <c r="L19" s="159">
        <f>SUM(K19*1)</f>
        <v>606.19000000000005</v>
      </c>
      <c r="M19" s="159">
        <v>0</v>
      </c>
      <c r="N19" s="159"/>
      <c r="O19" s="785">
        <f>SUM(L19:N19)</f>
        <v>606.19000000000005</v>
      </c>
      <c r="P19" s="94" t="s">
        <v>1128</v>
      </c>
    </row>
    <row r="20" spans="1:16" s="94" customFormat="1" ht="45" customHeight="1" x14ac:dyDescent="0.2">
      <c r="A20" s="1287"/>
      <c r="B20" s="1307"/>
      <c r="C20" s="954" t="str">
        <f>+'PRESUP.DE PERSONAL 2'!C207</f>
        <v>Promotor II</v>
      </c>
      <c r="D20" s="784">
        <f>+'PRESUP.DE PERSONAL 2'!D207</f>
        <v>1</v>
      </c>
      <c r="E20" s="551">
        <f>+'PRESUP.DE PERSONAL 2'!E207</f>
        <v>417</v>
      </c>
      <c r="F20" s="551">
        <f>+'PRESUP.DE PERSONAL 2'!F207</f>
        <v>417</v>
      </c>
      <c r="G20" s="159">
        <f>ROUND(IF(E20&gt;=1000, 1000*$G$5, $F20*$G$5),2)</f>
        <v>35.450000000000003</v>
      </c>
      <c r="H20" s="159">
        <f>ROUND(F20*$H$5,2)</f>
        <v>36.49</v>
      </c>
      <c r="I20" s="159">
        <v>0</v>
      </c>
      <c r="J20" s="159">
        <v>0</v>
      </c>
      <c r="K20" s="159">
        <f>SUM(F20:J20)</f>
        <v>488.94</v>
      </c>
      <c r="L20" s="159">
        <f>SUM(K20*7)</f>
        <v>3422.58</v>
      </c>
      <c r="M20" s="159">
        <f>D20*E20</f>
        <v>417</v>
      </c>
      <c r="N20" s="159"/>
      <c r="O20" s="785">
        <f>SUM(L20:N20)</f>
        <v>3839.58</v>
      </c>
      <c r="P20" s="94" t="s">
        <v>1129</v>
      </c>
    </row>
    <row r="21" spans="1:16" s="94" customFormat="1" ht="45" customHeight="1" x14ac:dyDescent="0.2">
      <c r="A21" s="1287"/>
      <c r="B21" s="1307"/>
      <c r="C21" s="954" t="str">
        <f>+'PRESUP.DE PERSONAL 2'!C208</f>
        <v>Promotor II</v>
      </c>
      <c r="D21" s="943">
        <f>+'PRESUP.DE PERSONAL 2'!D208</f>
        <v>1</v>
      </c>
      <c r="E21" s="551">
        <f>+'PRESUP.DE PERSONAL 2'!E208</f>
        <v>500</v>
      </c>
      <c r="F21" s="551">
        <f>+'PRESUP.DE PERSONAL 2'!F208</f>
        <v>500</v>
      </c>
      <c r="G21" s="944">
        <f t="shared" si="0"/>
        <v>42.5</v>
      </c>
      <c r="H21" s="944">
        <f t="shared" si="3"/>
        <v>43.75</v>
      </c>
      <c r="I21" s="944">
        <v>0</v>
      </c>
      <c r="J21" s="944">
        <v>0</v>
      </c>
      <c r="K21" s="944">
        <f t="shared" si="1"/>
        <v>586.25</v>
      </c>
      <c r="L21" s="944">
        <f t="shared" si="2"/>
        <v>4690</v>
      </c>
      <c r="M21" s="944">
        <f t="shared" si="4"/>
        <v>500</v>
      </c>
      <c r="N21" s="944"/>
      <c r="O21" s="945">
        <f t="shared" si="5"/>
        <v>5190</v>
      </c>
    </row>
    <row r="22" spans="1:16" s="94" customFormat="1" ht="45" customHeight="1" x14ac:dyDescent="0.2">
      <c r="A22" s="1287"/>
      <c r="B22" s="1307"/>
      <c r="C22" s="954" t="str">
        <f>+'PRESUP.DE PERSONAL 2'!C209</f>
        <v>Promotor II</v>
      </c>
      <c r="D22" s="943">
        <f>+'PRESUP.DE PERSONAL 2'!D209</f>
        <v>1</v>
      </c>
      <c r="E22" s="551">
        <f>+'PRESUP.DE PERSONAL 2'!E209</f>
        <v>567</v>
      </c>
      <c r="F22" s="551">
        <f>+'PRESUP.DE PERSONAL 2'!F209</f>
        <v>567</v>
      </c>
      <c r="G22" s="944">
        <f t="shared" si="0"/>
        <v>48.2</v>
      </c>
      <c r="H22" s="944">
        <f t="shared" si="3"/>
        <v>49.61</v>
      </c>
      <c r="I22" s="944">
        <v>0</v>
      </c>
      <c r="J22" s="944">
        <v>0</v>
      </c>
      <c r="K22" s="944">
        <f t="shared" si="1"/>
        <v>664.81000000000006</v>
      </c>
      <c r="L22" s="944">
        <f t="shared" si="2"/>
        <v>5318.4800000000005</v>
      </c>
      <c r="M22" s="944">
        <f t="shared" si="4"/>
        <v>567</v>
      </c>
      <c r="N22" s="944"/>
      <c r="O22" s="945">
        <f t="shared" si="5"/>
        <v>5885.4800000000005</v>
      </c>
    </row>
    <row r="23" spans="1:16" s="94" customFormat="1" ht="45" customHeight="1" thickBot="1" x14ac:dyDescent="0.25">
      <c r="A23" s="1287"/>
      <c r="B23" s="1307"/>
      <c r="C23" s="956" t="str">
        <f>+'PRESUP.DE PERSONAL 2'!C210</f>
        <v>Promotor II</v>
      </c>
      <c r="D23" s="957">
        <f>+'PRESUP.DE PERSONAL 2'!D210</f>
        <v>1</v>
      </c>
      <c r="E23" s="958">
        <f>+'PRESUP.DE PERSONAL 2'!E210</f>
        <v>700</v>
      </c>
      <c r="F23" s="958">
        <f>+'PRESUP.DE PERSONAL 2'!F210</f>
        <v>700</v>
      </c>
      <c r="G23" s="959">
        <f>ROUND(IF(E23&gt;=1000, 1000*$G$5, $F23*$G$5),2)</f>
        <v>59.5</v>
      </c>
      <c r="H23" s="959">
        <f>ROUND(F23*$H$5,2)</f>
        <v>61.25</v>
      </c>
      <c r="I23" s="959">
        <v>0</v>
      </c>
      <c r="J23" s="959">
        <v>0</v>
      </c>
      <c r="K23" s="959">
        <f>SUM(F23:J23)</f>
        <v>820.75</v>
      </c>
      <c r="L23" s="959">
        <f>SUM(K23*4)</f>
        <v>3283</v>
      </c>
      <c r="M23" s="959">
        <f>+F23/12*4</f>
        <v>233.33333333333334</v>
      </c>
      <c r="N23" s="959"/>
      <c r="O23" s="960">
        <f>SUM(L23:N23)</f>
        <v>3516.3333333333335</v>
      </c>
      <c r="P23" s="94" t="s">
        <v>1064</v>
      </c>
    </row>
    <row r="24" spans="1:16" ht="45" customHeight="1" x14ac:dyDescent="0.2">
      <c r="A24" s="1287"/>
      <c r="B24" s="1307"/>
      <c r="C24" s="961" t="str">
        <f>+'PRESUP.DE PERSONAL 2'!C211</f>
        <v>promotor III</v>
      </c>
      <c r="D24" s="962">
        <f>+'PRESUP.DE PERSONAL 2'!D211</f>
        <v>2</v>
      </c>
      <c r="E24" s="963">
        <f>+'PRESUP.DE PERSONAL 2'!E211</f>
        <v>417</v>
      </c>
      <c r="F24" s="963">
        <f>+'PRESUP.DE PERSONAL 2'!F211</f>
        <v>834</v>
      </c>
      <c r="G24" s="927">
        <f>ROUND(IF(E24&gt;=1000, 1000*$G$5, $F24*$G$5),2)</f>
        <v>70.89</v>
      </c>
      <c r="H24" s="927">
        <f>ROUND(F24*$H$5,2)</f>
        <v>72.98</v>
      </c>
      <c r="I24" s="927">
        <v>0</v>
      </c>
      <c r="J24" s="927">
        <v>0</v>
      </c>
      <c r="K24" s="927">
        <f>SUM(F24:J24)</f>
        <v>977.87</v>
      </c>
      <c r="L24" s="927">
        <f>SUM(K24*8)</f>
        <v>7822.96</v>
      </c>
      <c r="M24" s="927">
        <f>D24*E24</f>
        <v>834</v>
      </c>
      <c r="N24" s="927"/>
      <c r="O24" s="964">
        <f>SUM(L24:N24)</f>
        <v>8656.9599999999991</v>
      </c>
    </row>
    <row r="25" spans="1:16" ht="45" customHeight="1" x14ac:dyDescent="0.2">
      <c r="A25" s="1287"/>
      <c r="B25" s="1307"/>
      <c r="C25" s="955" t="str">
        <f>+'PRESUP.DE PERSONAL 2'!C213</f>
        <v>Jefe de Unidad de la Mujer y Genero</v>
      </c>
      <c r="D25" s="357">
        <f>+'PRESUP.DE PERSONAL 2'!D213</f>
        <v>1</v>
      </c>
      <c r="E25" s="158">
        <f>+'PRESUP.DE PERSONAL 2'!E213</f>
        <v>1300</v>
      </c>
      <c r="F25" s="158">
        <f>+'PRESUP.DE PERSONAL 2'!F213</f>
        <v>1300</v>
      </c>
      <c r="G25" s="81">
        <f>ROUND(IF(E25&gt;=1000, 1000*$G$5, $F25*$G$5),2)</f>
        <v>85</v>
      </c>
      <c r="H25" s="81">
        <f>ROUND(F25*$H$5,2)</f>
        <v>113.75</v>
      </c>
      <c r="I25" s="81">
        <v>0</v>
      </c>
      <c r="J25" s="81">
        <v>0</v>
      </c>
      <c r="K25" s="81">
        <f>SUM(F25:J25)</f>
        <v>1498.75</v>
      </c>
      <c r="L25" s="81">
        <f t="shared" si="2"/>
        <v>11990</v>
      </c>
      <c r="M25" s="81">
        <f>D25*E25</f>
        <v>1300</v>
      </c>
      <c r="N25" s="81"/>
      <c r="O25" s="439">
        <f>SUM(L25:N25)</f>
        <v>13290</v>
      </c>
    </row>
    <row r="26" spans="1:16" ht="45" customHeight="1" x14ac:dyDescent="0.2">
      <c r="A26" s="1287"/>
      <c r="B26" s="1307"/>
      <c r="C26" s="955" t="str">
        <f>+'PRESUP.DE PERSONAL 2'!C214</f>
        <v>Encargada de Unidad de la Mujer y Genero</v>
      </c>
      <c r="D26" s="357">
        <f>+'PRESUP.DE PERSONAL 2'!D214</f>
        <v>1</v>
      </c>
      <c r="E26" s="158">
        <f>+'PRESUP.DE PERSONAL 2'!E214</f>
        <v>777</v>
      </c>
      <c r="F26" s="158">
        <f>+'PRESUP.DE PERSONAL 2'!F214</f>
        <v>777</v>
      </c>
      <c r="G26" s="81">
        <f t="shared" si="0"/>
        <v>66.05</v>
      </c>
      <c r="H26" s="81">
        <f t="shared" si="3"/>
        <v>67.989999999999995</v>
      </c>
      <c r="I26" s="81">
        <v>0</v>
      </c>
      <c r="J26" s="81">
        <v>0</v>
      </c>
      <c r="K26" s="81">
        <f t="shared" si="1"/>
        <v>911.04</v>
      </c>
      <c r="L26" s="81">
        <f t="shared" si="2"/>
        <v>7288.32</v>
      </c>
      <c r="M26" s="81">
        <f t="shared" si="4"/>
        <v>777</v>
      </c>
      <c r="N26" s="81"/>
      <c r="O26" s="439">
        <f t="shared" si="5"/>
        <v>8065.32</v>
      </c>
    </row>
    <row r="27" spans="1:16" ht="45" customHeight="1" x14ac:dyDescent="0.2">
      <c r="A27" s="1287"/>
      <c r="B27" s="1307"/>
      <c r="C27" s="955" t="str">
        <f>+'PRESUP.DE PERSONAL 2'!C215</f>
        <v>Colaborador de la Unidad de la Mujer y Genero</v>
      </c>
      <c r="D27" s="357">
        <f>+'PRESUP.DE PERSONAL 2'!D215</f>
        <v>1</v>
      </c>
      <c r="E27" s="158">
        <f>+'PRESUP.DE PERSONAL 2'!E215</f>
        <v>780</v>
      </c>
      <c r="F27" s="158">
        <f>+'PRESUP.DE PERSONAL 2'!F215</f>
        <v>780</v>
      </c>
      <c r="G27" s="81">
        <f t="shared" si="0"/>
        <v>66.3</v>
      </c>
      <c r="H27" s="81">
        <f t="shared" si="3"/>
        <v>68.25</v>
      </c>
      <c r="I27" s="81">
        <v>0</v>
      </c>
      <c r="J27" s="81">
        <v>0</v>
      </c>
      <c r="K27" s="81">
        <f t="shared" si="1"/>
        <v>914.55</v>
      </c>
      <c r="L27" s="81">
        <f t="shared" si="2"/>
        <v>7316.4</v>
      </c>
      <c r="M27" s="81">
        <f t="shared" si="4"/>
        <v>780</v>
      </c>
      <c r="N27" s="81"/>
      <c r="O27" s="439">
        <f t="shared" si="5"/>
        <v>8096.4</v>
      </c>
    </row>
    <row r="28" spans="1:16" ht="45" customHeight="1" x14ac:dyDescent="0.2">
      <c r="A28" s="1287"/>
      <c r="B28" s="1307"/>
      <c r="C28" s="955" t="str">
        <f>+'PRESUP.DE PERSONAL 2'!C216</f>
        <v>Colaborador de la Unidad de la Mujer y Genero</v>
      </c>
      <c r="D28" s="357">
        <f>+'PRESUP.DE PERSONAL 2'!D216</f>
        <v>2</v>
      </c>
      <c r="E28" s="158">
        <f>+'PRESUP.DE PERSONAL 2'!E216</f>
        <v>417</v>
      </c>
      <c r="F28" s="158">
        <f>+'PRESUP.DE PERSONAL 2'!F216</f>
        <v>834</v>
      </c>
      <c r="G28" s="81">
        <f t="shared" si="0"/>
        <v>70.89</v>
      </c>
      <c r="H28" s="81">
        <f t="shared" si="3"/>
        <v>72.98</v>
      </c>
      <c r="I28" s="81">
        <v>0</v>
      </c>
      <c r="J28" s="81">
        <v>0</v>
      </c>
      <c r="K28" s="81">
        <f t="shared" si="1"/>
        <v>977.87</v>
      </c>
      <c r="L28" s="81">
        <f t="shared" si="2"/>
        <v>7822.96</v>
      </c>
      <c r="M28" s="81">
        <f t="shared" si="4"/>
        <v>834</v>
      </c>
      <c r="N28" s="81"/>
      <c r="O28" s="439">
        <f t="shared" si="5"/>
        <v>8656.9599999999991</v>
      </c>
    </row>
    <row r="29" spans="1:16" ht="45" customHeight="1" x14ac:dyDescent="0.2">
      <c r="A29" s="1287"/>
      <c r="B29" s="1307"/>
      <c r="C29" s="955" t="str">
        <f>+'PRESUP.DE PERSONAL 2'!C217</f>
        <v>Colaborador de la Unidad de la Mujer y Genero</v>
      </c>
      <c r="D29" s="357">
        <f>+'PRESUP.DE PERSONAL 2'!D217</f>
        <v>1</v>
      </c>
      <c r="E29" s="158">
        <f>+'PRESUP.DE PERSONAL 2'!E217</f>
        <v>567</v>
      </c>
      <c r="F29" s="158">
        <f>+'PRESUP.DE PERSONAL 2'!F217</f>
        <v>567</v>
      </c>
      <c r="G29" s="81">
        <f>ROUND(IF(E29&gt;=1000, 1000*$G$5, $F29*$G$5),2)</f>
        <v>48.2</v>
      </c>
      <c r="H29" s="81">
        <f>ROUND(F29*$H$5,2)</f>
        <v>49.61</v>
      </c>
      <c r="I29" s="81">
        <v>0</v>
      </c>
      <c r="J29" s="81">
        <v>0</v>
      </c>
      <c r="K29" s="81">
        <f>SUM(F29:J29)</f>
        <v>664.81000000000006</v>
      </c>
      <c r="L29" s="81">
        <f>SUM(K29*8)</f>
        <v>5318.4800000000005</v>
      </c>
      <c r="M29" s="81">
        <f>D29*E29</f>
        <v>567</v>
      </c>
      <c r="N29" s="81"/>
      <c r="O29" s="439">
        <f>SUM(L29:N29)</f>
        <v>5885.4800000000005</v>
      </c>
    </row>
    <row r="30" spans="1:16" ht="45" customHeight="1" x14ac:dyDescent="0.2">
      <c r="A30" s="1287"/>
      <c r="B30" s="1307"/>
      <c r="C30" s="955" t="str">
        <f>+'PRESUP.DE PERSONAL 2'!C219</f>
        <v xml:space="preserve">Encargada de la Unidad de la  Niñez y Adolescencia </v>
      </c>
      <c r="D30" s="357">
        <f>+'PRESUP.DE PERSONAL 2'!D219</f>
        <v>1</v>
      </c>
      <c r="E30" s="158">
        <f>+'PRESUP.DE PERSONAL 2'!E219</f>
        <v>700</v>
      </c>
      <c r="F30" s="158">
        <f>+'PRESUP.DE PERSONAL 2'!F219</f>
        <v>700</v>
      </c>
      <c r="G30" s="81">
        <f t="shared" si="0"/>
        <v>59.5</v>
      </c>
      <c r="H30" s="81">
        <f t="shared" si="3"/>
        <v>61.25</v>
      </c>
      <c r="I30" s="81">
        <v>0</v>
      </c>
      <c r="J30" s="81">
        <v>0</v>
      </c>
      <c r="K30" s="81">
        <f t="shared" si="1"/>
        <v>820.75</v>
      </c>
      <c r="L30" s="81">
        <f t="shared" si="2"/>
        <v>6566</v>
      </c>
      <c r="M30" s="81">
        <f t="shared" si="4"/>
        <v>700</v>
      </c>
      <c r="N30" s="81"/>
      <c r="O30" s="439">
        <f t="shared" si="5"/>
        <v>7266</v>
      </c>
    </row>
    <row r="31" spans="1:16" s="94" customFormat="1" ht="45" customHeight="1" x14ac:dyDescent="0.2">
      <c r="A31" s="1287"/>
      <c r="B31" s="1307"/>
      <c r="C31" s="954" t="str">
        <f>+'PRESUP.DE PERSONAL 2'!C220</f>
        <v>Asistente</v>
      </c>
      <c r="D31" s="784">
        <f>+'PRESUP.DE PERSONAL 2'!D220</f>
        <v>1</v>
      </c>
      <c r="E31" s="551">
        <f>+'PRESUP.DE PERSONAL 2'!E220</f>
        <v>700</v>
      </c>
      <c r="F31" s="551">
        <f>+'PRESUP.DE PERSONAL 2'!F220</f>
        <v>700</v>
      </c>
      <c r="G31" s="159">
        <f>ROUND(IF(E31&gt;=1000, 1000*$G$5, $F31*$G$5),2)</f>
        <v>59.5</v>
      </c>
      <c r="H31" s="159">
        <f>ROUND(F31*$H$5,2)</f>
        <v>61.25</v>
      </c>
      <c r="I31" s="159">
        <v>0</v>
      </c>
      <c r="J31" s="159">
        <v>0</v>
      </c>
      <c r="K31" s="159">
        <f>SUM(F31:J31)</f>
        <v>820.75</v>
      </c>
      <c r="L31" s="159">
        <f>SUM(K31*7)</f>
        <v>5745.25</v>
      </c>
      <c r="M31" s="159">
        <f>D31*E31</f>
        <v>700</v>
      </c>
      <c r="N31" s="159"/>
      <c r="O31" s="785">
        <f>SUM(L31:N31)</f>
        <v>6445.25</v>
      </c>
      <c r="P31" s="94" t="s">
        <v>1058</v>
      </c>
    </row>
    <row r="32" spans="1:16" s="94" customFormat="1" ht="45" customHeight="1" x14ac:dyDescent="0.2">
      <c r="A32" s="1287"/>
      <c r="B32" s="1307"/>
      <c r="C32" s="954" t="str">
        <f>+'PRESUP.DE PERSONAL 2'!C221</f>
        <v xml:space="preserve">Colaborador I </v>
      </c>
      <c r="D32" s="784">
        <f>+'PRESUP.DE PERSONAL 2'!D221</f>
        <v>1</v>
      </c>
      <c r="E32" s="551">
        <f>+'PRESUP.DE PERSONAL 2'!E221</f>
        <v>417</v>
      </c>
      <c r="F32" s="551">
        <f>+'PRESUP.DE PERSONAL 2'!F221</f>
        <v>417</v>
      </c>
      <c r="G32" s="159">
        <f t="shared" si="0"/>
        <v>35.450000000000003</v>
      </c>
      <c r="H32" s="159">
        <f t="shared" si="3"/>
        <v>36.49</v>
      </c>
      <c r="I32" s="159">
        <v>0</v>
      </c>
      <c r="J32" s="159">
        <v>0</v>
      </c>
      <c r="K32" s="159">
        <f t="shared" si="1"/>
        <v>488.94</v>
      </c>
      <c r="L32" s="159">
        <f>SUM(K32*4)</f>
        <v>1955.76</v>
      </c>
      <c r="M32" s="159">
        <f t="shared" si="4"/>
        <v>417</v>
      </c>
      <c r="N32" s="159"/>
      <c r="O32" s="785">
        <f t="shared" si="5"/>
        <v>2372.7600000000002</v>
      </c>
      <c r="P32" s="94" t="s">
        <v>1126</v>
      </c>
    </row>
    <row r="33" spans="1:16" ht="45" customHeight="1" x14ac:dyDescent="0.2">
      <c r="A33" s="1287"/>
      <c r="B33" s="1307"/>
      <c r="C33" s="954" t="str">
        <f>+'PRESUP.DE PERSONAL 2'!C222</f>
        <v>Colaborador II</v>
      </c>
      <c r="D33" s="784">
        <f>+'PRESUP.DE PERSONAL 2'!D222</f>
        <v>1</v>
      </c>
      <c r="E33" s="551">
        <f>+'PRESUP.DE PERSONAL 2'!E222</f>
        <v>417</v>
      </c>
      <c r="F33" s="551">
        <f>+'PRESUP.DE PERSONAL 2'!F222</f>
        <v>417</v>
      </c>
      <c r="G33" s="159">
        <f>ROUND(IF(E33&gt;=1000, 1000*$G$5, $F33*$G$5),2)</f>
        <v>35.450000000000003</v>
      </c>
      <c r="H33" s="159">
        <f>ROUND(F33*$H$5,2)</f>
        <v>36.49</v>
      </c>
      <c r="I33" s="159">
        <v>0</v>
      </c>
      <c r="J33" s="159">
        <v>0</v>
      </c>
      <c r="K33" s="159">
        <f>SUM(F33:J33)</f>
        <v>488.94</v>
      </c>
      <c r="L33" s="159">
        <f>SUM(K33*8)</f>
        <v>3911.52</v>
      </c>
      <c r="M33" s="159">
        <f>D33*E33</f>
        <v>417</v>
      </c>
      <c r="N33" s="159"/>
      <c r="O33" s="785">
        <f>SUM(L33:N33)</f>
        <v>4328.5200000000004</v>
      </c>
    </row>
    <row r="34" spans="1:16" ht="45" customHeight="1" x14ac:dyDescent="0.2">
      <c r="A34" s="1287"/>
      <c r="B34" s="1307"/>
      <c r="C34" s="955" t="str">
        <f>+'PRESUP.DE PERSONAL 2'!C224</f>
        <v>Jefe de Unidad Medica</v>
      </c>
      <c r="D34" s="357">
        <f>+'PRESUP.DE PERSONAL 2'!D224</f>
        <v>1</v>
      </c>
      <c r="E34" s="158">
        <f>+'PRESUP.DE PERSONAL 2'!E224</f>
        <v>1200</v>
      </c>
      <c r="F34" s="158">
        <f>+'PRESUP.DE PERSONAL 2'!F224</f>
        <v>1200</v>
      </c>
      <c r="G34" s="81">
        <f t="shared" si="0"/>
        <v>85</v>
      </c>
      <c r="H34" s="81">
        <f>ROUND(F34*$H$5,2)</f>
        <v>105</v>
      </c>
      <c r="I34" s="81">
        <v>0</v>
      </c>
      <c r="J34" s="81">
        <v>0</v>
      </c>
      <c r="K34" s="81">
        <f t="shared" si="1"/>
        <v>1390</v>
      </c>
      <c r="L34" s="81">
        <f t="shared" si="2"/>
        <v>11120</v>
      </c>
      <c r="M34" s="81">
        <f t="shared" ref="M34:M54" si="6">D34*E34</f>
        <v>1200</v>
      </c>
      <c r="N34" s="81"/>
      <c r="O34" s="439">
        <f t="shared" ref="O34:O54" si="7">SUM(L34:N34)</f>
        <v>12320</v>
      </c>
    </row>
    <row r="35" spans="1:16" ht="40.35" customHeight="1" x14ac:dyDescent="0.2">
      <c r="A35" s="1287"/>
      <c r="B35" s="1307"/>
      <c r="C35" s="955" t="str">
        <f>+'PRESUP.DE PERSONAL 2'!C225</f>
        <v>Sub Jefe de Unidad Medica</v>
      </c>
      <c r="D35" s="357">
        <f>+'PRESUP.DE PERSONAL 2'!D225</f>
        <v>1</v>
      </c>
      <c r="E35" s="158">
        <f>+'PRESUP.DE PERSONAL 2'!E225</f>
        <v>925</v>
      </c>
      <c r="F35" s="158">
        <f>+'PRESUP.DE PERSONAL 2'!F225</f>
        <v>925</v>
      </c>
      <c r="G35" s="81">
        <f t="shared" si="0"/>
        <v>78.63</v>
      </c>
      <c r="H35" s="81">
        <f t="shared" ref="H35:H49" si="8">ROUND(F35*$H$5,2)</f>
        <v>80.94</v>
      </c>
      <c r="I35" s="81">
        <v>0</v>
      </c>
      <c r="J35" s="81">
        <v>0</v>
      </c>
      <c r="K35" s="81">
        <f t="shared" si="1"/>
        <v>1084.57</v>
      </c>
      <c r="L35" s="81">
        <f t="shared" si="2"/>
        <v>8676.56</v>
      </c>
      <c r="M35" s="81">
        <f t="shared" si="6"/>
        <v>925</v>
      </c>
      <c r="N35" s="81"/>
      <c r="O35" s="439">
        <f t="shared" si="7"/>
        <v>9601.56</v>
      </c>
    </row>
    <row r="36" spans="1:16" ht="40.35" customHeight="1" x14ac:dyDescent="0.2">
      <c r="A36" s="1287"/>
      <c r="B36" s="1307"/>
      <c r="C36" s="955" t="str">
        <f>+'PRESUP.DE PERSONAL 2'!C226</f>
        <v>Psicologo</v>
      </c>
      <c r="D36" s="357">
        <f>+'PRESUP.DE PERSONAL 2'!D226</f>
        <v>1</v>
      </c>
      <c r="E36" s="158">
        <f>+'PRESUP.DE PERSONAL 2'!E226</f>
        <v>700</v>
      </c>
      <c r="F36" s="158">
        <f>+'PRESUP.DE PERSONAL 2'!F226</f>
        <v>700</v>
      </c>
      <c r="G36" s="81">
        <f t="shared" si="0"/>
        <v>59.5</v>
      </c>
      <c r="H36" s="81">
        <f t="shared" si="8"/>
        <v>61.25</v>
      </c>
      <c r="I36" s="81">
        <v>0</v>
      </c>
      <c r="J36" s="81">
        <v>0</v>
      </c>
      <c r="K36" s="81">
        <f t="shared" si="1"/>
        <v>820.75</v>
      </c>
      <c r="L36" s="81">
        <f t="shared" si="2"/>
        <v>6566</v>
      </c>
      <c r="M36" s="81">
        <f t="shared" si="6"/>
        <v>700</v>
      </c>
      <c r="N36" s="81"/>
      <c r="O36" s="439">
        <f t="shared" si="7"/>
        <v>7266</v>
      </c>
    </row>
    <row r="37" spans="1:16" ht="40.35" customHeight="1" x14ac:dyDescent="0.2">
      <c r="A37" s="1287"/>
      <c r="B37" s="1307"/>
      <c r="C37" s="955" t="str">
        <f>+'PRESUP.DE PERSONAL 2'!C227</f>
        <v>Secretaria de Unidad Medica</v>
      </c>
      <c r="D37" s="357">
        <f>+'PRESUP.DE PERSONAL 2'!D227</f>
        <v>1</v>
      </c>
      <c r="E37" s="158">
        <f>+'PRESUP.DE PERSONAL 2'!E227</f>
        <v>547</v>
      </c>
      <c r="F37" s="158">
        <f>+'PRESUP.DE PERSONAL 2'!F227</f>
        <v>547</v>
      </c>
      <c r="G37" s="81">
        <f t="shared" si="0"/>
        <v>46.5</v>
      </c>
      <c r="H37" s="81">
        <f t="shared" si="8"/>
        <v>47.86</v>
      </c>
      <c r="I37" s="81">
        <v>0</v>
      </c>
      <c r="J37" s="81">
        <v>0</v>
      </c>
      <c r="K37" s="81">
        <f t="shared" si="1"/>
        <v>641.36</v>
      </c>
      <c r="L37" s="81">
        <f t="shared" si="2"/>
        <v>5130.88</v>
      </c>
      <c r="M37" s="81">
        <f t="shared" si="6"/>
        <v>547</v>
      </c>
      <c r="N37" s="81"/>
      <c r="O37" s="439">
        <f t="shared" si="7"/>
        <v>5677.88</v>
      </c>
    </row>
    <row r="38" spans="1:16" ht="40.35" customHeight="1" x14ac:dyDescent="0.2">
      <c r="A38" s="1287"/>
      <c r="B38" s="1307"/>
      <c r="C38" s="955" t="str">
        <f>+'PRESUP.DE PERSONAL 2'!C228</f>
        <v>Encargada de promocion en Salud</v>
      </c>
      <c r="D38" s="357">
        <f>+'PRESUP.DE PERSONAL 2'!D228</f>
        <v>1</v>
      </c>
      <c r="E38" s="158">
        <f>+'PRESUP.DE PERSONAL 2'!E228</f>
        <v>750</v>
      </c>
      <c r="F38" s="158">
        <f>+'PRESUP.DE PERSONAL 2'!F228</f>
        <v>750</v>
      </c>
      <c r="G38" s="81">
        <f t="shared" si="0"/>
        <v>63.75</v>
      </c>
      <c r="H38" s="81">
        <f t="shared" si="8"/>
        <v>65.63</v>
      </c>
      <c r="I38" s="81">
        <v>0</v>
      </c>
      <c r="J38" s="81">
        <v>0</v>
      </c>
      <c r="K38" s="81">
        <f t="shared" si="1"/>
        <v>879.38</v>
      </c>
      <c r="L38" s="81">
        <f t="shared" si="2"/>
        <v>7035.04</v>
      </c>
      <c r="M38" s="81">
        <f t="shared" si="6"/>
        <v>750</v>
      </c>
      <c r="N38" s="81"/>
      <c r="O38" s="439">
        <f t="shared" si="7"/>
        <v>7785.04</v>
      </c>
    </row>
    <row r="39" spans="1:16" s="94" customFormat="1" ht="40.35" customHeight="1" thickBot="1" x14ac:dyDescent="0.25">
      <c r="A39" s="1287"/>
      <c r="B39" s="1307"/>
      <c r="C39" s="956" t="str">
        <f>+'PRESUP.DE PERSONAL 2'!C229</f>
        <v>Enfermera</v>
      </c>
      <c r="D39" s="957">
        <f>+'PRESUP.DE PERSONAL 2'!D229</f>
        <v>1</v>
      </c>
      <c r="E39" s="958">
        <f>+'PRESUP.DE PERSONAL 2'!E229</f>
        <v>750</v>
      </c>
      <c r="F39" s="958">
        <f>+'PRESUP.DE PERSONAL 2'!F229</f>
        <v>750</v>
      </c>
      <c r="G39" s="959">
        <f>ROUND(IF(E39&gt;=1000, 1000*$G$5, $F39*$G$5),2)</f>
        <v>63.75</v>
      </c>
      <c r="H39" s="959">
        <f>ROUND(F39*$H$5,2)</f>
        <v>65.63</v>
      </c>
      <c r="I39" s="959">
        <v>0</v>
      </c>
      <c r="J39" s="959">
        <v>0</v>
      </c>
      <c r="K39" s="959">
        <f>SUM(F39:J39)</f>
        <v>879.38</v>
      </c>
      <c r="L39" s="959">
        <f>SUM(K39*4)</f>
        <v>3517.52</v>
      </c>
      <c r="M39" s="959">
        <f>+F39/12*4</f>
        <v>250</v>
      </c>
      <c r="N39" s="959"/>
      <c r="O39" s="960">
        <f>SUM(L39:N39)</f>
        <v>3767.52</v>
      </c>
      <c r="P39" s="94" t="s">
        <v>1064</v>
      </c>
    </row>
    <row r="40" spans="1:16" ht="40.35" customHeight="1" x14ac:dyDescent="0.2">
      <c r="A40" s="1287"/>
      <c r="B40" s="1307"/>
      <c r="C40" s="961" t="str">
        <f>+'PRESUP.DE PERSONAL 2'!C231</f>
        <v>Encargado de Unidad de Banda y Filarmonica Municipal</v>
      </c>
      <c r="D40" s="962">
        <f>+'PRESUP.DE PERSONAL 2'!D231</f>
        <v>1</v>
      </c>
      <c r="E40" s="963">
        <f>+'PRESUP.DE PERSONAL 2'!E231</f>
        <v>700</v>
      </c>
      <c r="F40" s="963">
        <f>+'PRESUP.DE PERSONAL 2'!F231</f>
        <v>700</v>
      </c>
      <c r="G40" s="927">
        <f t="shared" si="0"/>
        <v>59.5</v>
      </c>
      <c r="H40" s="927">
        <f>ROUND(F40*$H$5,2)</f>
        <v>61.25</v>
      </c>
      <c r="I40" s="927">
        <v>0</v>
      </c>
      <c r="J40" s="927">
        <v>0</v>
      </c>
      <c r="K40" s="927">
        <f t="shared" si="1"/>
        <v>820.75</v>
      </c>
      <c r="L40" s="927">
        <f t="shared" si="2"/>
        <v>6566</v>
      </c>
      <c r="M40" s="927">
        <f t="shared" si="6"/>
        <v>700</v>
      </c>
      <c r="N40" s="927"/>
      <c r="O40" s="964">
        <f t="shared" si="7"/>
        <v>7266</v>
      </c>
    </row>
    <row r="41" spans="1:16" ht="40.35" customHeight="1" x14ac:dyDescent="0.2">
      <c r="A41" s="1287"/>
      <c r="B41" s="1307"/>
      <c r="C41" s="955" t="str">
        <f>+'PRESUP.DE PERSONAL 2'!C232</f>
        <v>Maestro de Musica</v>
      </c>
      <c r="D41" s="357">
        <f>+'PRESUP.DE PERSONAL 2'!D232</f>
        <v>1</v>
      </c>
      <c r="E41" s="158">
        <f>+'PRESUP.DE PERSONAL 2'!E232</f>
        <v>417</v>
      </c>
      <c r="F41" s="158">
        <f>+'PRESUP.DE PERSONAL 2'!F232</f>
        <v>417</v>
      </c>
      <c r="G41" s="81">
        <f t="shared" si="0"/>
        <v>35.450000000000003</v>
      </c>
      <c r="H41" s="81">
        <f>ROUND(F41*$H$5,2)</f>
        <v>36.49</v>
      </c>
      <c r="I41" s="81">
        <v>0</v>
      </c>
      <c r="J41" s="81">
        <v>0</v>
      </c>
      <c r="K41" s="81">
        <f t="shared" si="1"/>
        <v>488.94</v>
      </c>
      <c r="L41" s="81">
        <f t="shared" si="2"/>
        <v>3911.52</v>
      </c>
      <c r="M41" s="81">
        <f t="shared" si="6"/>
        <v>417</v>
      </c>
      <c r="N41" s="81"/>
      <c r="O41" s="439">
        <f t="shared" si="7"/>
        <v>4328.5200000000004</v>
      </c>
    </row>
    <row r="42" spans="1:16" ht="40.35" customHeight="1" x14ac:dyDescent="0.2">
      <c r="A42" s="1287"/>
      <c r="B42" s="1307"/>
      <c r="C42" s="955" t="str">
        <f>+'PRESUP.DE PERSONAL 2'!C233</f>
        <v>Maestro de Danza</v>
      </c>
      <c r="D42" s="357">
        <f>+'PRESUP.DE PERSONAL 2'!D233</f>
        <v>1</v>
      </c>
      <c r="E42" s="158">
        <f>+'PRESUP.DE PERSONAL 2'!E233</f>
        <v>417</v>
      </c>
      <c r="F42" s="158">
        <f>+'PRESUP.DE PERSONAL 2'!F233</f>
        <v>417</v>
      </c>
      <c r="G42" s="81">
        <f t="shared" si="0"/>
        <v>35.450000000000003</v>
      </c>
      <c r="H42" s="81">
        <f t="shared" si="8"/>
        <v>36.49</v>
      </c>
      <c r="I42" s="81">
        <v>0</v>
      </c>
      <c r="J42" s="81">
        <v>0</v>
      </c>
      <c r="K42" s="81">
        <f t="shared" si="1"/>
        <v>488.94</v>
      </c>
      <c r="L42" s="81">
        <f t="shared" si="2"/>
        <v>3911.52</v>
      </c>
      <c r="M42" s="81">
        <f t="shared" si="6"/>
        <v>417</v>
      </c>
      <c r="N42" s="81"/>
      <c r="O42" s="439">
        <f t="shared" si="7"/>
        <v>4328.5200000000004</v>
      </c>
    </row>
    <row r="43" spans="1:16" ht="40.35" customHeight="1" x14ac:dyDescent="0.2">
      <c r="A43" s="1287"/>
      <c r="B43" s="1307"/>
      <c r="C43" s="955" t="str">
        <f>+'PRESUP.DE PERSONAL 2'!C235</f>
        <v>Encargado de Unidad de Reconstruccion y Tejido Social</v>
      </c>
      <c r="D43" s="357">
        <f>+'PRESUP.DE PERSONAL 2'!D235</f>
        <v>1</v>
      </c>
      <c r="E43" s="158">
        <f>+'PRESUP.DE PERSONAL 2'!E235</f>
        <v>547</v>
      </c>
      <c r="F43" s="158">
        <f>+'PRESUP.DE PERSONAL 2'!F235</f>
        <v>547</v>
      </c>
      <c r="G43" s="81">
        <f t="shared" si="0"/>
        <v>46.5</v>
      </c>
      <c r="H43" s="81">
        <f>ROUND(F43*$H$5,2)</f>
        <v>47.86</v>
      </c>
      <c r="I43" s="81">
        <v>0</v>
      </c>
      <c r="J43" s="81">
        <v>0</v>
      </c>
      <c r="K43" s="81">
        <f t="shared" si="1"/>
        <v>641.36</v>
      </c>
      <c r="L43" s="81">
        <f t="shared" si="2"/>
        <v>5130.88</v>
      </c>
      <c r="M43" s="81">
        <f t="shared" si="6"/>
        <v>547</v>
      </c>
      <c r="N43" s="81"/>
      <c r="O43" s="439">
        <f t="shared" si="7"/>
        <v>5677.88</v>
      </c>
    </row>
    <row r="44" spans="1:16" ht="40.35" customHeight="1" x14ac:dyDescent="0.2">
      <c r="A44" s="1287"/>
      <c r="B44" s="1307"/>
      <c r="C44" s="955" t="str">
        <f>+'PRESUP.DE PERSONAL 2'!C236</f>
        <v xml:space="preserve">Colaborador </v>
      </c>
      <c r="D44" s="357">
        <f>+'PRESUP.DE PERSONAL 2'!D236</f>
        <v>1</v>
      </c>
      <c r="E44" s="158">
        <f>+'PRESUP.DE PERSONAL 2'!E236</f>
        <v>417</v>
      </c>
      <c r="F44" s="158">
        <f>+'PRESUP.DE PERSONAL 2'!F236</f>
        <v>417</v>
      </c>
      <c r="G44" s="81">
        <f t="shared" si="0"/>
        <v>35.450000000000003</v>
      </c>
      <c r="H44" s="81">
        <f t="shared" si="8"/>
        <v>36.49</v>
      </c>
      <c r="I44" s="81">
        <v>0</v>
      </c>
      <c r="J44" s="81">
        <v>0</v>
      </c>
      <c r="K44" s="81">
        <f t="shared" si="1"/>
        <v>488.94</v>
      </c>
      <c r="L44" s="81">
        <f t="shared" si="2"/>
        <v>3911.52</v>
      </c>
      <c r="M44" s="81">
        <f t="shared" si="6"/>
        <v>417</v>
      </c>
      <c r="N44" s="81"/>
      <c r="O44" s="439">
        <f t="shared" si="7"/>
        <v>4328.5200000000004</v>
      </c>
    </row>
    <row r="45" spans="1:16" ht="40.35" customHeight="1" x14ac:dyDescent="0.2">
      <c r="A45" s="1287"/>
      <c r="B45" s="1307"/>
      <c r="C45" s="955" t="str">
        <f>+'PRESUP.DE PERSONAL 2'!C238</f>
        <v>Encargado de Unidad de Turismo</v>
      </c>
      <c r="D45" s="357">
        <f>+'PRESUP.DE PERSONAL 2'!D238</f>
        <v>1</v>
      </c>
      <c r="E45" s="158">
        <f>+'PRESUP.DE PERSONAL 2'!E238</f>
        <v>600</v>
      </c>
      <c r="F45" s="158">
        <f>+'PRESUP.DE PERSONAL 2'!F238</f>
        <v>600</v>
      </c>
      <c r="G45" s="81">
        <f t="shared" si="0"/>
        <v>51</v>
      </c>
      <c r="H45" s="81">
        <f t="shared" si="8"/>
        <v>52.5</v>
      </c>
      <c r="I45" s="81">
        <v>0</v>
      </c>
      <c r="J45" s="81">
        <v>0</v>
      </c>
      <c r="K45" s="81">
        <f t="shared" si="1"/>
        <v>703.5</v>
      </c>
      <c r="L45" s="81">
        <f t="shared" si="2"/>
        <v>5628</v>
      </c>
      <c r="M45" s="81">
        <f t="shared" si="6"/>
        <v>600</v>
      </c>
      <c r="N45" s="81">
        <v>0</v>
      </c>
      <c r="O45" s="439">
        <f t="shared" si="7"/>
        <v>6228</v>
      </c>
    </row>
    <row r="46" spans="1:16" ht="40.35" customHeight="1" x14ac:dyDescent="0.2">
      <c r="A46" s="1287"/>
      <c r="B46" s="1307"/>
      <c r="C46" s="955" t="str">
        <f>+'PRESUP.DE PERSONAL 2'!C239</f>
        <v>Tec. Asistencia Turistica</v>
      </c>
      <c r="D46" s="357">
        <f>+'PRESUP.DE PERSONAL 2'!D239</f>
        <v>1</v>
      </c>
      <c r="E46" s="158">
        <f>+'PRESUP.DE PERSONAL 2'!E239</f>
        <v>500</v>
      </c>
      <c r="F46" s="158">
        <f>+'PRESUP.DE PERSONAL 2'!F239</f>
        <v>500</v>
      </c>
      <c r="G46" s="81">
        <f t="shared" si="0"/>
        <v>42.5</v>
      </c>
      <c r="H46" s="81">
        <f t="shared" si="8"/>
        <v>43.75</v>
      </c>
      <c r="I46" s="81">
        <v>0</v>
      </c>
      <c r="J46" s="81">
        <v>0</v>
      </c>
      <c r="K46" s="81">
        <f t="shared" si="1"/>
        <v>586.25</v>
      </c>
      <c r="L46" s="81">
        <f t="shared" si="2"/>
        <v>4690</v>
      </c>
      <c r="M46" s="81">
        <f t="shared" si="6"/>
        <v>500</v>
      </c>
      <c r="N46" s="81">
        <v>0</v>
      </c>
      <c r="O46" s="439">
        <f t="shared" si="7"/>
        <v>5190</v>
      </c>
    </row>
    <row r="47" spans="1:16" ht="40.35" customHeight="1" x14ac:dyDescent="0.2">
      <c r="A47" s="1287"/>
      <c r="B47" s="1307"/>
      <c r="C47" s="955" t="str">
        <f>+'PRESUP.DE PERSONAL 2'!C241</f>
        <v>Encargado de Cultura</v>
      </c>
      <c r="D47" s="357">
        <f>+'PRESUP.DE PERSONAL 2'!D241</f>
        <v>1</v>
      </c>
      <c r="E47" s="158">
        <f>+'PRESUP.DE PERSONAL 2'!E241</f>
        <v>700</v>
      </c>
      <c r="F47" s="158">
        <f>+'PRESUP.DE PERSONAL 2'!F241</f>
        <v>700</v>
      </c>
      <c r="G47" s="81">
        <f t="shared" si="0"/>
        <v>59.5</v>
      </c>
      <c r="H47" s="81">
        <f>ROUND(F47*$H$5,2)</f>
        <v>61.25</v>
      </c>
      <c r="I47" s="159">
        <v>0</v>
      </c>
      <c r="J47" s="159">
        <v>0</v>
      </c>
      <c r="K47" s="81">
        <f t="shared" si="1"/>
        <v>820.75</v>
      </c>
      <c r="L47" s="81">
        <f t="shared" si="2"/>
        <v>6566</v>
      </c>
      <c r="M47" s="81">
        <f t="shared" si="6"/>
        <v>700</v>
      </c>
      <c r="N47" s="81"/>
      <c r="O47" s="439">
        <f t="shared" si="7"/>
        <v>7266</v>
      </c>
    </row>
    <row r="48" spans="1:16" ht="40.35" customHeight="1" x14ac:dyDescent="0.2">
      <c r="A48" s="1287"/>
      <c r="B48" s="1307"/>
      <c r="C48" s="955" t="str">
        <f>+'PRESUP.DE PERSONAL 2'!C242</f>
        <v xml:space="preserve">Asistente </v>
      </c>
      <c r="D48" s="357">
        <f>+'PRESUP.DE PERSONAL 2'!D242</f>
        <v>1</v>
      </c>
      <c r="E48" s="158">
        <f>+'PRESUP.DE PERSONAL 2'!E242</f>
        <v>547</v>
      </c>
      <c r="F48" s="158">
        <f>+'PRESUP.DE PERSONAL 2'!F242</f>
        <v>547</v>
      </c>
      <c r="G48" s="81">
        <f t="shared" si="0"/>
        <v>46.5</v>
      </c>
      <c r="H48" s="81">
        <f>ROUND(F48*$H$5,2)</f>
        <v>47.86</v>
      </c>
      <c r="I48" s="159">
        <v>0</v>
      </c>
      <c r="J48" s="159">
        <v>0</v>
      </c>
      <c r="K48" s="81">
        <f t="shared" si="1"/>
        <v>641.36</v>
      </c>
      <c r="L48" s="81">
        <f t="shared" si="2"/>
        <v>5130.88</v>
      </c>
      <c r="M48" s="81">
        <f t="shared" si="6"/>
        <v>547</v>
      </c>
      <c r="N48" s="81"/>
      <c r="O48" s="439">
        <f t="shared" si="7"/>
        <v>5677.88</v>
      </c>
    </row>
    <row r="49" spans="1:16" ht="40.35" customHeight="1" x14ac:dyDescent="0.2">
      <c r="A49" s="1287"/>
      <c r="B49" s="1307"/>
      <c r="C49" s="955" t="str">
        <f>+'PRESUP.DE PERSONAL 2'!C243</f>
        <v xml:space="preserve">Colaborador </v>
      </c>
      <c r="D49" s="357">
        <f>+'PRESUP.DE PERSONAL 2'!D243</f>
        <v>1</v>
      </c>
      <c r="E49" s="158">
        <f>+'PRESUP.DE PERSONAL 2'!E243</f>
        <v>417</v>
      </c>
      <c r="F49" s="158">
        <f>+'PRESUP.DE PERSONAL 2'!F243</f>
        <v>417</v>
      </c>
      <c r="G49" s="81">
        <f t="shared" si="0"/>
        <v>35.450000000000003</v>
      </c>
      <c r="H49" s="81">
        <f t="shared" si="8"/>
        <v>36.49</v>
      </c>
      <c r="I49" s="159">
        <v>0</v>
      </c>
      <c r="J49" s="159">
        <v>0</v>
      </c>
      <c r="K49" s="81">
        <f t="shared" si="1"/>
        <v>488.94</v>
      </c>
      <c r="L49" s="81">
        <f t="shared" si="2"/>
        <v>3911.52</v>
      </c>
      <c r="M49" s="81">
        <f t="shared" si="6"/>
        <v>417</v>
      </c>
      <c r="N49" s="81"/>
      <c r="O49" s="439">
        <f t="shared" si="7"/>
        <v>4328.5200000000004</v>
      </c>
    </row>
    <row r="50" spans="1:16" ht="40.35" customHeight="1" x14ac:dyDescent="0.2">
      <c r="A50" s="1287"/>
      <c r="B50" s="1307"/>
      <c r="C50" s="955" t="str">
        <f>+'PRESUP.DE PERSONAL 2'!C245</f>
        <v>Encargada de Unidad de Deportes</v>
      </c>
      <c r="D50" s="357">
        <f>+'PRESUP.DE PERSONAL 2'!D245</f>
        <v>1</v>
      </c>
      <c r="E50" s="158">
        <f>+'PRESUP.DE PERSONAL 2'!E245</f>
        <v>700</v>
      </c>
      <c r="F50" s="158">
        <f>+'PRESUP.DE PERSONAL 2'!F245</f>
        <v>700</v>
      </c>
      <c r="G50" s="81">
        <f t="shared" si="0"/>
        <v>59.5</v>
      </c>
      <c r="H50" s="81">
        <f>ROUND(F50*$H$5,2)</f>
        <v>61.25</v>
      </c>
      <c r="I50" s="159">
        <v>0</v>
      </c>
      <c r="J50" s="159">
        <v>0</v>
      </c>
      <c r="K50" s="81">
        <f t="shared" si="1"/>
        <v>820.75</v>
      </c>
      <c r="L50" s="81">
        <f t="shared" si="2"/>
        <v>6566</v>
      </c>
      <c r="M50" s="81">
        <f t="shared" si="6"/>
        <v>700</v>
      </c>
      <c r="N50" s="81"/>
      <c r="O50" s="439">
        <f t="shared" si="7"/>
        <v>7266</v>
      </c>
    </row>
    <row r="51" spans="1:16" ht="40.35" customHeight="1" x14ac:dyDescent="0.2">
      <c r="A51" s="1287"/>
      <c r="B51" s="1307"/>
      <c r="C51" s="955" t="str">
        <f>+'PRESUP.DE PERSONAL 2'!C246</f>
        <v>Tecnico en Deportes</v>
      </c>
      <c r="D51" s="357">
        <f>+'PRESUP.DE PERSONAL 2'!D246</f>
        <v>1</v>
      </c>
      <c r="E51" s="158">
        <f>+'PRESUP.DE PERSONAL 2'!E246</f>
        <v>700</v>
      </c>
      <c r="F51" s="158">
        <f>+'PRESUP.DE PERSONAL 2'!F246</f>
        <v>700</v>
      </c>
      <c r="G51" s="81">
        <f t="shared" si="0"/>
        <v>59.5</v>
      </c>
      <c r="H51" s="81">
        <f>ROUND(F51*$H$5,2)</f>
        <v>61.25</v>
      </c>
      <c r="I51" s="159">
        <v>0</v>
      </c>
      <c r="J51" s="159">
        <v>0</v>
      </c>
      <c r="K51" s="81">
        <f t="shared" si="1"/>
        <v>820.75</v>
      </c>
      <c r="L51" s="81">
        <f t="shared" si="2"/>
        <v>6566</v>
      </c>
      <c r="M51" s="81">
        <f t="shared" si="6"/>
        <v>700</v>
      </c>
      <c r="N51" s="81"/>
      <c r="O51" s="439">
        <f t="shared" si="7"/>
        <v>7266</v>
      </c>
    </row>
    <row r="52" spans="1:16" ht="40.35" customHeight="1" x14ac:dyDescent="0.2">
      <c r="A52" s="1287"/>
      <c r="B52" s="1307"/>
      <c r="C52" s="955" t="str">
        <f>+'PRESUP.DE PERSONAL 2'!C247</f>
        <v>Promotor en Deportes</v>
      </c>
      <c r="D52" s="357">
        <f>+'PRESUP.DE PERSONAL 2'!D247</f>
        <v>4</v>
      </c>
      <c r="E52" s="158">
        <f>+'PRESUP.DE PERSONAL 2'!E247</f>
        <v>417</v>
      </c>
      <c r="F52" s="158">
        <f>+'PRESUP.DE PERSONAL 2'!F247</f>
        <v>1668</v>
      </c>
      <c r="G52" s="81">
        <f t="shared" si="0"/>
        <v>141.78</v>
      </c>
      <c r="H52" s="81">
        <f>ROUND(F52*$H$5,2)</f>
        <v>145.94999999999999</v>
      </c>
      <c r="I52" s="159">
        <v>0</v>
      </c>
      <c r="J52" s="159">
        <v>0</v>
      </c>
      <c r="K52" s="81">
        <f t="shared" si="1"/>
        <v>1955.73</v>
      </c>
      <c r="L52" s="81">
        <f t="shared" si="2"/>
        <v>15645.84</v>
      </c>
      <c r="M52" s="81">
        <f t="shared" si="6"/>
        <v>1668</v>
      </c>
      <c r="N52" s="81"/>
      <c r="O52" s="439">
        <f t="shared" si="7"/>
        <v>17313.84</v>
      </c>
    </row>
    <row r="53" spans="1:16" ht="40.35" customHeight="1" x14ac:dyDescent="0.2">
      <c r="A53" s="1287"/>
      <c r="B53" s="1307"/>
      <c r="C53" s="955" t="str">
        <f>+'PRESUP.DE PERSONAL 2'!C248</f>
        <v>Promotor en Deportes</v>
      </c>
      <c r="D53" s="357">
        <f>+'PRESUP.DE PERSONAL 2'!D248</f>
        <v>1</v>
      </c>
      <c r="E53" s="158">
        <f>+'PRESUP.DE PERSONAL 2'!E248</f>
        <v>597</v>
      </c>
      <c r="F53" s="158">
        <f>+'PRESUP.DE PERSONAL 2'!F248</f>
        <v>597</v>
      </c>
      <c r="G53" s="81">
        <f t="shared" si="0"/>
        <v>50.75</v>
      </c>
      <c r="H53" s="81">
        <f>ROUND(F53*$H$5,2)</f>
        <v>52.24</v>
      </c>
      <c r="I53" s="159">
        <v>0</v>
      </c>
      <c r="J53" s="159">
        <v>0</v>
      </c>
      <c r="K53" s="81">
        <f t="shared" si="1"/>
        <v>699.99</v>
      </c>
      <c r="L53" s="81">
        <f t="shared" si="2"/>
        <v>5599.92</v>
      </c>
      <c r="M53" s="81">
        <f t="shared" si="6"/>
        <v>597</v>
      </c>
      <c r="N53" s="81"/>
      <c r="O53" s="439">
        <f t="shared" si="7"/>
        <v>6196.92</v>
      </c>
    </row>
    <row r="54" spans="1:16" ht="40.35" customHeight="1" x14ac:dyDescent="0.2">
      <c r="A54" s="1287"/>
      <c r="B54" s="1307"/>
      <c r="C54" s="955" t="str">
        <f>+'PRESUP.DE PERSONAL 2'!C250</f>
        <v>Encargado de Bolsa de Empleo</v>
      </c>
      <c r="D54" s="357">
        <f>+'PRESUP.DE PERSONAL 2'!D250</f>
        <v>1</v>
      </c>
      <c r="E54" s="158">
        <f>+'PRESUP.DE PERSONAL 2'!E250</f>
        <v>597</v>
      </c>
      <c r="F54" s="158">
        <f>+'PRESUP.DE PERSONAL 2'!F250</f>
        <v>597</v>
      </c>
      <c r="G54" s="81">
        <f t="shared" si="0"/>
        <v>50.75</v>
      </c>
      <c r="H54" s="81">
        <f>ROUND(F54*$H$5,2)</f>
        <v>52.24</v>
      </c>
      <c r="I54" s="159"/>
      <c r="J54" s="159"/>
      <c r="K54" s="81">
        <f t="shared" si="1"/>
        <v>699.99</v>
      </c>
      <c r="L54" s="81">
        <f t="shared" si="2"/>
        <v>5599.92</v>
      </c>
      <c r="M54" s="81">
        <f t="shared" si="6"/>
        <v>597</v>
      </c>
      <c r="N54" s="81"/>
      <c r="O54" s="439">
        <f t="shared" si="7"/>
        <v>6196.92</v>
      </c>
    </row>
    <row r="55" spans="1:16" ht="40.35" customHeight="1" thickBot="1" x14ac:dyDescent="0.25">
      <c r="A55" s="1288"/>
      <c r="B55" s="1307"/>
      <c r="C55" s="965" t="s">
        <v>1133</v>
      </c>
      <c r="D55" s="807">
        <f>+D19</f>
        <v>1</v>
      </c>
      <c r="E55" s="806">
        <f>+E19</f>
        <v>517</v>
      </c>
      <c r="F55" s="806">
        <f>+F19</f>
        <v>517</v>
      </c>
      <c r="G55" s="806">
        <f t="shared" ref="G55:O55" si="9">+G19</f>
        <v>43.95</v>
      </c>
      <c r="H55" s="806">
        <f t="shared" si="9"/>
        <v>45.24</v>
      </c>
      <c r="I55" s="806">
        <f t="shared" si="9"/>
        <v>0</v>
      </c>
      <c r="J55" s="806">
        <f t="shared" si="9"/>
        <v>0</v>
      </c>
      <c r="K55" s="806">
        <f t="shared" si="9"/>
        <v>606.19000000000005</v>
      </c>
      <c r="L55" s="806">
        <f t="shared" si="9"/>
        <v>606.19000000000005</v>
      </c>
      <c r="M55" s="806">
        <f t="shared" si="9"/>
        <v>0</v>
      </c>
      <c r="N55" s="806">
        <f t="shared" si="9"/>
        <v>0</v>
      </c>
      <c r="O55" s="946">
        <f t="shared" si="9"/>
        <v>606.19000000000005</v>
      </c>
    </row>
    <row r="56" spans="1:16" ht="40.35" customHeight="1" thickBot="1" x14ac:dyDescent="0.25">
      <c r="A56" s="1288"/>
      <c r="B56" s="1307"/>
      <c r="C56" s="965" t="s">
        <v>1083</v>
      </c>
      <c r="D56" s="807">
        <f>+D23+D39+D32</f>
        <v>3</v>
      </c>
      <c r="E56" s="806">
        <f>+E23+E32+E39</f>
        <v>1867</v>
      </c>
      <c r="F56" s="806">
        <f>+F23+F39+F32</f>
        <v>1867</v>
      </c>
      <c r="G56" s="806">
        <f t="shared" ref="G56:O56" si="10">+G23+G39+G32</f>
        <v>158.69999999999999</v>
      </c>
      <c r="H56" s="806">
        <f t="shared" si="10"/>
        <v>163.37</v>
      </c>
      <c r="I56" s="806">
        <f t="shared" si="10"/>
        <v>0</v>
      </c>
      <c r="J56" s="806">
        <f t="shared" si="10"/>
        <v>0</v>
      </c>
      <c r="K56" s="806">
        <f t="shared" si="10"/>
        <v>2189.0700000000002</v>
      </c>
      <c r="L56" s="806">
        <f t="shared" si="10"/>
        <v>8756.2800000000007</v>
      </c>
      <c r="M56" s="806">
        <f t="shared" si="10"/>
        <v>900.33333333333337</v>
      </c>
      <c r="N56" s="806">
        <f t="shared" si="10"/>
        <v>0</v>
      </c>
      <c r="O56" s="946">
        <f t="shared" si="10"/>
        <v>9656.6133333333346</v>
      </c>
    </row>
    <row r="57" spans="1:16" ht="40.35" customHeight="1" thickBot="1" x14ac:dyDescent="0.25">
      <c r="A57" s="1288"/>
      <c r="B57" s="1307"/>
      <c r="C57" s="965" t="s">
        <v>1081</v>
      </c>
      <c r="D57" s="807">
        <f>+D7+D31+D20</f>
        <v>3</v>
      </c>
      <c r="E57" s="806">
        <f>+E7+E31+E20</f>
        <v>2117</v>
      </c>
      <c r="F57" s="806">
        <f>+F7+F31+F20</f>
        <v>2117</v>
      </c>
      <c r="G57" s="806">
        <f t="shared" ref="G57:O57" si="11">+G7+G31+G20</f>
        <v>179.95</v>
      </c>
      <c r="H57" s="806">
        <f t="shared" si="11"/>
        <v>185.24</v>
      </c>
      <c r="I57" s="806">
        <f t="shared" si="11"/>
        <v>0</v>
      </c>
      <c r="J57" s="806">
        <f t="shared" si="11"/>
        <v>0</v>
      </c>
      <c r="K57" s="806">
        <f t="shared" si="11"/>
        <v>2482.19</v>
      </c>
      <c r="L57" s="806">
        <f t="shared" si="11"/>
        <v>17375.330000000002</v>
      </c>
      <c r="M57" s="806">
        <f t="shared" si="11"/>
        <v>2117</v>
      </c>
      <c r="N57" s="806">
        <f t="shared" si="11"/>
        <v>0</v>
      </c>
      <c r="O57" s="946">
        <f t="shared" si="11"/>
        <v>19492.330000000002</v>
      </c>
    </row>
    <row r="58" spans="1:16" ht="40.35" customHeight="1" thickBot="1" x14ac:dyDescent="0.25">
      <c r="A58" s="1288"/>
      <c r="B58" s="1307"/>
      <c r="C58" s="965" t="s">
        <v>1082</v>
      </c>
      <c r="D58" s="807">
        <f>+D8+D9+D10+D11+D12+D13+D14++D15+D16+D17+D18+D21+D22+D24+D25+D26+D27+D28+D29+D30+D33+D34+D35+D36+D37+D38+D40+D41+D42+D43+D44+D45+D46+D47+D48+D49+D50+D51+D52+D53+D54</f>
        <v>48</v>
      </c>
      <c r="E58" s="806">
        <f>+E8+E9+E10+E11+E12+E13+E14+E15+E16+E17+E18+E21+E22+E24+E25+E26+E27+E28+E29+E30+E33+E34+E35+E36+E37+E38+E40+E41+E42+E43+E44+E45+E46+E47+E48+E49+E50+E51+E52+E53+E54</f>
        <v>26664</v>
      </c>
      <c r="F58" s="806">
        <f>+F8+F9+F10+F11+F12+F13+F14+F15+F16+F17+F18+F21+F22+F24+F25+F26+F27+F28+F29+F30+F33+F34+F35+F36+F37+F38+F40+F41+F42+F43+F44+F45+F46+F47+F48+F49+F50+F51+F52+F53+F54</f>
        <v>29863</v>
      </c>
      <c r="G58" s="806">
        <f t="shared" ref="G58:O58" si="12">+G8+G9+G10+G11+G12+G13+G14+G15+G16+G17+G18+G21+G22+G24+G25+G26+G27+G28+G29+G30+G33+G34+G35+G36+G37+G38+G40+G41+G42+G43+G44+G45+G46+G47+G48+G49+G50+G51+G52+G53+G54</f>
        <v>2495.94</v>
      </c>
      <c r="H58" s="806">
        <f t="shared" si="12"/>
        <v>2552.0699999999993</v>
      </c>
      <c r="I58" s="806">
        <f t="shared" si="12"/>
        <v>0</v>
      </c>
      <c r="J58" s="806">
        <f t="shared" si="12"/>
        <v>41.82</v>
      </c>
      <c r="K58" s="806">
        <f t="shared" si="12"/>
        <v>34952.829999999994</v>
      </c>
      <c r="L58" s="806">
        <f t="shared" si="12"/>
        <v>279622.63999999996</v>
      </c>
      <c r="M58" s="806">
        <f t="shared" si="12"/>
        <v>29863</v>
      </c>
      <c r="N58" s="806">
        <f t="shared" si="12"/>
        <v>0</v>
      </c>
      <c r="O58" s="946">
        <f t="shared" si="12"/>
        <v>309485.63999999996</v>
      </c>
    </row>
    <row r="59" spans="1:16" ht="29.1" customHeight="1" thickBot="1" x14ac:dyDescent="0.25">
      <c r="A59" s="1289"/>
      <c r="B59" s="1308"/>
      <c r="C59" s="965" t="s">
        <v>115</v>
      </c>
      <c r="D59" s="440">
        <f>+D55+D56+D57+D58</f>
        <v>55</v>
      </c>
      <c r="E59" s="441">
        <f>+E55+E56+E57+E58</f>
        <v>31165</v>
      </c>
      <c r="F59" s="441">
        <f t="shared" ref="F59:O59" si="13">+F55+F56+F57+F58</f>
        <v>34364</v>
      </c>
      <c r="G59" s="441">
        <f t="shared" si="13"/>
        <v>2878.54</v>
      </c>
      <c r="H59" s="441">
        <f t="shared" si="13"/>
        <v>2945.9199999999992</v>
      </c>
      <c r="I59" s="441">
        <f t="shared" si="13"/>
        <v>0</v>
      </c>
      <c r="J59" s="441">
        <f t="shared" si="13"/>
        <v>41.82</v>
      </c>
      <c r="K59" s="441">
        <f t="shared" si="13"/>
        <v>40230.28</v>
      </c>
      <c r="L59" s="441">
        <f t="shared" si="13"/>
        <v>306360.43999999994</v>
      </c>
      <c r="M59" s="441">
        <f t="shared" si="13"/>
        <v>32880.333333333336</v>
      </c>
      <c r="N59" s="441">
        <f t="shared" si="13"/>
        <v>0</v>
      </c>
      <c r="O59" s="947">
        <f t="shared" si="13"/>
        <v>339240.77333333332</v>
      </c>
      <c r="P59" t="s">
        <v>875</v>
      </c>
    </row>
  </sheetData>
  <mergeCells count="14">
    <mergeCell ref="A7:A59"/>
    <mergeCell ref="B6:O6"/>
    <mergeCell ref="A1:O1"/>
    <mergeCell ref="O3:O5"/>
    <mergeCell ref="B4:C4"/>
    <mergeCell ref="B5:C5"/>
    <mergeCell ref="G3:L3"/>
    <mergeCell ref="M3:M5"/>
    <mergeCell ref="A3:A5"/>
    <mergeCell ref="B3:C3"/>
    <mergeCell ref="D3:D5"/>
    <mergeCell ref="F3:F5"/>
    <mergeCell ref="A2:O2"/>
    <mergeCell ref="B7:B59"/>
  </mergeCells>
  <printOptions horizontalCentered="1" verticalCentered="1"/>
  <pageMargins left="0.15748031496062992" right="0.15748031496062992" top="1.0629921259842521" bottom="0.27559055118110237" header="0" footer="0"/>
  <pageSetup scale="55" firstPageNumber="0" orientation="landscape" r:id="rId1"/>
  <headerFooter alignWithMargins="0"/>
  <rowBreaks count="2" manualBreakCount="2">
    <brk id="39" max="14" man="1"/>
    <brk id="5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6"/>
  <sheetViews>
    <sheetView view="pageBreakPreview" topLeftCell="A10" zoomScale="98" zoomScaleNormal="100" zoomScaleSheetLayoutView="98" workbookViewId="0">
      <selection activeCell="I13" sqref="I13"/>
    </sheetView>
  </sheetViews>
  <sheetFormatPr baseColWidth="10" defaultRowHeight="12.75" x14ac:dyDescent="0.2"/>
  <cols>
    <col min="1" max="1" width="10.42578125" customWidth="1"/>
    <col min="2" max="2" width="14.7109375" customWidth="1"/>
    <col min="3" max="3" width="25.28515625" customWidth="1"/>
    <col min="4" max="4" width="8.140625" bestFit="1" customWidth="1"/>
    <col min="5" max="5" width="14.5703125" customWidth="1"/>
    <col min="6" max="6" width="13.42578125" customWidth="1"/>
    <col min="7" max="8" width="11.28515625" customWidth="1"/>
    <col min="9" max="9" width="8.140625" customWidth="1"/>
    <col min="10" max="10" width="9.28515625" customWidth="1"/>
    <col min="11" max="12" width="13.28515625" customWidth="1"/>
    <col min="13" max="13" width="13.28515625" bestFit="1" customWidth="1"/>
    <col min="14" max="14" width="13.28515625" customWidth="1"/>
    <col min="15" max="15" width="14.140625" customWidth="1"/>
  </cols>
  <sheetData>
    <row r="1" spans="1:16" ht="25.35" customHeight="1" x14ac:dyDescent="0.2">
      <c r="A1" s="1293" t="s">
        <v>557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5"/>
    </row>
    <row r="2" spans="1:16" ht="25.35" customHeight="1" x14ac:dyDescent="0.2">
      <c r="A2" s="1316" t="s">
        <v>1146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5"/>
    </row>
    <row r="3" spans="1:16" x14ac:dyDescent="0.2">
      <c r="A3" s="1301" t="s">
        <v>203</v>
      </c>
      <c r="B3" s="1297" t="s">
        <v>205</v>
      </c>
      <c r="C3" s="1297"/>
      <c r="D3" s="1298" t="s">
        <v>215</v>
      </c>
      <c r="E3" s="435" t="s">
        <v>217</v>
      </c>
      <c r="F3" s="1302" t="s">
        <v>312</v>
      </c>
      <c r="G3" s="1299" t="s">
        <v>225</v>
      </c>
      <c r="H3" s="1299"/>
      <c r="I3" s="1299"/>
      <c r="J3" s="1299"/>
      <c r="K3" s="1299"/>
      <c r="L3" s="1299"/>
      <c r="M3" s="1300" t="s">
        <v>226</v>
      </c>
      <c r="N3" s="435" t="s">
        <v>304</v>
      </c>
      <c r="O3" s="1296" t="s">
        <v>558</v>
      </c>
    </row>
    <row r="4" spans="1:16" x14ac:dyDescent="0.2">
      <c r="A4" s="1301"/>
      <c r="B4" s="1297" t="s">
        <v>227</v>
      </c>
      <c r="C4" s="1297"/>
      <c r="D4" s="1298"/>
      <c r="E4" s="435" t="s">
        <v>220</v>
      </c>
      <c r="F4" s="1302"/>
      <c r="G4" s="435" t="s">
        <v>228</v>
      </c>
      <c r="H4" s="435" t="s">
        <v>229</v>
      </c>
      <c r="I4" s="435" t="s">
        <v>1001</v>
      </c>
      <c r="J4" s="435" t="s">
        <v>230</v>
      </c>
      <c r="K4" s="435" t="s">
        <v>231</v>
      </c>
      <c r="L4" s="435" t="s">
        <v>231</v>
      </c>
      <c r="M4" s="1300"/>
      <c r="N4" s="435" t="s">
        <v>302</v>
      </c>
      <c r="O4" s="1296"/>
    </row>
    <row r="5" spans="1:16" ht="40.5" customHeight="1" x14ac:dyDescent="0.2">
      <c r="A5" s="1301"/>
      <c r="B5" s="1298" t="s">
        <v>232</v>
      </c>
      <c r="C5" s="1298"/>
      <c r="D5" s="1298"/>
      <c r="E5" s="156" t="s">
        <v>509</v>
      </c>
      <c r="F5" s="1302"/>
      <c r="G5" s="156">
        <v>8.5000000000000006E-2</v>
      </c>
      <c r="H5" s="156" t="s">
        <v>404</v>
      </c>
      <c r="I5" s="156" t="s">
        <v>404</v>
      </c>
      <c r="J5" s="156">
        <v>0.06</v>
      </c>
      <c r="K5" s="435" t="s">
        <v>233</v>
      </c>
      <c r="L5" s="435" t="s">
        <v>221</v>
      </c>
      <c r="M5" s="1300"/>
      <c r="N5" s="157">
        <v>0.3</v>
      </c>
      <c r="O5" s="1296"/>
    </row>
    <row r="6" spans="1:16" ht="40.35" customHeight="1" x14ac:dyDescent="0.2">
      <c r="A6" s="800" t="s">
        <v>209</v>
      </c>
      <c r="B6" s="1291" t="s">
        <v>300</v>
      </c>
      <c r="C6" s="1290"/>
      <c r="D6" s="1290"/>
      <c r="E6" s="1290"/>
      <c r="F6" s="1290"/>
      <c r="G6" s="1290"/>
      <c r="H6" s="1290"/>
      <c r="I6" s="1290"/>
      <c r="J6" s="1290"/>
      <c r="K6" s="1290"/>
      <c r="L6" s="1290"/>
      <c r="M6" s="1290"/>
      <c r="N6" s="1290"/>
      <c r="O6" s="1315"/>
    </row>
    <row r="7" spans="1:16" ht="45" customHeight="1" x14ac:dyDescent="0.2">
      <c r="A7" s="1312"/>
      <c r="B7" s="1309"/>
      <c r="C7" s="109" t="str">
        <f>+'PRESUP.DE PERSONAL 2'!C254</f>
        <v>Jefe de Desarrollo Urbano y Proyectos</v>
      </c>
      <c r="D7" s="357">
        <f>+'PRESUP.DE PERSONAL 2'!D254</f>
        <v>1</v>
      </c>
      <c r="E7" s="158">
        <f>+'PRESUP.DE PERSONAL 2'!E254</f>
        <v>1500</v>
      </c>
      <c r="F7" s="158">
        <f>+'PRESUP.DE PERSONAL 2'!F254</f>
        <v>1500</v>
      </c>
      <c r="G7" s="81">
        <f>ROUND(IF(E7&gt;=1000, 1000*$G$5, $F7*$G$5),2)</f>
        <v>85</v>
      </c>
      <c r="H7" s="81">
        <f>ROUND(F7*$H$5,2)</f>
        <v>131.25</v>
      </c>
      <c r="I7" s="81">
        <v>0</v>
      </c>
      <c r="J7" s="81">
        <v>0</v>
      </c>
      <c r="K7" s="81">
        <f>SUM(F7:J7)</f>
        <v>1716.25</v>
      </c>
      <c r="L7" s="81">
        <f>SUM(K7*8)</f>
        <v>13730</v>
      </c>
      <c r="M7" s="81">
        <f>D7*E7</f>
        <v>1500</v>
      </c>
      <c r="N7" s="81"/>
      <c r="O7" s="439">
        <f>SUM(L7:N7)</f>
        <v>15230</v>
      </c>
    </row>
    <row r="8" spans="1:16" ht="45" customHeight="1" x14ac:dyDescent="0.2">
      <c r="A8" s="1313"/>
      <c r="B8" s="1310"/>
      <c r="C8" s="109" t="str">
        <f>+'PRESUP.DE PERSONAL 2'!C255</f>
        <v>Sub Jefe de Desarrollo Urbano y Proyectos</v>
      </c>
      <c r="D8" s="357">
        <f>+'PRESUP.DE PERSONAL 2'!D255</f>
        <v>1</v>
      </c>
      <c r="E8" s="158">
        <f>+'PRESUP.DE PERSONAL 2'!E255</f>
        <v>1000</v>
      </c>
      <c r="F8" s="158">
        <f>+'PRESUP.DE PERSONAL 2'!F255</f>
        <v>1000</v>
      </c>
      <c r="G8" s="81">
        <f t="shared" ref="G8:G22" si="0">ROUND(IF(E8&gt;=1000, 1000*$G$5, $F8*$G$5),2)</f>
        <v>85</v>
      </c>
      <c r="H8" s="81">
        <f>ROUND(F8*$H$5,2)</f>
        <v>87.5</v>
      </c>
      <c r="I8" s="81">
        <v>0</v>
      </c>
      <c r="J8" s="81">
        <v>0</v>
      </c>
      <c r="K8" s="81">
        <f t="shared" ref="K8:K22" si="1">SUM(F8:J8)</f>
        <v>1172.5</v>
      </c>
      <c r="L8" s="81">
        <f t="shared" ref="L8:L22" si="2">SUM(K8*8)</f>
        <v>9380</v>
      </c>
      <c r="M8" s="81">
        <f t="shared" ref="M8:M22" si="3">D8*E8</f>
        <v>1000</v>
      </c>
      <c r="N8" s="81"/>
      <c r="O8" s="439">
        <f t="shared" ref="O8:O22" si="4">SUM(L8:N8)</f>
        <v>10380</v>
      </c>
    </row>
    <row r="9" spans="1:16" ht="45" customHeight="1" x14ac:dyDescent="0.2">
      <c r="A9" s="1313"/>
      <c r="B9" s="1310"/>
      <c r="C9" s="109" t="str">
        <f>+'PRESUP.DE PERSONAL 2'!C256</f>
        <v>Asistente de Desarrollo Urbano y Proyectos</v>
      </c>
      <c r="D9" s="357">
        <f>+'PRESUP.DE PERSONAL 2'!D256</f>
        <v>1</v>
      </c>
      <c r="E9" s="158">
        <f>+'PRESUP.DE PERSONAL 2'!E256</f>
        <v>742</v>
      </c>
      <c r="F9" s="158">
        <f>+'PRESUP.DE PERSONAL 2'!F256</f>
        <v>742</v>
      </c>
      <c r="G9" s="81">
        <f t="shared" si="0"/>
        <v>63.07</v>
      </c>
      <c r="H9" s="81">
        <f t="shared" ref="H9:H22" si="5">ROUND(F9*$H$5,2)</f>
        <v>64.930000000000007</v>
      </c>
      <c r="I9" s="81">
        <v>0</v>
      </c>
      <c r="J9" s="81">
        <v>0</v>
      </c>
      <c r="K9" s="81">
        <f t="shared" si="1"/>
        <v>870</v>
      </c>
      <c r="L9" s="81">
        <f t="shared" si="2"/>
        <v>6960</v>
      </c>
      <c r="M9" s="81">
        <f t="shared" si="3"/>
        <v>742</v>
      </c>
      <c r="N9" s="81"/>
      <c r="O9" s="439">
        <f t="shared" si="4"/>
        <v>7702</v>
      </c>
    </row>
    <row r="10" spans="1:16" ht="45" customHeight="1" x14ac:dyDescent="0.2">
      <c r="A10" s="1313"/>
      <c r="B10" s="1310"/>
      <c r="C10" s="109" t="str">
        <f>+'PRESUP.DE PERSONAL 2'!C257</f>
        <v>Colaborador I de Desarrollo Urbano y Proyectos</v>
      </c>
      <c r="D10" s="357">
        <f>+'PRESUP.DE PERSONAL 2'!D257</f>
        <v>1</v>
      </c>
      <c r="E10" s="158">
        <f>+'PRESUP.DE PERSONAL 2'!E257</f>
        <v>747.72</v>
      </c>
      <c r="F10" s="158">
        <f>+'PRESUP.DE PERSONAL 2'!F257</f>
        <v>747.72</v>
      </c>
      <c r="G10" s="81">
        <f t="shared" si="0"/>
        <v>63.56</v>
      </c>
      <c r="H10" s="81">
        <f t="shared" si="5"/>
        <v>65.430000000000007</v>
      </c>
      <c r="I10" s="81">
        <v>0</v>
      </c>
      <c r="J10" s="81">
        <v>0</v>
      </c>
      <c r="K10" s="81">
        <f t="shared" si="1"/>
        <v>876.71</v>
      </c>
      <c r="L10" s="81">
        <f t="shared" si="2"/>
        <v>7013.68</v>
      </c>
      <c r="M10" s="81">
        <f t="shared" si="3"/>
        <v>747.72</v>
      </c>
      <c r="N10" s="81"/>
      <c r="O10" s="439">
        <f t="shared" si="4"/>
        <v>7761.4000000000005</v>
      </c>
    </row>
    <row r="11" spans="1:16" ht="45" customHeight="1" x14ac:dyDescent="0.2">
      <c r="A11" s="1313"/>
      <c r="B11" s="1310"/>
      <c r="C11" s="109" t="str">
        <f>+'PRESUP.DE PERSONAL 2'!C258</f>
        <v>Encargado de  Desarrollo Urbano</v>
      </c>
      <c r="D11" s="357">
        <f>+'PRESUP.DE PERSONAL 2'!D258</f>
        <v>1</v>
      </c>
      <c r="E11" s="158">
        <f>+'PRESUP.DE PERSONAL 2'!E258</f>
        <v>717</v>
      </c>
      <c r="F11" s="158">
        <f>+'PRESUP.DE PERSONAL 2'!F258</f>
        <v>717</v>
      </c>
      <c r="G11" s="81">
        <f t="shared" si="0"/>
        <v>60.95</v>
      </c>
      <c r="H11" s="81">
        <f t="shared" si="5"/>
        <v>62.74</v>
      </c>
      <c r="I11" s="81">
        <v>0</v>
      </c>
      <c r="J11" s="81">
        <v>0</v>
      </c>
      <c r="K11" s="81">
        <f t="shared" si="1"/>
        <v>840.69</v>
      </c>
      <c r="L11" s="81">
        <f t="shared" si="2"/>
        <v>6725.52</v>
      </c>
      <c r="M11" s="81">
        <f t="shared" si="3"/>
        <v>717</v>
      </c>
      <c r="N11" s="81"/>
      <c r="O11" s="439">
        <f t="shared" si="4"/>
        <v>7442.52</v>
      </c>
    </row>
    <row r="12" spans="1:16" ht="45" customHeight="1" x14ac:dyDescent="0.2">
      <c r="A12" s="1313"/>
      <c r="B12" s="1310"/>
      <c r="C12" s="109" t="str">
        <f>+'PRESUP.DE PERSONAL 2'!C259</f>
        <v>Colaborador de  Desarrollo Urbano</v>
      </c>
      <c r="D12" s="357">
        <f>+'PRESUP.DE PERSONAL 2'!D259</f>
        <v>1</v>
      </c>
      <c r="E12" s="158">
        <f>+'PRESUP.DE PERSONAL 2'!E259</f>
        <v>697</v>
      </c>
      <c r="F12" s="158">
        <f>+'PRESUP.DE PERSONAL 2'!F259</f>
        <v>697</v>
      </c>
      <c r="G12" s="81">
        <f t="shared" si="0"/>
        <v>59.25</v>
      </c>
      <c r="H12" s="81">
        <v>0</v>
      </c>
      <c r="I12" s="81">
        <f>ROUND(F12*$I$5,2)</f>
        <v>60.99</v>
      </c>
      <c r="J12" s="81">
        <v>0</v>
      </c>
      <c r="K12" s="81">
        <f t="shared" si="1"/>
        <v>817.24</v>
      </c>
      <c r="L12" s="81">
        <f t="shared" si="2"/>
        <v>6537.92</v>
      </c>
      <c r="M12" s="81">
        <f t="shared" si="3"/>
        <v>697</v>
      </c>
      <c r="N12" s="81"/>
      <c r="O12" s="439">
        <f t="shared" si="4"/>
        <v>7234.92</v>
      </c>
    </row>
    <row r="13" spans="1:16" ht="45" customHeight="1" x14ac:dyDescent="0.2">
      <c r="A13" s="1313"/>
      <c r="B13" s="1310"/>
      <c r="C13" s="109" t="str">
        <f>+'PRESUP.DE PERSONAL 2'!C261</f>
        <v>Jefe del REF</v>
      </c>
      <c r="D13" s="357">
        <f>+'PRESUP.DE PERSONAL 2'!D261</f>
        <v>1</v>
      </c>
      <c r="E13" s="158">
        <f>+'PRESUP.DE PERSONAL 2'!E261</f>
        <v>1000</v>
      </c>
      <c r="F13" s="158">
        <f>+'PRESUP.DE PERSONAL 2'!F261</f>
        <v>1000</v>
      </c>
      <c r="G13" s="81">
        <f t="shared" si="0"/>
        <v>85</v>
      </c>
      <c r="H13" s="81">
        <f t="shared" si="5"/>
        <v>87.5</v>
      </c>
      <c r="I13" s="81">
        <v>0</v>
      </c>
      <c r="J13" s="81">
        <v>0</v>
      </c>
      <c r="K13" s="81">
        <f t="shared" si="1"/>
        <v>1172.5</v>
      </c>
      <c r="L13" s="81">
        <f t="shared" si="2"/>
        <v>9380</v>
      </c>
      <c r="M13" s="81">
        <f t="shared" si="3"/>
        <v>1000</v>
      </c>
      <c r="N13" s="81"/>
      <c r="O13" s="439">
        <f t="shared" si="4"/>
        <v>10380</v>
      </c>
    </row>
    <row r="14" spans="1:16" ht="45" customHeight="1" x14ac:dyDescent="0.2">
      <c r="A14" s="1313"/>
      <c r="B14" s="1310"/>
      <c r="C14" s="109" t="str">
        <f>+'PRESUP.DE PERSONAL 2'!C262</f>
        <v>Sub Jefe REF</v>
      </c>
      <c r="D14" s="357">
        <f>+'PRESUP.DE PERSONAL 2'!D262</f>
        <v>1</v>
      </c>
      <c r="E14" s="158">
        <f>+'PRESUP.DE PERSONAL 2'!E262</f>
        <v>850</v>
      </c>
      <c r="F14" s="158">
        <f>+'PRESUP.DE PERSONAL 2'!F262</f>
        <v>850</v>
      </c>
      <c r="G14" s="81">
        <f t="shared" si="0"/>
        <v>72.25</v>
      </c>
      <c r="H14" s="81">
        <f t="shared" si="5"/>
        <v>74.38</v>
      </c>
      <c r="I14" s="81">
        <v>0</v>
      </c>
      <c r="J14" s="81">
        <v>0</v>
      </c>
      <c r="K14" s="81">
        <f t="shared" si="1"/>
        <v>996.63</v>
      </c>
      <c r="L14" s="81">
        <f t="shared" si="2"/>
        <v>7973.04</v>
      </c>
      <c r="M14" s="81">
        <f t="shared" si="3"/>
        <v>850</v>
      </c>
      <c r="N14" s="81"/>
      <c r="O14" s="439">
        <f t="shared" si="4"/>
        <v>8823.0400000000009</v>
      </c>
    </row>
    <row r="15" spans="1:16" ht="45" customHeight="1" x14ac:dyDescent="0.2">
      <c r="A15" s="1313"/>
      <c r="B15" s="1310"/>
      <c r="C15" s="109" t="str">
        <f>+'PRESUP.DE PERSONAL 2'!C263</f>
        <v>Asistente REF</v>
      </c>
      <c r="D15" s="357">
        <f>+'PRESUP.DE PERSONAL 2'!D263</f>
        <v>1</v>
      </c>
      <c r="E15" s="158">
        <f>+'PRESUP.DE PERSONAL 2'!E263</f>
        <v>600</v>
      </c>
      <c r="F15" s="158">
        <f>+'PRESUP.DE PERSONAL 2'!F263</f>
        <v>600</v>
      </c>
      <c r="G15" s="81">
        <f t="shared" si="0"/>
        <v>51</v>
      </c>
      <c r="H15" s="81">
        <f t="shared" si="5"/>
        <v>52.5</v>
      </c>
      <c r="I15" s="81">
        <v>0</v>
      </c>
      <c r="J15" s="81">
        <v>0</v>
      </c>
      <c r="K15" s="81">
        <f t="shared" si="1"/>
        <v>703.5</v>
      </c>
      <c r="L15" s="81">
        <f t="shared" si="2"/>
        <v>5628</v>
      </c>
      <c r="M15" s="81">
        <f t="shared" si="3"/>
        <v>600</v>
      </c>
      <c r="N15" s="81"/>
      <c r="O15" s="439">
        <f t="shared" si="4"/>
        <v>6228</v>
      </c>
    </row>
    <row r="16" spans="1:16" s="94" customFormat="1" ht="45" customHeight="1" x14ac:dyDescent="0.2">
      <c r="A16" s="1313"/>
      <c r="B16" s="1310"/>
      <c r="C16" s="760" t="str">
        <f>+'PRESUP.DE PERSONAL 2'!C264</f>
        <v>Digitador REF I</v>
      </c>
      <c r="D16" s="784">
        <f>+'PRESUP.DE PERSONAL 2'!D264</f>
        <v>1</v>
      </c>
      <c r="E16" s="551">
        <f>+'PRESUP.DE PERSONAL 2'!E264</f>
        <v>1000</v>
      </c>
      <c r="F16" s="551">
        <f>+'PRESUP.DE PERSONAL 2'!F264</f>
        <v>1000</v>
      </c>
      <c r="G16" s="159">
        <f t="shared" si="0"/>
        <v>85</v>
      </c>
      <c r="H16" s="159">
        <f t="shared" si="5"/>
        <v>87.5</v>
      </c>
      <c r="I16" s="159">
        <v>0</v>
      </c>
      <c r="J16" s="159">
        <v>0</v>
      </c>
      <c r="K16" s="159">
        <f t="shared" si="1"/>
        <v>1172.5</v>
      </c>
      <c r="L16" s="159">
        <f>SUM(K16*7)</f>
        <v>8207.5</v>
      </c>
      <c r="M16" s="159">
        <f t="shared" si="3"/>
        <v>1000</v>
      </c>
      <c r="N16" s="159"/>
      <c r="O16" s="785">
        <f t="shared" si="4"/>
        <v>9207.5</v>
      </c>
      <c r="P16" s="94" t="s">
        <v>1054</v>
      </c>
    </row>
    <row r="17" spans="1:16" ht="45" customHeight="1" x14ac:dyDescent="0.2">
      <c r="A17" s="1313"/>
      <c r="B17" s="1310"/>
      <c r="C17" s="760" t="str">
        <f>+'PRESUP.DE PERSONAL 2'!C265</f>
        <v>Digitador REF II</v>
      </c>
      <c r="D17" s="784">
        <f>+'PRESUP.DE PERSONAL 2'!D265</f>
        <v>1</v>
      </c>
      <c r="E17" s="551">
        <f>+'PRESUP.DE PERSONAL 2'!E265</f>
        <v>597</v>
      </c>
      <c r="F17" s="551">
        <f>+'PRESUP.DE PERSONAL 2'!F265</f>
        <v>597</v>
      </c>
      <c r="G17" s="159">
        <f>ROUND(IF(E17&gt;=1000, 1000*$G$5, $F17*$G$5),2)</f>
        <v>50.75</v>
      </c>
      <c r="H17" s="159">
        <f>ROUND(F17*$H$5,2)</f>
        <v>52.24</v>
      </c>
      <c r="I17" s="159">
        <v>0</v>
      </c>
      <c r="J17" s="159">
        <v>0</v>
      </c>
      <c r="K17" s="159">
        <f>SUM(F17:J17)</f>
        <v>699.99</v>
      </c>
      <c r="L17" s="159">
        <f>SUM(K17*8)</f>
        <v>5599.92</v>
      </c>
      <c r="M17" s="159">
        <f>D17*E17</f>
        <v>597</v>
      </c>
      <c r="N17" s="159"/>
      <c r="O17" s="785">
        <f>SUM(L17:N17)</f>
        <v>6196.92</v>
      </c>
    </row>
    <row r="18" spans="1:16" ht="45" customHeight="1" x14ac:dyDescent="0.2">
      <c r="A18" s="1313"/>
      <c r="B18" s="1310"/>
      <c r="C18" s="109" t="str">
        <f>+'PRESUP.DE PERSONAL 2'!C266</f>
        <v>Colaborador REF I</v>
      </c>
      <c r="D18" s="357">
        <f>+'PRESUP.DE PERSONAL 2'!D266</f>
        <v>1</v>
      </c>
      <c r="E18" s="158">
        <f>+'PRESUP.DE PERSONAL 2'!E266</f>
        <v>817</v>
      </c>
      <c r="F18" s="158">
        <f>+'PRESUP.DE PERSONAL 2'!F266</f>
        <v>817</v>
      </c>
      <c r="G18" s="81">
        <f t="shared" si="0"/>
        <v>69.45</v>
      </c>
      <c r="H18" s="81">
        <f t="shared" si="5"/>
        <v>71.489999999999995</v>
      </c>
      <c r="I18" s="81">
        <v>0</v>
      </c>
      <c r="J18" s="81">
        <v>0</v>
      </c>
      <c r="K18" s="81">
        <f t="shared" si="1"/>
        <v>957.94</v>
      </c>
      <c r="L18" s="81">
        <f t="shared" si="2"/>
        <v>7663.52</v>
      </c>
      <c r="M18" s="81">
        <f t="shared" si="3"/>
        <v>817</v>
      </c>
      <c r="N18" s="81"/>
      <c r="O18" s="439">
        <f t="shared" si="4"/>
        <v>8480.52</v>
      </c>
    </row>
    <row r="19" spans="1:16" ht="45" customHeight="1" x14ac:dyDescent="0.2">
      <c r="A19" s="1313"/>
      <c r="B19" s="1310"/>
      <c r="C19" s="109" t="str">
        <f>+'PRESUP.DE PERSONAL 2'!C267</f>
        <v>Colaborador REF II</v>
      </c>
      <c r="D19" s="357">
        <f>+'PRESUP.DE PERSONAL 2'!D267</f>
        <v>1</v>
      </c>
      <c r="E19" s="158">
        <f>+'PRESUP.DE PERSONAL 2'!E267</f>
        <v>650</v>
      </c>
      <c r="F19" s="158">
        <f>+'PRESUP.DE PERSONAL 2'!F267</f>
        <v>650</v>
      </c>
      <c r="G19" s="81">
        <f t="shared" si="0"/>
        <v>55.25</v>
      </c>
      <c r="H19" s="81">
        <f t="shared" si="5"/>
        <v>56.88</v>
      </c>
      <c r="I19" s="81">
        <v>0</v>
      </c>
      <c r="J19" s="81">
        <v>0</v>
      </c>
      <c r="K19" s="81">
        <f t="shared" si="1"/>
        <v>762.13</v>
      </c>
      <c r="L19" s="81">
        <f t="shared" si="2"/>
        <v>6097.04</v>
      </c>
      <c r="M19" s="81">
        <f t="shared" si="3"/>
        <v>650</v>
      </c>
      <c r="N19" s="81"/>
      <c r="O19" s="439">
        <f t="shared" si="4"/>
        <v>6747.04</v>
      </c>
    </row>
    <row r="20" spans="1:16" ht="45" customHeight="1" x14ac:dyDescent="0.2">
      <c r="A20" s="1313"/>
      <c r="B20" s="1310"/>
      <c r="C20" s="109" t="str">
        <f>+'PRESUP.DE PERSONAL 2'!C268</f>
        <v>Colaborador REF III</v>
      </c>
      <c r="D20" s="357">
        <f>+'PRESUP.DE PERSONAL 2'!D268</f>
        <v>1</v>
      </c>
      <c r="E20" s="158">
        <f>+'PRESUP.DE PERSONAL 2'!E268</f>
        <v>517</v>
      </c>
      <c r="F20" s="158">
        <f>+'PRESUP.DE PERSONAL 2'!F268</f>
        <v>517</v>
      </c>
      <c r="G20" s="81">
        <f t="shared" si="0"/>
        <v>43.95</v>
      </c>
      <c r="H20" s="81">
        <f t="shared" si="5"/>
        <v>45.24</v>
      </c>
      <c r="I20" s="81">
        <v>0</v>
      </c>
      <c r="J20" s="81">
        <v>0</v>
      </c>
      <c r="K20" s="81">
        <f t="shared" si="1"/>
        <v>606.19000000000005</v>
      </c>
      <c r="L20" s="81">
        <f t="shared" si="2"/>
        <v>4849.5200000000004</v>
      </c>
      <c r="M20" s="81">
        <f t="shared" si="3"/>
        <v>517</v>
      </c>
      <c r="N20" s="81"/>
      <c r="O20" s="439">
        <f t="shared" si="4"/>
        <v>5366.52</v>
      </c>
    </row>
    <row r="21" spans="1:16" ht="45" customHeight="1" x14ac:dyDescent="0.2">
      <c r="A21" s="1313"/>
      <c r="B21" s="1310"/>
      <c r="C21" s="109" t="str">
        <f>+'PRESUP.DE PERSONAL 2'!C269</f>
        <v>Colaborador REF III</v>
      </c>
      <c r="D21" s="357">
        <f>+'PRESUP.DE PERSONAL 2'!D269</f>
        <v>1</v>
      </c>
      <c r="E21" s="158">
        <f>+'PRESUP.DE PERSONAL 2'!E269</f>
        <v>497</v>
      </c>
      <c r="F21" s="158">
        <f>+'PRESUP.DE PERSONAL 2'!F269</f>
        <v>497</v>
      </c>
      <c r="G21" s="81">
        <f t="shared" si="0"/>
        <v>42.25</v>
      </c>
      <c r="H21" s="81">
        <f t="shared" si="5"/>
        <v>43.49</v>
      </c>
      <c r="I21" s="81">
        <v>0</v>
      </c>
      <c r="J21" s="81">
        <v>0</v>
      </c>
      <c r="K21" s="81">
        <f t="shared" si="1"/>
        <v>582.74</v>
      </c>
      <c r="L21" s="81">
        <f t="shared" si="2"/>
        <v>4661.92</v>
      </c>
      <c r="M21" s="81">
        <f t="shared" si="3"/>
        <v>497</v>
      </c>
      <c r="N21" s="81"/>
      <c r="O21" s="439">
        <f t="shared" si="4"/>
        <v>5158.92</v>
      </c>
    </row>
    <row r="22" spans="1:16" ht="45" customHeight="1" x14ac:dyDescent="0.2">
      <c r="A22" s="1313"/>
      <c r="B22" s="1310"/>
      <c r="C22" s="797" t="str">
        <f>+'PRESUP.DE PERSONAL 2'!C270</f>
        <v>Colaborador REF IV</v>
      </c>
      <c r="D22" s="787">
        <f>+'PRESUP.DE PERSONAL 2'!D270</f>
        <v>2</v>
      </c>
      <c r="E22" s="786">
        <f>+'PRESUP.DE PERSONAL 2'!E270</f>
        <v>417</v>
      </c>
      <c r="F22" s="786">
        <f>+'PRESUP.DE PERSONAL 2'!F270</f>
        <v>834</v>
      </c>
      <c r="G22" s="788">
        <f t="shared" si="0"/>
        <v>70.89</v>
      </c>
      <c r="H22" s="788">
        <f t="shared" si="5"/>
        <v>72.98</v>
      </c>
      <c r="I22" s="788">
        <v>0</v>
      </c>
      <c r="J22" s="788">
        <v>0</v>
      </c>
      <c r="K22" s="788">
        <f t="shared" si="1"/>
        <v>977.87</v>
      </c>
      <c r="L22" s="788">
        <f t="shared" si="2"/>
        <v>7822.96</v>
      </c>
      <c r="M22" s="788">
        <f t="shared" si="3"/>
        <v>834</v>
      </c>
      <c r="N22" s="788"/>
      <c r="O22" s="789">
        <f t="shared" si="4"/>
        <v>8656.9599999999991</v>
      </c>
    </row>
    <row r="23" spans="1:16" ht="45" customHeight="1" x14ac:dyDescent="0.2">
      <c r="A23" s="1313"/>
      <c r="B23" s="1310"/>
      <c r="C23" s="798" t="str">
        <f>+'PRESUP.DE PERSONAL 2'!C271</f>
        <v>Colaborador REF IV</v>
      </c>
      <c r="D23" s="792">
        <f>+'PRESUP.DE PERSONAL 2'!D271</f>
        <v>1</v>
      </c>
      <c r="E23" s="153">
        <f>+'PRESUP.DE PERSONAL 2'!E271</f>
        <v>600</v>
      </c>
      <c r="F23" s="153">
        <f>+'PRESUP.DE PERSONAL 2'!F271</f>
        <v>600</v>
      </c>
      <c r="G23" s="100">
        <f>ROUND(IF(E23&gt;=1000, 1000*$G$5, $F23*$G$5),2)</f>
        <v>51</v>
      </c>
      <c r="H23" s="100">
        <f>ROUND(F23*$H$5,2)</f>
        <v>52.5</v>
      </c>
      <c r="I23" s="100">
        <v>0</v>
      </c>
      <c r="J23" s="100">
        <v>0</v>
      </c>
      <c r="K23" s="100">
        <f>SUM(F23:J23)</f>
        <v>703.5</v>
      </c>
      <c r="L23" s="100">
        <f>SUM(K23*8)</f>
        <v>5628</v>
      </c>
      <c r="M23" s="100">
        <f>D23*E23</f>
        <v>600</v>
      </c>
      <c r="N23" s="100"/>
      <c r="O23" s="801">
        <f>SUM(L23:N23)</f>
        <v>6228</v>
      </c>
    </row>
    <row r="24" spans="1:16" ht="33" customHeight="1" x14ac:dyDescent="0.2">
      <c r="A24" s="1313"/>
      <c r="B24" s="1310"/>
      <c r="C24" s="799" t="s">
        <v>1097</v>
      </c>
      <c r="D24" s="793">
        <f>+D16</f>
        <v>1</v>
      </c>
      <c r="E24" s="794">
        <f>+E16</f>
        <v>1000</v>
      </c>
      <c r="F24" s="794">
        <f>+F16</f>
        <v>1000</v>
      </c>
      <c r="G24" s="794">
        <f t="shared" ref="G24:O24" si="6">+G16</f>
        <v>85</v>
      </c>
      <c r="H24" s="794">
        <f t="shared" si="6"/>
        <v>87.5</v>
      </c>
      <c r="I24" s="794">
        <f t="shared" si="6"/>
        <v>0</v>
      </c>
      <c r="J24" s="794">
        <f t="shared" si="6"/>
        <v>0</v>
      </c>
      <c r="K24" s="794">
        <f t="shared" si="6"/>
        <v>1172.5</v>
      </c>
      <c r="L24" s="794">
        <f t="shared" si="6"/>
        <v>8207.5</v>
      </c>
      <c r="M24" s="794">
        <f t="shared" si="6"/>
        <v>1000</v>
      </c>
      <c r="N24" s="794">
        <f t="shared" si="6"/>
        <v>0</v>
      </c>
      <c r="O24" s="802">
        <f t="shared" si="6"/>
        <v>9207.5</v>
      </c>
    </row>
    <row r="25" spans="1:16" ht="32.25" customHeight="1" x14ac:dyDescent="0.2">
      <c r="A25" s="1313"/>
      <c r="B25" s="1310"/>
      <c r="C25" s="799" t="s">
        <v>1085</v>
      </c>
      <c r="D25" s="795">
        <f>+D7+D8+D9+D10+D11+D12+D13+D14+D15+D17+D18+D19+D20+D21+D22+D23</f>
        <v>17</v>
      </c>
      <c r="E25" s="796">
        <f>+E7+E8+E9+E10+E11+E12+E13+E14+E15+E17+E18+E19+E20+E21+E22+E23</f>
        <v>11948.720000000001</v>
      </c>
      <c r="F25" s="796">
        <f>+F7+F8+F9+F10+F11+F12+F13+F14+F15+F17+F18+F19+F20+F21+F22+F23</f>
        <v>12365.720000000001</v>
      </c>
      <c r="G25" s="796">
        <f>+G7+G8+G9+G10+G11+G12+G13+G14+G15+G17+G18+G19+G20+G21+G22+G23</f>
        <v>1008.62</v>
      </c>
      <c r="H25" s="796">
        <f t="shared" ref="H25:O25" si="7">+H7+H8+H9+H10+H11+H12+H13+H14+H15+H17+H18+H19+H20+H21+H22+H23</f>
        <v>1021.0500000000001</v>
      </c>
      <c r="I25" s="796">
        <f t="shared" si="7"/>
        <v>60.99</v>
      </c>
      <c r="J25" s="796">
        <f t="shared" si="7"/>
        <v>0</v>
      </c>
      <c r="K25" s="796">
        <f t="shared" si="7"/>
        <v>14456.38</v>
      </c>
      <c r="L25" s="796">
        <f t="shared" si="7"/>
        <v>115651.04</v>
      </c>
      <c r="M25" s="796">
        <f t="shared" si="7"/>
        <v>12365.720000000001</v>
      </c>
      <c r="N25" s="796">
        <f t="shared" si="7"/>
        <v>0</v>
      </c>
      <c r="O25" s="803">
        <f t="shared" si="7"/>
        <v>128016.76000000001</v>
      </c>
      <c r="P25" t="s">
        <v>875</v>
      </c>
    </row>
    <row r="26" spans="1:16" ht="33.75" customHeight="1" thickBot="1" x14ac:dyDescent="0.25">
      <c r="A26" s="1314"/>
      <c r="B26" s="1311"/>
      <c r="C26" s="804" t="s">
        <v>238</v>
      </c>
      <c r="D26" s="790">
        <f>+D24+D25</f>
        <v>18</v>
      </c>
      <c r="E26" s="791">
        <f>+E24+E25</f>
        <v>12948.720000000001</v>
      </c>
      <c r="F26" s="791">
        <f>+F24+F25</f>
        <v>13365.720000000001</v>
      </c>
      <c r="G26" s="791">
        <f t="shared" ref="G26:O26" si="8">+G24+G25</f>
        <v>1093.6199999999999</v>
      </c>
      <c r="H26" s="791">
        <f t="shared" si="8"/>
        <v>1108.5500000000002</v>
      </c>
      <c r="I26" s="791">
        <f t="shared" si="8"/>
        <v>60.99</v>
      </c>
      <c r="J26" s="791">
        <f t="shared" si="8"/>
        <v>0</v>
      </c>
      <c r="K26" s="791">
        <f t="shared" si="8"/>
        <v>15628.88</v>
      </c>
      <c r="L26" s="791">
        <f t="shared" si="8"/>
        <v>123858.54</v>
      </c>
      <c r="M26" s="791">
        <f t="shared" si="8"/>
        <v>13365.720000000001</v>
      </c>
      <c r="N26" s="791">
        <f t="shared" si="8"/>
        <v>0</v>
      </c>
      <c r="O26" s="805">
        <f t="shared" si="8"/>
        <v>137224.26</v>
      </c>
    </row>
  </sheetData>
  <mergeCells count="14">
    <mergeCell ref="B7:B26"/>
    <mergeCell ref="A7:A26"/>
    <mergeCell ref="B5:C5"/>
    <mergeCell ref="B6:O6"/>
    <mergeCell ref="A1:O1"/>
    <mergeCell ref="A3:A5"/>
    <mergeCell ref="B3:C3"/>
    <mergeCell ref="D3:D5"/>
    <mergeCell ref="F3:F5"/>
    <mergeCell ref="G3:L3"/>
    <mergeCell ref="M3:M5"/>
    <mergeCell ref="O3:O5"/>
    <mergeCell ref="B4:C4"/>
    <mergeCell ref="A2:O2"/>
  </mergeCells>
  <pageMargins left="0.70866141732283472" right="0.70866141732283472" top="1.7322834645669292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1"/>
  <sheetViews>
    <sheetView view="pageBreakPreview" topLeftCell="A76" zoomScale="80" zoomScaleNormal="100" zoomScaleSheetLayoutView="80" workbookViewId="0">
      <selection activeCell="A3" sqref="A3:A5"/>
    </sheetView>
  </sheetViews>
  <sheetFormatPr baseColWidth="10" defaultRowHeight="12.75" x14ac:dyDescent="0.2"/>
  <cols>
    <col min="1" max="2" width="7" customWidth="1"/>
    <col min="3" max="3" width="25.28515625" customWidth="1"/>
    <col min="4" max="4" width="8.140625" bestFit="1" customWidth="1"/>
    <col min="5" max="6" width="13.42578125" customWidth="1"/>
    <col min="7" max="7" width="12.5703125" customWidth="1"/>
    <col min="8" max="8" width="13.28515625" customWidth="1"/>
    <col min="9" max="9" width="7.28515625" customWidth="1"/>
    <col min="10" max="10" width="10.85546875" customWidth="1"/>
    <col min="11" max="11" width="13.28515625" customWidth="1"/>
    <col min="12" max="12" width="16.42578125" customWidth="1"/>
    <col min="13" max="13" width="15" customWidth="1"/>
    <col min="14" max="14" width="13.28515625" customWidth="1"/>
    <col min="15" max="15" width="12.7109375" customWidth="1"/>
    <col min="16" max="16" width="12.42578125" customWidth="1"/>
    <col min="17" max="17" width="10.140625" customWidth="1"/>
    <col min="18" max="18" width="17" customWidth="1"/>
  </cols>
  <sheetData>
    <row r="1" spans="1:18" ht="25.35" customHeight="1" x14ac:dyDescent="0.2">
      <c r="A1" s="1293" t="s">
        <v>557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317"/>
      <c r="P1" s="1317"/>
      <c r="Q1" s="1317"/>
      <c r="R1" s="1295"/>
    </row>
    <row r="2" spans="1:18" ht="25.35" customHeight="1" x14ac:dyDescent="0.2">
      <c r="A2" s="1320" t="s">
        <v>1147</v>
      </c>
      <c r="B2" s="1321"/>
      <c r="C2" s="1321"/>
      <c r="D2" s="1321"/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2"/>
    </row>
    <row r="3" spans="1:18" ht="26.25" customHeight="1" x14ac:dyDescent="0.2">
      <c r="A3" s="1301" t="s">
        <v>203</v>
      </c>
      <c r="B3" s="1318" t="s">
        <v>205</v>
      </c>
      <c r="C3" s="1319"/>
      <c r="D3" s="1298" t="s">
        <v>215</v>
      </c>
      <c r="E3" s="435" t="s">
        <v>217</v>
      </c>
      <c r="F3" s="1302" t="s">
        <v>312</v>
      </c>
      <c r="G3" s="1299" t="s">
        <v>225</v>
      </c>
      <c r="H3" s="1299"/>
      <c r="I3" s="1299"/>
      <c r="J3" s="1299"/>
      <c r="K3" s="1299"/>
      <c r="L3" s="1299"/>
      <c r="M3" s="1300" t="s">
        <v>226</v>
      </c>
      <c r="N3" s="435" t="s">
        <v>304</v>
      </c>
      <c r="O3" s="1239" t="s">
        <v>792</v>
      </c>
      <c r="P3" s="1240"/>
      <c r="Q3" s="1241"/>
      <c r="R3" s="1296" t="s">
        <v>558</v>
      </c>
    </row>
    <row r="4" spans="1:18" ht="38.25" x14ac:dyDescent="0.2">
      <c r="A4" s="1301"/>
      <c r="B4" s="1318" t="s">
        <v>227</v>
      </c>
      <c r="C4" s="1319"/>
      <c r="D4" s="1298"/>
      <c r="E4" s="435" t="s">
        <v>220</v>
      </c>
      <c r="F4" s="1302"/>
      <c r="G4" s="506" t="s">
        <v>791</v>
      </c>
      <c r="H4" s="435" t="s">
        <v>229</v>
      </c>
      <c r="I4" s="435" t="s">
        <v>1001</v>
      </c>
      <c r="J4" s="435" t="s">
        <v>230</v>
      </c>
      <c r="K4" s="435" t="s">
        <v>231</v>
      </c>
      <c r="L4" s="435" t="s">
        <v>231</v>
      </c>
      <c r="M4" s="1300"/>
      <c r="N4" s="435" t="s">
        <v>302</v>
      </c>
      <c r="O4" s="506" t="s">
        <v>791</v>
      </c>
      <c r="P4" s="435" t="s">
        <v>229</v>
      </c>
      <c r="Q4" s="435" t="s">
        <v>230</v>
      </c>
      <c r="R4" s="1296"/>
    </row>
    <row r="5" spans="1:18" ht="40.5" customHeight="1" x14ac:dyDescent="0.2">
      <c r="A5" s="1301"/>
      <c r="B5" s="1326" t="s">
        <v>232</v>
      </c>
      <c r="C5" s="1327"/>
      <c r="D5" s="1298"/>
      <c r="E5" s="156" t="s">
        <v>509</v>
      </c>
      <c r="F5" s="1302"/>
      <c r="G5" s="156">
        <v>8.5000000000000006E-2</v>
      </c>
      <c r="H5" s="156" t="s">
        <v>404</v>
      </c>
      <c r="I5" s="156" t="s">
        <v>404</v>
      </c>
      <c r="J5" s="156">
        <v>0.06</v>
      </c>
      <c r="K5" s="435" t="s">
        <v>233</v>
      </c>
      <c r="L5" s="435" t="s">
        <v>221</v>
      </c>
      <c r="M5" s="1300"/>
      <c r="N5" s="157">
        <v>0.3</v>
      </c>
      <c r="O5" s="156">
        <v>8.5000000000000006E-2</v>
      </c>
      <c r="P5" s="156" t="s">
        <v>404</v>
      </c>
      <c r="Q5" s="156">
        <v>0.06</v>
      </c>
      <c r="R5" s="1296"/>
    </row>
    <row r="6" spans="1:18" ht="40.35" customHeight="1" thickBot="1" x14ac:dyDescent="0.25">
      <c r="A6" s="800" t="s">
        <v>473</v>
      </c>
      <c r="B6" s="1291" t="s">
        <v>300</v>
      </c>
      <c r="C6" s="1291"/>
      <c r="D6" s="1291"/>
      <c r="E6" s="1291"/>
      <c r="F6" s="1291"/>
      <c r="G6" s="1291"/>
      <c r="H6" s="1291"/>
      <c r="I6" s="1291"/>
      <c r="J6" s="1291"/>
      <c r="K6" s="1291"/>
      <c r="L6" s="1291"/>
      <c r="M6" s="1291"/>
      <c r="N6" s="1291"/>
      <c r="O6" s="1324"/>
      <c r="P6" s="1324"/>
      <c r="Q6" s="1324"/>
      <c r="R6" s="1292"/>
    </row>
    <row r="7" spans="1:18" ht="45" customHeight="1" x14ac:dyDescent="0.2">
      <c r="A7" s="1323"/>
      <c r="B7" s="1325"/>
      <c r="C7" s="961" t="str">
        <f>+'PRESUP.DE PERSONAL 2'!C275</f>
        <v>Jefe de Servicios Publicos</v>
      </c>
      <c r="D7" s="962">
        <f>+'PRESUP.DE PERSONAL 2'!D275</f>
        <v>1</v>
      </c>
      <c r="E7" s="951">
        <f>+'PRESUP.DE PERSONAL 2'!E275</f>
        <v>1000</v>
      </c>
      <c r="F7" s="963">
        <f>+'PRESUP.DE PERSONAL 2'!F275</f>
        <v>1000</v>
      </c>
      <c r="G7" s="927">
        <f t="shared" ref="G7:G29" si="0">ROUND(IF(E7&gt;=1000, 1000*$G$5, $F7*$G$5),2)</f>
        <v>85</v>
      </c>
      <c r="H7" s="927">
        <f t="shared" ref="H7:H19" si="1">ROUND(F7*$H$5,2)</f>
        <v>87.5</v>
      </c>
      <c r="I7" s="927">
        <v>0</v>
      </c>
      <c r="J7" s="927">
        <v>0</v>
      </c>
      <c r="K7" s="927">
        <f t="shared" ref="K7:K29" si="2">SUM(F7:J7)</f>
        <v>1172.5</v>
      </c>
      <c r="L7" s="927">
        <f>SUM(K7*8)</f>
        <v>9380</v>
      </c>
      <c r="M7" s="927">
        <f t="shared" ref="M7:M27" si="3">D7*E7</f>
        <v>1000</v>
      </c>
      <c r="N7" s="927">
        <v>150</v>
      </c>
      <c r="O7" s="729">
        <f>+N7*8.5%</f>
        <v>12.750000000000002</v>
      </c>
      <c r="P7" s="729">
        <f>+N7*8.75%</f>
        <v>13.125</v>
      </c>
      <c r="Q7" s="729">
        <v>0</v>
      </c>
      <c r="R7" s="964">
        <f>SUM(L7:Q7)</f>
        <v>10555.875</v>
      </c>
    </row>
    <row r="8" spans="1:18" ht="45" customHeight="1" x14ac:dyDescent="0.2">
      <c r="A8" s="1287"/>
      <c r="B8" s="1307"/>
      <c r="C8" s="955" t="str">
        <f>+'PRESUP.DE PERSONAL 2'!C276</f>
        <v>Sub Jefe de Servicios Publicos</v>
      </c>
      <c r="D8" s="357">
        <f>+'PRESUP.DE PERSONAL 2'!D276</f>
        <v>1</v>
      </c>
      <c r="E8" s="158">
        <f>+'PRESUP.DE PERSONAL 2'!E276</f>
        <v>925</v>
      </c>
      <c r="F8" s="158">
        <f>+'PRESUP.DE PERSONAL 2'!F276</f>
        <v>925</v>
      </c>
      <c r="G8" s="81">
        <f t="shared" si="0"/>
        <v>78.63</v>
      </c>
      <c r="H8" s="81">
        <f t="shared" si="1"/>
        <v>80.94</v>
      </c>
      <c r="I8" s="81">
        <v>0</v>
      </c>
      <c r="J8" s="81">
        <v>0</v>
      </c>
      <c r="K8" s="81">
        <f t="shared" si="2"/>
        <v>1084.57</v>
      </c>
      <c r="L8" s="81">
        <f t="shared" ref="L8:L75" si="4">SUM(K8*8)</f>
        <v>8676.56</v>
      </c>
      <c r="M8" s="81">
        <f t="shared" si="3"/>
        <v>925</v>
      </c>
      <c r="N8" s="81">
        <v>138.75</v>
      </c>
      <c r="O8" s="112">
        <f>+N8*8.5%</f>
        <v>11.793750000000001</v>
      </c>
      <c r="P8" s="112">
        <f>+N8*8.75%</f>
        <v>12.140625</v>
      </c>
      <c r="Q8" s="112"/>
      <c r="R8" s="439">
        <f t="shared" ref="R8:R79" si="5">SUM(L8:Q8)</f>
        <v>9764.2443750000002</v>
      </c>
    </row>
    <row r="9" spans="1:18" ht="45" customHeight="1" x14ac:dyDescent="0.2">
      <c r="A9" s="1287"/>
      <c r="B9" s="1307"/>
      <c r="C9" s="955" t="str">
        <f>+'PRESUP.DE PERSONAL 2'!C277</f>
        <v>Asistente de Servicios Publicos</v>
      </c>
      <c r="D9" s="357">
        <f>+'PRESUP.DE PERSONAL 2'!D277</f>
        <v>1</v>
      </c>
      <c r="E9" s="158">
        <f>+'PRESUP.DE PERSONAL 2'!E277</f>
        <v>700</v>
      </c>
      <c r="F9" s="158">
        <f>+'PRESUP.DE PERSONAL 2'!F277</f>
        <v>700</v>
      </c>
      <c r="G9" s="81">
        <f t="shared" si="0"/>
        <v>59.5</v>
      </c>
      <c r="H9" s="81">
        <f t="shared" si="1"/>
        <v>61.25</v>
      </c>
      <c r="I9" s="81">
        <v>0</v>
      </c>
      <c r="J9" s="81">
        <v>0</v>
      </c>
      <c r="K9" s="81">
        <f t="shared" si="2"/>
        <v>820.75</v>
      </c>
      <c r="L9" s="81">
        <f t="shared" si="4"/>
        <v>6566</v>
      </c>
      <c r="M9" s="81">
        <f t="shared" si="3"/>
        <v>700</v>
      </c>
      <c r="N9" s="81">
        <v>0</v>
      </c>
      <c r="O9" s="112"/>
      <c r="P9" s="112"/>
      <c r="Q9" s="112"/>
      <c r="R9" s="439">
        <f t="shared" si="5"/>
        <v>7266</v>
      </c>
    </row>
    <row r="10" spans="1:18" ht="45" customHeight="1" x14ac:dyDescent="0.2">
      <c r="A10" s="1287"/>
      <c r="B10" s="1307"/>
      <c r="C10" s="955" t="str">
        <f>+'PRESUP.DE PERSONAL 2'!C278</f>
        <v>Secretaria de Servicios Publicos</v>
      </c>
      <c r="D10" s="357">
        <f>+'PRESUP.DE PERSONAL 2'!D278</f>
        <v>1</v>
      </c>
      <c r="E10" s="158">
        <f>+'PRESUP.DE PERSONAL 2'!E278</f>
        <v>597</v>
      </c>
      <c r="F10" s="158">
        <f>+'PRESUP.DE PERSONAL 2'!F278</f>
        <v>597</v>
      </c>
      <c r="G10" s="81">
        <f t="shared" si="0"/>
        <v>50.75</v>
      </c>
      <c r="H10" s="81">
        <f t="shared" si="1"/>
        <v>52.24</v>
      </c>
      <c r="I10" s="81">
        <v>0</v>
      </c>
      <c r="J10" s="81">
        <v>0</v>
      </c>
      <c r="K10" s="81">
        <f t="shared" si="2"/>
        <v>699.99</v>
      </c>
      <c r="L10" s="81">
        <f t="shared" si="4"/>
        <v>5599.92</v>
      </c>
      <c r="M10" s="81">
        <f t="shared" si="3"/>
        <v>597</v>
      </c>
      <c r="N10" s="81">
        <v>0</v>
      </c>
      <c r="O10" s="112"/>
      <c r="P10" s="112"/>
      <c r="Q10" s="112"/>
      <c r="R10" s="439">
        <f t="shared" si="5"/>
        <v>6196.92</v>
      </c>
    </row>
    <row r="11" spans="1:18" ht="45" customHeight="1" x14ac:dyDescent="0.2">
      <c r="A11" s="1287"/>
      <c r="B11" s="1307"/>
      <c r="C11" s="955" t="str">
        <f>+'PRESUP.DE PERSONAL 2'!C279</f>
        <v>Ordenanza de Servicios Publicos</v>
      </c>
      <c r="D11" s="357">
        <f>+'PRESUP.DE PERSONAL 2'!D279</f>
        <v>1</v>
      </c>
      <c r="E11" s="158">
        <f>+'PRESUP.DE PERSONAL 2'!E279</f>
        <v>547</v>
      </c>
      <c r="F11" s="158">
        <f>+'PRESUP.DE PERSONAL 2'!F279</f>
        <v>547</v>
      </c>
      <c r="G11" s="81">
        <f>ROUND(IF(E11&gt;=1000, 1000*$G$5, $F11*$G$5),2)</f>
        <v>46.5</v>
      </c>
      <c r="H11" s="81">
        <f t="shared" si="1"/>
        <v>47.86</v>
      </c>
      <c r="I11" s="81">
        <v>0</v>
      </c>
      <c r="J11" s="81">
        <v>0</v>
      </c>
      <c r="K11" s="81">
        <f>SUM(F11:J11)</f>
        <v>641.36</v>
      </c>
      <c r="L11" s="81">
        <f t="shared" si="4"/>
        <v>5130.88</v>
      </c>
      <c r="M11" s="81">
        <f>D11*E11</f>
        <v>547</v>
      </c>
      <c r="N11" s="81">
        <v>0</v>
      </c>
      <c r="O11" s="112"/>
      <c r="P11" s="112"/>
      <c r="Q11" s="112"/>
      <c r="R11" s="439">
        <f t="shared" si="5"/>
        <v>5677.88</v>
      </c>
    </row>
    <row r="12" spans="1:18" ht="40.35" customHeight="1" x14ac:dyDescent="0.2">
      <c r="A12" s="1287"/>
      <c r="B12" s="1307"/>
      <c r="C12" s="955" t="str">
        <f>+'PRESUP.DE PERSONAL 2'!C280</f>
        <v>Encargado de Transporte</v>
      </c>
      <c r="D12" s="357">
        <f>+'PRESUP.DE PERSONAL 2'!D280</f>
        <v>1</v>
      </c>
      <c r="E12" s="158">
        <f>+'PRESUP.DE PERSONAL 2'!E280</f>
        <v>700</v>
      </c>
      <c r="F12" s="158">
        <f>+'PRESUP.DE PERSONAL 2'!F280</f>
        <v>700</v>
      </c>
      <c r="G12" s="81">
        <f t="shared" si="0"/>
        <v>59.5</v>
      </c>
      <c r="H12" s="81">
        <f t="shared" si="1"/>
        <v>61.25</v>
      </c>
      <c r="I12" s="81">
        <v>0</v>
      </c>
      <c r="J12" s="81">
        <v>0</v>
      </c>
      <c r="K12" s="81">
        <f t="shared" si="2"/>
        <v>820.75</v>
      </c>
      <c r="L12" s="81">
        <f t="shared" si="4"/>
        <v>6566</v>
      </c>
      <c r="M12" s="81">
        <f t="shared" si="3"/>
        <v>700</v>
      </c>
      <c r="N12" s="81">
        <v>105</v>
      </c>
      <c r="O12" s="112">
        <f>+N12*8.5%</f>
        <v>8.9250000000000007</v>
      </c>
      <c r="P12" s="112">
        <f>+N12*8.75%</f>
        <v>9.1875</v>
      </c>
      <c r="Q12" s="112"/>
      <c r="R12" s="439">
        <f t="shared" si="5"/>
        <v>7389.1125000000002</v>
      </c>
    </row>
    <row r="13" spans="1:18" ht="40.35" customHeight="1" x14ac:dyDescent="0.2">
      <c r="A13" s="1287"/>
      <c r="B13" s="1307"/>
      <c r="C13" s="955" t="str">
        <f>+'PRESUP.DE PERSONAL 2'!C281</f>
        <v>Motorista de vehiculos I</v>
      </c>
      <c r="D13" s="357">
        <f>+'PRESUP.DE PERSONAL 2'!D281</f>
        <v>1</v>
      </c>
      <c r="E13" s="158">
        <f>+'PRESUP.DE PERSONAL 2'!E281</f>
        <v>842</v>
      </c>
      <c r="F13" s="158">
        <f>+'PRESUP.DE PERSONAL 2'!F281</f>
        <v>842</v>
      </c>
      <c r="G13" s="81">
        <f t="shared" si="0"/>
        <v>71.569999999999993</v>
      </c>
      <c r="H13" s="81">
        <f t="shared" si="1"/>
        <v>73.680000000000007</v>
      </c>
      <c r="I13" s="81">
        <v>0</v>
      </c>
      <c r="J13" s="81">
        <v>0</v>
      </c>
      <c r="K13" s="81">
        <f t="shared" si="2"/>
        <v>987.25</v>
      </c>
      <c r="L13" s="81">
        <f t="shared" si="4"/>
        <v>7898</v>
      </c>
      <c r="M13" s="81">
        <f t="shared" si="3"/>
        <v>842</v>
      </c>
      <c r="N13" s="81">
        <v>126.3</v>
      </c>
      <c r="O13" s="112">
        <f t="shared" ref="O13:O84" si="6">+N13*8.5%</f>
        <v>10.7355</v>
      </c>
      <c r="P13" s="112">
        <f>+N13*8.75%</f>
        <v>11.05125</v>
      </c>
      <c r="Q13" s="112"/>
      <c r="R13" s="439">
        <f t="shared" si="5"/>
        <v>8888.0867500000004</v>
      </c>
    </row>
    <row r="14" spans="1:18" ht="40.35" customHeight="1" x14ac:dyDescent="0.2">
      <c r="A14" s="1287"/>
      <c r="B14" s="1307"/>
      <c r="C14" s="955" t="str">
        <f>+'PRESUP.DE PERSONAL 2'!C282</f>
        <v>Motorista de vehiculos I</v>
      </c>
      <c r="D14" s="357">
        <f>+'PRESUP.DE PERSONAL 2'!D282</f>
        <v>1</v>
      </c>
      <c r="E14" s="158">
        <f>+'PRESUP.DE PERSONAL 2'!E282</f>
        <v>824.29</v>
      </c>
      <c r="F14" s="158">
        <f>+'PRESUP.DE PERSONAL 2'!F282</f>
        <v>824.29</v>
      </c>
      <c r="G14" s="81">
        <f t="shared" si="0"/>
        <v>70.06</v>
      </c>
      <c r="H14" s="81">
        <f t="shared" si="1"/>
        <v>72.13</v>
      </c>
      <c r="I14" s="81">
        <v>0</v>
      </c>
      <c r="J14" s="81">
        <v>0</v>
      </c>
      <c r="K14" s="81">
        <f t="shared" si="2"/>
        <v>966.4799999999999</v>
      </c>
      <c r="L14" s="81">
        <f t="shared" si="4"/>
        <v>7731.8399999999992</v>
      </c>
      <c r="M14" s="81">
        <f t="shared" si="3"/>
        <v>824.29</v>
      </c>
      <c r="N14" s="81">
        <v>123.64</v>
      </c>
      <c r="O14" s="112">
        <f t="shared" si="6"/>
        <v>10.509400000000001</v>
      </c>
      <c r="P14" s="112">
        <f>+N14*8.75%</f>
        <v>10.8185</v>
      </c>
      <c r="Q14" s="112"/>
      <c r="R14" s="439">
        <f t="shared" si="5"/>
        <v>8701.0978999999988</v>
      </c>
    </row>
    <row r="15" spans="1:18" ht="40.35" customHeight="1" x14ac:dyDescent="0.2">
      <c r="A15" s="1287"/>
      <c r="B15" s="1307"/>
      <c r="C15" s="955" t="str">
        <f>+'PRESUP.DE PERSONAL 2'!C283</f>
        <v>Motorista de vehiculos II</v>
      </c>
      <c r="D15" s="357">
        <f>+'PRESUP.DE PERSONAL 2'!D283</f>
        <v>2</v>
      </c>
      <c r="E15" s="158">
        <f>+'PRESUP.DE PERSONAL 2'!E283</f>
        <v>677</v>
      </c>
      <c r="F15" s="158">
        <f>+'PRESUP.DE PERSONAL 2'!F283</f>
        <v>1354</v>
      </c>
      <c r="G15" s="81">
        <f t="shared" si="0"/>
        <v>115.09</v>
      </c>
      <c r="H15" s="81">
        <f t="shared" si="1"/>
        <v>118.48</v>
      </c>
      <c r="I15" s="81">
        <v>0</v>
      </c>
      <c r="J15" s="81">
        <v>0</v>
      </c>
      <c r="K15" s="81">
        <f t="shared" si="2"/>
        <v>1587.57</v>
      </c>
      <c r="L15" s="81">
        <f t="shared" si="4"/>
        <v>12700.56</v>
      </c>
      <c r="M15" s="81">
        <f t="shared" si="3"/>
        <v>1354</v>
      </c>
      <c r="N15" s="81">
        <f>101.55*2</f>
        <v>203.1</v>
      </c>
      <c r="O15" s="112">
        <f t="shared" si="6"/>
        <v>17.263500000000001</v>
      </c>
      <c r="P15" s="112">
        <f>+N15*8.75%</f>
        <v>17.771249999999998</v>
      </c>
      <c r="Q15" s="112"/>
      <c r="R15" s="439">
        <f t="shared" si="5"/>
        <v>14292.694749999999</v>
      </c>
    </row>
    <row r="16" spans="1:18" ht="40.35" customHeight="1" x14ac:dyDescent="0.2">
      <c r="A16" s="1287"/>
      <c r="B16" s="1307"/>
      <c r="C16" s="955" t="str">
        <f>+'PRESUP.DE PERSONAL 2'!C284</f>
        <v>Motorista de vehiculos III</v>
      </c>
      <c r="D16" s="357">
        <f>+'PRESUP.DE PERSONAL 2'!D284</f>
        <v>1</v>
      </c>
      <c r="E16" s="158">
        <f>+'PRESUP.DE PERSONAL 2'!E284</f>
        <v>597</v>
      </c>
      <c r="F16" s="158">
        <f>+'PRESUP.DE PERSONAL 2'!F284</f>
        <v>597</v>
      </c>
      <c r="G16" s="81">
        <f>ROUND(IF(E16&gt;=1000, 1000*$G$5, $F16*$G$5),2)</f>
        <v>50.75</v>
      </c>
      <c r="H16" s="81">
        <f t="shared" si="1"/>
        <v>52.24</v>
      </c>
      <c r="I16" s="81">
        <v>0</v>
      </c>
      <c r="J16" s="81">
        <v>0</v>
      </c>
      <c r="K16" s="81">
        <f>SUM(F16:J16)</f>
        <v>699.99</v>
      </c>
      <c r="L16" s="81">
        <f t="shared" si="4"/>
        <v>5599.92</v>
      </c>
      <c r="M16" s="81">
        <f>D16*E16</f>
        <v>597</v>
      </c>
      <c r="N16" s="81">
        <v>89.55</v>
      </c>
      <c r="O16" s="112">
        <f t="shared" si="6"/>
        <v>7.6117500000000007</v>
      </c>
      <c r="P16" s="112">
        <f t="shared" ref="P16:P85" si="7">+N16*8.75%</f>
        <v>7.8356249999999994</v>
      </c>
      <c r="Q16" s="112"/>
      <c r="R16" s="439">
        <f t="shared" si="5"/>
        <v>6301.917375</v>
      </c>
    </row>
    <row r="17" spans="1:18" ht="40.35" customHeight="1" x14ac:dyDescent="0.2">
      <c r="A17" s="1287"/>
      <c r="B17" s="1307"/>
      <c r="C17" s="955" t="str">
        <f>+'PRESUP.DE PERSONAL 2'!C285</f>
        <v>Motorista de vehiculos III</v>
      </c>
      <c r="D17" s="357">
        <f>+'PRESUP.DE PERSONAL 2'!D285</f>
        <v>1</v>
      </c>
      <c r="E17" s="158">
        <f>+'PRESUP.DE PERSONAL 2'!E285</f>
        <v>497</v>
      </c>
      <c r="F17" s="158">
        <f>+'PRESUP.DE PERSONAL 2'!F285</f>
        <v>497</v>
      </c>
      <c r="G17" s="81">
        <f>ROUND(IF(E17&gt;=1000, 1000*$G$5, $F17*$G$5),2)</f>
        <v>42.25</v>
      </c>
      <c r="H17" s="81">
        <f t="shared" si="1"/>
        <v>43.49</v>
      </c>
      <c r="I17" s="81">
        <v>0</v>
      </c>
      <c r="J17" s="81">
        <v>0</v>
      </c>
      <c r="K17" s="81">
        <f>SUM(F17:J17)</f>
        <v>582.74</v>
      </c>
      <c r="L17" s="81">
        <f t="shared" si="4"/>
        <v>4661.92</v>
      </c>
      <c r="M17" s="81">
        <f>D17*E17</f>
        <v>497</v>
      </c>
      <c r="N17" s="81">
        <v>74.55</v>
      </c>
      <c r="O17" s="112">
        <f t="shared" si="6"/>
        <v>6.3367500000000003</v>
      </c>
      <c r="P17" s="112">
        <f t="shared" si="7"/>
        <v>6.5231249999999994</v>
      </c>
      <c r="Q17" s="112"/>
      <c r="R17" s="439">
        <f t="shared" si="5"/>
        <v>5246.3298750000004</v>
      </c>
    </row>
    <row r="18" spans="1:18" ht="40.35" customHeight="1" x14ac:dyDescent="0.2">
      <c r="A18" s="1287"/>
      <c r="B18" s="1307"/>
      <c r="C18" s="955" t="str">
        <f>+'PRESUP.DE PERSONAL 2'!C286</f>
        <v>Operador de Equipo</v>
      </c>
      <c r="D18" s="357">
        <f>+'PRESUP.DE PERSONAL 2'!D286</f>
        <v>2</v>
      </c>
      <c r="E18" s="158">
        <f>+'PRESUP.DE PERSONAL 2'!E286</f>
        <v>799.15</v>
      </c>
      <c r="F18" s="158">
        <f>+'PRESUP.DE PERSONAL 2'!F286</f>
        <v>1598.3</v>
      </c>
      <c r="G18" s="81">
        <f t="shared" si="0"/>
        <v>135.86000000000001</v>
      </c>
      <c r="H18" s="81">
        <f t="shared" si="1"/>
        <v>139.85</v>
      </c>
      <c r="I18" s="81">
        <v>0</v>
      </c>
      <c r="J18" s="81">
        <v>0</v>
      </c>
      <c r="K18" s="81">
        <f t="shared" si="2"/>
        <v>1874.0099999999998</v>
      </c>
      <c r="L18" s="81">
        <f t="shared" si="4"/>
        <v>14992.079999999998</v>
      </c>
      <c r="M18" s="81">
        <f t="shared" si="3"/>
        <v>1598.3</v>
      </c>
      <c r="N18" s="81">
        <f>119.87*2</f>
        <v>239.74</v>
      </c>
      <c r="O18" s="112">
        <f t="shared" si="6"/>
        <v>20.377900000000004</v>
      </c>
      <c r="P18" s="112">
        <f t="shared" si="7"/>
        <v>20.977249999999998</v>
      </c>
      <c r="Q18" s="112"/>
      <c r="R18" s="439">
        <f t="shared" si="5"/>
        <v>16871.475149999998</v>
      </c>
    </row>
    <row r="19" spans="1:18" ht="40.35" customHeight="1" x14ac:dyDescent="0.2">
      <c r="A19" s="1287"/>
      <c r="B19" s="1307"/>
      <c r="C19" s="955" t="str">
        <f>+'PRESUP.DE PERSONAL 2'!C287</f>
        <v>Operador de Equipo</v>
      </c>
      <c r="D19" s="357">
        <f>+'PRESUP.DE PERSONAL 2'!D287</f>
        <v>1</v>
      </c>
      <c r="E19" s="158">
        <f>+'PRESUP.DE PERSONAL 2'!E287</f>
        <v>677</v>
      </c>
      <c r="F19" s="158">
        <f>+'PRESUP.DE PERSONAL 2'!F287</f>
        <v>677</v>
      </c>
      <c r="G19" s="81">
        <f>ROUND(IF(E19&gt;=1000, 1000*$G$5, $F19*$G$5),2)</f>
        <v>57.55</v>
      </c>
      <c r="H19" s="81">
        <f t="shared" si="1"/>
        <v>59.24</v>
      </c>
      <c r="I19" s="81">
        <v>0</v>
      </c>
      <c r="J19" s="81">
        <v>0</v>
      </c>
      <c r="K19" s="81">
        <f>SUM(F19:J19)</f>
        <v>793.79</v>
      </c>
      <c r="L19" s="81">
        <f t="shared" si="4"/>
        <v>6350.32</v>
      </c>
      <c r="M19" s="81">
        <f>D19*E19</f>
        <v>677</v>
      </c>
      <c r="N19" s="81">
        <v>101.55</v>
      </c>
      <c r="O19" s="112">
        <f>+N19*8.5%</f>
        <v>8.6317500000000003</v>
      </c>
      <c r="P19" s="112">
        <f>+N19*8.75%</f>
        <v>8.8856249999999992</v>
      </c>
      <c r="Q19" s="112"/>
      <c r="R19" s="439">
        <f>SUM(L19:Q19)</f>
        <v>7146.3873749999993</v>
      </c>
    </row>
    <row r="20" spans="1:18" ht="40.35" customHeight="1" x14ac:dyDescent="0.2">
      <c r="A20" s="1287"/>
      <c r="B20" s="1307"/>
      <c r="C20" s="955" t="str">
        <f>+'PRESUP.DE PERSONAL 2'!C288</f>
        <v>Motorista de Desechos I</v>
      </c>
      <c r="D20" s="357">
        <f>+'PRESUP.DE PERSONAL 2'!D288</f>
        <v>1</v>
      </c>
      <c r="E20" s="158">
        <f>+'PRESUP.DE PERSONAL 2'!E288</f>
        <v>751.72</v>
      </c>
      <c r="F20" s="158">
        <f>+'PRESUP.DE PERSONAL 2'!F288</f>
        <v>751.72</v>
      </c>
      <c r="G20" s="81">
        <f t="shared" ref="G20:G25" si="8">ROUND(IF(E20&gt;=1000, 1000*$G$5, $F20*$G$5),2)</f>
        <v>63.9</v>
      </c>
      <c r="H20" s="81">
        <f t="shared" ref="H20:H25" si="9">ROUND(F20*$H$5,2)</f>
        <v>65.78</v>
      </c>
      <c r="I20" s="81">
        <v>0</v>
      </c>
      <c r="J20" s="81">
        <v>0</v>
      </c>
      <c r="K20" s="81">
        <f t="shared" ref="K20:K25" si="10">SUM(F20:J20)</f>
        <v>881.4</v>
      </c>
      <c r="L20" s="81">
        <f t="shared" ref="L20:L26" si="11">SUM(K20*8)</f>
        <v>7051.2</v>
      </c>
      <c r="M20" s="81">
        <f t="shared" ref="M20:M25" si="12">D20*E20</f>
        <v>751.72</v>
      </c>
      <c r="N20" s="81">
        <f>119.87</f>
        <v>119.87</v>
      </c>
      <c r="O20" s="112">
        <f t="shared" ref="O20:O25" si="13">+N20*8.5%</f>
        <v>10.188950000000002</v>
      </c>
      <c r="P20" s="112">
        <f t="shared" ref="P20:P25" si="14">+N20*8.75%</f>
        <v>10.488624999999999</v>
      </c>
      <c r="Q20" s="112"/>
      <c r="R20" s="439">
        <f t="shared" ref="R20:R25" si="15">SUM(L20:Q20)</f>
        <v>7943.4675749999997</v>
      </c>
    </row>
    <row r="21" spans="1:18" ht="40.35" customHeight="1" x14ac:dyDescent="0.2">
      <c r="A21" s="1287"/>
      <c r="B21" s="1307"/>
      <c r="C21" s="955" t="str">
        <f>+'PRESUP.DE PERSONAL 2'!C289</f>
        <v>Motorista de Desechos II</v>
      </c>
      <c r="D21" s="357">
        <f>+'PRESUP.DE PERSONAL 2'!D289</f>
        <v>1</v>
      </c>
      <c r="E21" s="158">
        <f>+'PRESUP.DE PERSONAL 2'!E289</f>
        <v>597</v>
      </c>
      <c r="F21" s="158">
        <f>+'PRESUP.DE PERSONAL 2'!F289</f>
        <v>597</v>
      </c>
      <c r="G21" s="81">
        <f t="shared" si="8"/>
        <v>50.75</v>
      </c>
      <c r="H21" s="81">
        <f t="shared" si="9"/>
        <v>52.24</v>
      </c>
      <c r="I21" s="81">
        <v>0</v>
      </c>
      <c r="J21" s="81">
        <v>0</v>
      </c>
      <c r="K21" s="81">
        <f t="shared" si="10"/>
        <v>699.99</v>
      </c>
      <c r="L21" s="81">
        <f t="shared" si="11"/>
        <v>5599.92</v>
      </c>
      <c r="M21" s="81">
        <f t="shared" si="12"/>
        <v>597</v>
      </c>
      <c r="N21" s="81">
        <v>89.55</v>
      </c>
      <c r="O21" s="112">
        <f t="shared" si="13"/>
        <v>7.6117500000000007</v>
      </c>
      <c r="P21" s="112">
        <f t="shared" si="14"/>
        <v>7.8356249999999994</v>
      </c>
      <c r="Q21" s="112"/>
      <c r="R21" s="439">
        <f t="shared" si="15"/>
        <v>6301.917375</v>
      </c>
    </row>
    <row r="22" spans="1:18" ht="40.35" customHeight="1" thickBot="1" x14ac:dyDescent="0.25">
      <c r="A22" s="1287"/>
      <c r="B22" s="1307"/>
      <c r="C22" s="966" t="str">
        <f>+'PRESUP.DE PERSONAL 2'!C290</f>
        <v>Motorista de Desechos II</v>
      </c>
      <c r="D22" s="967">
        <f>+'PRESUP.DE PERSONAL 2'!D290</f>
        <v>1</v>
      </c>
      <c r="E22" s="968">
        <f>+'PRESUP.DE PERSONAL 2'!E290</f>
        <v>744.86</v>
      </c>
      <c r="F22" s="968">
        <f>+'PRESUP.DE PERSONAL 2'!F290</f>
        <v>744.86</v>
      </c>
      <c r="G22" s="969">
        <f t="shared" si="8"/>
        <v>63.31</v>
      </c>
      <c r="H22" s="969">
        <f t="shared" si="9"/>
        <v>65.180000000000007</v>
      </c>
      <c r="I22" s="969">
        <v>0</v>
      </c>
      <c r="J22" s="969">
        <v>0</v>
      </c>
      <c r="K22" s="969">
        <f t="shared" si="10"/>
        <v>873.35000000000014</v>
      </c>
      <c r="L22" s="969">
        <f t="shared" si="11"/>
        <v>6986.8000000000011</v>
      </c>
      <c r="M22" s="969">
        <f t="shared" si="12"/>
        <v>744.86</v>
      </c>
      <c r="N22" s="969">
        <v>111.73</v>
      </c>
      <c r="O22" s="721">
        <f t="shared" si="13"/>
        <v>9.4970500000000015</v>
      </c>
      <c r="P22" s="721">
        <f t="shared" si="14"/>
        <v>9.7763749999999998</v>
      </c>
      <c r="Q22" s="721"/>
      <c r="R22" s="970">
        <f t="shared" si="15"/>
        <v>7862.6634250000006</v>
      </c>
    </row>
    <row r="23" spans="1:18" ht="40.35" customHeight="1" x14ac:dyDescent="0.2">
      <c r="A23" s="1287"/>
      <c r="B23" s="1307"/>
      <c r="C23" s="961" t="str">
        <f>+'PRESUP.DE PERSONAL 2'!C291</f>
        <v>Motorista de Desechos II</v>
      </c>
      <c r="D23" s="962">
        <f>+'PRESUP.DE PERSONAL 2'!D291</f>
        <v>1</v>
      </c>
      <c r="E23" s="963">
        <f>+'PRESUP.DE PERSONAL 2'!E291</f>
        <v>597</v>
      </c>
      <c r="F23" s="963">
        <f>+'PRESUP.DE PERSONAL 2'!F291</f>
        <v>597</v>
      </c>
      <c r="G23" s="927">
        <f t="shared" si="8"/>
        <v>50.75</v>
      </c>
      <c r="H23" s="927">
        <f t="shared" si="9"/>
        <v>52.24</v>
      </c>
      <c r="I23" s="927">
        <v>0</v>
      </c>
      <c r="J23" s="927">
        <v>0</v>
      </c>
      <c r="K23" s="927">
        <f t="shared" si="10"/>
        <v>699.99</v>
      </c>
      <c r="L23" s="927">
        <f t="shared" si="11"/>
        <v>5599.92</v>
      </c>
      <c r="M23" s="927">
        <f t="shared" si="12"/>
        <v>597</v>
      </c>
      <c r="N23" s="927">
        <v>89.55</v>
      </c>
      <c r="O23" s="729">
        <f t="shared" si="13"/>
        <v>7.6117500000000007</v>
      </c>
      <c r="P23" s="729">
        <f t="shared" si="14"/>
        <v>7.8356249999999994</v>
      </c>
      <c r="Q23" s="729"/>
      <c r="R23" s="964">
        <f t="shared" si="15"/>
        <v>6301.917375</v>
      </c>
    </row>
    <row r="24" spans="1:18" ht="40.35" customHeight="1" x14ac:dyDescent="0.2">
      <c r="A24" s="1287"/>
      <c r="B24" s="1307"/>
      <c r="C24" s="955" t="str">
        <f>+'PRESUP.DE PERSONAL 2'!C292</f>
        <v>Motorista de Desechos III</v>
      </c>
      <c r="D24" s="357">
        <f>+'PRESUP.DE PERSONAL 2'!D292</f>
        <v>1</v>
      </c>
      <c r="E24" s="158">
        <f>+'PRESUP.DE PERSONAL 2'!E292</f>
        <v>647</v>
      </c>
      <c r="F24" s="158">
        <f>+'PRESUP.DE PERSONAL 2'!F292</f>
        <v>647</v>
      </c>
      <c r="G24" s="81">
        <f t="shared" si="8"/>
        <v>55</v>
      </c>
      <c r="H24" s="81">
        <f t="shared" si="9"/>
        <v>56.61</v>
      </c>
      <c r="I24" s="81">
        <v>0</v>
      </c>
      <c r="J24" s="81">
        <v>0</v>
      </c>
      <c r="K24" s="81">
        <f t="shared" si="10"/>
        <v>758.61</v>
      </c>
      <c r="L24" s="81">
        <f t="shared" si="11"/>
        <v>6068.88</v>
      </c>
      <c r="M24" s="81">
        <f t="shared" si="12"/>
        <v>647</v>
      </c>
      <c r="N24" s="81">
        <v>97.05</v>
      </c>
      <c r="O24" s="112">
        <f t="shared" si="13"/>
        <v>8.24925</v>
      </c>
      <c r="P24" s="112">
        <f t="shared" si="14"/>
        <v>8.4918749999999985</v>
      </c>
      <c r="Q24" s="112"/>
      <c r="R24" s="439">
        <f t="shared" si="15"/>
        <v>6829.6711249999998</v>
      </c>
    </row>
    <row r="25" spans="1:18" ht="40.35" customHeight="1" x14ac:dyDescent="0.2">
      <c r="A25" s="1287"/>
      <c r="B25" s="1307"/>
      <c r="C25" s="955" t="str">
        <f>+'PRESUP.DE PERSONAL 2'!C293</f>
        <v>Motorista de Desechos IV</v>
      </c>
      <c r="D25" s="357">
        <f>+'PRESUP.DE PERSONAL 2'!D293</f>
        <v>1</v>
      </c>
      <c r="E25" s="158">
        <f>+'PRESUP.DE PERSONAL 2'!E293</f>
        <v>517</v>
      </c>
      <c r="F25" s="158">
        <f>+'PRESUP.DE PERSONAL 2'!F293</f>
        <v>517</v>
      </c>
      <c r="G25" s="81">
        <f t="shared" si="8"/>
        <v>43.95</v>
      </c>
      <c r="H25" s="81">
        <f t="shared" si="9"/>
        <v>45.24</v>
      </c>
      <c r="I25" s="81">
        <v>0</v>
      </c>
      <c r="J25" s="81">
        <v>0</v>
      </c>
      <c r="K25" s="81">
        <f t="shared" si="10"/>
        <v>606.19000000000005</v>
      </c>
      <c r="L25" s="81">
        <f t="shared" si="11"/>
        <v>4849.5200000000004</v>
      </c>
      <c r="M25" s="81">
        <f t="shared" si="12"/>
        <v>517</v>
      </c>
      <c r="N25" s="81">
        <v>77.55</v>
      </c>
      <c r="O25" s="112">
        <f t="shared" si="13"/>
        <v>6.5917500000000002</v>
      </c>
      <c r="P25" s="112">
        <f t="shared" si="14"/>
        <v>6.7856249999999996</v>
      </c>
      <c r="Q25" s="112"/>
      <c r="R25" s="439">
        <f t="shared" si="15"/>
        <v>5457.4473750000006</v>
      </c>
    </row>
    <row r="26" spans="1:18" ht="40.35" customHeight="1" x14ac:dyDescent="0.2">
      <c r="A26" s="1287"/>
      <c r="B26" s="1307"/>
      <c r="C26" s="955" t="str">
        <f>+'PRESUP.DE PERSONAL 2'!C294</f>
        <v>Motorista de Desechos IV</v>
      </c>
      <c r="D26" s="357">
        <f>+'PRESUP.DE PERSONAL 2'!D294</f>
        <v>3</v>
      </c>
      <c r="E26" s="158">
        <f>+'PRESUP.DE PERSONAL 2'!E294</f>
        <v>417</v>
      </c>
      <c r="F26" s="158">
        <f>+'PRESUP.DE PERSONAL 2'!F294</f>
        <v>1251</v>
      </c>
      <c r="G26" s="81">
        <f>ROUND(IF(E26&gt;=1000, 1000*$G$5, $F26*$G$5),2)</f>
        <v>106.34</v>
      </c>
      <c r="H26" s="81">
        <f>ROUND(F26*$H$5,2)</f>
        <v>109.46</v>
      </c>
      <c r="I26" s="81">
        <v>0</v>
      </c>
      <c r="J26" s="81">
        <v>0</v>
      </c>
      <c r="K26" s="81">
        <f>SUM(F26:J26)</f>
        <v>1466.8</v>
      </c>
      <c r="L26" s="81">
        <f t="shared" si="11"/>
        <v>11734.4</v>
      </c>
      <c r="M26" s="81">
        <f>D26*E26</f>
        <v>1251</v>
      </c>
      <c r="N26" s="81">
        <f>62.55*3</f>
        <v>187.64999999999998</v>
      </c>
      <c r="O26" s="112">
        <f>+N26*8.5%</f>
        <v>15.950249999999999</v>
      </c>
      <c r="P26" s="112">
        <f>+N26*8.75%</f>
        <v>16.419374999999999</v>
      </c>
      <c r="Q26" s="112"/>
      <c r="R26" s="439">
        <f>SUM(L26:Q26)</f>
        <v>13205.419624999999</v>
      </c>
    </row>
    <row r="27" spans="1:18" ht="40.35" customHeight="1" x14ac:dyDescent="0.2">
      <c r="A27" s="1287"/>
      <c r="B27" s="1307"/>
      <c r="C27" s="955" t="str">
        <f>+'PRESUP.DE PERSONAL 2'!C295</f>
        <v>Motorista de Desechos IV</v>
      </c>
      <c r="D27" s="357">
        <f>+'PRESUP.DE PERSONAL 2'!D295</f>
        <v>1</v>
      </c>
      <c r="E27" s="158">
        <f>+'PRESUP.DE PERSONAL 2'!E295</f>
        <v>517</v>
      </c>
      <c r="F27" s="158">
        <f>+'PRESUP.DE PERSONAL 2'!F295</f>
        <v>517</v>
      </c>
      <c r="G27" s="81">
        <f t="shared" si="0"/>
        <v>43.95</v>
      </c>
      <c r="H27" s="81">
        <f>ROUND(F27*$H$5,2)</f>
        <v>45.24</v>
      </c>
      <c r="I27" s="159">
        <v>0</v>
      </c>
      <c r="J27" s="159">
        <v>0</v>
      </c>
      <c r="K27" s="81">
        <f t="shared" si="2"/>
        <v>606.19000000000005</v>
      </c>
      <c r="L27" s="81">
        <f t="shared" si="4"/>
        <v>4849.5200000000004</v>
      </c>
      <c r="M27" s="81">
        <f t="shared" si="3"/>
        <v>517</v>
      </c>
      <c r="N27" s="81">
        <v>62.55</v>
      </c>
      <c r="O27" s="112">
        <f t="shared" si="6"/>
        <v>5.3167499999999999</v>
      </c>
      <c r="P27" s="112">
        <f t="shared" si="7"/>
        <v>5.4731249999999996</v>
      </c>
      <c r="Q27" s="112"/>
      <c r="R27" s="439">
        <f t="shared" si="5"/>
        <v>5439.859875000001</v>
      </c>
    </row>
    <row r="28" spans="1:18" ht="40.35" customHeight="1" x14ac:dyDescent="0.2">
      <c r="A28" s="1287"/>
      <c r="B28" s="1307"/>
      <c r="C28" s="955" t="str">
        <f>+'PRESUP.DE PERSONAL 2'!C296</f>
        <v>Motorista de Desechos IV</v>
      </c>
      <c r="D28" s="357">
        <f>+'PRESUP.DE PERSONAL 2'!D296</f>
        <v>1</v>
      </c>
      <c r="E28" s="158">
        <f>+'PRESUP.DE PERSONAL 2'!E296</f>
        <v>497</v>
      </c>
      <c r="F28" s="158">
        <f>+'PRESUP.DE PERSONAL 2'!F296</f>
        <v>497</v>
      </c>
      <c r="G28" s="81">
        <f t="shared" si="0"/>
        <v>42.25</v>
      </c>
      <c r="H28" s="81">
        <f>ROUND(F28*$H$5,2)</f>
        <v>43.49</v>
      </c>
      <c r="I28" s="159">
        <v>0</v>
      </c>
      <c r="J28" s="159">
        <v>0</v>
      </c>
      <c r="K28" s="81">
        <f t="shared" si="2"/>
        <v>582.74</v>
      </c>
      <c r="L28" s="81">
        <f t="shared" si="4"/>
        <v>4661.92</v>
      </c>
      <c r="M28" s="81">
        <f>D28*E28</f>
        <v>497</v>
      </c>
      <c r="N28" s="81">
        <v>101.55</v>
      </c>
      <c r="O28" s="112">
        <f t="shared" si="6"/>
        <v>8.6317500000000003</v>
      </c>
      <c r="P28" s="112">
        <f t="shared" si="7"/>
        <v>8.8856249999999992</v>
      </c>
      <c r="Q28" s="112"/>
      <c r="R28" s="439">
        <f t="shared" si="5"/>
        <v>5277.9873749999997</v>
      </c>
    </row>
    <row r="29" spans="1:18" ht="40.35" customHeight="1" x14ac:dyDescent="0.2">
      <c r="A29" s="1287"/>
      <c r="B29" s="1307"/>
      <c r="C29" s="955" t="str">
        <f>+'PRESUP.DE PERSONAL 2'!C297</f>
        <v>Encargado de Aseo</v>
      </c>
      <c r="D29" s="357">
        <f>+'PRESUP.DE PERSONAL 2'!D297</f>
        <v>1</v>
      </c>
      <c r="E29" s="158">
        <f>+'PRESUP.DE PERSONAL 2'!E297</f>
        <v>700</v>
      </c>
      <c r="F29" s="158">
        <f>+'PRESUP.DE PERSONAL 2'!F297</f>
        <v>700</v>
      </c>
      <c r="G29" s="81">
        <f t="shared" si="0"/>
        <v>59.5</v>
      </c>
      <c r="H29" s="81">
        <f>ROUND(F29*$H$5,2)</f>
        <v>61.25</v>
      </c>
      <c r="I29" s="159">
        <v>0</v>
      </c>
      <c r="J29" s="159">
        <v>0</v>
      </c>
      <c r="K29" s="81">
        <f t="shared" si="2"/>
        <v>820.75</v>
      </c>
      <c r="L29" s="81">
        <f t="shared" si="4"/>
        <v>6566</v>
      </c>
      <c r="M29" s="81">
        <f>D29*E29</f>
        <v>700</v>
      </c>
      <c r="N29" s="81">
        <v>105</v>
      </c>
      <c r="O29" s="112">
        <f t="shared" si="6"/>
        <v>8.9250000000000007</v>
      </c>
      <c r="P29" s="112">
        <f t="shared" si="7"/>
        <v>9.1875</v>
      </c>
      <c r="Q29" s="112"/>
      <c r="R29" s="439">
        <f t="shared" si="5"/>
        <v>7389.1125000000002</v>
      </c>
    </row>
    <row r="30" spans="1:18" ht="40.35" customHeight="1" x14ac:dyDescent="0.2">
      <c r="A30" s="1287"/>
      <c r="B30" s="1307"/>
      <c r="C30" s="955" t="str">
        <f>+'PRESUP.DE PERSONAL 2'!C298</f>
        <v>Peon de Aseo I</v>
      </c>
      <c r="D30" s="357">
        <f>+'PRESUP.DE PERSONAL 2'!D298</f>
        <v>3</v>
      </c>
      <c r="E30" s="158">
        <f>+'PRESUP.DE PERSONAL 2'!E298</f>
        <v>744.86</v>
      </c>
      <c r="F30" s="158">
        <f>+'PRESUP.DE PERSONAL 2'!F298</f>
        <v>2234.58</v>
      </c>
      <c r="G30" s="81">
        <f t="shared" ref="G30:G36" si="16">ROUND(IF(E30&gt;=1000, 1000*$G$5, $F30*$G$5),2)</f>
        <v>189.94</v>
      </c>
      <c r="H30" s="81">
        <f t="shared" ref="H30:H87" si="17">ROUND(F30*$H$5,2)</f>
        <v>195.53</v>
      </c>
      <c r="I30" s="159">
        <v>0</v>
      </c>
      <c r="J30" s="159">
        <v>0</v>
      </c>
      <c r="K30" s="81">
        <f t="shared" ref="K30:K87" si="18">SUM(F30:J30)</f>
        <v>2620.0500000000002</v>
      </c>
      <c r="L30" s="81">
        <f t="shared" si="4"/>
        <v>20960.400000000001</v>
      </c>
      <c r="M30" s="81">
        <f t="shared" ref="M30:M36" si="19">D30*E30</f>
        <v>2234.58</v>
      </c>
      <c r="N30" s="81">
        <f>111.73*3</f>
        <v>335.19</v>
      </c>
      <c r="O30" s="112">
        <f t="shared" si="6"/>
        <v>28.491150000000001</v>
      </c>
      <c r="P30" s="112">
        <f t="shared" si="7"/>
        <v>29.329124999999998</v>
      </c>
      <c r="Q30" s="112"/>
      <c r="R30" s="439">
        <f t="shared" si="5"/>
        <v>23587.990275000004</v>
      </c>
    </row>
    <row r="31" spans="1:18" ht="40.35" customHeight="1" x14ac:dyDescent="0.2">
      <c r="A31" s="1287"/>
      <c r="B31" s="1307"/>
      <c r="C31" s="955" t="str">
        <f>+'PRESUP.DE PERSONAL 2'!C299</f>
        <v>Peon de Aseo II</v>
      </c>
      <c r="D31" s="357">
        <f>+'PRESUP.DE PERSONAL 2'!D299</f>
        <v>3</v>
      </c>
      <c r="E31" s="158">
        <f>+'PRESUP.DE PERSONAL 2'!E299</f>
        <v>677</v>
      </c>
      <c r="F31" s="158">
        <f>+'PRESUP.DE PERSONAL 2'!F299</f>
        <v>2031</v>
      </c>
      <c r="G31" s="81">
        <f t="shared" si="16"/>
        <v>172.64</v>
      </c>
      <c r="H31" s="81">
        <f t="shared" si="17"/>
        <v>177.71</v>
      </c>
      <c r="I31" s="159">
        <v>0</v>
      </c>
      <c r="J31" s="159">
        <v>0</v>
      </c>
      <c r="K31" s="81">
        <f t="shared" si="18"/>
        <v>2381.35</v>
      </c>
      <c r="L31" s="81">
        <f t="shared" si="4"/>
        <v>19050.8</v>
      </c>
      <c r="M31" s="81">
        <f t="shared" si="19"/>
        <v>2031</v>
      </c>
      <c r="N31" s="81">
        <f>101.55*3</f>
        <v>304.64999999999998</v>
      </c>
      <c r="O31" s="112">
        <f t="shared" si="6"/>
        <v>25.895250000000001</v>
      </c>
      <c r="P31" s="112">
        <f t="shared" si="7"/>
        <v>26.656874999999996</v>
      </c>
      <c r="Q31" s="112"/>
      <c r="R31" s="439">
        <f t="shared" si="5"/>
        <v>21439.002125000003</v>
      </c>
    </row>
    <row r="32" spans="1:18" ht="40.35" customHeight="1" x14ac:dyDescent="0.2">
      <c r="A32" s="1287"/>
      <c r="B32" s="1307"/>
      <c r="C32" s="955" t="str">
        <f>+'PRESUP.DE PERSONAL 2'!C300</f>
        <v>Peon de Aseo III</v>
      </c>
      <c r="D32" s="357">
        <f>+'PRESUP.DE PERSONAL 2'!D300</f>
        <v>4</v>
      </c>
      <c r="E32" s="158">
        <f>+'PRESUP.DE PERSONAL 2'!E300</f>
        <v>597</v>
      </c>
      <c r="F32" s="158">
        <f>+'PRESUP.DE PERSONAL 2'!F300</f>
        <v>2388</v>
      </c>
      <c r="G32" s="81">
        <f t="shared" si="16"/>
        <v>202.98</v>
      </c>
      <c r="H32" s="81">
        <f t="shared" si="17"/>
        <v>208.95</v>
      </c>
      <c r="I32" s="159">
        <v>0</v>
      </c>
      <c r="J32" s="159">
        <v>0</v>
      </c>
      <c r="K32" s="81">
        <f t="shared" si="18"/>
        <v>2799.93</v>
      </c>
      <c r="L32" s="81">
        <f t="shared" si="4"/>
        <v>22399.439999999999</v>
      </c>
      <c r="M32" s="81">
        <f t="shared" si="19"/>
        <v>2388</v>
      </c>
      <c r="N32" s="81">
        <f>89.55*4</f>
        <v>358.2</v>
      </c>
      <c r="O32" s="112">
        <f t="shared" si="6"/>
        <v>30.447000000000003</v>
      </c>
      <c r="P32" s="112">
        <f t="shared" si="7"/>
        <v>31.342499999999998</v>
      </c>
      <c r="Q32" s="112"/>
      <c r="R32" s="439">
        <f t="shared" si="5"/>
        <v>25207.429499999998</v>
      </c>
    </row>
    <row r="33" spans="1:19" ht="40.35" customHeight="1" x14ac:dyDescent="0.2">
      <c r="A33" s="1287"/>
      <c r="B33" s="1307"/>
      <c r="C33" s="955" t="str">
        <f>+'PRESUP.DE PERSONAL 2'!C301</f>
        <v>Peon de Aseo IV</v>
      </c>
      <c r="D33" s="357">
        <f>+'PRESUP.DE PERSONAL 2'!D301</f>
        <v>1</v>
      </c>
      <c r="E33" s="158">
        <f>+'PRESUP.DE PERSONAL 2'!E301</f>
        <v>547</v>
      </c>
      <c r="F33" s="158">
        <f>+'PRESUP.DE PERSONAL 2'!F301</f>
        <v>547</v>
      </c>
      <c r="G33" s="81">
        <f t="shared" si="16"/>
        <v>46.5</v>
      </c>
      <c r="H33" s="81">
        <f t="shared" si="17"/>
        <v>47.86</v>
      </c>
      <c r="I33" s="159">
        <v>0</v>
      </c>
      <c r="J33" s="159">
        <v>0</v>
      </c>
      <c r="K33" s="81">
        <f t="shared" si="18"/>
        <v>641.36</v>
      </c>
      <c r="L33" s="81">
        <f t="shared" si="4"/>
        <v>5130.88</v>
      </c>
      <c r="M33" s="81">
        <f t="shared" si="19"/>
        <v>547</v>
      </c>
      <c r="N33" s="81">
        <v>82.05</v>
      </c>
      <c r="O33" s="112">
        <f t="shared" si="6"/>
        <v>6.9742500000000005</v>
      </c>
      <c r="P33" s="112">
        <f t="shared" si="7"/>
        <v>7.1793749999999994</v>
      </c>
      <c r="Q33" s="112"/>
      <c r="R33" s="439">
        <f t="shared" si="5"/>
        <v>5774.0836250000002</v>
      </c>
    </row>
    <row r="34" spans="1:19" ht="40.35" customHeight="1" x14ac:dyDescent="0.2">
      <c r="A34" s="1287"/>
      <c r="B34" s="1307"/>
      <c r="C34" s="955" t="str">
        <f>+'PRESUP.DE PERSONAL 2'!C302</f>
        <v>Peon de Aseo IV</v>
      </c>
      <c r="D34" s="357">
        <f>+'PRESUP.DE PERSONAL 2'!D302</f>
        <v>4</v>
      </c>
      <c r="E34" s="158">
        <f>+'PRESUP.DE PERSONAL 2'!E302</f>
        <v>517</v>
      </c>
      <c r="F34" s="158">
        <f>+'PRESUP.DE PERSONAL 2'!F302</f>
        <v>2068</v>
      </c>
      <c r="G34" s="81">
        <f t="shared" si="16"/>
        <v>175.78</v>
      </c>
      <c r="H34" s="81">
        <f t="shared" si="17"/>
        <v>180.95</v>
      </c>
      <c r="I34" s="159">
        <v>0</v>
      </c>
      <c r="J34" s="159">
        <v>0</v>
      </c>
      <c r="K34" s="81">
        <f t="shared" si="18"/>
        <v>2424.73</v>
      </c>
      <c r="L34" s="81">
        <f t="shared" si="4"/>
        <v>19397.84</v>
      </c>
      <c r="M34" s="81">
        <f t="shared" si="19"/>
        <v>2068</v>
      </c>
      <c r="N34" s="81">
        <f>77.55*4</f>
        <v>310.2</v>
      </c>
      <c r="O34" s="112">
        <f t="shared" si="6"/>
        <v>26.367000000000001</v>
      </c>
      <c r="P34" s="112">
        <f t="shared" si="7"/>
        <v>27.142499999999998</v>
      </c>
      <c r="Q34" s="112"/>
      <c r="R34" s="439">
        <f t="shared" si="5"/>
        <v>21829.549500000001</v>
      </c>
    </row>
    <row r="35" spans="1:19" ht="40.35" customHeight="1" x14ac:dyDescent="0.2">
      <c r="A35" s="1287"/>
      <c r="B35" s="1307"/>
      <c r="C35" s="955" t="str">
        <f>+'PRESUP.DE PERSONAL 2'!C303</f>
        <v>Peon de Aseo IV</v>
      </c>
      <c r="D35" s="357">
        <f>+'PRESUP.DE PERSONAL 2'!D303</f>
        <v>1</v>
      </c>
      <c r="E35" s="158">
        <f>+'PRESUP.DE PERSONAL 2'!E303</f>
        <v>467</v>
      </c>
      <c r="F35" s="158">
        <f>+'PRESUP.DE PERSONAL 2'!F303</f>
        <v>467</v>
      </c>
      <c r="G35" s="81">
        <f t="shared" si="16"/>
        <v>39.700000000000003</v>
      </c>
      <c r="H35" s="81">
        <f t="shared" si="17"/>
        <v>40.86</v>
      </c>
      <c r="I35" s="159">
        <v>0</v>
      </c>
      <c r="J35" s="159">
        <v>0</v>
      </c>
      <c r="K35" s="81">
        <f t="shared" si="18"/>
        <v>547.55999999999995</v>
      </c>
      <c r="L35" s="81">
        <f t="shared" si="4"/>
        <v>4380.4799999999996</v>
      </c>
      <c r="M35" s="81">
        <f t="shared" si="19"/>
        <v>467</v>
      </c>
      <c r="N35" s="81">
        <v>70.05</v>
      </c>
      <c r="O35" s="112">
        <f t="shared" si="6"/>
        <v>5.95425</v>
      </c>
      <c r="P35" s="112">
        <f t="shared" si="7"/>
        <v>6.1293749999999996</v>
      </c>
      <c r="Q35" s="112"/>
      <c r="R35" s="439">
        <f t="shared" si="5"/>
        <v>4929.613625</v>
      </c>
    </row>
    <row r="36" spans="1:19" ht="40.35" customHeight="1" x14ac:dyDescent="0.2">
      <c r="A36" s="1287"/>
      <c r="B36" s="1307"/>
      <c r="C36" s="955" t="str">
        <f>+'PRESUP.DE PERSONAL 2'!C304</f>
        <v>Peon de Aseo V</v>
      </c>
      <c r="D36" s="357">
        <f>+'PRESUP.DE PERSONAL 2'!D304</f>
        <v>9</v>
      </c>
      <c r="E36" s="158">
        <f>+'PRESUP.DE PERSONAL 2'!E304</f>
        <v>417</v>
      </c>
      <c r="F36" s="158">
        <f>+'PRESUP.DE PERSONAL 2'!F304</f>
        <v>3753</v>
      </c>
      <c r="G36" s="81">
        <f t="shared" si="16"/>
        <v>319.01</v>
      </c>
      <c r="H36" s="81">
        <f t="shared" si="17"/>
        <v>328.39</v>
      </c>
      <c r="I36" s="159">
        <v>0</v>
      </c>
      <c r="J36" s="159">
        <v>0</v>
      </c>
      <c r="K36" s="81">
        <f t="shared" si="18"/>
        <v>4400.4000000000005</v>
      </c>
      <c r="L36" s="81">
        <f t="shared" si="4"/>
        <v>35203.200000000004</v>
      </c>
      <c r="M36" s="81">
        <f t="shared" si="19"/>
        <v>3753</v>
      </c>
      <c r="N36" s="81">
        <f>62.55*9</f>
        <v>562.94999999999993</v>
      </c>
      <c r="O36" s="112">
        <f t="shared" si="6"/>
        <v>47.850749999999998</v>
      </c>
      <c r="P36" s="112">
        <f t="shared" si="7"/>
        <v>49.258124999999993</v>
      </c>
      <c r="Q36" s="112"/>
      <c r="R36" s="439">
        <f t="shared" si="5"/>
        <v>39616.258875</v>
      </c>
    </row>
    <row r="37" spans="1:19" s="94" customFormat="1" ht="40.35" customHeight="1" x14ac:dyDescent="0.2">
      <c r="A37" s="1287"/>
      <c r="B37" s="1307"/>
      <c r="C37" s="954" t="str">
        <f>+'PRESUP.DE PERSONAL 2'!C305</f>
        <v>Peon de Aseo V</v>
      </c>
      <c r="D37" s="784">
        <f>+'PRESUP.DE PERSONAL 2'!D305</f>
        <v>1</v>
      </c>
      <c r="E37" s="551">
        <f>+'PRESUP.DE PERSONAL 2'!E305</f>
        <v>417</v>
      </c>
      <c r="F37" s="551">
        <f>+'PRESUP.DE PERSONAL 2'!F305</f>
        <v>417</v>
      </c>
      <c r="G37" s="159">
        <f>ROUND(IF(E37&gt;=1000, 1000*$G$5, $F37*$G$5),2)</f>
        <v>35.450000000000003</v>
      </c>
      <c r="H37" s="159">
        <f>ROUND(F37*$H$5,2)</f>
        <v>36.49</v>
      </c>
      <c r="I37" s="159">
        <v>0</v>
      </c>
      <c r="J37" s="159">
        <v>0</v>
      </c>
      <c r="K37" s="159">
        <f>SUM(F37:J37)</f>
        <v>488.94</v>
      </c>
      <c r="L37" s="159">
        <f>SUM(K37*6)</f>
        <v>2933.64</v>
      </c>
      <c r="M37" s="159">
        <f>D37*E37</f>
        <v>417</v>
      </c>
      <c r="N37" s="159">
        <v>0</v>
      </c>
      <c r="O37" s="766">
        <f>+N37*8.5%</f>
        <v>0</v>
      </c>
      <c r="P37" s="766">
        <f>+N37*8.75%</f>
        <v>0</v>
      </c>
      <c r="Q37" s="766"/>
      <c r="R37" s="785">
        <f>SUM(L37:Q37)</f>
        <v>3350.64</v>
      </c>
      <c r="S37" s="94" t="s">
        <v>1125</v>
      </c>
    </row>
    <row r="38" spans="1:19" s="94" customFormat="1" ht="40.35" customHeight="1" x14ac:dyDescent="0.2">
      <c r="A38" s="1287"/>
      <c r="B38" s="1307"/>
      <c r="C38" s="954" t="str">
        <f>+'PRESUP.DE PERSONAL 2'!C306</f>
        <v>Peon de Aseo VI</v>
      </c>
      <c r="D38" s="784">
        <f>+'PRESUP.DE PERSONAL 2'!D306</f>
        <v>5</v>
      </c>
      <c r="E38" s="551">
        <f>+'PRESUP.DE PERSONAL 2'!E306</f>
        <v>417</v>
      </c>
      <c r="F38" s="551">
        <f>+'PRESUP.DE PERSONAL 2'!F306</f>
        <v>2085</v>
      </c>
      <c r="G38" s="159">
        <f t="shared" ref="G38:G69" si="20">ROUND(IF(E38&gt;=1000, 1000*$G$5, $F38*$G$5),2)</f>
        <v>177.23</v>
      </c>
      <c r="H38" s="159">
        <f>ROUND(F38*$H$5,2)</f>
        <v>182.44</v>
      </c>
      <c r="I38" s="159">
        <v>0</v>
      </c>
      <c r="J38" s="159">
        <v>0</v>
      </c>
      <c r="K38" s="159">
        <f>SUM(F38:J38)</f>
        <v>2444.67</v>
      </c>
      <c r="L38" s="159">
        <f>SUM(K38*2)</f>
        <v>4889.34</v>
      </c>
      <c r="M38" s="159">
        <f>+F38/12*2</f>
        <v>347.5</v>
      </c>
      <c r="N38" s="159">
        <v>0</v>
      </c>
      <c r="O38" s="766">
        <f>+N38*8.5%</f>
        <v>0</v>
      </c>
      <c r="P38" s="766">
        <f>+N38*8.75%</f>
        <v>0</v>
      </c>
      <c r="Q38" s="766"/>
      <c r="R38" s="785">
        <f>SUM(L38:Q38)</f>
        <v>5236.84</v>
      </c>
      <c r="S38" s="94" t="s">
        <v>1069</v>
      </c>
    </row>
    <row r="39" spans="1:19" ht="40.35" customHeight="1" x14ac:dyDescent="0.2">
      <c r="A39" s="1287"/>
      <c r="B39" s="1307"/>
      <c r="C39" s="955" t="str">
        <f>+'PRESUP.DE PERSONAL 2'!C307</f>
        <v>Encargado de Recoleccion Disposicion de Desechos</v>
      </c>
      <c r="D39" s="357">
        <f>+'PRESUP.DE PERSONAL 2'!D307</f>
        <v>1</v>
      </c>
      <c r="E39" s="158">
        <f>+'PRESUP.DE PERSONAL 2'!E307</f>
        <v>800</v>
      </c>
      <c r="F39" s="158">
        <f>+'PRESUP.DE PERSONAL 2'!F307</f>
        <v>800</v>
      </c>
      <c r="G39" s="81">
        <f t="shared" si="20"/>
        <v>68</v>
      </c>
      <c r="H39" s="81">
        <f t="shared" si="17"/>
        <v>70</v>
      </c>
      <c r="I39" s="159">
        <v>0</v>
      </c>
      <c r="J39" s="159">
        <v>0</v>
      </c>
      <c r="K39" s="81">
        <f t="shared" si="18"/>
        <v>938</v>
      </c>
      <c r="L39" s="81">
        <f t="shared" si="4"/>
        <v>7504</v>
      </c>
      <c r="M39" s="81">
        <f t="shared" ref="M39:M46" si="21">D39*E39</f>
        <v>800</v>
      </c>
      <c r="N39" s="81">
        <v>120</v>
      </c>
      <c r="O39" s="112">
        <f t="shared" si="6"/>
        <v>10.200000000000001</v>
      </c>
      <c r="P39" s="112">
        <f t="shared" si="7"/>
        <v>10.5</v>
      </c>
      <c r="Q39" s="112"/>
      <c r="R39" s="439">
        <f t="shared" si="5"/>
        <v>8444.7000000000007</v>
      </c>
    </row>
    <row r="40" spans="1:19" ht="40.35" customHeight="1" x14ac:dyDescent="0.2">
      <c r="A40" s="1287"/>
      <c r="B40" s="1307"/>
      <c r="C40" s="955" t="str">
        <f>+'PRESUP.DE PERSONAL 2'!C308</f>
        <v>Peon de Recoleccion Desechos I</v>
      </c>
      <c r="D40" s="357">
        <f>+'PRESUP.DE PERSONAL 2'!D308</f>
        <v>2</v>
      </c>
      <c r="E40" s="158">
        <f>+'PRESUP.DE PERSONAL 2'!E308</f>
        <v>744.86</v>
      </c>
      <c r="F40" s="158">
        <f>+'PRESUP.DE PERSONAL 2'!F308</f>
        <v>1489.72</v>
      </c>
      <c r="G40" s="81">
        <f t="shared" si="20"/>
        <v>126.63</v>
      </c>
      <c r="H40" s="81">
        <f t="shared" si="17"/>
        <v>130.35</v>
      </c>
      <c r="I40" s="159">
        <v>0</v>
      </c>
      <c r="J40" s="159">
        <v>0</v>
      </c>
      <c r="K40" s="81">
        <f t="shared" si="18"/>
        <v>1746.6999999999998</v>
      </c>
      <c r="L40" s="81">
        <f t="shared" si="4"/>
        <v>13973.599999999999</v>
      </c>
      <c r="M40" s="81">
        <f t="shared" si="21"/>
        <v>1489.72</v>
      </c>
      <c r="N40" s="81">
        <f>111.73*2</f>
        <v>223.46</v>
      </c>
      <c r="O40" s="112">
        <f t="shared" si="6"/>
        <v>18.994100000000003</v>
      </c>
      <c r="P40" s="112">
        <f t="shared" si="7"/>
        <v>19.55275</v>
      </c>
      <c r="Q40" s="112"/>
      <c r="R40" s="439">
        <f t="shared" si="5"/>
        <v>15725.326849999998</v>
      </c>
    </row>
    <row r="41" spans="1:19" ht="40.35" customHeight="1" x14ac:dyDescent="0.2">
      <c r="A41" s="1287"/>
      <c r="B41" s="1307"/>
      <c r="C41" s="955" t="str">
        <f>+'PRESUP.DE PERSONAL 2'!C309</f>
        <v>Peon de Recoleccion Desechos I</v>
      </c>
      <c r="D41" s="357">
        <f>+'PRESUP.DE PERSONAL 2'!D309</f>
        <v>1</v>
      </c>
      <c r="E41" s="158">
        <f>+'PRESUP.DE PERSONAL 2'!E309</f>
        <v>731.72</v>
      </c>
      <c r="F41" s="158">
        <f>+'PRESUP.DE PERSONAL 2'!F309</f>
        <v>731.72</v>
      </c>
      <c r="G41" s="81">
        <f t="shared" si="20"/>
        <v>62.2</v>
      </c>
      <c r="H41" s="81">
        <f t="shared" si="17"/>
        <v>64.03</v>
      </c>
      <c r="I41" s="159">
        <v>0</v>
      </c>
      <c r="J41" s="159">
        <v>0</v>
      </c>
      <c r="K41" s="81">
        <f t="shared" si="18"/>
        <v>857.95</v>
      </c>
      <c r="L41" s="81">
        <f t="shared" si="4"/>
        <v>6863.6</v>
      </c>
      <c r="M41" s="81">
        <f t="shared" si="21"/>
        <v>731.72</v>
      </c>
      <c r="N41" s="81">
        <v>109.76</v>
      </c>
      <c r="O41" s="112">
        <f t="shared" si="6"/>
        <v>9.329600000000001</v>
      </c>
      <c r="P41" s="112">
        <f t="shared" si="7"/>
        <v>9.6039999999999992</v>
      </c>
      <c r="Q41" s="112"/>
      <c r="R41" s="439">
        <f t="shared" si="5"/>
        <v>7724.0136000000011</v>
      </c>
    </row>
    <row r="42" spans="1:19" ht="40.35" customHeight="1" x14ac:dyDescent="0.2">
      <c r="A42" s="1287"/>
      <c r="B42" s="1307"/>
      <c r="C42" s="955" t="str">
        <f>+'PRESUP.DE PERSONAL 2'!C310</f>
        <v>Peon de Recoleccion Desechos II</v>
      </c>
      <c r="D42" s="357">
        <f>+'PRESUP.DE PERSONAL 2'!D310</f>
        <v>8</v>
      </c>
      <c r="E42" s="158">
        <f>+'PRESUP.DE PERSONAL 2'!E310</f>
        <v>677</v>
      </c>
      <c r="F42" s="158">
        <f>+'PRESUP.DE PERSONAL 2'!F310</f>
        <v>5416</v>
      </c>
      <c r="G42" s="81">
        <f t="shared" si="20"/>
        <v>460.36</v>
      </c>
      <c r="H42" s="81">
        <f t="shared" si="17"/>
        <v>473.9</v>
      </c>
      <c r="I42" s="159">
        <v>0</v>
      </c>
      <c r="J42" s="159">
        <v>0</v>
      </c>
      <c r="K42" s="81">
        <f t="shared" si="18"/>
        <v>6350.2599999999993</v>
      </c>
      <c r="L42" s="81">
        <f t="shared" si="4"/>
        <v>50802.079999999994</v>
      </c>
      <c r="M42" s="81">
        <f t="shared" si="21"/>
        <v>5416</v>
      </c>
      <c r="N42" s="81">
        <f>101.55*8</f>
        <v>812.4</v>
      </c>
      <c r="O42" s="112">
        <f t="shared" si="6"/>
        <v>69.054000000000002</v>
      </c>
      <c r="P42" s="112">
        <f t="shared" si="7"/>
        <v>71.084999999999994</v>
      </c>
      <c r="Q42" s="112"/>
      <c r="R42" s="439">
        <f t="shared" si="5"/>
        <v>57170.618999999992</v>
      </c>
    </row>
    <row r="43" spans="1:19" ht="40.35" customHeight="1" x14ac:dyDescent="0.2">
      <c r="A43" s="1287"/>
      <c r="B43" s="1307"/>
      <c r="C43" s="955" t="str">
        <f>+'PRESUP.DE PERSONAL 2'!C311</f>
        <v>Peon de Recoleccion Desechos III</v>
      </c>
      <c r="D43" s="357">
        <f>+'PRESUP.DE PERSONAL 2'!D311</f>
        <v>5</v>
      </c>
      <c r="E43" s="158">
        <f>+'PRESUP.DE PERSONAL 2'!E311</f>
        <v>597</v>
      </c>
      <c r="F43" s="158">
        <f>+'PRESUP.DE PERSONAL 2'!F311</f>
        <v>2985</v>
      </c>
      <c r="G43" s="81">
        <f t="shared" si="20"/>
        <v>253.73</v>
      </c>
      <c r="H43" s="81">
        <f t="shared" si="17"/>
        <v>261.19</v>
      </c>
      <c r="I43" s="159">
        <v>0</v>
      </c>
      <c r="J43" s="159">
        <v>0</v>
      </c>
      <c r="K43" s="81">
        <f t="shared" si="18"/>
        <v>3499.92</v>
      </c>
      <c r="L43" s="81">
        <f t="shared" si="4"/>
        <v>27999.360000000001</v>
      </c>
      <c r="M43" s="81">
        <f t="shared" si="21"/>
        <v>2985</v>
      </c>
      <c r="N43" s="81">
        <f>89.55*5</f>
        <v>447.75</v>
      </c>
      <c r="O43" s="112">
        <f t="shared" si="6"/>
        <v>38.058750000000003</v>
      </c>
      <c r="P43" s="112">
        <f t="shared" si="7"/>
        <v>39.178124999999994</v>
      </c>
      <c r="Q43" s="112"/>
      <c r="R43" s="439">
        <f t="shared" si="5"/>
        <v>31509.346874999999</v>
      </c>
    </row>
    <row r="44" spans="1:19" ht="40.35" customHeight="1" thickBot="1" x14ac:dyDescent="0.25">
      <c r="A44" s="1287"/>
      <c r="B44" s="1307"/>
      <c r="C44" s="966" t="str">
        <f>+'PRESUP.DE PERSONAL 2'!C312</f>
        <v>Peon de Recoleccion Desechos IV</v>
      </c>
      <c r="D44" s="967">
        <f>+'PRESUP.DE PERSONAL 2'!D312</f>
        <v>3</v>
      </c>
      <c r="E44" s="968">
        <f>+'PRESUP.DE PERSONAL 2'!E312</f>
        <v>517</v>
      </c>
      <c r="F44" s="968">
        <f>+'PRESUP.DE PERSONAL 2'!F312</f>
        <v>1551</v>
      </c>
      <c r="G44" s="969">
        <f t="shared" si="20"/>
        <v>131.84</v>
      </c>
      <c r="H44" s="969">
        <f t="shared" si="17"/>
        <v>135.71</v>
      </c>
      <c r="I44" s="959">
        <v>0</v>
      </c>
      <c r="J44" s="959">
        <v>0</v>
      </c>
      <c r="K44" s="969">
        <f t="shared" si="18"/>
        <v>1818.55</v>
      </c>
      <c r="L44" s="969">
        <f t="shared" si="4"/>
        <v>14548.4</v>
      </c>
      <c r="M44" s="969">
        <f t="shared" si="21"/>
        <v>1551</v>
      </c>
      <c r="N44" s="969">
        <f>77.55*3</f>
        <v>232.64999999999998</v>
      </c>
      <c r="O44" s="721">
        <f t="shared" si="6"/>
        <v>19.77525</v>
      </c>
      <c r="P44" s="721">
        <f t="shared" si="7"/>
        <v>20.356874999999995</v>
      </c>
      <c r="Q44" s="721"/>
      <c r="R44" s="970">
        <f t="shared" si="5"/>
        <v>16372.182124999999</v>
      </c>
    </row>
    <row r="45" spans="1:19" ht="40.35" customHeight="1" x14ac:dyDescent="0.2">
      <c r="A45" s="1287"/>
      <c r="B45" s="1307"/>
      <c r="C45" s="961" t="str">
        <f>+'PRESUP.DE PERSONAL 2'!C313</f>
        <v>Peon de Recoleccion Desechos V</v>
      </c>
      <c r="D45" s="962">
        <f>+'PRESUP.DE PERSONAL 2'!D313</f>
        <v>5</v>
      </c>
      <c r="E45" s="963">
        <f>+'PRESUP.DE PERSONAL 2'!E313</f>
        <v>417</v>
      </c>
      <c r="F45" s="963">
        <f>+'PRESUP.DE PERSONAL 2'!F313</f>
        <v>2085</v>
      </c>
      <c r="G45" s="927">
        <f t="shared" si="20"/>
        <v>177.23</v>
      </c>
      <c r="H45" s="927">
        <f>ROUND(F45*$H$5,2)</f>
        <v>182.44</v>
      </c>
      <c r="I45" s="952">
        <v>0</v>
      </c>
      <c r="J45" s="952">
        <v>0</v>
      </c>
      <c r="K45" s="927">
        <f>SUM(F45:J45)</f>
        <v>2444.67</v>
      </c>
      <c r="L45" s="927">
        <f t="shared" si="4"/>
        <v>19557.36</v>
      </c>
      <c r="M45" s="927">
        <f t="shared" si="21"/>
        <v>2085</v>
      </c>
      <c r="N45" s="927">
        <f>77.55*5</f>
        <v>387.75</v>
      </c>
      <c r="O45" s="729">
        <f>+N45*8.5%</f>
        <v>32.958750000000002</v>
      </c>
      <c r="P45" s="729">
        <f>+N45*8.75%</f>
        <v>33.928124999999994</v>
      </c>
      <c r="Q45" s="729"/>
      <c r="R45" s="964">
        <f>SUM(L45:Q45)</f>
        <v>22096.996875000001</v>
      </c>
    </row>
    <row r="46" spans="1:19" ht="40.35" customHeight="1" x14ac:dyDescent="0.2">
      <c r="A46" s="1287"/>
      <c r="B46" s="1307"/>
      <c r="C46" s="955" t="str">
        <f>+'PRESUP.DE PERSONAL 2'!C314</f>
        <v>Peon de Recoleccion Desechos V</v>
      </c>
      <c r="D46" s="357">
        <f>+'PRESUP.DE PERSONAL 2'!D314</f>
        <v>3</v>
      </c>
      <c r="E46" s="158">
        <f>+'PRESUP.DE PERSONAL 2'!E314</f>
        <v>497</v>
      </c>
      <c r="F46" s="158">
        <f>+'PRESUP.DE PERSONAL 2'!F314</f>
        <v>1491</v>
      </c>
      <c r="G46" s="81">
        <f t="shared" si="20"/>
        <v>126.74</v>
      </c>
      <c r="H46" s="81">
        <f t="shared" si="17"/>
        <v>130.46</v>
      </c>
      <c r="I46" s="159">
        <v>0</v>
      </c>
      <c r="J46" s="159">
        <v>0</v>
      </c>
      <c r="K46" s="81">
        <f t="shared" si="18"/>
        <v>1748.2</v>
      </c>
      <c r="L46" s="81">
        <f t="shared" si="4"/>
        <v>13985.6</v>
      </c>
      <c r="M46" s="81">
        <f t="shared" si="21"/>
        <v>1491</v>
      </c>
      <c r="N46" s="81">
        <f>74.55*3</f>
        <v>223.64999999999998</v>
      </c>
      <c r="O46" s="112">
        <f t="shared" si="6"/>
        <v>19.010249999999999</v>
      </c>
      <c r="P46" s="112">
        <f t="shared" si="7"/>
        <v>19.569374999999997</v>
      </c>
      <c r="Q46" s="112"/>
      <c r="R46" s="439">
        <f t="shared" si="5"/>
        <v>15738.829624999998</v>
      </c>
    </row>
    <row r="47" spans="1:19" s="94" customFormat="1" ht="40.35" customHeight="1" x14ac:dyDescent="0.2">
      <c r="A47" s="1287"/>
      <c r="B47" s="1307"/>
      <c r="C47" s="954" t="str">
        <f>+'PRESUP.DE PERSONAL 2'!C315</f>
        <v>Peon de Recoleccion Desechos VI</v>
      </c>
      <c r="D47" s="784">
        <f>+'PRESUP.DE PERSONAL 2'!D315</f>
        <v>10</v>
      </c>
      <c r="E47" s="551">
        <f>+'PRESUP.DE PERSONAL 2'!E315</f>
        <v>417</v>
      </c>
      <c r="F47" s="551">
        <f>+'PRESUP.DE PERSONAL 2'!F315</f>
        <v>4170</v>
      </c>
      <c r="G47" s="159">
        <f t="shared" si="20"/>
        <v>354.45</v>
      </c>
      <c r="H47" s="159">
        <f>ROUND(F47*$H$5,2)</f>
        <v>364.88</v>
      </c>
      <c r="I47" s="159">
        <v>0</v>
      </c>
      <c r="J47" s="159">
        <v>0</v>
      </c>
      <c r="K47" s="159">
        <f>SUM(F47:J47)</f>
        <v>4889.33</v>
      </c>
      <c r="L47" s="159">
        <f>SUM(K47*2)</f>
        <v>9778.66</v>
      </c>
      <c r="M47" s="159">
        <f>+F47/12*2</f>
        <v>695</v>
      </c>
      <c r="N47" s="159">
        <v>0</v>
      </c>
      <c r="O47" s="766">
        <f>+N47*8.5%</f>
        <v>0</v>
      </c>
      <c r="P47" s="766">
        <f>+N47*8.75%</f>
        <v>0</v>
      </c>
      <c r="Q47" s="766"/>
      <c r="R47" s="785">
        <f>SUM(L47:Q47)</f>
        <v>10473.66</v>
      </c>
      <c r="S47" s="94" t="s">
        <v>1069</v>
      </c>
    </row>
    <row r="48" spans="1:19" ht="40.35" customHeight="1" x14ac:dyDescent="0.2">
      <c r="A48" s="1287"/>
      <c r="B48" s="1307"/>
      <c r="C48" s="955" t="str">
        <f>+'PRESUP.DE PERSONAL 2'!C316</f>
        <v>Peon de  Saneamiento I</v>
      </c>
      <c r="D48" s="357">
        <f>+'PRESUP.DE PERSONAL 2'!D316</f>
        <v>3</v>
      </c>
      <c r="E48" s="158">
        <f>+'PRESUP.DE PERSONAL 2'!E316</f>
        <v>597</v>
      </c>
      <c r="F48" s="158">
        <f>+'PRESUP.DE PERSONAL 2'!F316</f>
        <v>1791</v>
      </c>
      <c r="G48" s="81">
        <f t="shared" si="20"/>
        <v>152.24</v>
      </c>
      <c r="H48" s="81">
        <f>ROUND(F48*$H$5,2)</f>
        <v>156.71</v>
      </c>
      <c r="I48" s="159">
        <v>0</v>
      </c>
      <c r="J48" s="159">
        <v>0</v>
      </c>
      <c r="K48" s="81">
        <f t="shared" ref="K48:K53" si="22">SUM(F48:J48)</f>
        <v>2099.9499999999998</v>
      </c>
      <c r="L48" s="81">
        <f t="shared" si="4"/>
        <v>16799.599999999999</v>
      </c>
      <c r="M48" s="81">
        <f t="shared" ref="M48:M87" si="23">D48*E48</f>
        <v>1791</v>
      </c>
      <c r="N48" s="81">
        <f>89.55*3</f>
        <v>268.64999999999998</v>
      </c>
      <c r="O48" s="112">
        <f t="shared" ref="O48:O53" si="24">+N48*8.5%</f>
        <v>22.835249999999998</v>
      </c>
      <c r="P48" s="112">
        <f t="shared" ref="P48:P53" si="25">+N48*8.75%</f>
        <v>23.506874999999997</v>
      </c>
      <c r="Q48" s="112"/>
      <c r="R48" s="439">
        <f t="shared" ref="R48:R53" si="26">SUM(L48:Q48)</f>
        <v>18905.592124999999</v>
      </c>
    </row>
    <row r="49" spans="1:18" ht="40.35" customHeight="1" x14ac:dyDescent="0.2">
      <c r="A49" s="1287"/>
      <c r="B49" s="1307"/>
      <c r="C49" s="954" t="str">
        <f>+'PRESUP.DE PERSONAL 2'!C317</f>
        <v>Peon de  Saneamiento I</v>
      </c>
      <c r="D49" s="357">
        <f>+'PRESUP.DE PERSONAL 2'!D317</f>
        <v>1</v>
      </c>
      <c r="E49" s="158">
        <f>+'PRESUP.DE PERSONAL 2'!E317</f>
        <v>417</v>
      </c>
      <c r="F49" s="158">
        <f>+'PRESUP.DE PERSONAL 2'!F317</f>
        <v>417</v>
      </c>
      <c r="G49" s="81">
        <f t="shared" si="20"/>
        <v>35.450000000000003</v>
      </c>
      <c r="H49" s="81">
        <v>0</v>
      </c>
      <c r="I49" s="159">
        <v>0</v>
      </c>
      <c r="J49" s="159">
        <f>+F49*6%</f>
        <v>25.02</v>
      </c>
      <c r="K49" s="81">
        <f t="shared" si="22"/>
        <v>477.46999999999997</v>
      </c>
      <c r="L49" s="81">
        <f t="shared" si="4"/>
        <v>3819.7599999999998</v>
      </c>
      <c r="M49" s="81">
        <f t="shared" si="23"/>
        <v>417</v>
      </c>
      <c r="N49" s="81">
        <v>62.55</v>
      </c>
      <c r="O49" s="112">
        <f t="shared" si="24"/>
        <v>5.3167499999999999</v>
      </c>
      <c r="P49" s="112">
        <f t="shared" si="25"/>
        <v>5.4731249999999996</v>
      </c>
      <c r="Q49" s="112"/>
      <c r="R49" s="439">
        <f t="shared" si="26"/>
        <v>4310.0998750000008</v>
      </c>
    </row>
    <row r="50" spans="1:18" ht="40.35" customHeight="1" x14ac:dyDescent="0.2">
      <c r="A50" s="1287"/>
      <c r="B50" s="1307"/>
      <c r="C50" s="955" t="str">
        <f>+'PRESUP.DE PERSONAL 2'!C318</f>
        <v>Peon de  Saneamiento II</v>
      </c>
      <c r="D50" s="357">
        <f>+'PRESUP.DE PERSONAL 2'!D318</f>
        <v>1</v>
      </c>
      <c r="E50" s="158">
        <f>+'PRESUP.DE PERSONAL 2'!E318</f>
        <v>547</v>
      </c>
      <c r="F50" s="158">
        <f>+'PRESUP.DE PERSONAL 2'!F318</f>
        <v>547</v>
      </c>
      <c r="G50" s="81">
        <f t="shared" si="20"/>
        <v>46.5</v>
      </c>
      <c r="H50" s="81">
        <f>ROUND(F50*$H$5,2)</f>
        <v>47.86</v>
      </c>
      <c r="I50" s="159">
        <v>0</v>
      </c>
      <c r="J50" s="159">
        <v>0</v>
      </c>
      <c r="K50" s="81">
        <f t="shared" si="22"/>
        <v>641.36</v>
      </c>
      <c r="L50" s="81">
        <f t="shared" si="4"/>
        <v>5130.88</v>
      </c>
      <c r="M50" s="81">
        <f t="shared" si="23"/>
        <v>547</v>
      </c>
      <c r="N50" s="81">
        <v>82.05</v>
      </c>
      <c r="O50" s="112">
        <f t="shared" si="24"/>
        <v>6.9742500000000005</v>
      </c>
      <c r="P50" s="112">
        <f t="shared" si="25"/>
        <v>7.1793749999999994</v>
      </c>
      <c r="Q50" s="112"/>
      <c r="R50" s="439">
        <f t="shared" si="26"/>
        <v>5774.0836250000002</v>
      </c>
    </row>
    <row r="51" spans="1:18" ht="40.35" customHeight="1" x14ac:dyDescent="0.2">
      <c r="A51" s="1287"/>
      <c r="B51" s="1307"/>
      <c r="C51" s="955" t="str">
        <f>+'PRESUP.DE PERSONAL 2'!C319</f>
        <v>Peon de  Saneamiento III</v>
      </c>
      <c r="D51" s="357">
        <f>+'PRESUP.DE PERSONAL 2'!D319</f>
        <v>1</v>
      </c>
      <c r="E51" s="158">
        <f>+'PRESUP.DE PERSONAL 2'!E319</f>
        <v>467</v>
      </c>
      <c r="F51" s="158">
        <f>+'PRESUP.DE PERSONAL 2'!F319</f>
        <v>467</v>
      </c>
      <c r="G51" s="81">
        <f t="shared" si="20"/>
        <v>39.700000000000003</v>
      </c>
      <c r="H51" s="81">
        <f>ROUND(F51*$H$5,2)</f>
        <v>40.86</v>
      </c>
      <c r="I51" s="159">
        <v>0</v>
      </c>
      <c r="J51" s="159">
        <v>0</v>
      </c>
      <c r="K51" s="81">
        <f t="shared" si="22"/>
        <v>547.55999999999995</v>
      </c>
      <c r="L51" s="81">
        <f t="shared" si="4"/>
        <v>4380.4799999999996</v>
      </c>
      <c r="M51" s="81">
        <f t="shared" si="23"/>
        <v>467</v>
      </c>
      <c r="N51" s="81">
        <v>70.05</v>
      </c>
      <c r="O51" s="112">
        <f t="shared" si="24"/>
        <v>5.95425</v>
      </c>
      <c r="P51" s="112">
        <f t="shared" si="25"/>
        <v>6.1293749999999996</v>
      </c>
      <c r="Q51" s="112"/>
      <c r="R51" s="439">
        <f t="shared" si="26"/>
        <v>4929.613625</v>
      </c>
    </row>
    <row r="52" spans="1:18" ht="40.35" customHeight="1" x14ac:dyDescent="0.2">
      <c r="A52" s="1287"/>
      <c r="B52" s="1307"/>
      <c r="C52" s="955" t="str">
        <f>+'PRESUP.DE PERSONAL 2'!C320</f>
        <v>Peon de  Saneamiento III</v>
      </c>
      <c r="D52" s="357">
        <f>+'PRESUP.DE PERSONAL 2'!D320</f>
        <v>1</v>
      </c>
      <c r="E52" s="158">
        <f>+'PRESUP.DE PERSONAL 2'!E320</f>
        <v>417</v>
      </c>
      <c r="F52" s="158">
        <f>+'PRESUP.DE PERSONAL 2'!F320</f>
        <v>417</v>
      </c>
      <c r="G52" s="81">
        <f t="shared" si="20"/>
        <v>35.450000000000003</v>
      </c>
      <c r="H52" s="81">
        <f>ROUND(F52*$H$5,2)</f>
        <v>36.49</v>
      </c>
      <c r="I52" s="159">
        <v>0</v>
      </c>
      <c r="J52" s="159">
        <v>0</v>
      </c>
      <c r="K52" s="81">
        <f t="shared" si="22"/>
        <v>488.94</v>
      </c>
      <c r="L52" s="81">
        <f t="shared" si="4"/>
        <v>3911.52</v>
      </c>
      <c r="M52" s="81">
        <f t="shared" si="23"/>
        <v>417</v>
      </c>
      <c r="N52" s="81">
        <v>62.55</v>
      </c>
      <c r="O52" s="112">
        <f t="shared" si="24"/>
        <v>5.3167499999999999</v>
      </c>
      <c r="P52" s="112">
        <f t="shared" si="25"/>
        <v>5.4731249999999996</v>
      </c>
      <c r="Q52" s="112"/>
      <c r="R52" s="439">
        <f t="shared" si="26"/>
        <v>4401.859875000001</v>
      </c>
    </row>
    <row r="53" spans="1:18" ht="40.35" customHeight="1" x14ac:dyDescent="0.2">
      <c r="A53" s="1287"/>
      <c r="B53" s="1307"/>
      <c r="C53" s="955" t="str">
        <f>+'PRESUP.DE PERSONAL 2'!C321</f>
        <v>Peon de Aseo plaza cultural</v>
      </c>
      <c r="D53" s="357">
        <f>+'PRESUP.DE PERSONAL 2'!D321</f>
        <v>1</v>
      </c>
      <c r="E53" s="158">
        <f>+'PRESUP.DE PERSONAL 2'!E321</f>
        <v>417</v>
      </c>
      <c r="F53" s="158">
        <f>+'PRESUP.DE PERSONAL 2'!F321</f>
        <v>417</v>
      </c>
      <c r="G53" s="81">
        <f t="shared" si="20"/>
        <v>35.450000000000003</v>
      </c>
      <c r="H53" s="81">
        <f>ROUND(F53*$H$5,2)</f>
        <v>36.49</v>
      </c>
      <c r="I53" s="159">
        <v>0</v>
      </c>
      <c r="J53" s="159">
        <v>0</v>
      </c>
      <c r="K53" s="81">
        <f t="shared" si="22"/>
        <v>488.94</v>
      </c>
      <c r="L53" s="81">
        <f t="shared" si="4"/>
        <v>3911.52</v>
      </c>
      <c r="M53" s="81">
        <f t="shared" si="23"/>
        <v>417</v>
      </c>
      <c r="N53" s="81">
        <v>62.55</v>
      </c>
      <c r="O53" s="112">
        <f t="shared" si="24"/>
        <v>5.3167499999999999</v>
      </c>
      <c r="P53" s="112">
        <f t="shared" si="25"/>
        <v>5.4731249999999996</v>
      </c>
      <c r="Q53" s="112"/>
      <c r="R53" s="439">
        <f t="shared" si="26"/>
        <v>4401.859875000001</v>
      </c>
    </row>
    <row r="54" spans="1:18" ht="40.35" customHeight="1" x14ac:dyDescent="0.2">
      <c r="A54" s="1287"/>
      <c r="B54" s="1307"/>
      <c r="C54" s="955" t="str">
        <f>+'PRESUP.DE PERSONAL 2'!C322</f>
        <v>Encargado de parque y espacios Publicos</v>
      </c>
      <c r="D54" s="357">
        <f>+'PRESUP.DE PERSONAL 2'!D322</f>
        <v>1</v>
      </c>
      <c r="E54" s="158">
        <f>+'PRESUP.DE PERSONAL 2'!E322</f>
        <v>1000</v>
      </c>
      <c r="F54" s="158">
        <f>+'PRESUP.DE PERSONAL 2'!F322</f>
        <v>1000</v>
      </c>
      <c r="G54" s="81">
        <f t="shared" si="20"/>
        <v>85</v>
      </c>
      <c r="H54" s="81">
        <f t="shared" si="17"/>
        <v>87.5</v>
      </c>
      <c r="I54" s="159">
        <v>0</v>
      </c>
      <c r="J54" s="159">
        <v>0</v>
      </c>
      <c r="K54" s="81">
        <f t="shared" si="18"/>
        <v>1172.5</v>
      </c>
      <c r="L54" s="81">
        <f t="shared" si="4"/>
        <v>9380</v>
      </c>
      <c r="M54" s="81">
        <f t="shared" si="23"/>
        <v>1000</v>
      </c>
      <c r="N54" s="81">
        <v>150</v>
      </c>
      <c r="O54" s="112">
        <f t="shared" si="6"/>
        <v>12.750000000000002</v>
      </c>
      <c r="P54" s="112">
        <f t="shared" si="7"/>
        <v>13.125</v>
      </c>
      <c r="Q54" s="112"/>
      <c r="R54" s="439">
        <f t="shared" si="5"/>
        <v>10555.875</v>
      </c>
    </row>
    <row r="55" spans="1:18" ht="40.35" customHeight="1" x14ac:dyDescent="0.2">
      <c r="A55" s="1287"/>
      <c r="B55" s="1307"/>
      <c r="C55" s="955" t="str">
        <f>+'PRESUP.DE PERSONAL 2'!C323</f>
        <v>Encargado de Parque Botanico</v>
      </c>
      <c r="D55" s="357">
        <f>+'PRESUP.DE PERSONAL 2'!D323</f>
        <v>1</v>
      </c>
      <c r="E55" s="158">
        <f>+'PRESUP.DE PERSONAL 2'!E323</f>
        <v>775</v>
      </c>
      <c r="F55" s="158">
        <f>+'PRESUP.DE PERSONAL 2'!F323</f>
        <v>775</v>
      </c>
      <c r="G55" s="81">
        <f t="shared" si="20"/>
        <v>65.88</v>
      </c>
      <c r="H55" s="81">
        <f t="shared" si="17"/>
        <v>67.81</v>
      </c>
      <c r="I55" s="159">
        <v>0</v>
      </c>
      <c r="J55" s="159">
        <v>0</v>
      </c>
      <c r="K55" s="81">
        <f t="shared" si="18"/>
        <v>908.69</v>
      </c>
      <c r="L55" s="81">
        <f t="shared" si="4"/>
        <v>7269.52</v>
      </c>
      <c r="M55" s="81">
        <f t="shared" si="23"/>
        <v>775</v>
      </c>
      <c r="N55" s="81">
        <v>116.25</v>
      </c>
      <c r="O55" s="112">
        <f t="shared" si="6"/>
        <v>9.8812500000000014</v>
      </c>
      <c r="P55" s="112">
        <f t="shared" si="7"/>
        <v>10.171875</v>
      </c>
      <c r="Q55" s="112"/>
      <c r="R55" s="439">
        <f t="shared" si="5"/>
        <v>8180.8231250000008</v>
      </c>
    </row>
    <row r="56" spans="1:18" ht="40.35" customHeight="1" x14ac:dyDescent="0.2">
      <c r="A56" s="1287"/>
      <c r="B56" s="1307"/>
      <c r="C56" s="955" t="str">
        <f>+'PRESUP.DE PERSONAL 2'!C324</f>
        <v>Encargado de parque Infantil</v>
      </c>
      <c r="D56" s="357">
        <f>+'PRESUP.DE PERSONAL 2'!D324</f>
        <v>1</v>
      </c>
      <c r="E56" s="158">
        <f>+'PRESUP.DE PERSONAL 2'!E324</f>
        <v>824.29</v>
      </c>
      <c r="F56" s="158">
        <f>+'PRESUP.DE PERSONAL 2'!F324</f>
        <v>824.29</v>
      </c>
      <c r="G56" s="81">
        <f t="shared" si="20"/>
        <v>70.06</v>
      </c>
      <c r="H56" s="81">
        <v>0</v>
      </c>
      <c r="I56" s="159">
        <v>0</v>
      </c>
      <c r="J56" s="159">
        <f>+F56*6%</f>
        <v>49.457399999999993</v>
      </c>
      <c r="K56" s="81">
        <f t="shared" si="18"/>
        <v>943.80739999999992</v>
      </c>
      <c r="L56" s="81">
        <f t="shared" si="4"/>
        <v>7550.4591999999993</v>
      </c>
      <c r="M56" s="81">
        <f t="shared" si="23"/>
        <v>824.29</v>
      </c>
      <c r="N56" s="81">
        <v>123.64</v>
      </c>
      <c r="O56" s="112">
        <f t="shared" si="6"/>
        <v>10.509400000000001</v>
      </c>
      <c r="P56" s="112">
        <v>0</v>
      </c>
      <c r="Q56" s="112">
        <f>+N56*6%</f>
        <v>7.4184000000000001</v>
      </c>
      <c r="R56" s="439">
        <f t="shared" si="5"/>
        <v>8516.3169999999991</v>
      </c>
    </row>
    <row r="57" spans="1:18" ht="40.35" customHeight="1" x14ac:dyDescent="0.2">
      <c r="A57" s="1287"/>
      <c r="B57" s="1307"/>
      <c r="C57" s="955" t="str">
        <f>+'PRESUP.DE PERSONAL 2'!C325</f>
        <v>Coordinador del Minipolideportivo</v>
      </c>
      <c r="D57" s="357">
        <f>+'PRESUP.DE PERSONAL 2'!D325</f>
        <v>1</v>
      </c>
      <c r="E57" s="158">
        <f>+'PRESUP.DE PERSONAL 2'!E325</f>
        <v>700</v>
      </c>
      <c r="F57" s="158">
        <f>+'PRESUP.DE PERSONAL 2'!F325</f>
        <v>700</v>
      </c>
      <c r="G57" s="81">
        <f t="shared" si="20"/>
        <v>59.5</v>
      </c>
      <c r="H57" s="81">
        <v>0</v>
      </c>
      <c r="I57" s="159">
        <v>0</v>
      </c>
      <c r="J57" s="159">
        <f>+F57*6%</f>
        <v>42</v>
      </c>
      <c r="K57" s="81">
        <f t="shared" si="18"/>
        <v>801.5</v>
      </c>
      <c r="L57" s="81">
        <f t="shared" si="4"/>
        <v>6412</v>
      </c>
      <c r="M57" s="81">
        <f t="shared" si="23"/>
        <v>700</v>
      </c>
      <c r="N57" s="81">
        <v>105</v>
      </c>
      <c r="O57" s="112">
        <f t="shared" si="6"/>
        <v>8.9250000000000007</v>
      </c>
      <c r="P57" s="112">
        <v>0</v>
      </c>
      <c r="Q57" s="112">
        <f>+N57*6%</f>
        <v>6.3</v>
      </c>
      <c r="R57" s="439">
        <f t="shared" si="5"/>
        <v>7232.2250000000004</v>
      </c>
    </row>
    <row r="58" spans="1:18" ht="40.35" customHeight="1" x14ac:dyDescent="0.2">
      <c r="A58" s="1287"/>
      <c r="B58" s="1307"/>
      <c r="C58" s="955" t="str">
        <f>+'PRESUP.DE PERSONAL 2'!C326</f>
        <v>Jardinero</v>
      </c>
      <c r="D58" s="357">
        <f>+'PRESUP.DE PERSONAL 2'!D326</f>
        <v>1</v>
      </c>
      <c r="E58" s="158">
        <f>+'PRESUP.DE PERSONAL 2'!E326</f>
        <v>547</v>
      </c>
      <c r="F58" s="158">
        <f>+'PRESUP.DE PERSONAL 2'!F326</f>
        <v>547</v>
      </c>
      <c r="G58" s="81">
        <f t="shared" si="20"/>
        <v>46.5</v>
      </c>
      <c r="H58" s="81">
        <f t="shared" si="17"/>
        <v>47.86</v>
      </c>
      <c r="I58" s="159">
        <v>0</v>
      </c>
      <c r="J58" s="159">
        <v>0</v>
      </c>
      <c r="K58" s="81">
        <f t="shared" si="18"/>
        <v>641.36</v>
      </c>
      <c r="L58" s="81">
        <f t="shared" si="4"/>
        <v>5130.88</v>
      </c>
      <c r="M58" s="81">
        <f t="shared" si="23"/>
        <v>547</v>
      </c>
      <c r="N58" s="81">
        <v>82.05</v>
      </c>
      <c r="O58" s="112">
        <f t="shared" si="6"/>
        <v>6.9742500000000005</v>
      </c>
      <c r="P58" s="112">
        <f t="shared" si="7"/>
        <v>7.1793749999999994</v>
      </c>
      <c r="Q58" s="112"/>
      <c r="R58" s="439">
        <f t="shared" si="5"/>
        <v>5774.0836250000002</v>
      </c>
    </row>
    <row r="59" spans="1:18" ht="40.35" customHeight="1" x14ac:dyDescent="0.2">
      <c r="A59" s="1287"/>
      <c r="B59" s="1307"/>
      <c r="C59" s="955" t="str">
        <f>+'PRESUP.DE PERSONAL 2'!C327</f>
        <v>Jardinero</v>
      </c>
      <c r="D59" s="357">
        <f>+'PRESUP.DE PERSONAL 2'!D327</f>
        <v>1</v>
      </c>
      <c r="E59" s="158">
        <f>+'PRESUP.DE PERSONAL 2'!E327</f>
        <v>597</v>
      </c>
      <c r="F59" s="158">
        <f>+'PRESUP.DE PERSONAL 2'!F327</f>
        <v>597</v>
      </c>
      <c r="G59" s="81">
        <f t="shared" si="20"/>
        <v>50.75</v>
      </c>
      <c r="H59" s="81">
        <f t="shared" si="17"/>
        <v>52.24</v>
      </c>
      <c r="I59" s="159">
        <v>0</v>
      </c>
      <c r="J59" s="159">
        <v>0</v>
      </c>
      <c r="K59" s="81">
        <f t="shared" si="18"/>
        <v>699.99</v>
      </c>
      <c r="L59" s="81">
        <f t="shared" si="4"/>
        <v>5599.92</v>
      </c>
      <c r="M59" s="81">
        <f t="shared" si="23"/>
        <v>597</v>
      </c>
      <c r="N59" s="81">
        <v>89.55</v>
      </c>
      <c r="O59" s="112">
        <f t="shared" si="6"/>
        <v>7.6117500000000007</v>
      </c>
      <c r="P59" s="112">
        <f t="shared" si="7"/>
        <v>7.8356249999999994</v>
      </c>
      <c r="Q59" s="112"/>
      <c r="R59" s="439">
        <f t="shared" si="5"/>
        <v>6301.917375</v>
      </c>
    </row>
    <row r="60" spans="1:18" ht="40.35" customHeight="1" x14ac:dyDescent="0.2">
      <c r="A60" s="1287"/>
      <c r="B60" s="1307"/>
      <c r="C60" s="955" t="str">
        <f>+'PRESUP.DE PERSONAL 2'!C328</f>
        <v>Peon de Aseo del parque botanico</v>
      </c>
      <c r="D60" s="357">
        <f>+'PRESUP.DE PERSONAL 2'!D328</f>
        <v>1</v>
      </c>
      <c r="E60" s="158">
        <f>+'PRESUP.DE PERSONAL 2'!E328</f>
        <v>744.86</v>
      </c>
      <c r="F60" s="158">
        <f>+'PRESUP.DE PERSONAL 2'!F328</f>
        <v>744.86</v>
      </c>
      <c r="G60" s="81">
        <f t="shared" si="20"/>
        <v>63.31</v>
      </c>
      <c r="H60" s="81">
        <v>0</v>
      </c>
      <c r="I60" s="159">
        <v>0</v>
      </c>
      <c r="J60" s="159">
        <f>+F60*6%</f>
        <v>44.691600000000001</v>
      </c>
      <c r="K60" s="81">
        <f t="shared" si="18"/>
        <v>852.86160000000007</v>
      </c>
      <c r="L60" s="81">
        <f t="shared" si="4"/>
        <v>6822.8928000000005</v>
      </c>
      <c r="M60" s="81">
        <f t="shared" si="23"/>
        <v>744.86</v>
      </c>
      <c r="N60" s="81">
        <v>111.73</v>
      </c>
      <c r="O60" s="112">
        <f t="shared" si="6"/>
        <v>9.4970500000000015</v>
      </c>
      <c r="P60" s="112">
        <v>0</v>
      </c>
      <c r="Q60" s="112">
        <f>+N60*6%</f>
        <v>6.7038000000000002</v>
      </c>
      <c r="R60" s="439">
        <f t="shared" si="5"/>
        <v>7695.6836499999999</v>
      </c>
    </row>
    <row r="61" spans="1:18" ht="40.35" customHeight="1" x14ac:dyDescent="0.2">
      <c r="A61" s="1287"/>
      <c r="B61" s="1307"/>
      <c r="C61" s="955" t="str">
        <f>+'PRESUP.DE PERSONAL 2'!C329</f>
        <v>Peon de Aseo del Miniestadio</v>
      </c>
      <c r="D61" s="357">
        <f>+'PRESUP.DE PERSONAL 2'!D329</f>
        <v>1</v>
      </c>
      <c r="E61" s="158">
        <f>+'PRESUP.DE PERSONAL 2'!E329</f>
        <v>744.86</v>
      </c>
      <c r="F61" s="158">
        <f>+'PRESUP.DE PERSONAL 2'!F329</f>
        <v>744.86</v>
      </c>
      <c r="G61" s="81">
        <f t="shared" si="20"/>
        <v>63.31</v>
      </c>
      <c r="H61" s="81">
        <v>0</v>
      </c>
      <c r="I61" s="159">
        <v>0</v>
      </c>
      <c r="J61" s="159">
        <f>+F61*6%</f>
        <v>44.691600000000001</v>
      </c>
      <c r="K61" s="81">
        <f t="shared" si="18"/>
        <v>852.86160000000007</v>
      </c>
      <c r="L61" s="81">
        <f t="shared" si="4"/>
        <v>6822.8928000000005</v>
      </c>
      <c r="M61" s="81">
        <f t="shared" si="23"/>
        <v>744.86</v>
      </c>
      <c r="N61" s="81">
        <v>111.73</v>
      </c>
      <c r="O61" s="112">
        <f t="shared" si="6"/>
        <v>9.4970500000000015</v>
      </c>
      <c r="P61" s="112">
        <v>0</v>
      </c>
      <c r="Q61" s="112">
        <f>+N61*6%</f>
        <v>6.7038000000000002</v>
      </c>
      <c r="R61" s="439">
        <f t="shared" si="5"/>
        <v>7695.6836499999999</v>
      </c>
    </row>
    <row r="62" spans="1:18" ht="40.35" customHeight="1" x14ac:dyDescent="0.2">
      <c r="A62" s="1287"/>
      <c r="B62" s="1307"/>
      <c r="C62" s="955" t="str">
        <f>+'PRESUP.DE PERSONAL 2'!C330</f>
        <v>Encargado de cancha  Obelisco</v>
      </c>
      <c r="D62" s="357">
        <f>+'PRESUP.DE PERSONAL 2'!D330</f>
        <v>1</v>
      </c>
      <c r="E62" s="158">
        <f>+'PRESUP.DE PERSONAL 2'!E330</f>
        <v>677</v>
      </c>
      <c r="F62" s="158">
        <f>+'PRESUP.DE PERSONAL 2'!F330</f>
        <v>677</v>
      </c>
      <c r="G62" s="81">
        <f t="shared" si="20"/>
        <v>57.55</v>
      </c>
      <c r="H62" s="81">
        <f t="shared" si="17"/>
        <v>59.24</v>
      </c>
      <c r="I62" s="159">
        <v>0</v>
      </c>
      <c r="J62" s="159">
        <v>0</v>
      </c>
      <c r="K62" s="81">
        <f t="shared" si="18"/>
        <v>793.79</v>
      </c>
      <c r="L62" s="81">
        <f t="shared" si="4"/>
        <v>6350.32</v>
      </c>
      <c r="M62" s="81">
        <f t="shared" si="23"/>
        <v>677</v>
      </c>
      <c r="N62" s="81">
        <v>101.55</v>
      </c>
      <c r="O62" s="112">
        <f t="shared" si="6"/>
        <v>8.6317500000000003</v>
      </c>
      <c r="P62" s="112">
        <f t="shared" si="7"/>
        <v>8.8856249999999992</v>
      </c>
      <c r="Q62" s="112"/>
      <c r="R62" s="439">
        <f t="shared" si="5"/>
        <v>7146.3873749999993</v>
      </c>
    </row>
    <row r="63" spans="1:18" ht="40.35" customHeight="1" x14ac:dyDescent="0.2">
      <c r="A63" s="1287"/>
      <c r="B63" s="1307"/>
      <c r="C63" s="955" t="str">
        <f>+'PRESUP.DE PERSONAL 2'!C331</f>
        <v>Peon de Aseo del parque  metalio</v>
      </c>
      <c r="D63" s="357">
        <f>+'PRESUP.DE PERSONAL 2'!D331</f>
        <v>1</v>
      </c>
      <c r="E63" s="158">
        <f>+'PRESUP.DE PERSONAL 2'!E331</f>
        <v>677</v>
      </c>
      <c r="F63" s="158">
        <f>+'PRESUP.DE PERSONAL 2'!F331</f>
        <v>677</v>
      </c>
      <c r="G63" s="81">
        <f t="shared" si="20"/>
        <v>57.55</v>
      </c>
      <c r="H63" s="81">
        <f t="shared" si="17"/>
        <v>59.24</v>
      </c>
      <c r="I63" s="159">
        <v>0</v>
      </c>
      <c r="J63" s="159">
        <v>0</v>
      </c>
      <c r="K63" s="81">
        <f t="shared" si="18"/>
        <v>793.79</v>
      </c>
      <c r="L63" s="81">
        <f t="shared" si="4"/>
        <v>6350.32</v>
      </c>
      <c r="M63" s="81">
        <f t="shared" si="23"/>
        <v>677</v>
      </c>
      <c r="N63" s="81">
        <v>101.55</v>
      </c>
      <c r="O63" s="112">
        <f t="shared" si="6"/>
        <v>8.6317500000000003</v>
      </c>
      <c r="P63" s="112">
        <f t="shared" si="7"/>
        <v>8.8856249999999992</v>
      </c>
      <c r="Q63" s="112"/>
      <c r="R63" s="439">
        <f t="shared" si="5"/>
        <v>7146.3873749999993</v>
      </c>
    </row>
    <row r="64" spans="1:18" ht="40.35" customHeight="1" x14ac:dyDescent="0.2">
      <c r="A64" s="1287"/>
      <c r="B64" s="1307"/>
      <c r="C64" s="955" t="str">
        <f>+'PRESUP.DE PERSONAL 2'!C332</f>
        <v>Encargado de minipolideportivo de Metalio</v>
      </c>
      <c r="D64" s="357">
        <f>+'PRESUP.DE PERSONAL 2'!D332</f>
        <v>1</v>
      </c>
      <c r="E64" s="158">
        <f>+'PRESUP.DE PERSONAL 2'!E332</f>
        <v>700</v>
      </c>
      <c r="F64" s="158">
        <f>+'PRESUP.DE PERSONAL 2'!F332</f>
        <v>700</v>
      </c>
      <c r="G64" s="81">
        <f t="shared" si="20"/>
        <v>59.5</v>
      </c>
      <c r="H64" s="81">
        <f t="shared" si="17"/>
        <v>61.25</v>
      </c>
      <c r="I64" s="159">
        <v>0</v>
      </c>
      <c r="J64" s="159">
        <v>0</v>
      </c>
      <c r="K64" s="81">
        <f t="shared" si="18"/>
        <v>820.75</v>
      </c>
      <c r="L64" s="81">
        <f t="shared" si="4"/>
        <v>6566</v>
      </c>
      <c r="M64" s="81">
        <f t="shared" si="23"/>
        <v>700</v>
      </c>
      <c r="N64" s="81">
        <v>105</v>
      </c>
      <c r="O64" s="112">
        <f t="shared" si="6"/>
        <v>8.9250000000000007</v>
      </c>
      <c r="P64" s="112">
        <f t="shared" si="7"/>
        <v>9.1875</v>
      </c>
      <c r="Q64" s="112"/>
      <c r="R64" s="439">
        <f t="shared" si="5"/>
        <v>7389.1125000000002</v>
      </c>
    </row>
    <row r="65" spans="1:18" ht="40.35" customHeight="1" x14ac:dyDescent="0.2">
      <c r="A65" s="1287"/>
      <c r="B65" s="1307"/>
      <c r="C65" s="955" t="str">
        <f>+'PRESUP.DE PERSONAL 2'!C333</f>
        <v>Encargado de electricistas</v>
      </c>
      <c r="D65" s="357">
        <f>+'PRESUP.DE PERSONAL 2'!D333</f>
        <v>1</v>
      </c>
      <c r="E65" s="158">
        <f>+'PRESUP.DE PERSONAL 2'!E333</f>
        <v>800</v>
      </c>
      <c r="F65" s="158">
        <f>+'PRESUP.DE PERSONAL 2'!F333</f>
        <v>800</v>
      </c>
      <c r="G65" s="81">
        <f t="shared" si="20"/>
        <v>68</v>
      </c>
      <c r="H65" s="81">
        <f t="shared" si="17"/>
        <v>70</v>
      </c>
      <c r="I65" s="159">
        <v>0</v>
      </c>
      <c r="J65" s="159">
        <v>0</v>
      </c>
      <c r="K65" s="81">
        <f t="shared" si="18"/>
        <v>938</v>
      </c>
      <c r="L65" s="81">
        <f t="shared" si="4"/>
        <v>7504</v>
      </c>
      <c r="M65" s="81">
        <f t="shared" si="23"/>
        <v>800</v>
      </c>
      <c r="N65" s="81">
        <v>120</v>
      </c>
      <c r="O65" s="112">
        <f t="shared" si="6"/>
        <v>10.200000000000001</v>
      </c>
      <c r="P65" s="112">
        <f t="shared" si="7"/>
        <v>10.5</v>
      </c>
      <c r="Q65" s="112"/>
      <c r="R65" s="439">
        <f t="shared" si="5"/>
        <v>8444.7000000000007</v>
      </c>
    </row>
    <row r="66" spans="1:18" ht="40.35" customHeight="1" thickBot="1" x14ac:dyDescent="0.25">
      <c r="A66" s="1287"/>
      <c r="B66" s="1307"/>
      <c r="C66" s="966" t="str">
        <f>+'PRESUP.DE PERSONAL 2'!C334</f>
        <v>Asistente</v>
      </c>
      <c r="D66" s="967">
        <f>+'PRESUP.DE PERSONAL 2'!D334</f>
        <v>1</v>
      </c>
      <c r="E66" s="968">
        <f>+'PRESUP.DE PERSONAL 2'!E334</f>
        <v>820</v>
      </c>
      <c r="F66" s="968">
        <f>+'PRESUP.DE PERSONAL 2'!F334</f>
        <v>820</v>
      </c>
      <c r="G66" s="969">
        <f t="shared" si="20"/>
        <v>69.7</v>
      </c>
      <c r="H66" s="969">
        <f t="shared" si="17"/>
        <v>71.75</v>
      </c>
      <c r="I66" s="959">
        <v>0</v>
      </c>
      <c r="J66" s="959">
        <v>0</v>
      </c>
      <c r="K66" s="969">
        <f t="shared" si="18"/>
        <v>961.45</v>
      </c>
      <c r="L66" s="969">
        <f t="shared" si="4"/>
        <v>7691.6</v>
      </c>
      <c r="M66" s="969">
        <f t="shared" si="23"/>
        <v>820</v>
      </c>
      <c r="N66" s="969">
        <v>123</v>
      </c>
      <c r="O66" s="721">
        <f t="shared" si="6"/>
        <v>10.455</v>
      </c>
      <c r="P66" s="721">
        <f t="shared" si="7"/>
        <v>10.762499999999999</v>
      </c>
      <c r="Q66" s="721"/>
      <c r="R66" s="970">
        <f t="shared" si="5"/>
        <v>8655.817500000001</v>
      </c>
    </row>
    <row r="67" spans="1:18" ht="40.35" customHeight="1" x14ac:dyDescent="0.2">
      <c r="A67" s="1287"/>
      <c r="B67" s="1307"/>
      <c r="C67" s="961" t="str">
        <f>+'PRESUP.DE PERSONAL 2'!C335</f>
        <v>Electricista I</v>
      </c>
      <c r="D67" s="962">
        <f>+'PRESUP.DE PERSONAL 2'!D335</f>
        <v>1</v>
      </c>
      <c r="E67" s="963">
        <f>+'PRESUP.DE PERSONAL 2'!E335</f>
        <v>747.72</v>
      </c>
      <c r="F67" s="963">
        <f>+'PRESUP.DE PERSONAL 2'!F335</f>
        <v>747.72</v>
      </c>
      <c r="G67" s="927">
        <f t="shared" si="20"/>
        <v>63.56</v>
      </c>
      <c r="H67" s="927">
        <f t="shared" si="17"/>
        <v>65.430000000000007</v>
      </c>
      <c r="I67" s="952">
        <v>0</v>
      </c>
      <c r="J67" s="952">
        <v>0</v>
      </c>
      <c r="K67" s="927">
        <f t="shared" si="18"/>
        <v>876.71</v>
      </c>
      <c r="L67" s="927">
        <f t="shared" si="4"/>
        <v>7013.68</v>
      </c>
      <c r="M67" s="927">
        <f t="shared" si="23"/>
        <v>747.72</v>
      </c>
      <c r="N67" s="927">
        <v>112.16</v>
      </c>
      <c r="O67" s="729">
        <f t="shared" si="6"/>
        <v>9.5335999999999999</v>
      </c>
      <c r="P67" s="729">
        <f t="shared" si="7"/>
        <v>9.8139999999999983</v>
      </c>
      <c r="Q67" s="729"/>
      <c r="R67" s="964">
        <f t="shared" si="5"/>
        <v>7892.9076000000005</v>
      </c>
    </row>
    <row r="68" spans="1:18" ht="40.35" customHeight="1" x14ac:dyDescent="0.2">
      <c r="A68" s="1287"/>
      <c r="B68" s="1307"/>
      <c r="C68" s="955" t="str">
        <f>+'PRESUP.DE PERSONAL 2'!C336</f>
        <v>Colaborador de electricista</v>
      </c>
      <c r="D68" s="357">
        <f>+'PRESUP.DE PERSONAL 2'!D336</f>
        <v>1</v>
      </c>
      <c r="E68" s="158">
        <f>+'PRESUP.DE PERSONAL 2'!E336</f>
        <v>700</v>
      </c>
      <c r="F68" s="158">
        <f>+'PRESUP.DE PERSONAL 2'!F336</f>
        <v>700</v>
      </c>
      <c r="G68" s="81">
        <f t="shared" si="20"/>
        <v>59.5</v>
      </c>
      <c r="H68" s="81">
        <f t="shared" si="17"/>
        <v>61.25</v>
      </c>
      <c r="I68" s="159">
        <v>0</v>
      </c>
      <c r="J68" s="159">
        <v>0</v>
      </c>
      <c r="K68" s="81">
        <f t="shared" si="18"/>
        <v>820.75</v>
      </c>
      <c r="L68" s="81">
        <f t="shared" si="4"/>
        <v>6566</v>
      </c>
      <c r="M68" s="81">
        <f t="shared" si="23"/>
        <v>700</v>
      </c>
      <c r="N68" s="81">
        <v>105</v>
      </c>
      <c r="O68" s="112">
        <f t="shared" si="6"/>
        <v>8.9250000000000007</v>
      </c>
      <c r="P68" s="112">
        <f t="shared" si="7"/>
        <v>9.1875</v>
      </c>
      <c r="Q68" s="112"/>
      <c r="R68" s="439">
        <f t="shared" si="5"/>
        <v>7389.1125000000002</v>
      </c>
    </row>
    <row r="69" spans="1:18" ht="40.35" customHeight="1" x14ac:dyDescent="0.2">
      <c r="A69" s="1287"/>
      <c r="B69" s="1307"/>
      <c r="C69" s="955" t="str">
        <f>+'PRESUP.DE PERSONAL 2'!C337</f>
        <v>Encargado de cementerio</v>
      </c>
      <c r="D69" s="357">
        <f>+'PRESUP.DE PERSONAL 2'!D337</f>
        <v>1</v>
      </c>
      <c r="E69" s="158">
        <f>+'PRESUP.DE PERSONAL 2'!E337</f>
        <v>1000</v>
      </c>
      <c r="F69" s="158">
        <f>+'PRESUP.DE PERSONAL 2'!F337</f>
        <v>1000</v>
      </c>
      <c r="G69" s="81">
        <f t="shared" si="20"/>
        <v>85</v>
      </c>
      <c r="H69" s="81">
        <f t="shared" si="17"/>
        <v>87.5</v>
      </c>
      <c r="I69" s="159">
        <v>0</v>
      </c>
      <c r="J69" s="159">
        <v>0</v>
      </c>
      <c r="K69" s="81">
        <f t="shared" si="18"/>
        <v>1172.5</v>
      </c>
      <c r="L69" s="81">
        <f>SUM(K69*8)</f>
        <v>9380</v>
      </c>
      <c r="M69" s="81">
        <f t="shared" si="23"/>
        <v>1000</v>
      </c>
      <c r="N69" s="81">
        <v>150</v>
      </c>
      <c r="O69" s="112">
        <f t="shared" si="6"/>
        <v>12.750000000000002</v>
      </c>
      <c r="P69" s="112">
        <f t="shared" si="7"/>
        <v>13.125</v>
      </c>
      <c r="Q69" s="112"/>
      <c r="R69" s="439">
        <f t="shared" si="5"/>
        <v>10555.875</v>
      </c>
    </row>
    <row r="70" spans="1:18" ht="40.35" customHeight="1" x14ac:dyDescent="0.2">
      <c r="A70" s="1287"/>
      <c r="B70" s="1307"/>
      <c r="C70" s="955" t="str">
        <f>+'PRESUP.DE PERSONAL 2'!C338</f>
        <v>Custodio de Cementerio</v>
      </c>
      <c r="D70" s="357">
        <f>+'PRESUP.DE PERSONAL 2'!D338</f>
        <v>1</v>
      </c>
      <c r="E70" s="158">
        <f>+'PRESUP.DE PERSONAL 2'!E338</f>
        <v>747.72</v>
      </c>
      <c r="F70" s="158">
        <f>+'PRESUP.DE PERSONAL 2'!F338</f>
        <v>747.72</v>
      </c>
      <c r="G70" s="81">
        <f t="shared" ref="G70:G87" si="27">ROUND(IF(E70&gt;=1000, 1000*$G$5, $F70*$G$5),2)</f>
        <v>63.56</v>
      </c>
      <c r="H70" s="81">
        <f t="shared" si="17"/>
        <v>65.430000000000007</v>
      </c>
      <c r="I70" s="159">
        <v>0</v>
      </c>
      <c r="J70" s="159">
        <v>0</v>
      </c>
      <c r="K70" s="81">
        <f t="shared" si="18"/>
        <v>876.71</v>
      </c>
      <c r="L70" s="81">
        <f t="shared" si="4"/>
        <v>7013.68</v>
      </c>
      <c r="M70" s="81">
        <f t="shared" si="23"/>
        <v>747.72</v>
      </c>
      <c r="N70" s="81">
        <v>112.16</v>
      </c>
      <c r="O70" s="112">
        <f t="shared" si="6"/>
        <v>9.5335999999999999</v>
      </c>
      <c r="P70" s="112">
        <f t="shared" si="7"/>
        <v>9.8139999999999983</v>
      </c>
      <c r="Q70" s="112"/>
      <c r="R70" s="439">
        <f t="shared" si="5"/>
        <v>7892.9076000000005</v>
      </c>
    </row>
    <row r="71" spans="1:18" ht="40.35" customHeight="1" x14ac:dyDescent="0.2">
      <c r="A71" s="1287"/>
      <c r="B71" s="1307"/>
      <c r="C71" s="955" t="str">
        <f>+'PRESUP.DE PERSONAL 2'!C339</f>
        <v>Encargado de mantenimiento General</v>
      </c>
      <c r="D71" s="357">
        <f>+'PRESUP.DE PERSONAL 2'!D339</f>
        <v>1</v>
      </c>
      <c r="E71" s="158">
        <f>+'PRESUP.DE PERSONAL 2'!E339</f>
        <v>875</v>
      </c>
      <c r="F71" s="158">
        <f>+'PRESUP.DE PERSONAL 2'!F339</f>
        <v>875</v>
      </c>
      <c r="G71" s="81">
        <f t="shared" si="27"/>
        <v>74.38</v>
      </c>
      <c r="H71" s="81">
        <f t="shared" si="17"/>
        <v>76.56</v>
      </c>
      <c r="I71" s="159">
        <v>0</v>
      </c>
      <c r="J71" s="159">
        <v>0</v>
      </c>
      <c r="K71" s="81">
        <f t="shared" si="18"/>
        <v>1025.94</v>
      </c>
      <c r="L71" s="81">
        <f t="shared" si="4"/>
        <v>8207.52</v>
      </c>
      <c r="M71" s="81">
        <f t="shared" si="23"/>
        <v>875</v>
      </c>
      <c r="N71" s="81">
        <v>131.25</v>
      </c>
      <c r="O71" s="112">
        <f t="shared" si="6"/>
        <v>11.15625</v>
      </c>
      <c r="P71" s="112">
        <f t="shared" si="7"/>
        <v>11.484375</v>
      </c>
      <c r="Q71" s="112"/>
      <c r="R71" s="439">
        <f t="shared" si="5"/>
        <v>9236.4106250000004</v>
      </c>
    </row>
    <row r="72" spans="1:18" ht="40.35" customHeight="1" x14ac:dyDescent="0.2">
      <c r="A72" s="1287"/>
      <c r="B72" s="1307"/>
      <c r="C72" s="955" t="str">
        <f>+'PRESUP.DE PERSONAL 2'!C340</f>
        <v>Bodeguero</v>
      </c>
      <c r="D72" s="357">
        <f>+'PRESUP.DE PERSONAL 2'!D340</f>
        <v>1</v>
      </c>
      <c r="E72" s="158">
        <f>+'PRESUP.DE PERSONAL 2'!E340</f>
        <v>650</v>
      </c>
      <c r="F72" s="158">
        <f>+'PRESUP.DE PERSONAL 2'!F340</f>
        <v>650</v>
      </c>
      <c r="G72" s="81">
        <f t="shared" si="27"/>
        <v>55.25</v>
      </c>
      <c r="H72" s="81">
        <f t="shared" si="17"/>
        <v>56.88</v>
      </c>
      <c r="I72" s="159">
        <v>0</v>
      </c>
      <c r="J72" s="159">
        <v>0</v>
      </c>
      <c r="K72" s="81">
        <f t="shared" si="18"/>
        <v>762.13</v>
      </c>
      <c r="L72" s="81">
        <f t="shared" si="4"/>
        <v>6097.04</v>
      </c>
      <c r="M72" s="81">
        <f t="shared" si="23"/>
        <v>650</v>
      </c>
      <c r="N72" s="81">
        <v>97.5</v>
      </c>
      <c r="O72" s="112">
        <f t="shared" si="6"/>
        <v>8.2875000000000014</v>
      </c>
      <c r="P72" s="112">
        <f t="shared" si="7"/>
        <v>8.53125</v>
      </c>
      <c r="Q72" s="112"/>
      <c r="R72" s="439">
        <f t="shared" si="5"/>
        <v>6861.3587500000003</v>
      </c>
    </row>
    <row r="73" spans="1:18" ht="40.35" customHeight="1" x14ac:dyDescent="0.2">
      <c r="A73" s="1287"/>
      <c r="B73" s="1307"/>
      <c r="C73" s="955" t="str">
        <f>+'PRESUP.DE PERSONAL 2'!C341</f>
        <v>Pintor</v>
      </c>
      <c r="D73" s="357">
        <f>+'PRESUP.DE PERSONAL 2'!D341</f>
        <v>1</v>
      </c>
      <c r="E73" s="158">
        <f>+'PRESUP.DE PERSONAL 2'!E341</f>
        <v>684</v>
      </c>
      <c r="F73" s="158">
        <f>+'PRESUP.DE PERSONAL 2'!F341</f>
        <v>684</v>
      </c>
      <c r="G73" s="81">
        <f t="shared" si="27"/>
        <v>58.14</v>
      </c>
      <c r="H73" s="81">
        <f t="shared" si="17"/>
        <v>59.85</v>
      </c>
      <c r="I73" s="159">
        <v>0</v>
      </c>
      <c r="J73" s="159">
        <v>0</v>
      </c>
      <c r="K73" s="81">
        <f t="shared" si="18"/>
        <v>801.99</v>
      </c>
      <c r="L73" s="81">
        <f t="shared" si="4"/>
        <v>6415.92</v>
      </c>
      <c r="M73" s="81">
        <f t="shared" si="23"/>
        <v>684</v>
      </c>
      <c r="N73" s="81">
        <v>102.6</v>
      </c>
      <c r="O73" s="112">
        <f t="shared" si="6"/>
        <v>8.7210000000000001</v>
      </c>
      <c r="P73" s="112">
        <f t="shared" si="7"/>
        <v>8.9774999999999991</v>
      </c>
      <c r="Q73" s="112"/>
      <c r="R73" s="439">
        <f t="shared" si="5"/>
        <v>7220.2184999999999</v>
      </c>
    </row>
    <row r="74" spans="1:18" ht="40.35" customHeight="1" x14ac:dyDescent="0.2">
      <c r="A74" s="1287"/>
      <c r="B74" s="1307"/>
      <c r="C74" s="955" t="str">
        <f>+'PRESUP.DE PERSONAL 2'!C342</f>
        <v>Mecanico</v>
      </c>
      <c r="D74" s="357">
        <f>+'PRESUP.DE PERSONAL 2'!D342</f>
        <v>1</v>
      </c>
      <c r="E74" s="158">
        <f>+'PRESUP.DE PERSONAL 2'!E342</f>
        <v>600</v>
      </c>
      <c r="F74" s="158">
        <f>+'PRESUP.DE PERSONAL 2'!F342</f>
        <v>600</v>
      </c>
      <c r="G74" s="81">
        <f t="shared" si="27"/>
        <v>51</v>
      </c>
      <c r="H74" s="81">
        <f t="shared" si="17"/>
        <v>52.5</v>
      </c>
      <c r="I74" s="159">
        <v>0</v>
      </c>
      <c r="J74" s="159">
        <v>0</v>
      </c>
      <c r="K74" s="81">
        <f t="shared" si="18"/>
        <v>703.5</v>
      </c>
      <c r="L74" s="81">
        <f t="shared" si="4"/>
        <v>5628</v>
      </c>
      <c r="M74" s="81">
        <f t="shared" si="23"/>
        <v>600</v>
      </c>
      <c r="N74" s="81">
        <v>90</v>
      </c>
      <c r="O74" s="112">
        <f t="shared" si="6"/>
        <v>7.65</v>
      </c>
      <c r="P74" s="112">
        <f t="shared" si="7"/>
        <v>7.8749999999999991</v>
      </c>
      <c r="Q74" s="112"/>
      <c r="R74" s="439">
        <f t="shared" si="5"/>
        <v>6333.5249999999996</v>
      </c>
    </row>
    <row r="75" spans="1:18" ht="40.35" customHeight="1" x14ac:dyDescent="0.2">
      <c r="A75" s="1287"/>
      <c r="B75" s="1307"/>
      <c r="C75" s="955" t="str">
        <f>+'PRESUP.DE PERSONAL 2'!C343</f>
        <v>Auxiliar de Mecanico</v>
      </c>
      <c r="D75" s="357">
        <f>+'PRESUP.DE PERSONAL 2'!D343</f>
        <v>1</v>
      </c>
      <c r="E75" s="158">
        <f>+'PRESUP.DE PERSONAL 2'!E343</f>
        <v>597</v>
      </c>
      <c r="F75" s="158">
        <f>+'PRESUP.DE PERSONAL 2'!F343</f>
        <v>597</v>
      </c>
      <c r="G75" s="81">
        <f t="shared" si="27"/>
        <v>50.75</v>
      </c>
      <c r="H75" s="81">
        <f t="shared" si="17"/>
        <v>52.24</v>
      </c>
      <c r="I75" s="159">
        <v>0</v>
      </c>
      <c r="J75" s="159">
        <v>0</v>
      </c>
      <c r="K75" s="81">
        <f t="shared" si="18"/>
        <v>699.99</v>
      </c>
      <c r="L75" s="81">
        <f t="shared" si="4"/>
        <v>5599.92</v>
      </c>
      <c r="M75" s="81">
        <f t="shared" si="23"/>
        <v>597</v>
      </c>
      <c r="N75" s="81">
        <v>89.55</v>
      </c>
      <c r="O75" s="112">
        <f t="shared" si="6"/>
        <v>7.6117500000000007</v>
      </c>
      <c r="P75" s="112">
        <f t="shared" si="7"/>
        <v>7.8356249999999994</v>
      </c>
      <c r="Q75" s="112"/>
      <c r="R75" s="439">
        <f t="shared" si="5"/>
        <v>6301.917375</v>
      </c>
    </row>
    <row r="76" spans="1:18" ht="40.35" customHeight="1" x14ac:dyDescent="0.2">
      <c r="A76" s="1287"/>
      <c r="B76" s="1307"/>
      <c r="C76" s="955" t="str">
        <f>+'PRESUP.DE PERSONAL 2'!C345</f>
        <v>Administrador de Mercados y Terminal</v>
      </c>
      <c r="D76" s="357">
        <f>+'PRESUP.DE PERSONAL 2'!D345</f>
        <v>1</v>
      </c>
      <c r="E76" s="158">
        <f>+'PRESUP.DE PERSONAL 2'!E345</f>
        <v>1200</v>
      </c>
      <c r="F76" s="158">
        <f>+'PRESUP.DE PERSONAL 2'!F345</f>
        <v>1200</v>
      </c>
      <c r="G76" s="81">
        <f t="shared" si="27"/>
        <v>85</v>
      </c>
      <c r="H76" s="81">
        <f t="shared" si="17"/>
        <v>105</v>
      </c>
      <c r="I76" s="159">
        <v>0</v>
      </c>
      <c r="J76" s="159">
        <v>0</v>
      </c>
      <c r="K76" s="81">
        <f t="shared" si="18"/>
        <v>1390</v>
      </c>
      <c r="L76" s="81">
        <f t="shared" ref="L76:L87" si="28">SUM(K76*8)</f>
        <v>11120</v>
      </c>
      <c r="M76" s="81">
        <f t="shared" si="23"/>
        <v>1200</v>
      </c>
      <c r="N76" s="81">
        <v>180</v>
      </c>
      <c r="O76" s="112">
        <f t="shared" si="6"/>
        <v>15.3</v>
      </c>
      <c r="P76" s="112">
        <f t="shared" si="7"/>
        <v>15.749999999999998</v>
      </c>
      <c r="Q76" s="112"/>
      <c r="R76" s="439">
        <f t="shared" si="5"/>
        <v>12531.05</v>
      </c>
    </row>
    <row r="77" spans="1:18" ht="40.35" customHeight="1" x14ac:dyDescent="0.2">
      <c r="A77" s="1287"/>
      <c r="B77" s="1307"/>
      <c r="C77" s="955" t="str">
        <f>+'PRESUP.DE PERSONAL 2'!C346</f>
        <v>Sub jefe de Mercados y Terminal</v>
      </c>
      <c r="D77" s="357">
        <f>+'PRESUP.DE PERSONAL 2'!D346</f>
        <v>1</v>
      </c>
      <c r="E77" s="158">
        <f>+'PRESUP.DE PERSONAL 2'!E346</f>
        <v>750</v>
      </c>
      <c r="F77" s="158">
        <f>+'PRESUP.DE PERSONAL 2'!F346</f>
        <v>750</v>
      </c>
      <c r="G77" s="81">
        <f t="shared" si="27"/>
        <v>63.75</v>
      </c>
      <c r="H77" s="81">
        <f t="shared" si="17"/>
        <v>65.63</v>
      </c>
      <c r="I77" s="159">
        <v>0</v>
      </c>
      <c r="J77" s="159">
        <v>0</v>
      </c>
      <c r="K77" s="81">
        <f t="shared" si="18"/>
        <v>879.38</v>
      </c>
      <c r="L77" s="81">
        <f t="shared" si="28"/>
        <v>7035.04</v>
      </c>
      <c r="M77" s="81">
        <f t="shared" si="23"/>
        <v>750</v>
      </c>
      <c r="N77" s="81">
        <v>112.5</v>
      </c>
      <c r="O77" s="112">
        <f t="shared" si="6"/>
        <v>9.5625</v>
      </c>
      <c r="P77" s="112">
        <f t="shared" si="7"/>
        <v>9.84375</v>
      </c>
      <c r="Q77" s="112"/>
      <c r="R77" s="439">
        <f t="shared" si="5"/>
        <v>7916.94625</v>
      </c>
    </row>
    <row r="78" spans="1:18" ht="40.35" customHeight="1" x14ac:dyDescent="0.2">
      <c r="A78" s="1287"/>
      <c r="B78" s="1307"/>
      <c r="C78" s="955" t="str">
        <f>+'PRESUP.DE PERSONAL 2'!C347</f>
        <v>Asistente de Mercados y Terminal</v>
      </c>
      <c r="D78" s="357">
        <f>+'PRESUP.DE PERSONAL 2'!D347</f>
        <v>1</v>
      </c>
      <c r="E78" s="158">
        <f>+'PRESUP.DE PERSONAL 2'!E347</f>
        <v>1000</v>
      </c>
      <c r="F78" s="158">
        <f>+'PRESUP.DE PERSONAL 2'!F347</f>
        <v>1000</v>
      </c>
      <c r="G78" s="81">
        <f t="shared" si="27"/>
        <v>85</v>
      </c>
      <c r="H78" s="81">
        <f t="shared" si="17"/>
        <v>87.5</v>
      </c>
      <c r="I78" s="159">
        <v>0</v>
      </c>
      <c r="J78" s="159">
        <v>0</v>
      </c>
      <c r="K78" s="81">
        <f t="shared" si="18"/>
        <v>1172.5</v>
      </c>
      <c r="L78" s="81">
        <f t="shared" si="28"/>
        <v>9380</v>
      </c>
      <c r="M78" s="81">
        <f t="shared" si="23"/>
        <v>1000</v>
      </c>
      <c r="N78" s="81">
        <v>150</v>
      </c>
      <c r="O78" s="112">
        <f t="shared" si="6"/>
        <v>12.750000000000002</v>
      </c>
      <c r="P78" s="112">
        <f t="shared" si="7"/>
        <v>13.125</v>
      </c>
      <c r="Q78" s="112"/>
      <c r="R78" s="439">
        <f t="shared" si="5"/>
        <v>10555.875</v>
      </c>
    </row>
    <row r="79" spans="1:18" ht="40.35" customHeight="1" x14ac:dyDescent="0.2">
      <c r="A79" s="1287"/>
      <c r="B79" s="1307"/>
      <c r="C79" s="955" t="str">
        <f>+'PRESUP.DE PERSONAL 2'!C348</f>
        <v>Secretaria de Mercados y Terminal</v>
      </c>
      <c r="D79" s="357">
        <f>+'PRESUP.DE PERSONAL 2'!D348</f>
        <v>1</v>
      </c>
      <c r="E79" s="158">
        <f>+'PRESUP.DE PERSONAL 2'!E348</f>
        <v>700</v>
      </c>
      <c r="F79" s="158">
        <f>+'PRESUP.DE PERSONAL 2'!F348</f>
        <v>700</v>
      </c>
      <c r="G79" s="81">
        <f t="shared" si="27"/>
        <v>59.5</v>
      </c>
      <c r="H79" s="81">
        <f t="shared" si="17"/>
        <v>61.25</v>
      </c>
      <c r="I79" s="159">
        <v>0</v>
      </c>
      <c r="J79" s="159">
        <v>0</v>
      </c>
      <c r="K79" s="81">
        <f t="shared" si="18"/>
        <v>820.75</v>
      </c>
      <c r="L79" s="81">
        <f t="shared" si="28"/>
        <v>6566</v>
      </c>
      <c r="M79" s="81">
        <f t="shared" si="23"/>
        <v>700</v>
      </c>
      <c r="N79" s="81">
        <v>0</v>
      </c>
      <c r="O79" s="112">
        <f t="shared" si="6"/>
        <v>0</v>
      </c>
      <c r="P79" s="112">
        <f t="shared" si="7"/>
        <v>0</v>
      </c>
      <c r="Q79" s="112"/>
      <c r="R79" s="439">
        <f t="shared" si="5"/>
        <v>7266</v>
      </c>
    </row>
    <row r="80" spans="1:18" ht="40.35" customHeight="1" x14ac:dyDescent="0.2">
      <c r="A80" s="1287"/>
      <c r="B80" s="1307"/>
      <c r="C80" s="955" t="str">
        <f>+'PRESUP.DE PERSONAL 2'!C349</f>
        <v>Ordenanzas de Mercados Municipales</v>
      </c>
      <c r="D80" s="357">
        <f>+'PRESUP.DE PERSONAL 2'!D349</f>
        <v>1</v>
      </c>
      <c r="E80" s="158">
        <f>+'PRESUP.DE PERSONAL 2'!E349</f>
        <v>417</v>
      </c>
      <c r="F80" s="158">
        <f>+'PRESUP.DE PERSONAL 2'!F349</f>
        <v>417</v>
      </c>
      <c r="G80" s="81">
        <f t="shared" si="27"/>
        <v>35.450000000000003</v>
      </c>
      <c r="H80" s="81">
        <f t="shared" si="17"/>
        <v>36.49</v>
      </c>
      <c r="I80" s="159">
        <v>0</v>
      </c>
      <c r="J80" s="159">
        <v>0</v>
      </c>
      <c r="K80" s="81">
        <f t="shared" si="18"/>
        <v>488.94</v>
      </c>
      <c r="L80" s="81">
        <f t="shared" si="28"/>
        <v>3911.52</v>
      </c>
      <c r="M80" s="81">
        <f t="shared" si="23"/>
        <v>417</v>
      </c>
      <c r="N80" s="81">
        <v>0</v>
      </c>
      <c r="O80" s="112">
        <f t="shared" si="6"/>
        <v>0</v>
      </c>
      <c r="P80" s="112">
        <f t="shared" si="7"/>
        <v>0</v>
      </c>
      <c r="Q80" s="112"/>
      <c r="R80" s="439">
        <f t="shared" ref="R80:R87" si="29">SUM(L80:Q80)</f>
        <v>4328.5200000000004</v>
      </c>
    </row>
    <row r="81" spans="1:19" ht="40.35" customHeight="1" x14ac:dyDescent="0.2">
      <c r="A81" s="1287"/>
      <c r="B81" s="1307"/>
      <c r="C81" s="955" t="str">
        <f>+'PRESUP.DE PERSONAL 2'!C350</f>
        <v>Inspector de Abasto</v>
      </c>
      <c r="D81" s="357">
        <f>+'PRESUP.DE PERSONAL 2'!D350</f>
        <v>1</v>
      </c>
      <c r="E81" s="158">
        <f>+'PRESUP.DE PERSONAL 2'!E350</f>
        <v>735.15</v>
      </c>
      <c r="F81" s="158">
        <f>+'PRESUP.DE PERSONAL 2'!F350</f>
        <v>735.15</v>
      </c>
      <c r="G81" s="81">
        <f t="shared" si="27"/>
        <v>62.49</v>
      </c>
      <c r="H81" s="81">
        <f t="shared" si="17"/>
        <v>64.33</v>
      </c>
      <c r="I81" s="159">
        <v>0</v>
      </c>
      <c r="J81" s="159">
        <v>0</v>
      </c>
      <c r="K81" s="81">
        <f t="shared" si="18"/>
        <v>861.97</v>
      </c>
      <c r="L81" s="81">
        <f t="shared" si="28"/>
        <v>6895.76</v>
      </c>
      <c r="M81" s="81">
        <f t="shared" si="23"/>
        <v>735.15</v>
      </c>
      <c r="N81" s="81">
        <v>110.27</v>
      </c>
      <c r="O81" s="112">
        <f t="shared" si="6"/>
        <v>9.3729499999999994</v>
      </c>
      <c r="P81" s="112">
        <f t="shared" si="7"/>
        <v>9.6486249999999991</v>
      </c>
      <c r="Q81" s="112"/>
      <c r="R81" s="439">
        <f t="shared" si="29"/>
        <v>7760.201575</v>
      </c>
    </row>
    <row r="82" spans="1:19" ht="40.35" customHeight="1" x14ac:dyDescent="0.2">
      <c r="A82" s="1287"/>
      <c r="B82" s="1307"/>
      <c r="C82" s="955" t="str">
        <f>+'PRESUP.DE PERSONAL 2'!C351</f>
        <v>Cobrador I</v>
      </c>
      <c r="D82" s="357">
        <f>+'PRESUP.DE PERSONAL 2'!D351</f>
        <v>1</v>
      </c>
      <c r="E82" s="158">
        <f>+'PRESUP.DE PERSONAL 2'!E351</f>
        <v>700</v>
      </c>
      <c r="F82" s="158">
        <f>+'PRESUP.DE PERSONAL 2'!F351</f>
        <v>700</v>
      </c>
      <c r="G82" s="81">
        <f t="shared" si="27"/>
        <v>59.5</v>
      </c>
      <c r="H82" s="81">
        <f t="shared" si="17"/>
        <v>61.25</v>
      </c>
      <c r="I82" s="159">
        <v>0</v>
      </c>
      <c r="J82" s="159">
        <v>0</v>
      </c>
      <c r="K82" s="81">
        <f t="shared" si="18"/>
        <v>820.75</v>
      </c>
      <c r="L82" s="81">
        <f t="shared" si="28"/>
        <v>6566</v>
      </c>
      <c r="M82" s="81">
        <f t="shared" si="23"/>
        <v>700</v>
      </c>
      <c r="N82" s="81">
        <v>105</v>
      </c>
      <c r="O82" s="112">
        <f t="shared" si="6"/>
        <v>8.9250000000000007</v>
      </c>
      <c r="P82" s="112">
        <f t="shared" si="7"/>
        <v>9.1875</v>
      </c>
      <c r="Q82" s="112"/>
      <c r="R82" s="439">
        <f t="shared" si="29"/>
        <v>7389.1125000000002</v>
      </c>
    </row>
    <row r="83" spans="1:19" ht="40.35" customHeight="1" x14ac:dyDescent="0.2">
      <c r="A83" s="1287"/>
      <c r="B83" s="1307"/>
      <c r="C83" s="955" t="str">
        <f>+'PRESUP.DE PERSONAL 2'!C352</f>
        <v>Cobrador I</v>
      </c>
      <c r="D83" s="357">
        <f>+'PRESUP.DE PERSONAL 2'!D352</f>
        <v>2</v>
      </c>
      <c r="E83" s="158">
        <f>+'PRESUP.DE PERSONAL 2'!E352</f>
        <v>684</v>
      </c>
      <c r="F83" s="158">
        <f>+'PRESUP.DE PERSONAL 2'!F352</f>
        <v>1368</v>
      </c>
      <c r="G83" s="81">
        <f t="shared" si="27"/>
        <v>116.28</v>
      </c>
      <c r="H83" s="81">
        <f t="shared" si="17"/>
        <v>119.7</v>
      </c>
      <c r="I83" s="159">
        <v>0</v>
      </c>
      <c r="J83" s="159">
        <v>0</v>
      </c>
      <c r="K83" s="81">
        <f t="shared" si="18"/>
        <v>1603.98</v>
      </c>
      <c r="L83" s="81">
        <f t="shared" si="28"/>
        <v>12831.84</v>
      </c>
      <c r="M83" s="81">
        <f t="shared" si="23"/>
        <v>1368</v>
      </c>
      <c r="N83" s="81">
        <f>102.6*2</f>
        <v>205.2</v>
      </c>
      <c r="O83" s="112">
        <f t="shared" si="6"/>
        <v>17.442</v>
      </c>
      <c r="P83" s="112">
        <f t="shared" si="7"/>
        <v>17.954999999999998</v>
      </c>
      <c r="Q83" s="112"/>
      <c r="R83" s="439">
        <f t="shared" si="29"/>
        <v>14440.437</v>
      </c>
    </row>
    <row r="84" spans="1:19" ht="40.35" customHeight="1" x14ac:dyDescent="0.2">
      <c r="A84" s="1287"/>
      <c r="B84" s="1307"/>
      <c r="C84" s="955" t="str">
        <f>+'PRESUP.DE PERSONAL 2'!C353</f>
        <v>Cobrador II</v>
      </c>
      <c r="D84" s="357">
        <f>+'PRESUP.DE PERSONAL 2'!D353</f>
        <v>1</v>
      </c>
      <c r="E84" s="158">
        <f>+'PRESUP.DE PERSONAL 2'!E353</f>
        <v>517</v>
      </c>
      <c r="F84" s="158">
        <f>+'PRESUP.DE PERSONAL 2'!F353</f>
        <v>517</v>
      </c>
      <c r="G84" s="81">
        <f t="shared" si="27"/>
        <v>43.95</v>
      </c>
      <c r="H84" s="81">
        <f t="shared" si="17"/>
        <v>45.24</v>
      </c>
      <c r="I84" s="159">
        <v>0</v>
      </c>
      <c r="J84" s="159">
        <v>0</v>
      </c>
      <c r="K84" s="81">
        <f t="shared" si="18"/>
        <v>606.19000000000005</v>
      </c>
      <c r="L84" s="81">
        <f t="shared" si="28"/>
        <v>4849.5200000000004</v>
      </c>
      <c r="M84" s="81">
        <f t="shared" si="23"/>
        <v>517</v>
      </c>
      <c r="N84" s="81">
        <v>77.55</v>
      </c>
      <c r="O84" s="112">
        <f t="shared" si="6"/>
        <v>6.5917500000000002</v>
      </c>
      <c r="P84" s="112">
        <f t="shared" si="7"/>
        <v>6.7856249999999996</v>
      </c>
      <c r="Q84" s="112"/>
      <c r="R84" s="439">
        <f t="shared" si="29"/>
        <v>5457.4473750000006</v>
      </c>
    </row>
    <row r="85" spans="1:19" ht="40.35" customHeight="1" x14ac:dyDescent="0.2">
      <c r="A85" s="1287"/>
      <c r="B85" s="1307"/>
      <c r="C85" s="955" t="str">
        <f>+'PRESUP.DE PERSONAL 2'!C354</f>
        <v>Cobrador III</v>
      </c>
      <c r="D85" s="357">
        <f>+'PRESUP.DE PERSONAL 2'!D354</f>
        <v>1</v>
      </c>
      <c r="E85" s="158">
        <f>+'PRESUP.DE PERSONAL 2'!E354</f>
        <v>467</v>
      </c>
      <c r="F85" s="158">
        <f>+'PRESUP.DE PERSONAL 2'!F354</f>
        <v>467</v>
      </c>
      <c r="G85" s="81">
        <f t="shared" si="27"/>
        <v>39.700000000000003</v>
      </c>
      <c r="H85" s="81">
        <f t="shared" si="17"/>
        <v>40.86</v>
      </c>
      <c r="I85" s="159">
        <v>0</v>
      </c>
      <c r="J85" s="159">
        <v>0</v>
      </c>
      <c r="K85" s="81">
        <f t="shared" si="18"/>
        <v>547.55999999999995</v>
      </c>
      <c r="L85" s="81">
        <f t="shared" si="28"/>
        <v>4380.4799999999996</v>
      </c>
      <c r="M85" s="81">
        <f t="shared" si="23"/>
        <v>467</v>
      </c>
      <c r="N85" s="81">
        <v>70.05</v>
      </c>
      <c r="O85" s="112">
        <f>+N85*8.5%</f>
        <v>5.95425</v>
      </c>
      <c r="P85" s="112">
        <f t="shared" si="7"/>
        <v>6.1293749999999996</v>
      </c>
      <c r="Q85" s="112"/>
      <c r="R85" s="439">
        <f t="shared" si="29"/>
        <v>4929.613625</v>
      </c>
    </row>
    <row r="86" spans="1:19" ht="40.35" customHeight="1" x14ac:dyDescent="0.2">
      <c r="A86" s="1287"/>
      <c r="B86" s="1307"/>
      <c r="C86" s="955" t="str">
        <f>+'PRESUP.DE PERSONAL 2'!C355</f>
        <v>Encargado de Plaza Artesanal</v>
      </c>
      <c r="D86" s="357">
        <f>+'PRESUP.DE PERSONAL 2'!D355</f>
        <v>1</v>
      </c>
      <c r="E86" s="158">
        <f>+'PRESUP.DE PERSONAL 2'!E355</f>
        <v>700</v>
      </c>
      <c r="F86" s="158">
        <f>+'PRESUP.DE PERSONAL 2'!F355</f>
        <v>700</v>
      </c>
      <c r="G86" s="81">
        <f t="shared" si="27"/>
        <v>59.5</v>
      </c>
      <c r="H86" s="81">
        <f t="shared" si="17"/>
        <v>61.25</v>
      </c>
      <c r="I86" s="159">
        <v>0</v>
      </c>
      <c r="J86" s="159">
        <v>0</v>
      </c>
      <c r="K86" s="81">
        <f t="shared" si="18"/>
        <v>820.75</v>
      </c>
      <c r="L86" s="81">
        <f t="shared" si="28"/>
        <v>6566</v>
      </c>
      <c r="M86" s="81">
        <f t="shared" si="23"/>
        <v>700</v>
      </c>
      <c r="N86" s="81">
        <v>105</v>
      </c>
      <c r="O86" s="112">
        <f>+N86*8.5%</f>
        <v>8.9250000000000007</v>
      </c>
      <c r="P86" s="112">
        <f>+N86*8.75%</f>
        <v>9.1875</v>
      </c>
      <c r="Q86" s="112"/>
      <c r="R86" s="439">
        <f t="shared" si="29"/>
        <v>7389.1125000000002</v>
      </c>
    </row>
    <row r="87" spans="1:19" ht="40.35" customHeight="1" x14ac:dyDescent="0.2">
      <c r="A87" s="1287"/>
      <c r="B87" s="1307"/>
      <c r="C87" s="955" t="str">
        <f>+'PRESUP.DE PERSONAL 2'!C356</f>
        <v>Encargado de Plaza Cultural</v>
      </c>
      <c r="D87" s="357">
        <f>+'PRESUP.DE PERSONAL 2'!D356</f>
        <v>1</v>
      </c>
      <c r="E87" s="158">
        <f>+'PRESUP.DE PERSONAL 2'!E356</f>
        <v>700</v>
      </c>
      <c r="F87" s="158">
        <f>+'PRESUP.DE PERSONAL 2'!F356</f>
        <v>700</v>
      </c>
      <c r="G87" s="81">
        <f t="shared" si="27"/>
        <v>59.5</v>
      </c>
      <c r="H87" s="81">
        <f t="shared" si="17"/>
        <v>61.25</v>
      </c>
      <c r="I87" s="159">
        <v>0</v>
      </c>
      <c r="J87" s="159">
        <v>0</v>
      </c>
      <c r="K87" s="81">
        <f t="shared" si="18"/>
        <v>820.75</v>
      </c>
      <c r="L87" s="81">
        <f t="shared" si="28"/>
        <v>6566</v>
      </c>
      <c r="M87" s="81">
        <f t="shared" si="23"/>
        <v>700</v>
      </c>
      <c r="N87" s="81">
        <v>105</v>
      </c>
      <c r="O87" s="112">
        <f>+N87*8.5%</f>
        <v>8.9250000000000007</v>
      </c>
      <c r="P87" s="112">
        <f>+N87*8.75%</f>
        <v>9.1875</v>
      </c>
      <c r="Q87" s="112"/>
      <c r="R87" s="439">
        <f t="shared" si="29"/>
        <v>7389.1125000000002</v>
      </c>
    </row>
    <row r="88" spans="1:19" ht="40.35" customHeight="1" thickBot="1" x14ac:dyDescent="0.25">
      <c r="A88" s="1288"/>
      <c r="B88" s="948"/>
      <c r="C88" s="965" t="s">
        <v>1084</v>
      </c>
      <c r="D88" s="971">
        <f t="shared" ref="D88:R88" si="30">+D38+D47</f>
        <v>15</v>
      </c>
      <c r="E88" s="972">
        <f t="shared" si="30"/>
        <v>834</v>
      </c>
      <c r="F88" s="972">
        <f t="shared" si="30"/>
        <v>6255</v>
      </c>
      <c r="G88" s="972">
        <f t="shared" si="30"/>
        <v>531.67999999999995</v>
      </c>
      <c r="H88" s="972">
        <f t="shared" si="30"/>
        <v>547.31999999999994</v>
      </c>
      <c r="I88" s="972">
        <f t="shared" si="30"/>
        <v>0</v>
      </c>
      <c r="J88" s="972">
        <f t="shared" si="30"/>
        <v>0</v>
      </c>
      <c r="K88" s="972">
        <f t="shared" si="30"/>
        <v>7334</v>
      </c>
      <c r="L88" s="972">
        <f t="shared" si="30"/>
        <v>14668</v>
      </c>
      <c r="M88" s="972">
        <f t="shared" si="30"/>
        <v>1042.5</v>
      </c>
      <c r="N88" s="972">
        <f t="shared" si="30"/>
        <v>0</v>
      </c>
      <c r="O88" s="972">
        <f t="shared" si="30"/>
        <v>0</v>
      </c>
      <c r="P88" s="972">
        <f t="shared" si="30"/>
        <v>0</v>
      </c>
      <c r="Q88" s="972">
        <f t="shared" si="30"/>
        <v>0</v>
      </c>
      <c r="R88" s="973">
        <f t="shared" si="30"/>
        <v>15710.5</v>
      </c>
    </row>
    <row r="89" spans="1:19" ht="40.35" customHeight="1" thickBot="1" x14ac:dyDescent="0.25">
      <c r="A89" s="1288"/>
      <c r="B89" s="948"/>
      <c r="C89" s="974" t="s">
        <v>1130</v>
      </c>
      <c r="D89" s="975">
        <f>+D37</f>
        <v>1</v>
      </c>
      <c r="E89" s="976">
        <f>+E37</f>
        <v>417</v>
      </c>
      <c r="F89" s="976">
        <f>+F37</f>
        <v>417</v>
      </c>
      <c r="G89" s="976">
        <f t="shared" ref="G89:Q89" si="31">+G37</f>
        <v>35.450000000000003</v>
      </c>
      <c r="H89" s="976">
        <f t="shared" si="31"/>
        <v>36.49</v>
      </c>
      <c r="I89" s="976">
        <f t="shared" si="31"/>
        <v>0</v>
      </c>
      <c r="J89" s="976">
        <f t="shared" si="31"/>
        <v>0</v>
      </c>
      <c r="K89" s="976">
        <f>+K37</f>
        <v>488.94</v>
      </c>
      <c r="L89" s="976">
        <f t="shared" si="31"/>
        <v>2933.64</v>
      </c>
      <c r="M89" s="976">
        <f t="shared" si="31"/>
        <v>417</v>
      </c>
      <c r="N89" s="976">
        <v>0</v>
      </c>
      <c r="O89" s="976">
        <v>0</v>
      </c>
      <c r="P89" s="976">
        <v>0</v>
      </c>
      <c r="Q89" s="976">
        <f t="shared" si="31"/>
        <v>0</v>
      </c>
      <c r="R89" s="977">
        <f>+R37</f>
        <v>3350.64</v>
      </c>
    </row>
    <row r="90" spans="1:19" ht="40.35" customHeight="1" thickBot="1" x14ac:dyDescent="0.25">
      <c r="A90" s="1288"/>
      <c r="B90" s="948"/>
      <c r="C90" s="965" t="s">
        <v>1085</v>
      </c>
      <c r="D90" s="807">
        <f>+D7+D8+D9+D10+D11+D12+D13+D15+D14+D16+D17+D18+D19+D20+D21+D22+D23+D24+D25+D26+D27+D28+D29+D30+D31+D32+D33+D34+D35+D36+D39+D40+D41+D42+D43+D44+D45+D46+D48+D49+D50+D51+D52+D53+D54+D55+D56+D57+D58+D59+D60+D61+D62+D63+D64+D65+D66+D67+D68+D69+D70+D71+D72+D73+D74+D75+D76+D77+D78+D79+D80+D81+D82+D83+D84+D85+D86+D87</f>
        <v>123</v>
      </c>
      <c r="E90" s="806">
        <f t="shared" ref="E90:R90" si="32">+E7+E8+E9+E10+E11+E12+E13+E14+E15+E16+E17+E18+E19+E20+E21+E22+E23+E24+E25+E26+E27+E28+E29+E30+E31+E32+E33+E34+E35+E36+E39+E40+E41+E42+E43+E44+E45+E46+E48+E49+E50+E51+E52+E53+E54+E55+E56+E57+E58+E59+E60+E61+E62+E63+E64+E65+E66+E67+E68+E69+E70+E71+E72+E73+E74+E75+E76+E77+E78+E79+E80+E81+E82+E83+E84+E85+E86+E87</f>
        <v>51957.060000000005</v>
      </c>
      <c r="F90" s="806">
        <f t="shared" si="32"/>
        <v>77234.790000000008</v>
      </c>
      <c r="G90" s="806">
        <f t="shared" si="32"/>
        <v>6548.1500000000015</v>
      </c>
      <c r="H90" s="806">
        <f t="shared" si="32"/>
        <v>6457.8999999999987</v>
      </c>
      <c r="I90" s="806">
        <f t="shared" si="32"/>
        <v>0</v>
      </c>
      <c r="J90" s="806">
        <f t="shared" si="32"/>
        <v>205.86059999999998</v>
      </c>
      <c r="K90" s="806">
        <f t="shared" si="32"/>
        <v>90446.700600000026</v>
      </c>
      <c r="L90" s="806">
        <f t="shared" si="32"/>
        <v>723573.6048000002</v>
      </c>
      <c r="M90" s="806">
        <f t="shared" si="32"/>
        <v>77234.790000000008</v>
      </c>
      <c r="N90" s="806">
        <f t="shared" si="32"/>
        <v>11235.179999999997</v>
      </c>
      <c r="O90" s="806">
        <f t="shared" si="32"/>
        <v>954.99029999999982</v>
      </c>
      <c r="P90" s="806">
        <f t="shared" si="32"/>
        <v>943.51950000000011</v>
      </c>
      <c r="Q90" s="806">
        <f t="shared" si="32"/>
        <v>27.126000000000001</v>
      </c>
      <c r="R90" s="946">
        <f t="shared" si="32"/>
        <v>813969.21060000034</v>
      </c>
    </row>
    <row r="91" spans="1:19" ht="39.75" customHeight="1" thickBot="1" x14ac:dyDescent="0.25">
      <c r="A91" s="1289"/>
      <c r="B91" s="978"/>
      <c r="C91" s="965" t="s">
        <v>115</v>
      </c>
      <c r="D91" s="741">
        <f>+D88+D90+D89</f>
        <v>139</v>
      </c>
      <c r="E91" s="441">
        <f>+E88+E90+E89</f>
        <v>53208.060000000005</v>
      </c>
      <c r="F91" s="441">
        <f t="shared" ref="F91:R91" si="33">+F88+F90+F89</f>
        <v>83906.790000000008</v>
      </c>
      <c r="G91" s="441">
        <f t="shared" si="33"/>
        <v>7115.2800000000016</v>
      </c>
      <c r="H91" s="441">
        <f t="shared" si="33"/>
        <v>7041.7099999999982</v>
      </c>
      <c r="I91" s="441">
        <f t="shared" si="33"/>
        <v>0</v>
      </c>
      <c r="J91" s="441">
        <f t="shared" si="33"/>
        <v>205.86059999999998</v>
      </c>
      <c r="K91" s="441">
        <f t="shared" si="33"/>
        <v>98269.640600000028</v>
      </c>
      <c r="L91" s="441">
        <f t="shared" si="33"/>
        <v>741175.24480000022</v>
      </c>
      <c r="M91" s="441">
        <f t="shared" si="33"/>
        <v>78694.290000000008</v>
      </c>
      <c r="N91" s="441">
        <f t="shared" si="33"/>
        <v>11235.179999999997</v>
      </c>
      <c r="O91" s="441">
        <f t="shared" si="33"/>
        <v>954.99029999999982</v>
      </c>
      <c r="P91" s="441">
        <f t="shared" si="33"/>
        <v>943.51950000000011</v>
      </c>
      <c r="Q91" s="441">
        <f t="shared" si="33"/>
        <v>27.126000000000001</v>
      </c>
      <c r="R91" s="947">
        <f t="shared" si="33"/>
        <v>833030.35060000035</v>
      </c>
      <c r="S91" t="s">
        <v>874</v>
      </c>
    </row>
  </sheetData>
  <mergeCells count="15">
    <mergeCell ref="A7:A91"/>
    <mergeCell ref="B6:R6"/>
    <mergeCell ref="F3:F5"/>
    <mergeCell ref="B7:B87"/>
    <mergeCell ref="B4:C4"/>
    <mergeCell ref="G3:L3"/>
    <mergeCell ref="M3:M5"/>
    <mergeCell ref="O3:Q3"/>
    <mergeCell ref="B5:C5"/>
    <mergeCell ref="A1:R1"/>
    <mergeCell ref="A3:A5"/>
    <mergeCell ref="B3:C3"/>
    <mergeCell ref="D3:D5"/>
    <mergeCell ref="R3:R5"/>
    <mergeCell ref="A2:R2"/>
  </mergeCells>
  <pageMargins left="0.70866141732283472" right="0.70866141732283472" top="1.1811023622047245" bottom="0.74803149606299213" header="0.31496062992125984" footer="0.31496062992125984"/>
  <pageSetup scale="54" orientation="landscape" r:id="rId1"/>
  <rowBreaks count="2" manualBreakCount="2">
    <brk id="22" max="17" man="1"/>
    <brk id="66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6"/>
  <sheetViews>
    <sheetView view="pageBreakPreview" topLeftCell="A16" zoomScale="87" zoomScaleNormal="69" zoomScaleSheetLayoutView="87" workbookViewId="0">
      <selection activeCell="H29" sqref="H29"/>
    </sheetView>
  </sheetViews>
  <sheetFormatPr baseColWidth="10" defaultRowHeight="12.75" x14ac:dyDescent="0.2"/>
  <cols>
    <col min="1" max="1" width="8.42578125" customWidth="1"/>
    <col min="2" max="2" width="14.7109375" customWidth="1"/>
    <col min="3" max="3" width="25.28515625" customWidth="1"/>
    <col min="4" max="4" width="8.85546875" customWidth="1"/>
    <col min="5" max="5" width="16.140625" customWidth="1"/>
    <col min="6" max="6" width="17.28515625" customWidth="1"/>
    <col min="7" max="7" width="18.140625" customWidth="1"/>
    <col min="8" max="8" width="16.85546875" customWidth="1"/>
    <col min="9" max="9" width="16.42578125" customWidth="1"/>
    <col min="10" max="10" width="15.140625" customWidth="1"/>
    <col min="11" max="11" width="14.7109375" customWidth="1"/>
    <col min="12" max="12" width="17.85546875" customWidth="1"/>
    <col min="13" max="13" width="16.28515625" customWidth="1"/>
    <col min="14" max="14" width="16" customWidth="1"/>
    <col min="15" max="15" width="13.7109375" bestFit="1" customWidth="1"/>
    <col min="16" max="16" width="15" customWidth="1"/>
    <col min="17" max="17" width="13.7109375" customWidth="1"/>
    <col min="18" max="18" width="19.42578125" customWidth="1"/>
    <col min="19" max="19" width="18" customWidth="1"/>
    <col min="20" max="20" width="12.7109375" bestFit="1" customWidth="1"/>
    <col min="21" max="21" width="11.7109375" bestFit="1" customWidth="1"/>
  </cols>
  <sheetData>
    <row r="1" spans="1:19" ht="25.35" customHeight="1" x14ac:dyDescent="0.2">
      <c r="A1" s="1328" t="s">
        <v>557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  <c r="P1" s="1329"/>
      <c r="Q1" s="1329"/>
      <c r="R1" s="1330"/>
      <c r="S1" s="817"/>
    </row>
    <row r="2" spans="1:19" ht="25.35" customHeight="1" x14ac:dyDescent="0.2">
      <c r="A2" s="1320" t="s">
        <v>1148</v>
      </c>
      <c r="B2" s="1321"/>
      <c r="C2" s="1321"/>
      <c r="D2" s="1321"/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2"/>
      <c r="S2" s="817"/>
    </row>
    <row r="3" spans="1:19" ht="29.1" customHeight="1" thickBot="1" x14ac:dyDescent="0.25">
      <c r="A3" s="1331" t="s">
        <v>790</v>
      </c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  <c r="N3" s="1332"/>
      <c r="O3" s="1332"/>
      <c r="P3" s="1332"/>
      <c r="Q3" s="1332"/>
      <c r="R3" s="1333"/>
      <c r="S3" s="816"/>
    </row>
    <row r="4" spans="1:19" s="819" customFormat="1" ht="2.25" customHeight="1" thickBot="1" x14ac:dyDescent="0.25">
      <c r="A4" s="818" t="s">
        <v>244</v>
      </c>
      <c r="R4" s="979"/>
    </row>
    <row r="5" spans="1:19" ht="18" customHeight="1" thickBot="1" x14ac:dyDescent="0.25">
      <c r="A5" s="1336" t="s">
        <v>203</v>
      </c>
      <c r="B5" s="1339" t="s">
        <v>992</v>
      </c>
      <c r="C5" s="1340"/>
      <c r="D5" s="1346" t="s">
        <v>215</v>
      </c>
      <c r="E5" s="442" t="s">
        <v>217</v>
      </c>
      <c r="F5" s="1349" t="s">
        <v>312</v>
      </c>
      <c r="G5" s="743"/>
      <c r="H5" s="1341" t="s">
        <v>225</v>
      </c>
      <c r="I5" s="1342"/>
      <c r="J5" s="1342"/>
      <c r="K5" s="1342"/>
      <c r="L5" s="1343"/>
      <c r="M5" s="739"/>
      <c r="N5" s="442" t="s">
        <v>304</v>
      </c>
      <c r="O5" s="1344" t="s">
        <v>792</v>
      </c>
      <c r="P5" s="1240"/>
      <c r="Q5" s="1345"/>
      <c r="R5" s="1352" t="s">
        <v>558</v>
      </c>
    </row>
    <row r="6" spans="1:19" ht="38.25" x14ac:dyDescent="0.2">
      <c r="A6" s="1337"/>
      <c r="B6" s="1355" t="s">
        <v>227</v>
      </c>
      <c r="C6" s="1356"/>
      <c r="D6" s="1347"/>
      <c r="E6" s="148" t="s">
        <v>220</v>
      </c>
      <c r="F6" s="1350"/>
      <c r="G6" s="148" t="s">
        <v>1003</v>
      </c>
      <c r="H6" s="148" t="s">
        <v>228</v>
      </c>
      <c r="I6" s="148" t="s">
        <v>229</v>
      </c>
      <c r="J6" s="148" t="s">
        <v>1001</v>
      </c>
      <c r="K6" s="148" t="s">
        <v>230</v>
      </c>
      <c r="L6" s="148" t="s">
        <v>231</v>
      </c>
      <c r="M6" s="739" t="s">
        <v>226</v>
      </c>
      <c r="N6" s="148" t="s">
        <v>302</v>
      </c>
      <c r="O6" s="506" t="s">
        <v>791</v>
      </c>
      <c r="P6" s="435" t="s">
        <v>229</v>
      </c>
      <c r="Q6" s="435" t="s">
        <v>230</v>
      </c>
      <c r="R6" s="1353"/>
    </row>
    <row r="7" spans="1:19" ht="31.5" customHeight="1" x14ac:dyDescent="0.2">
      <c r="A7" s="1338"/>
      <c r="B7" s="1357" t="s">
        <v>991</v>
      </c>
      <c r="C7" s="1358"/>
      <c r="D7" s="1348"/>
      <c r="E7" s="149" t="s">
        <v>509</v>
      </c>
      <c r="F7" s="1351"/>
      <c r="G7" s="744" t="s">
        <v>221</v>
      </c>
      <c r="H7" s="149">
        <v>8.5000000000000006E-2</v>
      </c>
      <c r="I7" s="149" t="s">
        <v>404</v>
      </c>
      <c r="J7" s="149" t="s">
        <v>404</v>
      </c>
      <c r="K7" s="149">
        <v>0.06</v>
      </c>
      <c r="L7" s="148" t="s">
        <v>221</v>
      </c>
      <c r="M7" s="740"/>
      <c r="N7" s="151">
        <v>0.3</v>
      </c>
      <c r="O7" s="156">
        <v>8.5000000000000006E-2</v>
      </c>
      <c r="P7" s="156" t="s">
        <v>404</v>
      </c>
      <c r="Q7" s="156">
        <v>0.06</v>
      </c>
      <c r="R7" s="1354"/>
    </row>
    <row r="8" spans="1:19" ht="41.1" customHeight="1" x14ac:dyDescent="0.2">
      <c r="A8" s="443" t="str">
        <f>'0101PP 3'!A7</f>
        <v>0101</v>
      </c>
      <c r="B8" s="1359" t="s">
        <v>1002</v>
      </c>
      <c r="C8" s="1360"/>
      <c r="D8" s="161">
        <f>+D39</f>
        <v>8</v>
      </c>
      <c r="E8" s="118">
        <f>+E39</f>
        <v>17600</v>
      </c>
      <c r="F8" s="118">
        <f>+F39</f>
        <v>17600</v>
      </c>
      <c r="G8" s="118">
        <f>+F8*9</f>
        <v>158400</v>
      </c>
      <c r="H8" s="118">
        <f>+'0101PP 3'!G16*9</f>
        <v>6120</v>
      </c>
      <c r="I8" s="118">
        <f>+'0101PP 3'!H16*9</f>
        <v>13860</v>
      </c>
      <c r="J8" s="118">
        <f>'0101PP 3'!I118</f>
        <v>0</v>
      </c>
      <c r="K8" s="118">
        <v>0</v>
      </c>
      <c r="L8" s="118">
        <f>+G8+H8+I8+J8+K8</f>
        <v>178380</v>
      </c>
      <c r="M8" s="118">
        <v>0</v>
      </c>
      <c r="N8" s="118">
        <v>0</v>
      </c>
      <c r="O8" s="512">
        <v>0</v>
      </c>
      <c r="P8" s="512">
        <v>0</v>
      </c>
      <c r="Q8" s="512">
        <v>0</v>
      </c>
      <c r="R8" s="444">
        <f>+L8+M8+N8+O8+P8+Q8</f>
        <v>178380</v>
      </c>
    </row>
    <row r="9" spans="1:19" ht="41.1" customHeight="1" x14ac:dyDescent="0.2">
      <c r="A9" s="443" t="s">
        <v>207</v>
      </c>
      <c r="B9" s="1334" t="s">
        <v>1087</v>
      </c>
      <c r="C9" s="1335"/>
      <c r="D9" s="161">
        <f>+'0101PP 3'!D111</f>
        <v>101</v>
      </c>
      <c r="E9" s="118">
        <f>+'0101PP 3'!E111</f>
        <v>60423.600000000006</v>
      </c>
      <c r="F9" s="118">
        <f>+'0101PP 3'!F111</f>
        <v>74049.600000000006</v>
      </c>
      <c r="G9" s="118">
        <f>+F9*8</f>
        <v>592396.80000000005</v>
      </c>
      <c r="H9" s="118">
        <f>+'0101PP 3'!G111*8</f>
        <v>44115.839999999982</v>
      </c>
      <c r="I9" s="118">
        <f>+'0101PP 3'!H111*8</f>
        <v>49413.199999999975</v>
      </c>
      <c r="J9" s="118">
        <v>0</v>
      </c>
      <c r="K9" s="118">
        <f>+'0101PP 3'!J111*8</f>
        <v>1660.8720000000003</v>
      </c>
      <c r="L9" s="118">
        <f t="shared" ref="L9:L17" si="0">+G9+H9+I9+J9+K9</f>
        <v>687586.71199999994</v>
      </c>
      <c r="M9" s="118">
        <f>+'0101PP 3'!M111</f>
        <v>74049.600000000006</v>
      </c>
      <c r="N9" s="118">
        <f>+'0101PP 3'!N111</f>
        <v>3272.1450000000004</v>
      </c>
      <c r="O9" s="512">
        <f>+'0101PP 3'!O111</f>
        <v>278.13232500000004</v>
      </c>
      <c r="P9" s="512">
        <f>+'0101PP 3'!P111</f>
        <v>228.03571875000003</v>
      </c>
      <c r="Q9" s="512">
        <f>+'0101PP 3'!Q111</f>
        <v>39.961349999999996</v>
      </c>
      <c r="R9" s="444">
        <f>+L9+M9+N9+O9+P9+Q9</f>
        <v>765454.58639374992</v>
      </c>
    </row>
    <row r="10" spans="1:19" ht="41.1" customHeight="1" x14ac:dyDescent="0.2">
      <c r="A10" s="443" t="s">
        <v>207</v>
      </c>
      <c r="B10" s="1334" t="s">
        <v>1088</v>
      </c>
      <c r="C10" s="1335"/>
      <c r="D10" s="161">
        <f>+'0101PP 3'!D116</f>
        <v>10</v>
      </c>
      <c r="E10" s="118">
        <f>+'0101PP 3'!E116</f>
        <v>8177</v>
      </c>
      <c r="F10" s="118">
        <f>+'0101PP 3'!F116</f>
        <v>8177</v>
      </c>
      <c r="G10" s="118">
        <f>+F10*7</f>
        <v>57239</v>
      </c>
      <c r="H10" s="118">
        <f>+'0101PP 3'!G116*7</f>
        <v>4567.8499999999995</v>
      </c>
      <c r="I10" s="118">
        <f>+'0101PP 3'!H116*7</f>
        <v>5008.43</v>
      </c>
      <c r="J10" s="118">
        <v>0</v>
      </c>
      <c r="K10" s="118">
        <v>0</v>
      </c>
      <c r="L10" s="118">
        <f t="shared" si="0"/>
        <v>66815.28</v>
      </c>
      <c r="M10" s="118">
        <f>+'0101PP 3'!M116</f>
        <v>8177</v>
      </c>
      <c r="N10" s="118">
        <v>0</v>
      </c>
      <c r="O10" s="512">
        <v>0</v>
      </c>
      <c r="P10" s="512">
        <v>0</v>
      </c>
      <c r="Q10" s="512">
        <v>0</v>
      </c>
      <c r="R10" s="444">
        <f t="shared" ref="R10:R15" si="1">+L10+M10+N10+O10+P10+Q10</f>
        <v>74992.28</v>
      </c>
    </row>
    <row r="11" spans="1:19" ht="41.1" customHeight="1" x14ac:dyDescent="0.2">
      <c r="A11" s="443" t="s">
        <v>207</v>
      </c>
      <c r="B11" s="1334" t="s">
        <v>1089</v>
      </c>
      <c r="C11" s="1335"/>
      <c r="D11" s="161">
        <f>+'0101PP 3'!D115</f>
        <v>1</v>
      </c>
      <c r="E11" s="118">
        <f>+'0101PP 3'!E115</f>
        <v>700</v>
      </c>
      <c r="F11" s="118">
        <f>+'0101PP 3'!F115</f>
        <v>700</v>
      </c>
      <c r="G11" s="118">
        <f>+F11*6</f>
        <v>4200</v>
      </c>
      <c r="H11" s="118">
        <f>+'0101PP 3'!G115*6</f>
        <v>357</v>
      </c>
      <c r="I11" s="118">
        <f>+'0101PP 3'!H115*6</f>
        <v>367.5</v>
      </c>
      <c r="J11" s="118">
        <v>0</v>
      </c>
      <c r="K11" s="118">
        <v>0</v>
      </c>
      <c r="L11" s="118">
        <f t="shared" si="0"/>
        <v>4924.5</v>
      </c>
      <c r="M11" s="118">
        <f>+'0101PP 3'!M115</f>
        <v>700</v>
      </c>
      <c r="N11" s="118">
        <v>0</v>
      </c>
      <c r="O11" s="512">
        <v>0</v>
      </c>
      <c r="P11" s="512">
        <v>0</v>
      </c>
      <c r="Q11" s="512">
        <v>0</v>
      </c>
      <c r="R11" s="444">
        <f t="shared" si="1"/>
        <v>5624.5</v>
      </c>
    </row>
    <row r="12" spans="1:19" ht="41.1" customHeight="1" x14ac:dyDescent="0.2">
      <c r="A12" s="443" t="s">
        <v>207</v>
      </c>
      <c r="B12" s="1334" t="s">
        <v>1090</v>
      </c>
      <c r="C12" s="1335"/>
      <c r="D12" s="161">
        <f>+'0101PP 3'!D114</f>
        <v>4</v>
      </c>
      <c r="E12" s="118">
        <f>+'0101PP 3'!E114</f>
        <v>417</v>
      </c>
      <c r="F12" s="118">
        <f>+'0101PP 3'!F114</f>
        <v>1668</v>
      </c>
      <c r="G12" s="118">
        <f>+F12*5</f>
        <v>8340</v>
      </c>
      <c r="H12" s="118">
        <f>+'0101PP 3'!G114*5</f>
        <v>708.9</v>
      </c>
      <c r="I12" s="118">
        <f>+'0101PP 3'!H114*5</f>
        <v>729.75</v>
      </c>
      <c r="J12" s="118">
        <v>0</v>
      </c>
      <c r="K12" s="118">
        <v>0</v>
      </c>
      <c r="L12" s="118">
        <f t="shared" si="0"/>
        <v>9778.65</v>
      </c>
      <c r="M12" s="118">
        <f>+'0101PP 3'!M114</f>
        <v>695</v>
      </c>
      <c r="N12" s="118">
        <v>0</v>
      </c>
      <c r="O12" s="512">
        <v>0</v>
      </c>
      <c r="P12" s="512">
        <v>0</v>
      </c>
      <c r="Q12" s="512">
        <v>0</v>
      </c>
      <c r="R12" s="444">
        <f>+L12+M12+N12+O12+P12+Q12</f>
        <v>10473.65</v>
      </c>
    </row>
    <row r="13" spans="1:19" ht="41.1" customHeight="1" x14ac:dyDescent="0.2">
      <c r="A13" s="443" t="s">
        <v>207</v>
      </c>
      <c r="B13" s="1334" t="s">
        <v>1091</v>
      </c>
      <c r="C13" s="1335"/>
      <c r="D13" s="161">
        <f>+'0101PP 3'!D113</f>
        <v>11</v>
      </c>
      <c r="E13" s="118">
        <f>+'0101PP 3'!E113</f>
        <v>1114</v>
      </c>
      <c r="F13" s="118">
        <f>+'0101PP 3'!F113</f>
        <v>4867</v>
      </c>
      <c r="G13" s="118">
        <f>+F13*2</f>
        <v>9734</v>
      </c>
      <c r="H13" s="118">
        <f>+'0101PP 3'!G113*2</f>
        <v>827.4</v>
      </c>
      <c r="I13" s="118">
        <f>+'0101PP 3'!H113*2</f>
        <v>729.76</v>
      </c>
      <c r="J13" s="118">
        <v>0</v>
      </c>
      <c r="K13" s="118">
        <f>+'0101PP 3'!J113*2</f>
        <v>83.64</v>
      </c>
      <c r="L13" s="118">
        <f>+G13+H13+I13+J13+K13</f>
        <v>11374.8</v>
      </c>
      <c r="M13" s="118">
        <f>+'0101PP 3'!M113</f>
        <v>695</v>
      </c>
      <c r="N13" s="118">
        <v>0</v>
      </c>
      <c r="O13" s="512">
        <v>0</v>
      </c>
      <c r="P13" s="512">
        <v>0</v>
      </c>
      <c r="Q13" s="512">
        <v>0</v>
      </c>
      <c r="R13" s="444">
        <f t="shared" si="1"/>
        <v>12069.8</v>
      </c>
    </row>
    <row r="14" spans="1:19" ht="41.1" customHeight="1" x14ac:dyDescent="0.2">
      <c r="A14" s="443" t="s">
        <v>207</v>
      </c>
      <c r="B14" s="1334" t="s">
        <v>1092</v>
      </c>
      <c r="C14" s="1335"/>
      <c r="D14" s="161">
        <f>+'0101PP 3'!D112</f>
        <v>7</v>
      </c>
      <c r="E14" s="118">
        <f>+'0101PP 3'!E116</f>
        <v>8177</v>
      </c>
      <c r="F14" s="118">
        <f>+'0101PP 3'!F112</f>
        <v>4997</v>
      </c>
      <c r="G14" s="118">
        <f>+F14*1</f>
        <v>4997</v>
      </c>
      <c r="H14" s="118">
        <f>+'0101PP 3'!G112*1</f>
        <v>424.75</v>
      </c>
      <c r="I14" s="118">
        <f>+'0101PP 3'!H112*1</f>
        <v>437.24</v>
      </c>
      <c r="J14" s="118">
        <v>0</v>
      </c>
      <c r="K14" s="118">
        <v>0</v>
      </c>
      <c r="L14" s="118">
        <f t="shared" si="0"/>
        <v>5858.99</v>
      </c>
      <c r="M14" s="118">
        <f>+'0101PP 3'!M112</f>
        <v>0</v>
      </c>
      <c r="N14" s="118">
        <v>0</v>
      </c>
      <c r="O14" s="512">
        <v>0</v>
      </c>
      <c r="P14" s="512">
        <v>0</v>
      </c>
      <c r="Q14" s="512">
        <v>0</v>
      </c>
      <c r="R14" s="444">
        <f t="shared" si="1"/>
        <v>5858.99</v>
      </c>
    </row>
    <row r="15" spans="1:19" ht="34.5" customHeight="1" x14ac:dyDescent="0.2">
      <c r="A15" s="443"/>
      <c r="B15" s="1375" t="s">
        <v>1086</v>
      </c>
      <c r="C15" s="1376"/>
      <c r="D15" s="808">
        <f t="shared" ref="D15:K15" si="2">SUM(D8:D14)</f>
        <v>142</v>
      </c>
      <c r="E15" s="809">
        <f t="shared" si="2"/>
        <v>96608.6</v>
      </c>
      <c r="F15" s="809">
        <f t="shared" si="2"/>
        <v>112058.6</v>
      </c>
      <c r="G15" s="809">
        <f t="shared" si="2"/>
        <v>835306.8</v>
      </c>
      <c r="H15" s="809">
        <f t="shared" si="2"/>
        <v>57121.739999999983</v>
      </c>
      <c r="I15" s="809">
        <f t="shared" si="2"/>
        <v>70545.879999999976</v>
      </c>
      <c r="J15" s="809">
        <f t="shared" si="2"/>
        <v>0</v>
      </c>
      <c r="K15" s="809">
        <f t="shared" si="2"/>
        <v>1744.5120000000004</v>
      </c>
      <c r="L15" s="809">
        <f t="shared" si="0"/>
        <v>964718.93200000003</v>
      </c>
      <c r="M15" s="809">
        <f>SUM(M8:M14)</f>
        <v>84316.6</v>
      </c>
      <c r="N15" s="809">
        <f>SUM(N8:N14)</f>
        <v>3272.1450000000004</v>
      </c>
      <c r="O15" s="809">
        <f>SUM(O8:O14)</f>
        <v>278.13232500000004</v>
      </c>
      <c r="P15" s="809">
        <f>SUM(P8:P14)</f>
        <v>228.03571875000003</v>
      </c>
      <c r="Q15" s="809">
        <f>SUM(Q8:Q14)</f>
        <v>39.961349999999996</v>
      </c>
      <c r="R15" s="810">
        <f t="shared" si="1"/>
        <v>1052853.80639375</v>
      </c>
    </row>
    <row r="16" spans="1:19" ht="41.1" customHeight="1" x14ac:dyDescent="0.2">
      <c r="A16" s="443" t="s">
        <v>468</v>
      </c>
      <c r="B16" s="1359" t="s">
        <v>1093</v>
      </c>
      <c r="C16" s="1360"/>
      <c r="D16" s="161">
        <f>+'0102PP 4'!C61</f>
        <v>48</v>
      </c>
      <c r="E16" s="118">
        <f>+'0102PP 4'!D61</f>
        <v>38692.14</v>
      </c>
      <c r="F16" s="118">
        <f>+'0102PP 4'!E61</f>
        <v>39709.14</v>
      </c>
      <c r="G16" s="118">
        <f>+F16*8</f>
        <v>317673.12</v>
      </c>
      <c r="H16" s="118">
        <f>+'0102PP 4'!F61*8</f>
        <v>24520.960000000003</v>
      </c>
      <c r="I16" s="118">
        <f>+'0102PP 4'!G61*8</f>
        <v>27796.55999999999</v>
      </c>
      <c r="J16" s="118">
        <v>0</v>
      </c>
      <c r="K16" s="118">
        <v>0</v>
      </c>
      <c r="L16" s="118">
        <f t="shared" si="0"/>
        <v>369990.64</v>
      </c>
      <c r="M16" s="118">
        <f>+'0102PP 4'!L61</f>
        <v>39709.14</v>
      </c>
      <c r="N16" s="118">
        <v>0</v>
      </c>
      <c r="O16" s="512">
        <v>0</v>
      </c>
      <c r="P16" s="512">
        <v>0</v>
      </c>
      <c r="Q16" s="512">
        <v>0</v>
      </c>
      <c r="R16" s="444">
        <f>+L16+M16+N16+O16+P16+Q16</f>
        <v>409699.78</v>
      </c>
    </row>
    <row r="17" spans="1:21" ht="41.1" customHeight="1" x14ac:dyDescent="0.2">
      <c r="A17" s="443" t="s">
        <v>468</v>
      </c>
      <c r="B17" s="1359" t="s">
        <v>1094</v>
      </c>
      <c r="C17" s="1360"/>
      <c r="D17" s="161">
        <f>+'0102PP 4'!C60</f>
        <v>3</v>
      </c>
      <c r="E17" s="118">
        <f>+'0102PP 4'!D60</f>
        <v>1817</v>
      </c>
      <c r="F17" s="118">
        <f>+'0102PP 4'!E60</f>
        <v>1817</v>
      </c>
      <c r="G17" s="118">
        <f>+F17*7</f>
        <v>12719</v>
      </c>
      <c r="H17" s="118">
        <f>+'0102PP 4'!F60*7</f>
        <v>1081.1499999999999</v>
      </c>
      <c r="I17" s="118">
        <f>+'0102PP 4'!G60*7</f>
        <v>1112.93</v>
      </c>
      <c r="J17" s="118">
        <v>0</v>
      </c>
      <c r="K17" s="118">
        <v>0</v>
      </c>
      <c r="L17" s="118">
        <f t="shared" si="0"/>
        <v>14913.08</v>
      </c>
      <c r="M17" s="118">
        <f>+'0102PP 4'!L60</f>
        <v>1817</v>
      </c>
      <c r="N17" s="118">
        <v>0</v>
      </c>
      <c r="O17" s="512">
        <v>0</v>
      </c>
      <c r="P17" s="512">
        <v>0</v>
      </c>
      <c r="Q17" s="512">
        <v>0</v>
      </c>
      <c r="R17" s="444">
        <f>+L17+M17+N17+O17+P17+Q17</f>
        <v>16730.080000000002</v>
      </c>
    </row>
    <row r="18" spans="1:21" ht="41.1" customHeight="1" x14ac:dyDescent="0.2">
      <c r="A18" s="443" t="s">
        <v>468</v>
      </c>
      <c r="B18" s="1359" t="s">
        <v>1095</v>
      </c>
      <c r="C18" s="1360"/>
      <c r="D18" s="161">
        <f>+'0102PP 4'!C59</f>
        <v>3</v>
      </c>
      <c r="E18" s="118">
        <f>+'0102PP 4'!D59</f>
        <v>1859</v>
      </c>
      <c r="F18" s="118">
        <f>+'0102PP 4'!E59</f>
        <v>1859</v>
      </c>
      <c r="G18" s="118">
        <f>+F18*1</f>
        <v>1859</v>
      </c>
      <c r="H18" s="118">
        <f>+'0102PP 4'!F59*1</f>
        <v>155.9</v>
      </c>
      <c r="I18" s="118">
        <f>+'0102PP 4'!G59*1</f>
        <v>162.67000000000002</v>
      </c>
      <c r="J18" s="118">
        <v>0</v>
      </c>
      <c r="K18" s="118">
        <v>0</v>
      </c>
      <c r="L18" s="118">
        <f>+G18+H18+I18+J18+K18</f>
        <v>2177.5700000000002</v>
      </c>
      <c r="M18" s="118">
        <v>0</v>
      </c>
      <c r="N18" s="118">
        <v>0</v>
      </c>
      <c r="O18" s="512">
        <v>0</v>
      </c>
      <c r="P18" s="512">
        <v>0</v>
      </c>
      <c r="Q18" s="512">
        <v>0</v>
      </c>
      <c r="R18" s="444">
        <f>+L18+M18+N18+O18+P18+Q18</f>
        <v>2177.5700000000002</v>
      </c>
    </row>
    <row r="19" spans="1:21" ht="38.25" customHeight="1" x14ac:dyDescent="0.2">
      <c r="A19" s="811"/>
      <c r="B19" s="1361" t="s">
        <v>1096</v>
      </c>
      <c r="C19" s="1362"/>
      <c r="D19" s="808">
        <f>+D16+D17+D18</f>
        <v>54</v>
      </c>
      <c r="E19" s="809">
        <f>+E16+E17+E18</f>
        <v>42368.14</v>
      </c>
      <c r="F19" s="809">
        <f t="shared" ref="F19:R19" si="3">+F16+F17+F18</f>
        <v>43385.14</v>
      </c>
      <c r="G19" s="809">
        <f t="shared" si="3"/>
        <v>332251.12</v>
      </c>
      <c r="H19" s="809">
        <f t="shared" si="3"/>
        <v>25758.010000000006</v>
      </c>
      <c r="I19" s="809">
        <f t="shared" si="3"/>
        <v>29072.159999999989</v>
      </c>
      <c r="J19" s="809">
        <f t="shared" si="3"/>
        <v>0</v>
      </c>
      <c r="K19" s="809">
        <f t="shared" si="3"/>
        <v>0</v>
      </c>
      <c r="L19" s="809">
        <f t="shared" si="3"/>
        <v>387081.29000000004</v>
      </c>
      <c r="M19" s="809">
        <f t="shared" si="3"/>
        <v>41526.14</v>
      </c>
      <c r="N19" s="809">
        <f t="shared" si="3"/>
        <v>0</v>
      </c>
      <c r="O19" s="809">
        <f t="shared" si="3"/>
        <v>0</v>
      </c>
      <c r="P19" s="809">
        <f t="shared" si="3"/>
        <v>0</v>
      </c>
      <c r="Q19" s="809">
        <f t="shared" si="3"/>
        <v>0</v>
      </c>
      <c r="R19" s="812">
        <f t="shared" si="3"/>
        <v>428607.43000000005</v>
      </c>
    </row>
    <row r="20" spans="1:21" ht="41.1" customHeight="1" x14ac:dyDescent="0.2">
      <c r="A20" s="443" t="s">
        <v>208</v>
      </c>
      <c r="B20" s="1363" t="s">
        <v>1134</v>
      </c>
      <c r="C20" s="1364"/>
      <c r="D20" s="161">
        <f>+'0201'!D55</f>
        <v>1</v>
      </c>
      <c r="E20" s="118">
        <f>+'0201'!E55</f>
        <v>517</v>
      </c>
      <c r="F20" s="118">
        <f>+'0201'!F55</f>
        <v>517</v>
      </c>
      <c r="G20" s="118">
        <f>+F20*1</f>
        <v>517</v>
      </c>
      <c r="H20" s="118">
        <f>+'0201'!G55*1</f>
        <v>43.95</v>
      </c>
      <c r="I20" s="118">
        <f>+'0201'!H55*1</f>
        <v>45.24</v>
      </c>
      <c r="J20" s="118">
        <v>0</v>
      </c>
      <c r="K20" s="118">
        <f>+'0201'!J57*8</f>
        <v>0</v>
      </c>
      <c r="L20" s="118">
        <f>+G20+H20+I20+J20+K20</f>
        <v>606.19000000000005</v>
      </c>
      <c r="M20" s="118">
        <v>0</v>
      </c>
      <c r="N20" s="118">
        <v>0</v>
      </c>
      <c r="O20" s="512">
        <v>0</v>
      </c>
      <c r="P20" s="512">
        <v>0</v>
      </c>
      <c r="Q20" s="822">
        <v>0</v>
      </c>
      <c r="R20" s="444">
        <f>+L20+M20+N20+O20+P20+Q20</f>
        <v>606.19000000000005</v>
      </c>
    </row>
    <row r="21" spans="1:21" ht="41.1" customHeight="1" x14ac:dyDescent="0.2">
      <c r="A21" s="443" t="s">
        <v>208</v>
      </c>
      <c r="B21" s="1363" t="s">
        <v>1099</v>
      </c>
      <c r="C21" s="1364"/>
      <c r="D21" s="161">
        <f>+'0201'!D58</f>
        <v>48</v>
      </c>
      <c r="E21" s="118">
        <f>+'0201'!E58</f>
        <v>26664</v>
      </c>
      <c r="F21" s="118">
        <f>+'0201'!F58</f>
        <v>29863</v>
      </c>
      <c r="G21" s="118">
        <f>+F21*8</f>
        <v>238904</v>
      </c>
      <c r="H21" s="118">
        <f>+'0201'!G58*8</f>
        <v>19967.52</v>
      </c>
      <c r="I21" s="118">
        <f>+'0201'!H58*8</f>
        <v>20416.559999999994</v>
      </c>
      <c r="J21" s="118">
        <v>0</v>
      </c>
      <c r="K21" s="118">
        <f>+'0201'!J58*8</f>
        <v>334.56</v>
      </c>
      <c r="L21" s="118">
        <f>+G21+H21+I21+J21+K21</f>
        <v>279622.63999999996</v>
      </c>
      <c r="M21" s="118">
        <f>+'0201'!M58</f>
        <v>29863</v>
      </c>
      <c r="N21" s="118">
        <v>0</v>
      </c>
      <c r="O21" s="512">
        <v>0</v>
      </c>
      <c r="P21" s="512">
        <v>0</v>
      </c>
      <c r="Q21" s="512">
        <v>0</v>
      </c>
      <c r="R21" s="444">
        <f>+L21+M21+N21+O21+P21+Q21</f>
        <v>309485.63999999996</v>
      </c>
    </row>
    <row r="22" spans="1:21" ht="41.1" customHeight="1" x14ac:dyDescent="0.2">
      <c r="A22" s="443" t="s">
        <v>208</v>
      </c>
      <c r="B22" s="1363" t="s">
        <v>1100</v>
      </c>
      <c r="C22" s="1364"/>
      <c r="D22" s="161">
        <f>+'0201'!D57</f>
        <v>3</v>
      </c>
      <c r="E22" s="118">
        <f>+'0201'!E57</f>
        <v>2117</v>
      </c>
      <c r="F22" s="118">
        <f>+'0201'!F57</f>
        <v>2117</v>
      </c>
      <c r="G22" s="118">
        <f>+F22*7</f>
        <v>14819</v>
      </c>
      <c r="H22" s="118">
        <f>+'0201'!G57*7</f>
        <v>1259.6499999999999</v>
      </c>
      <c r="I22" s="118">
        <f>+'0201'!H57*7</f>
        <v>1296.68</v>
      </c>
      <c r="J22" s="118">
        <v>0</v>
      </c>
      <c r="K22" s="118">
        <v>0</v>
      </c>
      <c r="L22" s="118">
        <f>+G22+H22+I22+J22+K22</f>
        <v>17375.329999999998</v>
      </c>
      <c r="M22" s="118">
        <f>+'0201'!M57</f>
        <v>2117</v>
      </c>
      <c r="N22" s="118">
        <v>0</v>
      </c>
      <c r="O22" s="512">
        <v>0</v>
      </c>
      <c r="P22" s="512">
        <v>0</v>
      </c>
      <c r="Q22" s="512">
        <v>0</v>
      </c>
      <c r="R22" s="444">
        <f>+L22+M22+N22+O22+P22+Q22</f>
        <v>19492.329999999998</v>
      </c>
    </row>
    <row r="23" spans="1:21" ht="41.1" customHeight="1" x14ac:dyDescent="0.2">
      <c r="A23" s="443" t="s">
        <v>208</v>
      </c>
      <c r="B23" s="1363" t="s">
        <v>1101</v>
      </c>
      <c r="C23" s="1364"/>
      <c r="D23" s="161">
        <f>+'0201'!D56</f>
        <v>3</v>
      </c>
      <c r="E23" s="118">
        <f>+'0201'!E56</f>
        <v>1867</v>
      </c>
      <c r="F23" s="118">
        <f>+'0201'!F56</f>
        <v>1867</v>
      </c>
      <c r="G23" s="118">
        <f>+F23*4</f>
        <v>7468</v>
      </c>
      <c r="H23" s="118">
        <f>+'0201'!G56*4</f>
        <v>634.79999999999995</v>
      </c>
      <c r="I23" s="118">
        <f>+'0201'!H56*4</f>
        <v>653.48</v>
      </c>
      <c r="J23" s="118">
        <v>0</v>
      </c>
      <c r="K23" s="118">
        <v>0</v>
      </c>
      <c r="L23" s="118">
        <f>+G23+H23+I23+J23+K23</f>
        <v>8756.2800000000007</v>
      </c>
      <c r="M23" s="118">
        <f>+'0201'!M56</f>
        <v>900.33333333333337</v>
      </c>
      <c r="N23" s="118">
        <v>0</v>
      </c>
      <c r="O23" s="512">
        <v>0</v>
      </c>
      <c r="P23" s="512">
        <v>0</v>
      </c>
      <c r="Q23" s="512">
        <v>0</v>
      </c>
      <c r="R23" s="444">
        <f>+L23+M23+N23+O23+P23+Q23</f>
        <v>9656.6133333333346</v>
      </c>
    </row>
    <row r="24" spans="1:21" ht="41.1" customHeight="1" x14ac:dyDescent="0.2">
      <c r="A24" s="811"/>
      <c r="B24" s="1361" t="s">
        <v>1098</v>
      </c>
      <c r="C24" s="1362"/>
      <c r="D24" s="808">
        <f>+D21+D22+D23+D20</f>
        <v>55</v>
      </c>
      <c r="E24" s="809">
        <f>+E20+E21+E22+E23</f>
        <v>31165</v>
      </c>
      <c r="F24" s="809">
        <f t="shared" ref="F24:R24" si="4">+F20+F21+F22+F23</f>
        <v>34364</v>
      </c>
      <c r="G24" s="809">
        <f t="shared" si="4"/>
        <v>261708</v>
      </c>
      <c r="H24" s="809">
        <f t="shared" si="4"/>
        <v>21905.920000000002</v>
      </c>
      <c r="I24" s="809">
        <f t="shared" si="4"/>
        <v>22411.959999999995</v>
      </c>
      <c r="J24" s="809">
        <f t="shared" si="4"/>
        <v>0</v>
      </c>
      <c r="K24" s="809">
        <f t="shared" si="4"/>
        <v>334.56</v>
      </c>
      <c r="L24" s="809">
        <f t="shared" si="4"/>
        <v>306360.44</v>
      </c>
      <c r="M24" s="809">
        <f t="shared" si="4"/>
        <v>32880.333333333336</v>
      </c>
      <c r="N24" s="809">
        <f t="shared" si="4"/>
        <v>0</v>
      </c>
      <c r="O24" s="809">
        <f t="shared" si="4"/>
        <v>0</v>
      </c>
      <c r="P24" s="809">
        <f t="shared" si="4"/>
        <v>0</v>
      </c>
      <c r="Q24" s="809">
        <f t="shared" si="4"/>
        <v>0</v>
      </c>
      <c r="R24" s="812">
        <f t="shared" si="4"/>
        <v>339240.77333333332</v>
      </c>
    </row>
    <row r="25" spans="1:21" ht="41.1" customHeight="1" x14ac:dyDescent="0.2">
      <c r="A25" s="443" t="s">
        <v>209</v>
      </c>
      <c r="B25" s="1363" t="s">
        <v>1102</v>
      </c>
      <c r="C25" s="1364"/>
      <c r="D25" s="161">
        <f>+'020202'!D25</f>
        <v>17</v>
      </c>
      <c r="E25" s="118">
        <f>+'020202'!E25</f>
        <v>11948.720000000001</v>
      </c>
      <c r="F25" s="118">
        <f>+'020202'!F25</f>
        <v>12365.720000000001</v>
      </c>
      <c r="G25" s="118">
        <f>+F25*8</f>
        <v>98925.760000000009</v>
      </c>
      <c r="H25" s="118">
        <f>+'020202'!G25*8</f>
        <v>8068.96</v>
      </c>
      <c r="I25" s="118">
        <f>+'020202'!H25*8</f>
        <v>8168.4000000000005</v>
      </c>
      <c r="J25" s="118">
        <f>+'020202'!I25*8</f>
        <v>487.92</v>
      </c>
      <c r="K25" s="118">
        <f>+'0201'!J62*8</f>
        <v>0</v>
      </c>
      <c r="L25" s="118">
        <f>+G25+H25+I25+J25+K25</f>
        <v>115651.04000000001</v>
      </c>
      <c r="M25" s="118">
        <f>+'020202'!M25</f>
        <v>12365.720000000001</v>
      </c>
      <c r="N25" s="118">
        <v>0</v>
      </c>
      <c r="O25" s="512">
        <v>0</v>
      </c>
      <c r="P25" s="512">
        <v>0</v>
      </c>
      <c r="Q25" s="512">
        <v>0</v>
      </c>
      <c r="R25" s="444">
        <f>+L25+M25+N25+O25+P25+Q25</f>
        <v>128016.76000000001</v>
      </c>
    </row>
    <row r="26" spans="1:21" ht="41.1" customHeight="1" x14ac:dyDescent="0.2">
      <c r="A26" s="443" t="s">
        <v>209</v>
      </c>
      <c r="B26" s="1363" t="s">
        <v>1103</v>
      </c>
      <c r="C26" s="1364"/>
      <c r="D26" s="161">
        <f>+'020202'!D24</f>
        <v>1</v>
      </c>
      <c r="E26" s="118">
        <f>+'020202'!E24</f>
        <v>1000</v>
      </c>
      <c r="F26" s="118">
        <f>+'020202'!F24</f>
        <v>1000</v>
      </c>
      <c r="G26" s="118">
        <f>+F26*7</f>
        <v>7000</v>
      </c>
      <c r="H26" s="118">
        <f>+'020202'!G24*7</f>
        <v>595</v>
      </c>
      <c r="I26" s="118">
        <f>+'020202'!H24*7</f>
        <v>612.5</v>
      </c>
      <c r="J26" s="118">
        <v>0</v>
      </c>
      <c r="K26" s="118">
        <v>0</v>
      </c>
      <c r="L26" s="118">
        <f>+G26+H26+I26+J26+K26</f>
        <v>8207.5</v>
      </c>
      <c r="M26" s="118">
        <f>+'020202'!M24</f>
        <v>1000</v>
      </c>
      <c r="N26" s="118">
        <v>0</v>
      </c>
      <c r="O26" s="512">
        <v>0</v>
      </c>
      <c r="P26" s="512">
        <v>0</v>
      </c>
      <c r="Q26" s="512">
        <v>0</v>
      </c>
      <c r="R26" s="444">
        <f>+L26+M26+N26+O26+P26+Q26</f>
        <v>9207.5</v>
      </c>
    </row>
    <row r="27" spans="1:21" ht="41.1" customHeight="1" x14ac:dyDescent="0.2">
      <c r="A27" s="811"/>
      <c r="B27" s="1361" t="s">
        <v>1106</v>
      </c>
      <c r="C27" s="1362"/>
      <c r="D27" s="808">
        <f>+D25+D26</f>
        <v>18</v>
      </c>
      <c r="E27" s="809">
        <f>+E25+E26</f>
        <v>12948.720000000001</v>
      </c>
      <c r="F27" s="809">
        <f t="shared" ref="F27:R27" si="5">+F25+F26</f>
        <v>13365.720000000001</v>
      </c>
      <c r="G27" s="809">
        <f t="shared" si="5"/>
        <v>105925.76000000001</v>
      </c>
      <c r="H27" s="809">
        <f t="shared" si="5"/>
        <v>8663.9599999999991</v>
      </c>
      <c r="I27" s="809">
        <f t="shared" si="5"/>
        <v>8780.9000000000015</v>
      </c>
      <c r="J27" s="809">
        <f t="shared" si="5"/>
        <v>487.92</v>
      </c>
      <c r="K27" s="809">
        <f t="shared" si="5"/>
        <v>0</v>
      </c>
      <c r="L27" s="809">
        <f t="shared" si="5"/>
        <v>123858.54000000001</v>
      </c>
      <c r="M27" s="809">
        <f t="shared" si="5"/>
        <v>13365.720000000001</v>
      </c>
      <c r="N27" s="809">
        <f t="shared" si="5"/>
        <v>0</v>
      </c>
      <c r="O27" s="809">
        <f t="shared" si="5"/>
        <v>0</v>
      </c>
      <c r="P27" s="809">
        <f t="shared" si="5"/>
        <v>0</v>
      </c>
      <c r="Q27" s="809">
        <f t="shared" si="5"/>
        <v>0</v>
      </c>
      <c r="R27" s="812">
        <f t="shared" si="5"/>
        <v>137224.26</v>
      </c>
      <c r="T27" s="94"/>
    </row>
    <row r="28" spans="1:21" ht="38.25" customHeight="1" x14ac:dyDescent="0.2">
      <c r="A28" s="443" t="s">
        <v>473</v>
      </c>
      <c r="B28" s="1363" t="s">
        <v>1104</v>
      </c>
      <c r="C28" s="1364"/>
      <c r="D28" s="162">
        <f>+'0203'!D90</f>
        <v>123</v>
      </c>
      <c r="E28" s="118">
        <f>+'0203'!E90</f>
        <v>51957.060000000005</v>
      </c>
      <c r="F28" s="118">
        <f>+'0203'!F90</f>
        <v>77234.790000000008</v>
      </c>
      <c r="G28" s="118">
        <f>+F28*8</f>
        <v>617878.32000000007</v>
      </c>
      <c r="H28" s="118">
        <f>+'0203'!G90*8</f>
        <v>52385.200000000012</v>
      </c>
      <c r="I28" s="118">
        <f>+'0203'!H90*8</f>
        <v>51663.19999999999</v>
      </c>
      <c r="J28" s="118">
        <f>'0201'!I59</f>
        <v>0</v>
      </c>
      <c r="K28" s="118">
        <f>+'0203'!J90*8</f>
        <v>1646.8847999999998</v>
      </c>
      <c r="L28" s="118">
        <f>+G28+H28+I28+J28+K28</f>
        <v>723573.60479999997</v>
      </c>
      <c r="M28" s="118">
        <f>+'0203'!M90</f>
        <v>77234.790000000008</v>
      </c>
      <c r="N28" s="118">
        <f>+'0203'!N90</f>
        <v>11235.179999999997</v>
      </c>
      <c r="O28" s="512">
        <f>+'0203'!O90</f>
        <v>954.99029999999982</v>
      </c>
      <c r="P28" s="512">
        <f>+'0203'!P90</f>
        <v>943.51950000000011</v>
      </c>
      <c r="Q28" s="512">
        <f>+'0203'!Q90</f>
        <v>27.126000000000001</v>
      </c>
      <c r="R28" s="444">
        <f>+L28+M28+N28+O28+P28+Q28</f>
        <v>813969.21060000011</v>
      </c>
      <c r="T28" s="413"/>
    </row>
    <row r="29" spans="1:21" ht="48" customHeight="1" x14ac:dyDescent="0.2">
      <c r="A29" s="443" t="s">
        <v>473</v>
      </c>
      <c r="B29" s="1363" t="s">
        <v>1132</v>
      </c>
      <c r="C29" s="1364"/>
      <c r="D29" s="317">
        <f>+'0203'!D89</f>
        <v>1</v>
      </c>
      <c r="E29" s="118">
        <f>+'0203'!E89</f>
        <v>417</v>
      </c>
      <c r="F29" s="118">
        <f>+'0203'!F89</f>
        <v>417</v>
      </c>
      <c r="G29" s="118">
        <f>+F29*6</f>
        <v>2502</v>
      </c>
      <c r="H29" s="118">
        <f>+'0203'!G89*6</f>
        <v>212.70000000000002</v>
      </c>
      <c r="I29" s="118">
        <f>+'0203'!H89*6</f>
        <v>218.94</v>
      </c>
      <c r="J29" s="118">
        <f>+'0203'!J89</f>
        <v>0</v>
      </c>
      <c r="K29" s="118"/>
      <c r="L29" s="118">
        <f>+G29+H29+I29+J29+K29</f>
        <v>2933.64</v>
      </c>
      <c r="M29" s="118">
        <f>+'0203'!M89</f>
        <v>417</v>
      </c>
      <c r="N29" s="118">
        <f>+'0203'!N89</f>
        <v>0</v>
      </c>
      <c r="O29" s="118">
        <f>+'0203'!O89</f>
        <v>0</v>
      </c>
      <c r="P29" s="118">
        <f>+'0203'!P89</f>
        <v>0</v>
      </c>
      <c r="Q29" s="118">
        <f>+'0203'!Q89</f>
        <v>0</v>
      </c>
      <c r="R29" s="444">
        <f>+L29+M29+N29+O29+P29+Q29</f>
        <v>3350.64</v>
      </c>
      <c r="T29" s="413"/>
    </row>
    <row r="30" spans="1:21" ht="48" customHeight="1" x14ac:dyDescent="0.2">
      <c r="A30" s="443" t="s">
        <v>473</v>
      </c>
      <c r="B30" s="1363" t="s">
        <v>1105</v>
      </c>
      <c r="C30" s="1364"/>
      <c r="D30" s="317">
        <f>+'0203'!D88</f>
        <v>15</v>
      </c>
      <c r="E30" s="118">
        <f>+'0203'!E89</f>
        <v>417</v>
      </c>
      <c r="F30" s="118">
        <f>+'0203'!F88</f>
        <v>6255</v>
      </c>
      <c r="G30" s="118">
        <f>+F30*2</f>
        <v>12510</v>
      </c>
      <c r="H30" s="118">
        <f>+'0203'!G88*2</f>
        <v>1063.3599999999999</v>
      </c>
      <c r="I30" s="118">
        <f>+'0203'!H88*2</f>
        <v>1094.6399999999999</v>
      </c>
      <c r="J30" s="118">
        <v>0</v>
      </c>
      <c r="K30" s="118">
        <f>+'020202'!J25</f>
        <v>0</v>
      </c>
      <c r="L30" s="118">
        <f>+G30+H30+I30+J30+K30</f>
        <v>14668</v>
      </c>
      <c r="M30" s="118">
        <f>+'0203'!M88</f>
        <v>1042.5</v>
      </c>
      <c r="N30" s="118">
        <f>+'020202'!N25</f>
        <v>0</v>
      </c>
      <c r="O30" s="118">
        <v>0</v>
      </c>
      <c r="P30" s="118">
        <v>0</v>
      </c>
      <c r="Q30" s="118"/>
      <c r="R30" s="444">
        <f>+L30+M30+N30+O30+P30+Q30</f>
        <v>15710.5</v>
      </c>
      <c r="T30" s="413"/>
    </row>
    <row r="31" spans="1:21" ht="35.25" customHeight="1" x14ac:dyDescent="0.2">
      <c r="A31" s="811"/>
      <c r="B31" s="1361" t="s">
        <v>1131</v>
      </c>
      <c r="C31" s="1362"/>
      <c r="D31" s="808">
        <f>+D28+D29+D30</f>
        <v>139</v>
      </c>
      <c r="E31" s="809">
        <f>+E28+E29+E30</f>
        <v>52791.060000000005</v>
      </c>
      <c r="F31" s="809">
        <f t="shared" ref="F31:R31" si="6">+F28+F29+F30</f>
        <v>83906.790000000008</v>
      </c>
      <c r="G31" s="809">
        <f t="shared" si="6"/>
        <v>632890.32000000007</v>
      </c>
      <c r="H31" s="809">
        <f t="shared" si="6"/>
        <v>53661.260000000009</v>
      </c>
      <c r="I31" s="809">
        <f t="shared" si="6"/>
        <v>52976.779999999992</v>
      </c>
      <c r="J31" s="809">
        <f t="shared" si="6"/>
        <v>0</v>
      </c>
      <c r="K31" s="809">
        <f t="shared" si="6"/>
        <v>1646.8847999999998</v>
      </c>
      <c r="L31" s="809">
        <f t="shared" si="6"/>
        <v>741175.24479999999</v>
      </c>
      <c r="M31" s="809">
        <f t="shared" si="6"/>
        <v>78694.290000000008</v>
      </c>
      <c r="N31" s="809">
        <f t="shared" si="6"/>
        <v>11235.179999999997</v>
      </c>
      <c r="O31" s="809">
        <f t="shared" si="6"/>
        <v>954.99029999999982</v>
      </c>
      <c r="P31" s="809">
        <f t="shared" si="6"/>
        <v>943.51950000000011</v>
      </c>
      <c r="Q31" s="809">
        <f t="shared" si="6"/>
        <v>27.126000000000001</v>
      </c>
      <c r="R31" s="812">
        <f t="shared" si="6"/>
        <v>833030.35060000012</v>
      </c>
      <c r="T31" s="413"/>
    </row>
    <row r="32" spans="1:21" ht="31.5" customHeight="1" thickBot="1" x14ac:dyDescent="0.25">
      <c r="A32" s="1377" t="s">
        <v>238</v>
      </c>
      <c r="B32" s="1378"/>
      <c r="C32" s="1379"/>
      <c r="D32" s="987">
        <f>+D15+D19+D24+D27+D31</f>
        <v>408</v>
      </c>
      <c r="E32" s="990">
        <f>+E15+E19+E24+E27+E31</f>
        <v>235881.52</v>
      </c>
      <c r="F32" s="990">
        <f>+F15+F19+F24+F27+F31</f>
        <v>287080.25</v>
      </c>
      <c r="G32" s="990">
        <f t="shared" ref="G32:R32" si="7">+G15+G19+G24+G27+G31</f>
        <v>2168082</v>
      </c>
      <c r="H32" s="990">
        <f t="shared" si="7"/>
        <v>167110.88999999998</v>
      </c>
      <c r="I32" s="990">
        <f t="shared" si="7"/>
        <v>183787.67999999996</v>
      </c>
      <c r="J32" s="990">
        <f t="shared" si="7"/>
        <v>487.92</v>
      </c>
      <c r="K32" s="990">
        <f t="shared" si="7"/>
        <v>3725.9568000000004</v>
      </c>
      <c r="L32" s="990">
        <f t="shared" si="7"/>
        <v>2523194.4468</v>
      </c>
      <c r="M32" s="990">
        <f t="shared" si="7"/>
        <v>250783.08333333334</v>
      </c>
      <c r="N32" s="990">
        <f t="shared" si="7"/>
        <v>14507.324999999997</v>
      </c>
      <c r="O32" s="990">
        <f t="shared" si="7"/>
        <v>1233.122625</v>
      </c>
      <c r="P32" s="990">
        <f t="shared" si="7"/>
        <v>1171.5552187500002</v>
      </c>
      <c r="Q32" s="990">
        <f t="shared" si="7"/>
        <v>67.087350000000001</v>
      </c>
      <c r="R32" s="991">
        <f t="shared" si="7"/>
        <v>2790956.6203270839</v>
      </c>
      <c r="T32" s="111"/>
      <c r="U32" s="108"/>
    </row>
    <row r="33" spans="1:20" x14ac:dyDescent="0.2">
      <c r="A33" s="981"/>
      <c r="B33" s="982"/>
      <c r="C33" s="982"/>
      <c r="D33" s="982"/>
      <c r="E33" s="982"/>
      <c r="F33" s="982"/>
      <c r="G33" s="982"/>
      <c r="H33" s="982"/>
      <c r="I33" s="982"/>
      <c r="J33" s="982"/>
      <c r="K33" s="982"/>
      <c r="L33" s="982"/>
      <c r="M33" s="982"/>
      <c r="N33" s="982"/>
      <c r="O33" s="982"/>
      <c r="P33" s="982"/>
      <c r="Q33" s="982"/>
      <c r="R33" s="983"/>
    </row>
    <row r="34" spans="1:20" ht="15" x14ac:dyDescent="0.25">
      <c r="A34" s="1369" t="s">
        <v>308</v>
      </c>
      <c r="B34" s="1370"/>
      <c r="C34" s="1370"/>
      <c r="D34" s="1370"/>
      <c r="E34" s="1370"/>
      <c r="F34" s="1370"/>
      <c r="G34" s="1370"/>
      <c r="H34" s="1370"/>
      <c r="I34" s="1370"/>
      <c r="J34" s="1370"/>
      <c r="K34" s="1370"/>
      <c r="L34" s="1370"/>
      <c r="M34" s="1370"/>
      <c r="N34" s="1370"/>
      <c r="O34" s="1370"/>
      <c r="P34" s="1370"/>
      <c r="Q34" s="1370"/>
      <c r="R34" s="1371"/>
      <c r="S34" s="980"/>
    </row>
    <row r="35" spans="1:20" ht="13.5" thickBot="1" x14ac:dyDescent="0.25">
      <c r="A35" s="984"/>
      <c r="R35" s="985"/>
    </row>
    <row r="36" spans="1:20" ht="33.75" customHeight="1" x14ac:dyDescent="0.2">
      <c r="A36" s="1380" t="s">
        <v>203</v>
      </c>
      <c r="B36" s="1339" t="s">
        <v>205</v>
      </c>
      <c r="C36" s="1340"/>
      <c r="D36" s="1367" t="s">
        <v>215</v>
      </c>
      <c r="E36" s="442" t="s">
        <v>217</v>
      </c>
      <c r="F36" s="1368" t="s">
        <v>312</v>
      </c>
      <c r="G36" s="442" t="s">
        <v>231</v>
      </c>
      <c r="H36" s="1341" t="s">
        <v>306</v>
      </c>
      <c r="I36" s="1342"/>
      <c r="J36" s="1342"/>
      <c r="K36" s="1343"/>
      <c r="L36" s="738"/>
      <c r="M36" s="442" t="s">
        <v>226</v>
      </c>
      <c r="N36" s="442" t="s">
        <v>304</v>
      </c>
      <c r="O36" s="768" t="s">
        <v>792</v>
      </c>
      <c r="P36" s="769"/>
      <c r="Q36" s="770"/>
      <c r="R36" s="446" t="s">
        <v>307</v>
      </c>
    </row>
    <row r="37" spans="1:20" ht="38.25" x14ac:dyDescent="0.2">
      <c r="A37" s="1381"/>
      <c r="B37" s="1355" t="s">
        <v>227</v>
      </c>
      <c r="C37" s="1356"/>
      <c r="D37" s="1234"/>
      <c r="E37" s="148" t="s">
        <v>220</v>
      </c>
      <c r="F37" s="1235"/>
      <c r="G37" s="160" t="s">
        <v>305</v>
      </c>
      <c r="H37" s="148" t="s">
        <v>228</v>
      </c>
      <c r="I37" s="148" t="s">
        <v>229</v>
      </c>
      <c r="J37" s="148" t="s">
        <v>1001</v>
      </c>
      <c r="K37" s="148" t="s">
        <v>230</v>
      </c>
      <c r="L37" s="148" t="s">
        <v>231</v>
      </c>
      <c r="M37" s="148"/>
      <c r="N37" s="148" t="s">
        <v>302</v>
      </c>
      <c r="O37" s="506" t="s">
        <v>791</v>
      </c>
      <c r="P37" s="435" t="s">
        <v>229</v>
      </c>
      <c r="Q37" s="435" t="s">
        <v>230</v>
      </c>
      <c r="R37" s="447" t="s">
        <v>238</v>
      </c>
    </row>
    <row r="38" spans="1:20" ht="54" customHeight="1" x14ac:dyDescent="0.2">
      <c r="A38" s="1381"/>
      <c r="B38" s="1357" t="s">
        <v>990</v>
      </c>
      <c r="C38" s="1358"/>
      <c r="D38" s="1234"/>
      <c r="E38" s="149" t="s">
        <v>509</v>
      </c>
      <c r="F38" s="1235"/>
      <c r="G38" s="148" t="s">
        <v>221</v>
      </c>
      <c r="H38" s="149">
        <v>8.5000000000000006E-2</v>
      </c>
      <c r="I38" s="149" t="s">
        <v>404</v>
      </c>
      <c r="J38" s="149" t="s">
        <v>404</v>
      </c>
      <c r="K38" s="149">
        <v>0.06</v>
      </c>
      <c r="L38" s="148" t="s">
        <v>221</v>
      </c>
      <c r="M38" s="148"/>
      <c r="N38" s="151">
        <v>0.3</v>
      </c>
      <c r="O38" s="156">
        <v>8.5000000000000006E-2</v>
      </c>
      <c r="P38" s="156" t="s">
        <v>404</v>
      </c>
      <c r="Q38" s="156">
        <v>0.06</v>
      </c>
      <c r="R38" s="448" t="s">
        <v>559</v>
      </c>
    </row>
    <row r="39" spans="1:20" s="116" customFormat="1" ht="41.1" customHeight="1" x14ac:dyDescent="0.2">
      <c r="A39" s="449" t="str">
        <f>A8</f>
        <v>0101</v>
      </c>
      <c r="B39" s="1372" t="str">
        <f>CONCATENATE(B8," DIETAS")</f>
        <v>DIRECCION  SUPERIOR (DIETAS) DIETAS</v>
      </c>
      <c r="C39" s="1372"/>
      <c r="D39" s="117">
        <f>'0101PP 3'!D16</f>
        <v>8</v>
      </c>
      <c r="E39" s="118">
        <f>'0101PP 3'!E16</f>
        <v>17600</v>
      </c>
      <c r="F39" s="118">
        <f>'0101PP 3'!F16</f>
        <v>17600</v>
      </c>
      <c r="G39" s="110">
        <f>F39*9</f>
        <v>158400</v>
      </c>
      <c r="H39" s="118">
        <f>+'0101PP 3'!G16*9</f>
        <v>6120</v>
      </c>
      <c r="I39" s="118">
        <f>'0101PP 3'!H16*9</f>
        <v>13860</v>
      </c>
      <c r="J39" s="118">
        <f>'0101PP 3'!I16*12</f>
        <v>0</v>
      </c>
      <c r="K39" s="118">
        <f>'0101PP 3'!J16*12</f>
        <v>0</v>
      </c>
      <c r="L39" s="118">
        <f>SUM(G39:K39)</f>
        <v>178380</v>
      </c>
      <c r="M39" s="118">
        <f>'0101PP 3'!M16</f>
        <v>0</v>
      </c>
      <c r="N39" s="118">
        <f>'0101PP 3'!N16</f>
        <v>0</v>
      </c>
      <c r="O39" s="512"/>
      <c r="P39" s="512"/>
      <c r="Q39" s="512"/>
      <c r="R39" s="444">
        <f t="shared" ref="R39:R45" si="8">SUM(L39:Q39)</f>
        <v>178380</v>
      </c>
    </row>
    <row r="40" spans="1:20" s="116" customFormat="1" ht="41.1" customHeight="1" x14ac:dyDescent="0.2">
      <c r="A40" s="449" t="str">
        <f>A39</f>
        <v>0101</v>
      </c>
      <c r="B40" s="1372" t="s">
        <v>309</v>
      </c>
      <c r="C40" s="1372"/>
      <c r="D40" s="117">
        <f>+D9+D10+D11+D12+D13+D14</f>
        <v>134</v>
      </c>
      <c r="E40" s="118">
        <f>+'0101PP 3'!E111</f>
        <v>60423.600000000006</v>
      </c>
      <c r="F40" s="118">
        <f>+F9+F10+F11+F12+F13+F14</f>
        <v>94458.6</v>
      </c>
      <c r="G40" s="110">
        <f>+G9+G10+G11+G12+G13+G14</f>
        <v>676906.8</v>
      </c>
      <c r="H40" s="118">
        <f>+H9+H10+H11+H12+H13+H14</f>
        <v>51001.739999999983</v>
      </c>
      <c r="I40" s="118">
        <f>+I9+I10+I11+I12+I13+I14</f>
        <v>56685.879999999976</v>
      </c>
      <c r="J40" s="118">
        <f>'0101PP 3'!I111</f>
        <v>0</v>
      </c>
      <c r="K40" s="118">
        <f>+K15</f>
        <v>1744.5120000000004</v>
      </c>
      <c r="L40" s="118">
        <f>SUM(G40:K40)</f>
        <v>786338.93200000003</v>
      </c>
      <c r="M40" s="118">
        <f>+M9+M10+M11+M12+M13+M14</f>
        <v>84316.6</v>
      </c>
      <c r="N40" s="118">
        <f>+N9</f>
        <v>3272.1450000000004</v>
      </c>
      <c r="O40" s="118">
        <f>+O9</f>
        <v>278.13232500000004</v>
      </c>
      <c r="P40" s="118">
        <f>+P9</f>
        <v>228.03571875000003</v>
      </c>
      <c r="Q40" s="118">
        <f>+Q9</f>
        <v>39.961349999999996</v>
      </c>
      <c r="R40" s="745">
        <f t="shared" si="8"/>
        <v>874473.80639375001</v>
      </c>
    </row>
    <row r="41" spans="1:20" s="116" customFormat="1" ht="41.1" customHeight="1" x14ac:dyDescent="0.2">
      <c r="A41" s="813"/>
      <c r="B41" s="1365" t="s">
        <v>1110</v>
      </c>
      <c r="C41" s="1366"/>
      <c r="D41" s="814">
        <f>SUM(D39:D40)</f>
        <v>142</v>
      </c>
      <c r="E41" s="815">
        <f>SUM(E39:E40)</f>
        <v>78023.600000000006</v>
      </c>
      <c r="F41" s="815">
        <f t="shared" ref="F41:R41" si="9">SUM(F39:F40)</f>
        <v>112058.6</v>
      </c>
      <c r="G41" s="815">
        <f t="shared" si="9"/>
        <v>835306.8</v>
      </c>
      <c r="H41" s="815">
        <f t="shared" si="9"/>
        <v>57121.739999999983</v>
      </c>
      <c r="I41" s="815">
        <f t="shared" si="9"/>
        <v>70545.879999999976</v>
      </c>
      <c r="J41" s="815">
        <f t="shared" si="9"/>
        <v>0</v>
      </c>
      <c r="K41" s="815">
        <f t="shared" si="9"/>
        <v>1744.5120000000004</v>
      </c>
      <c r="L41" s="815">
        <f t="shared" si="9"/>
        <v>964718.93200000003</v>
      </c>
      <c r="M41" s="815">
        <f t="shared" si="9"/>
        <v>84316.6</v>
      </c>
      <c r="N41" s="815">
        <f t="shared" si="9"/>
        <v>3272.1450000000004</v>
      </c>
      <c r="O41" s="815">
        <f t="shared" si="9"/>
        <v>278.13232500000004</v>
      </c>
      <c r="P41" s="815">
        <f t="shared" si="9"/>
        <v>228.03571875000003</v>
      </c>
      <c r="Q41" s="815">
        <f t="shared" si="9"/>
        <v>39.961349999999996</v>
      </c>
      <c r="R41" s="986">
        <f t="shared" si="9"/>
        <v>1052853.80639375</v>
      </c>
    </row>
    <row r="42" spans="1:20" s="116" customFormat="1" ht="41.1" customHeight="1" x14ac:dyDescent="0.2">
      <c r="A42" s="449" t="s">
        <v>468</v>
      </c>
      <c r="B42" s="1372" t="str">
        <f>+'0102PP 4'!B6:N6</f>
        <v>ADMINISTRACION FINANCIERA Y TRIBUTARIA</v>
      </c>
      <c r="C42" s="1372"/>
      <c r="D42" s="117">
        <f t="shared" ref="D42:I42" si="10">+D19</f>
        <v>54</v>
      </c>
      <c r="E42" s="118">
        <f t="shared" si="10"/>
        <v>42368.14</v>
      </c>
      <c r="F42" s="118">
        <f t="shared" si="10"/>
        <v>43385.14</v>
      </c>
      <c r="G42" s="110">
        <f t="shared" si="10"/>
        <v>332251.12</v>
      </c>
      <c r="H42" s="118">
        <f t="shared" si="10"/>
        <v>25758.010000000006</v>
      </c>
      <c r="I42" s="118">
        <f t="shared" si="10"/>
        <v>29072.159999999989</v>
      </c>
      <c r="J42" s="118"/>
      <c r="K42" s="118">
        <f>K27*12</f>
        <v>0</v>
      </c>
      <c r="L42" s="118">
        <f>+L19</f>
        <v>387081.29000000004</v>
      </c>
      <c r="M42" s="118">
        <f>+M19</f>
        <v>41526.14</v>
      </c>
      <c r="N42" s="118">
        <f>N27</f>
        <v>0</v>
      </c>
      <c r="O42" s="512">
        <v>0</v>
      </c>
      <c r="P42" s="512">
        <v>0</v>
      </c>
      <c r="Q42" s="512">
        <v>0</v>
      </c>
      <c r="R42" s="745">
        <f t="shared" si="8"/>
        <v>428607.43000000005</v>
      </c>
      <c r="T42" s="742"/>
    </row>
    <row r="43" spans="1:20" s="116" customFormat="1" ht="41.1" customHeight="1" x14ac:dyDescent="0.2">
      <c r="A43" s="449" t="s">
        <v>208</v>
      </c>
      <c r="B43" s="1372" t="s">
        <v>787</v>
      </c>
      <c r="C43" s="1372"/>
      <c r="D43" s="117">
        <f t="shared" ref="D43:I43" si="11">+D24</f>
        <v>55</v>
      </c>
      <c r="E43" s="118">
        <f t="shared" si="11"/>
        <v>31165</v>
      </c>
      <c r="F43" s="118">
        <f t="shared" si="11"/>
        <v>34364</v>
      </c>
      <c r="G43" s="110">
        <f t="shared" si="11"/>
        <v>261708</v>
      </c>
      <c r="H43" s="118">
        <f t="shared" si="11"/>
        <v>21905.920000000002</v>
      </c>
      <c r="I43" s="118">
        <f t="shared" si="11"/>
        <v>22411.959999999995</v>
      </c>
      <c r="J43" s="118">
        <f>J28*12</f>
        <v>0</v>
      </c>
      <c r="K43" s="118">
        <f>+K24</f>
        <v>334.56</v>
      </c>
      <c r="L43" s="118">
        <f>+L24</f>
        <v>306360.44</v>
      </c>
      <c r="M43" s="118">
        <f>+M24</f>
        <v>32880.333333333336</v>
      </c>
      <c r="N43" s="118">
        <v>0</v>
      </c>
      <c r="O43" s="512">
        <v>0</v>
      </c>
      <c r="P43" s="512">
        <v>0</v>
      </c>
      <c r="Q43" s="512">
        <v>0</v>
      </c>
      <c r="R43" s="444">
        <f t="shared" si="8"/>
        <v>339240.77333333332</v>
      </c>
      <c r="T43" s="742"/>
    </row>
    <row r="44" spans="1:20" s="116" customFormat="1" ht="41.1" customHeight="1" x14ac:dyDescent="0.2">
      <c r="A44" s="445" t="s">
        <v>209</v>
      </c>
      <c r="B44" s="1363" t="s">
        <v>788</v>
      </c>
      <c r="C44" s="1364"/>
      <c r="D44" s="317">
        <f t="shared" ref="D44:J44" si="12">+D27</f>
        <v>18</v>
      </c>
      <c r="E44" s="513">
        <f t="shared" si="12"/>
        <v>12948.720000000001</v>
      </c>
      <c r="F44" s="118">
        <f t="shared" si="12"/>
        <v>13365.720000000001</v>
      </c>
      <c r="G44" s="110">
        <f t="shared" si="12"/>
        <v>105925.76000000001</v>
      </c>
      <c r="H44" s="118">
        <f t="shared" si="12"/>
        <v>8663.9599999999991</v>
      </c>
      <c r="I44" s="118">
        <f t="shared" si="12"/>
        <v>8780.9000000000015</v>
      </c>
      <c r="J44" s="118">
        <f t="shared" si="12"/>
        <v>487.92</v>
      </c>
      <c r="K44" s="118">
        <f>+K30*12</f>
        <v>0</v>
      </c>
      <c r="L44" s="118">
        <f>+L27</f>
        <v>123858.54000000001</v>
      </c>
      <c r="M44" s="118">
        <f>+M27</f>
        <v>13365.720000000001</v>
      </c>
      <c r="N44" s="118">
        <f t="shared" ref="N44:Q45" si="13">+N30</f>
        <v>0</v>
      </c>
      <c r="O44" s="118">
        <f t="shared" si="13"/>
        <v>0</v>
      </c>
      <c r="P44" s="118">
        <f t="shared" si="13"/>
        <v>0</v>
      </c>
      <c r="Q44" s="118">
        <f t="shared" si="13"/>
        <v>0</v>
      </c>
      <c r="R44" s="444">
        <f t="shared" si="8"/>
        <v>137224.26</v>
      </c>
      <c r="T44" s="742"/>
    </row>
    <row r="45" spans="1:20" s="116" customFormat="1" ht="41.1" customHeight="1" x14ac:dyDescent="0.2">
      <c r="A45" s="445" t="s">
        <v>473</v>
      </c>
      <c r="B45" s="1363" t="s">
        <v>789</v>
      </c>
      <c r="C45" s="1364"/>
      <c r="D45" s="317">
        <f t="shared" ref="D45:I45" si="14">+D31</f>
        <v>139</v>
      </c>
      <c r="E45" s="118">
        <f>+'0203'!E91</f>
        <v>53208.060000000005</v>
      </c>
      <c r="F45" s="118">
        <f>+'0203'!F91</f>
        <v>83906.790000000008</v>
      </c>
      <c r="G45" s="110">
        <f t="shared" si="14"/>
        <v>632890.32000000007</v>
      </c>
      <c r="H45" s="118">
        <f t="shared" si="14"/>
        <v>53661.260000000009</v>
      </c>
      <c r="I45" s="118">
        <f t="shared" si="14"/>
        <v>52976.779999999992</v>
      </c>
      <c r="J45" s="118">
        <v>0</v>
      </c>
      <c r="K45" s="118">
        <f>+K31</f>
        <v>1646.8847999999998</v>
      </c>
      <c r="L45" s="118">
        <f>+L31</f>
        <v>741175.24479999999</v>
      </c>
      <c r="M45" s="118">
        <f>+M31</f>
        <v>78694.290000000008</v>
      </c>
      <c r="N45" s="118">
        <f t="shared" si="13"/>
        <v>11235.179999999997</v>
      </c>
      <c r="O45" s="512">
        <f t="shared" si="13"/>
        <v>954.99029999999982</v>
      </c>
      <c r="P45" s="512">
        <f t="shared" si="13"/>
        <v>943.51950000000011</v>
      </c>
      <c r="Q45" s="512">
        <f t="shared" si="13"/>
        <v>27.126000000000001</v>
      </c>
      <c r="R45" s="444">
        <f t="shared" si="8"/>
        <v>833030.35060000012</v>
      </c>
      <c r="T45" s="742"/>
    </row>
    <row r="46" spans="1:20" s="116" customFormat="1" ht="41.1" customHeight="1" thickBot="1" x14ac:dyDescent="0.25">
      <c r="A46" s="1373" t="s">
        <v>238</v>
      </c>
      <c r="B46" s="1374"/>
      <c r="C46" s="1374"/>
      <c r="D46" s="987">
        <f>+D41+D42+D43+D44+D45</f>
        <v>408</v>
      </c>
      <c r="E46" s="988">
        <f>+E41+E42+E43+E44+E45</f>
        <v>217713.52</v>
      </c>
      <c r="F46" s="988">
        <f t="shared" ref="F46:R46" si="15">+F41+F42+F43+F44+F45</f>
        <v>287080.25</v>
      </c>
      <c r="G46" s="988">
        <f t="shared" si="15"/>
        <v>2168082</v>
      </c>
      <c r="H46" s="988">
        <f t="shared" si="15"/>
        <v>167110.88999999998</v>
      </c>
      <c r="I46" s="988">
        <f t="shared" si="15"/>
        <v>183787.67999999996</v>
      </c>
      <c r="J46" s="988">
        <f t="shared" si="15"/>
        <v>487.92</v>
      </c>
      <c r="K46" s="988">
        <f t="shared" si="15"/>
        <v>3725.9568000000004</v>
      </c>
      <c r="L46" s="988">
        <f t="shared" si="15"/>
        <v>2523194.4468</v>
      </c>
      <c r="M46" s="988">
        <f t="shared" si="15"/>
        <v>250783.08333333334</v>
      </c>
      <c r="N46" s="988">
        <f t="shared" si="15"/>
        <v>14507.324999999997</v>
      </c>
      <c r="O46" s="988">
        <f t="shared" si="15"/>
        <v>1233.122625</v>
      </c>
      <c r="P46" s="988">
        <f t="shared" si="15"/>
        <v>1171.5552187500002</v>
      </c>
      <c r="Q46" s="988">
        <f t="shared" si="15"/>
        <v>67.087350000000001</v>
      </c>
      <c r="R46" s="989">
        <f t="shared" si="15"/>
        <v>2790956.6203270839</v>
      </c>
    </row>
  </sheetData>
  <mergeCells count="53">
    <mergeCell ref="B43:C43"/>
    <mergeCell ref="B44:C44"/>
    <mergeCell ref="B45:C45"/>
    <mergeCell ref="A46:C46"/>
    <mergeCell ref="B15:C15"/>
    <mergeCell ref="B16:C16"/>
    <mergeCell ref="B17:C17"/>
    <mergeCell ref="B25:C25"/>
    <mergeCell ref="B26:C26"/>
    <mergeCell ref="B39:C39"/>
    <mergeCell ref="B40:C40"/>
    <mergeCell ref="B42:C42"/>
    <mergeCell ref="B28:C28"/>
    <mergeCell ref="B30:C30"/>
    <mergeCell ref="A32:C32"/>
    <mergeCell ref="A36:A38"/>
    <mergeCell ref="H36:K36"/>
    <mergeCell ref="D36:D38"/>
    <mergeCell ref="B29:C29"/>
    <mergeCell ref="F36:F38"/>
    <mergeCell ref="A34:R34"/>
    <mergeCell ref="B24:C24"/>
    <mergeCell ref="B12:C12"/>
    <mergeCell ref="B20:C20"/>
    <mergeCell ref="B23:C23"/>
    <mergeCell ref="B41:C41"/>
    <mergeCell ref="B14:C14"/>
    <mergeCell ref="B38:C38"/>
    <mergeCell ref="B21:C21"/>
    <mergeCell ref="B22:C22"/>
    <mergeCell ref="B31:C31"/>
    <mergeCell ref="B37:C37"/>
    <mergeCell ref="B27:C27"/>
    <mergeCell ref="B18:C18"/>
    <mergeCell ref="B19:C19"/>
    <mergeCell ref="B13:C13"/>
    <mergeCell ref="B36:C36"/>
    <mergeCell ref="A1:R1"/>
    <mergeCell ref="A2:R2"/>
    <mergeCell ref="A3:R3"/>
    <mergeCell ref="B10:C10"/>
    <mergeCell ref="B11:C11"/>
    <mergeCell ref="A5:A7"/>
    <mergeCell ref="B5:C5"/>
    <mergeCell ref="H5:L5"/>
    <mergeCell ref="O5:Q5"/>
    <mergeCell ref="D5:D7"/>
    <mergeCell ref="F5:F7"/>
    <mergeCell ref="R5:R7"/>
    <mergeCell ref="B6:C6"/>
    <mergeCell ref="B7:C7"/>
    <mergeCell ref="B8:C8"/>
    <mergeCell ref="B9:C9"/>
  </mergeCells>
  <pageMargins left="0.70866141732283472" right="0.70866141732283472" top="0.74803149606299213" bottom="0.74803149606299213" header="0.31496062992125984" footer="0.31496062992125984"/>
  <pageSetup scale="42" orientation="landscape" r:id="rId1"/>
  <rowBreaks count="1" manualBreakCount="1">
    <brk id="32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D29"/>
  <sheetViews>
    <sheetView view="pageBreakPreview" zoomScale="98" zoomScaleNormal="100" zoomScaleSheetLayoutView="98" workbookViewId="0">
      <selection activeCell="I18" sqref="I18"/>
    </sheetView>
  </sheetViews>
  <sheetFormatPr baseColWidth="10" defaultRowHeight="15" x14ac:dyDescent="0.2"/>
  <cols>
    <col min="1" max="1" width="2.28515625" style="78" customWidth="1"/>
    <col min="2" max="2" width="9.140625" style="78" customWidth="1"/>
    <col min="3" max="3" width="53" style="78" customWidth="1"/>
    <col min="4" max="4" width="20" style="78" customWidth="1"/>
    <col min="5" max="16384" width="11.42578125" style="78"/>
  </cols>
  <sheetData>
    <row r="1" spans="1:4" ht="15.75" x14ac:dyDescent="0.25">
      <c r="A1" s="1174"/>
      <c r="B1" s="1385" t="s">
        <v>1143</v>
      </c>
      <c r="C1" s="1385"/>
      <c r="D1" s="1386"/>
    </row>
    <row r="2" spans="1:4" ht="15.75" x14ac:dyDescent="0.25">
      <c r="A2" s="1175"/>
      <c r="B2" s="1387" t="s">
        <v>1149</v>
      </c>
      <c r="C2" s="1387"/>
      <c r="D2" s="1388"/>
    </row>
    <row r="3" spans="1:4" ht="15.75" x14ac:dyDescent="0.25">
      <c r="A3" s="1175"/>
      <c r="B3" s="1387" t="s">
        <v>989</v>
      </c>
      <c r="C3" s="1387"/>
      <c r="D3" s="1388"/>
    </row>
    <row r="4" spans="1:4" ht="5.0999999999999996" customHeight="1" x14ac:dyDescent="0.2">
      <c r="A4" s="1175"/>
      <c r="B4" s="1176"/>
      <c r="C4" s="1176"/>
      <c r="D4" s="1177"/>
    </row>
    <row r="5" spans="1:4" ht="10.35" customHeight="1" x14ac:dyDescent="0.2">
      <c r="A5" s="1175"/>
      <c r="B5" s="1389"/>
      <c r="C5" s="1389"/>
      <c r="D5" s="1390"/>
    </row>
    <row r="6" spans="1:4" ht="30" customHeight="1" x14ac:dyDescent="0.25">
      <c r="A6" s="1178"/>
      <c r="B6" s="1382" t="s">
        <v>514</v>
      </c>
      <c r="C6" s="1383"/>
      <c r="D6" s="1384"/>
    </row>
    <row r="7" spans="1:4" ht="30" customHeight="1" x14ac:dyDescent="0.25">
      <c r="A7" s="1178"/>
      <c r="B7" s="450"/>
      <c r="C7" s="451" t="s">
        <v>189</v>
      </c>
      <c r="D7" s="1179"/>
    </row>
    <row r="8" spans="1:4" ht="35.1" customHeight="1" x14ac:dyDescent="0.2">
      <c r="A8" s="1175"/>
      <c r="B8" s="91" t="s">
        <v>190</v>
      </c>
      <c r="C8" s="92" t="s">
        <v>191</v>
      </c>
      <c r="D8" s="1180" t="s">
        <v>192</v>
      </c>
    </row>
    <row r="9" spans="1:4" ht="20.100000000000001" customHeight="1" x14ac:dyDescent="0.2">
      <c r="A9" s="1175"/>
      <c r="B9" s="10">
        <v>11</v>
      </c>
      <c r="C9" s="14" t="s">
        <v>60</v>
      </c>
      <c r="D9" s="1181">
        <f>+'DETALLE DE INGRESOS 9'!D5</f>
        <v>1801166.5818999999</v>
      </c>
    </row>
    <row r="10" spans="1:4" ht="20.100000000000001" customHeight="1" x14ac:dyDescent="0.2">
      <c r="A10" s="1175"/>
      <c r="B10" s="10">
        <v>12</v>
      </c>
      <c r="C10" s="14" t="s">
        <v>69</v>
      </c>
      <c r="D10" s="1181">
        <f>+'DETALLE DE INGRESOS 9'!D22</f>
        <v>1427500.3605</v>
      </c>
    </row>
    <row r="11" spans="1:4" ht="20.100000000000001" customHeight="1" x14ac:dyDescent="0.2">
      <c r="A11" s="1175"/>
      <c r="B11" s="10">
        <v>14</v>
      </c>
      <c r="C11" s="14" t="s">
        <v>83</v>
      </c>
      <c r="D11" s="1181">
        <f>+'DETALLE DE INGRESOS 9'!D41</f>
        <v>5038.3599999999997</v>
      </c>
    </row>
    <row r="12" spans="1:4" ht="20.100000000000001" customHeight="1" x14ac:dyDescent="0.2">
      <c r="A12" s="1175"/>
      <c r="B12" s="10">
        <v>15</v>
      </c>
      <c r="C12" s="14" t="s">
        <v>90</v>
      </c>
      <c r="D12" s="1181">
        <f>+'DETALLE DE INGRESOS 9'!D48</f>
        <v>68112.33</v>
      </c>
    </row>
    <row r="13" spans="1:4" ht="20.100000000000001" customHeight="1" x14ac:dyDescent="0.2">
      <c r="A13" s="1175"/>
      <c r="B13" s="10">
        <v>16</v>
      </c>
      <c r="C13" s="14" t="s">
        <v>100</v>
      </c>
      <c r="D13" s="1181">
        <f>+'DETALLE DE INGRESOS 9'!C63</f>
        <v>2149259.4000000004</v>
      </c>
    </row>
    <row r="14" spans="1:4" ht="20.100000000000001" customHeight="1" x14ac:dyDescent="0.2">
      <c r="A14" s="1175"/>
      <c r="B14" s="10">
        <v>21</v>
      </c>
      <c r="C14" s="14" t="s">
        <v>823</v>
      </c>
      <c r="D14" s="1181">
        <f>+'DETALLE DE INGRESOS 9'!D69</f>
        <v>1508.61</v>
      </c>
    </row>
    <row r="15" spans="1:4" ht="20.100000000000001" customHeight="1" x14ac:dyDescent="0.2">
      <c r="A15" s="1175"/>
      <c r="B15" s="10">
        <v>22</v>
      </c>
      <c r="C15" s="14" t="s">
        <v>961</v>
      </c>
      <c r="D15" s="1181">
        <f>+'DETALLE DE INGRESOS 9'!D72</f>
        <v>29598.3</v>
      </c>
    </row>
    <row r="16" spans="1:4" ht="20.100000000000001" customHeight="1" x14ac:dyDescent="0.2">
      <c r="A16" s="1175"/>
      <c r="B16" s="10">
        <v>32</v>
      </c>
      <c r="C16" s="14" t="s">
        <v>193</v>
      </c>
      <c r="D16" s="1181">
        <f>+'DETALLE DE INGRESOS 9'!D78</f>
        <v>5860765.5000000009</v>
      </c>
    </row>
    <row r="17" spans="1:4" ht="35.1" customHeight="1" x14ac:dyDescent="0.25">
      <c r="A17" s="1175"/>
      <c r="B17" s="79"/>
      <c r="C17" s="90" t="s">
        <v>194</v>
      </c>
      <c r="D17" s="1182">
        <f>SUM(D9:D16)</f>
        <v>11342949.442400001</v>
      </c>
    </row>
    <row r="18" spans="1:4" ht="30" customHeight="1" x14ac:dyDescent="0.2">
      <c r="A18" s="1175"/>
      <c r="D18" s="1183"/>
    </row>
    <row r="19" spans="1:4" ht="30" customHeight="1" x14ac:dyDescent="0.25">
      <c r="A19" s="1175"/>
      <c r="B19" s="1382" t="s">
        <v>515</v>
      </c>
      <c r="C19" s="1383"/>
      <c r="D19" s="1384"/>
    </row>
    <row r="20" spans="1:4" ht="30" customHeight="1" x14ac:dyDescent="0.25">
      <c r="A20" s="1175"/>
      <c r="B20" s="450"/>
      <c r="C20" s="451" t="s">
        <v>195</v>
      </c>
      <c r="D20" s="1179"/>
    </row>
    <row r="21" spans="1:4" ht="35.1" customHeight="1" x14ac:dyDescent="0.2">
      <c r="A21" s="1175"/>
      <c r="B21" s="93" t="s">
        <v>190</v>
      </c>
      <c r="C21" s="92" t="s">
        <v>196</v>
      </c>
      <c r="D21" s="1180" t="str">
        <f>D8</f>
        <v xml:space="preserve">Total </v>
      </c>
    </row>
    <row r="22" spans="1:4" ht="20.100000000000001" customHeight="1" x14ac:dyDescent="0.2">
      <c r="A22" s="1175"/>
      <c r="B22" s="10">
        <v>51</v>
      </c>
      <c r="C22" s="14" t="s">
        <v>197</v>
      </c>
      <c r="D22" s="1181">
        <f>SUM('CONSOLIDADO DE EGRESO 12'!V24)</f>
        <v>2967833.6203270829</v>
      </c>
    </row>
    <row r="23" spans="1:4" ht="20.100000000000001" customHeight="1" x14ac:dyDescent="0.2">
      <c r="A23" s="1175"/>
      <c r="B23" s="10">
        <v>54</v>
      </c>
      <c r="C23" s="14" t="s">
        <v>198</v>
      </c>
      <c r="D23" s="1181">
        <f>SUM('CONSOLIDADO DE EGRESO 12'!V66)</f>
        <v>1220063.1099999999</v>
      </c>
    </row>
    <row r="24" spans="1:4" ht="20.100000000000001" customHeight="1" x14ac:dyDescent="0.2">
      <c r="A24" s="1175"/>
      <c r="B24" s="10">
        <v>55</v>
      </c>
      <c r="C24" s="14" t="s">
        <v>199</v>
      </c>
      <c r="D24" s="1181">
        <f>SUM('CONSOLIDADO DE EGRESO 12'!V73)</f>
        <v>456108.67</v>
      </c>
    </row>
    <row r="25" spans="1:4" ht="20.100000000000001" customHeight="1" x14ac:dyDescent="0.2">
      <c r="A25" s="1175"/>
      <c r="B25" s="10">
        <v>56</v>
      </c>
      <c r="C25" s="14" t="s">
        <v>100</v>
      </c>
      <c r="D25" s="1181">
        <f>SUM('CONSOLIDADO DE EGRESO 12'!V78)</f>
        <v>64400</v>
      </c>
    </row>
    <row r="26" spans="1:4" ht="20.100000000000001" customHeight="1" x14ac:dyDescent="0.2">
      <c r="A26" s="1175"/>
      <c r="B26" s="10">
        <v>61</v>
      </c>
      <c r="C26" s="14" t="s">
        <v>200</v>
      </c>
      <c r="D26" s="1181">
        <f>SUM('CONSOLIDADO DE EGRESO 12'!V99)</f>
        <v>5510296.0300000012</v>
      </c>
    </row>
    <row r="27" spans="1:4" ht="20.100000000000001" customHeight="1" x14ac:dyDescent="0.2">
      <c r="A27" s="1175"/>
      <c r="B27" s="10">
        <v>71</v>
      </c>
      <c r="C27" s="14" t="s">
        <v>201</v>
      </c>
      <c r="D27" s="1181">
        <f>+'CONSOLIDADO DE EGRESO 12'!V102</f>
        <v>785389.57</v>
      </c>
    </row>
    <row r="28" spans="1:4" ht="20.100000000000001" customHeight="1" x14ac:dyDescent="0.2">
      <c r="A28" s="1175"/>
      <c r="B28" s="10">
        <v>72</v>
      </c>
      <c r="C28" s="14" t="s">
        <v>107</v>
      </c>
      <c r="D28" s="1181">
        <f>SUM('CONSOLIDADO DE EGRESO 12'!V104)</f>
        <v>338858.44000000006</v>
      </c>
    </row>
    <row r="29" spans="1:4" ht="35.1" customHeight="1" thickBot="1" x14ac:dyDescent="0.3">
      <c r="A29" s="1184"/>
      <c r="B29" s="1185"/>
      <c r="C29" s="1186" t="s">
        <v>202</v>
      </c>
      <c r="D29" s="1187">
        <f>SUM(D22:D28)</f>
        <v>11342949.440327084</v>
      </c>
    </row>
  </sheetData>
  <mergeCells count="6">
    <mergeCell ref="B19:D19"/>
    <mergeCell ref="B1:D1"/>
    <mergeCell ref="B2:D2"/>
    <mergeCell ref="B3:D3"/>
    <mergeCell ref="B5:D5"/>
    <mergeCell ref="B6:D6"/>
  </mergeCells>
  <printOptions horizontalCentered="1" verticalCentered="1"/>
  <pageMargins left="0.78740157480314965" right="0.78740157480314965" top="0.62992125984251968" bottom="0.59055118110236227" header="0.51181102362204722" footer="0.51181102362204722"/>
  <pageSetup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31</vt:i4>
      </vt:variant>
    </vt:vector>
  </HeadingPairs>
  <TitlesOfParts>
    <vt:vector size="58" baseType="lpstr">
      <vt:lpstr>ESTR. PRE. 1</vt:lpstr>
      <vt:lpstr>PRESUP.DE PERSONAL 2</vt:lpstr>
      <vt:lpstr>0101PP 3</vt:lpstr>
      <vt:lpstr>0102PP 4</vt:lpstr>
      <vt:lpstr>0201</vt:lpstr>
      <vt:lpstr>020202</vt:lpstr>
      <vt:lpstr>0203</vt:lpstr>
      <vt:lpstr>RESUMEN </vt:lpstr>
      <vt:lpstr>SUMARIOS ING.Y EGRESOS 7</vt:lpstr>
      <vt:lpstr>CONSOLIDADO DE INGRESOS 8</vt:lpstr>
      <vt:lpstr>DETALLE DE INGRESOS 9</vt:lpstr>
      <vt:lpstr>PROYECCION INGRESOS FP 10</vt:lpstr>
      <vt:lpstr>PROYCCFODES FUNCIONAMIENTO 2024</vt:lpstr>
      <vt:lpstr>0101 F.P DIRECCION Y ADM SUP</vt:lpstr>
      <vt:lpstr>0102 F.P.AD.FINANC Y TRIBUTARIA</vt:lpstr>
      <vt:lpstr>0201 F.P. BINESTAR SOCIAL</vt:lpstr>
      <vt:lpstr>0202 SERV.INTERNOS</vt:lpstr>
      <vt:lpstr>0203 SERV. EXTERNOS</vt:lpstr>
      <vt:lpstr>FUNCIONAMIENTO-FOND PROPIOS-FAM</vt:lpstr>
      <vt:lpstr>PROG-FAM</vt:lpstr>
      <vt:lpstr>1.5% LIBRE DISPONIBILIDAD 2024</vt:lpstr>
      <vt:lpstr>CONSOLIDADO DE EGRESO 12</vt:lpstr>
      <vt:lpstr>CBI</vt:lpstr>
      <vt:lpstr>DONACIONES</vt:lpstr>
      <vt:lpstr>FMI Y BID</vt:lpstr>
      <vt:lpstr>AMORTIZACION</vt:lpstr>
      <vt:lpstr>PRESTAMO</vt:lpstr>
      <vt:lpstr>'0101 F.P DIRECCION Y ADM SUP'!Área_de_impresión</vt:lpstr>
      <vt:lpstr>'0101PP 3'!Área_de_impresión</vt:lpstr>
      <vt:lpstr>'0102PP 4'!Área_de_impresión</vt:lpstr>
      <vt:lpstr>'0201'!Área_de_impresión</vt:lpstr>
      <vt:lpstr>'020202'!Área_de_impresión</vt:lpstr>
      <vt:lpstr>'0203'!Área_de_impresión</vt:lpstr>
      <vt:lpstr>'0203 SERV. EXTERNOS'!Área_de_impresión</vt:lpstr>
      <vt:lpstr>'1.5% LIBRE DISPONIBILIDAD 2024'!Área_de_impresión</vt:lpstr>
      <vt:lpstr>AMORTIZACION!Área_de_impresión</vt:lpstr>
      <vt:lpstr>CBI!Área_de_impresión</vt:lpstr>
      <vt:lpstr>'CONSOLIDADO DE EGRESO 12'!Área_de_impresión</vt:lpstr>
      <vt:lpstr>'CONSOLIDADO DE INGRESOS 8'!Área_de_impresión</vt:lpstr>
      <vt:lpstr>DONACIONES!Área_de_impresión</vt:lpstr>
      <vt:lpstr>'ESTR. PRE. 1'!Área_de_impresión</vt:lpstr>
      <vt:lpstr>'FUNCIONAMIENTO-FOND PROPIOS-FAM'!Área_de_impresión</vt:lpstr>
      <vt:lpstr>PRESTAMO!Área_de_impresión</vt:lpstr>
      <vt:lpstr>'PRESUP.DE PERSONAL 2'!Área_de_impresión</vt:lpstr>
      <vt:lpstr>'PROG-FAM'!Área_de_impresión</vt:lpstr>
      <vt:lpstr>'PROYCCFODES FUNCIONAMIENTO 2024'!Área_de_impresión</vt:lpstr>
      <vt:lpstr>'PROYECCION INGRESOS FP 10'!Área_de_impresión</vt:lpstr>
      <vt:lpstr>'RESUMEN '!Área_de_impresión</vt:lpstr>
      <vt:lpstr>'SUMARIOS ING.Y EGRESOS 7'!Área_de_impresión</vt:lpstr>
      <vt:lpstr>'0101 F.P DIRECCION Y ADM SUP'!Títulos_a_imprimir</vt:lpstr>
      <vt:lpstr>'0201'!Títulos_a_imprimir</vt:lpstr>
      <vt:lpstr>'0202 SERV.INTERNOS'!Títulos_a_imprimir</vt:lpstr>
      <vt:lpstr>'1.5% LIBRE DISPONIBILIDAD 2024'!Títulos_a_imprimir</vt:lpstr>
      <vt:lpstr>'CONSOLIDADO DE EGRESO 12'!Títulos_a_imprimir</vt:lpstr>
      <vt:lpstr>'CONSOLIDADO DE INGRESOS 8'!Títulos_a_imprimir</vt:lpstr>
      <vt:lpstr>'DETALLE DE INGRESOS 9'!Títulos_a_imprimir</vt:lpstr>
      <vt:lpstr>'FUNCIONAMIENTO-FOND PROPIOS-FAM'!Títulos_a_imprimir</vt:lpstr>
      <vt:lpstr>'PROYECCION INGRESOS FP 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Edith Angélica Martínez Bonilla</cp:lastModifiedBy>
  <cp:lastPrinted>2024-07-09T15:06:30Z</cp:lastPrinted>
  <dcterms:created xsi:type="dcterms:W3CDTF">2015-12-12T01:28:20Z</dcterms:created>
  <dcterms:modified xsi:type="dcterms:W3CDTF">2024-07-09T15:07:50Z</dcterms:modified>
</cp:coreProperties>
</file>