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firstSheet="3" activeTab="9"/>
  </bookViews>
  <sheets>
    <sheet name="AÑO 2009" sheetId="15" r:id="rId1"/>
    <sheet name="AÑO 2010" sheetId="16" r:id="rId2"/>
    <sheet name="AÑO 2011" sheetId="17" r:id="rId3"/>
    <sheet name="AÑO 2012" sheetId="18" r:id="rId4"/>
    <sheet name="AÑO 2013" sheetId="19" r:id="rId5"/>
    <sheet name="AÑO 2014" sheetId="20" r:id="rId6"/>
    <sheet name="AÑO 2015" sheetId="21" r:id="rId7"/>
    <sheet name="AÑO 2016" sheetId="22" r:id="rId8"/>
    <sheet name="AÑO 2017" sheetId="23" r:id="rId9"/>
    <sheet name="AÑO 2018" sheetId="24" r:id="rId10"/>
  </sheets>
  <calcPr calcId="152511"/>
</workbook>
</file>

<file path=xl/calcChain.xml><?xml version="1.0" encoding="utf-8"?>
<calcChain xmlns="http://schemas.openxmlformats.org/spreadsheetml/2006/main">
  <c r="G183" i="24" l="1"/>
  <c r="F183" i="24"/>
  <c r="B183" i="24"/>
  <c r="E183" i="24" s="1"/>
  <c r="F182" i="24"/>
  <c r="B182" i="24"/>
  <c r="E182" i="24" s="1"/>
  <c r="F181" i="24"/>
  <c r="B181" i="24"/>
  <c r="E181" i="24" s="1"/>
  <c r="F180" i="24"/>
  <c r="E180" i="24"/>
  <c r="B180" i="24"/>
  <c r="E179" i="24"/>
  <c r="E178" i="24"/>
  <c r="E177" i="24"/>
  <c r="F176" i="24"/>
  <c r="B176" i="24"/>
  <c r="E176" i="24" s="1"/>
  <c r="E175" i="24"/>
  <c r="F174" i="24"/>
  <c r="B174" i="24"/>
  <c r="E174" i="24" s="1"/>
  <c r="E173" i="24"/>
  <c r="E172" i="24"/>
  <c r="G171" i="24"/>
  <c r="F171" i="24"/>
  <c r="E171" i="24"/>
  <c r="B171" i="24"/>
  <c r="F170" i="24"/>
  <c r="B170" i="24"/>
  <c r="E170" i="24" s="1"/>
  <c r="E169" i="24"/>
  <c r="E168" i="24"/>
  <c r="E167" i="24"/>
  <c r="E166" i="24"/>
  <c r="E165" i="24"/>
  <c r="G164" i="24"/>
  <c r="B164" i="24"/>
  <c r="E164" i="24" s="1"/>
  <c r="G163" i="24"/>
  <c r="E163" i="24"/>
  <c r="B163" i="24"/>
  <c r="G162" i="24"/>
  <c r="B162" i="24"/>
  <c r="E162" i="24" s="1"/>
  <c r="G161" i="24"/>
  <c r="B161" i="24"/>
  <c r="E161" i="24" s="1"/>
  <c r="G160" i="24"/>
  <c r="B160" i="24"/>
  <c r="E160" i="24" s="1"/>
  <c r="G159" i="24"/>
  <c r="B159" i="24"/>
  <c r="E159" i="24" s="1"/>
  <c r="E158" i="24"/>
  <c r="E157" i="24"/>
  <c r="G156" i="24"/>
  <c r="B156" i="24"/>
  <c r="E156" i="24" s="1"/>
  <c r="E155" i="24"/>
  <c r="E154" i="24"/>
  <c r="E153" i="24"/>
  <c r="E152" i="24"/>
  <c r="F151" i="24"/>
  <c r="B151" i="24"/>
  <c r="E151" i="24" s="1"/>
  <c r="E150" i="24"/>
  <c r="E149" i="24"/>
  <c r="E148" i="24"/>
  <c r="E147" i="24"/>
  <c r="E146" i="24"/>
  <c r="G145" i="24"/>
  <c r="B145" i="24"/>
  <c r="E145" i="24" s="1"/>
  <c r="G144" i="24"/>
  <c r="B144" i="24"/>
  <c r="E144" i="24" s="1"/>
  <c r="E143" i="24"/>
  <c r="E142" i="24"/>
  <c r="E136" i="24"/>
  <c r="E135" i="24"/>
  <c r="E134" i="24"/>
  <c r="E133" i="24"/>
  <c r="E132" i="24"/>
  <c r="E131" i="24"/>
  <c r="E130" i="24"/>
  <c r="E129" i="24"/>
  <c r="E128" i="24"/>
  <c r="E127" i="24"/>
  <c r="E126" i="24"/>
  <c r="E125" i="24"/>
  <c r="E124" i="24"/>
  <c r="E123" i="24"/>
  <c r="E122" i="24"/>
  <c r="E121" i="24"/>
  <c r="G120" i="24"/>
  <c r="F120" i="24"/>
  <c r="B120" i="24"/>
  <c r="E120" i="24" s="1"/>
  <c r="E119" i="24"/>
  <c r="E118" i="24"/>
  <c r="F117" i="24"/>
  <c r="B117" i="24"/>
  <c r="E117" i="24" s="1"/>
  <c r="E116" i="24"/>
  <c r="E115" i="24"/>
  <c r="E114" i="24"/>
  <c r="G113" i="24"/>
  <c r="F113" i="24"/>
  <c r="B113" i="24"/>
  <c r="E113" i="24" s="1"/>
  <c r="F112" i="24"/>
  <c r="B112" i="24"/>
  <c r="E112" i="24" s="1"/>
  <c r="E111" i="24"/>
  <c r="E110" i="24"/>
  <c r="G109" i="24"/>
  <c r="F109" i="24"/>
  <c r="E109" i="24"/>
  <c r="B109" i="24"/>
  <c r="G108" i="24"/>
  <c r="F108" i="24"/>
  <c r="E108" i="24"/>
  <c r="B108" i="24"/>
  <c r="G107" i="24"/>
  <c r="F107" i="24"/>
  <c r="E107" i="24"/>
  <c r="B107" i="24"/>
  <c r="G106" i="24"/>
  <c r="F106" i="24"/>
  <c r="E106" i="24"/>
  <c r="B106" i="24"/>
  <c r="G105" i="24"/>
  <c r="F105" i="24"/>
  <c r="E105" i="24"/>
  <c r="B105" i="24"/>
  <c r="E104" i="24"/>
  <c r="G103" i="24"/>
  <c r="F103" i="24"/>
  <c r="B103" i="24"/>
  <c r="E103" i="24" s="1"/>
  <c r="G102" i="24"/>
  <c r="F102" i="24"/>
  <c r="B102" i="24"/>
  <c r="E102" i="24" s="1"/>
  <c r="E101" i="24"/>
  <c r="E100" i="24"/>
  <c r="E99" i="24"/>
  <c r="E98" i="24"/>
  <c r="E97" i="24"/>
  <c r="F96" i="24"/>
  <c r="B96" i="24"/>
  <c r="E96" i="24" s="1"/>
  <c r="E95" i="24"/>
  <c r="E94" i="24"/>
  <c r="F93" i="24"/>
  <c r="B93" i="24"/>
  <c r="E93" i="24" s="1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65" i="24"/>
  <c r="E64" i="24"/>
  <c r="E63" i="24"/>
  <c r="E62" i="24"/>
  <c r="E61" i="24"/>
  <c r="E60" i="24"/>
  <c r="E59" i="24"/>
  <c r="E58" i="24"/>
  <c r="E57" i="24"/>
  <c r="E56" i="24"/>
  <c r="E55" i="24"/>
  <c r="F54" i="24"/>
  <c r="B54" i="24"/>
  <c r="E54" i="24" s="1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G8" i="24"/>
  <c r="F8" i="24"/>
  <c r="B8" i="24"/>
  <c r="E7" i="24"/>
  <c r="E6" i="24"/>
  <c r="E5" i="24"/>
  <c r="E8" i="24" s="1"/>
  <c r="E184" i="24" l="1"/>
  <c r="G184" i="24"/>
  <c r="F184" i="24"/>
  <c r="B184" i="24"/>
  <c r="G195" i="23" l="1"/>
  <c r="F195" i="23"/>
  <c r="B195" i="23"/>
  <c r="E195" i="23" s="1"/>
  <c r="F194" i="23"/>
  <c r="B194" i="23"/>
  <c r="E194" i="23" s="1"/>
  <c r="F193" i="23"/>
  <c r="B193" i="23"/>
  <c r="E193" i="23" s="1"/>
  <c r="F192" i="23"/>
  <c r="B192" i="23"/>
  <c r="E192" i="23" s="1"/>
  <c r="E191" i="23"/>
  <c r="E190" i="23"/>
  <c r="F189" i="23"/>
  <c r="B189" i="23"/>
  <c r="E189" i="23" s="1"/>
  <c r="E188" i="23"/>
  <c r="E187" i="23"/>
  <c r="E186" i="23"/>
  <c r="E185" i="23"/>
  <c r="F184" i="23"/>
  <c r="B184" i="23"/>
  <c r="E184" i="23" s="1"/>
  <c r="E183" i="23"/>
  <c r="E182" i="23"/>
  <c r="G181" i="23"/>
  <c r="B181" i="23"/>
  <c r="E181" i="23" s="1"/>
  <c r="E180" i="23"/>
  <c r="E179" i="23"/>
  <c r="G178" i="23"/>
  <c r="B178" i="23"/>
  <c r="E178" i="23" s="1"/>
  <c r="F177" i="23"/>
  <c r="B177" i="23"/>
  <c r="E177" i="23" s="1"/>
  <c r="F176" i="23"/>
  <c r="B176" i="23"/>
  <c r="E176" i="23" s="1"/>
  <c r="E175" i="23"/>
  <c r="F174" i="23"/>
  <c r="B174" i="23"/>
  <c r="E174" i="23" s="1"/>
  <c r="E173" i="23"/>
  <c r="E172" i="23"/>
  <c r="G171" i="23"/>
  <c r="B171" i="23"/>
  <c r="E171" i="23" s="1"/>
  <c r="G170" i="23"/>
  <c r="B170" i="23"/>
  <c r="E170" i="23" s="1"/>
  <c r="E169" i="23"/>
  <c r="E168" i="23"/>
  <c r="E167" i="23"/>
  <c r="E166" i="23"/>
  <c r="E165" i="23"/>
  <c r="E164" i="23"/>
  <c r="E163" i="23"/>
  <c r="E162" i="23"/>
  <c r="G161" i="23"/>
  <c r="B161" i="23"/>
  <c r="E161" i="23" s="1"/>
  <c r="E160" i="23"/>
  <c r="E159" i="23"/>
  <c r="E158" i="23"/>
  <c r="E157" i="23"/>
  <c r="E156" i="23"/>
  <c r="E155" i="23"/>
  <c r="E154" i="23"/>
  <c r="F153" i="23"/>
  <c r="B153" i="23"/>
  <c r="E153" i="23" s="1"/>
  <c r="E152" i="23"/>
  <c r="G151" i="23"/>
  <c r="B151" i="23"/>
  <c r="E151" i="23" s="1"/>
  <c r="E150" i="23"/>
  <c r="F149" i="23"/>
  <c r="B149" i="23"/>
  <c r="E149" i="23" s="1"/>
  <c r="E148" i="23"/>
  <c r="E147" i="23"/>
  <c r="E146" i="23"/>
  <c r="E145" i="23"/>
  <c r="E144" i="23"/>
  <c r="E143" i="23"/>
  <c r="E142" i="23"/>
  <c r="E141" i="23"/>
  <c r="E140" i="23"/>
  <c r="E134" i="23"/>
  <c r="E133" i="23"/>
  <c r="E132" i="23"/>
  <c r="E131" i="23"/>
  <c r="E130" i="23"/>
  <c r="E129" i="23"/>
  <c r="E128" i="23"/>
  <c r="E127" i="23"/>
  <c r="E126" i="23"/>
  <c r="G125" i="23"/>
  <c r="F125" i="23"/>
  <c r="B125" i="23"/>
  <c r="E125" i="23" s="1"/>
  <c r="E124" i="23"/>
  <c r="E123" i="23"/>
  <c r="E122" i="23"/>
  <c r="E121" i="23"/>
  <c r="F120" i="23"/>
  <c r="B120" i="23"/>
  <c r="E120" i="23" s="1"/>
  <c r="E119" i="23"/>
  <c r="E118" i="23"/>
  <c r="E117" i="23"/>
  <c r="E116" i="23"/>
  <c r="E115" i="23"/>
  <c r="G114" i="23"/>
  <c r="F114" i="23"/>
  <c r="B114" i="23"/>
  <c r="E114" i="23" s="1"/>
  <c r="E113" i="23"/>
  <c r="E112" i="23"/>
  <c r="E111" i="23"/>
  <c r="G110" i="23"/>
  <c r="F110" i="23"/>
  <c r="B110" i="23"/>
  <c r="E110" i="23" s="1"/>
  <c r="G109" i="23"/>
  <c r="F109" i="23"/>
  <c r="B109" i="23"/>
  <c r="E109" i="23" s="1"/>
  <c r="E108" i="23"/>
  <c r="G107" i="23"/>
  <c r="F107" i="23"/>
  <c r="B107" i="23"/>
  <c r="E107" i="23" s="1"/>
  <c r="G106" i="23"/>
  <c r="F106" i="23"/>
  <c r="B106" i="23"/>
  <c r="E106" i="23" s="1"/>
  <c r="G105" i="23"/>
  <c r="F105" i="23"/>
  <c r="B105" i="23"/>
  <c r="E105" i="23" s="1"/>
  <c r="G104" i="23"/>
  <c r="F104" i="23"/>
  <c r="B104" i="23"/>
  <c r="E104" i="23" s="1"/>
  <c r="E103" i="23"/>
  <c r="E102" i="23"/>
  <c r="E101" i="23"/>
  <c r="E100" i="23"/>
  <c r="E99" i="23"/>
  <c r="E98" i="23"/>
  <c r="E97" i="23"/>
  <c r="F96" i="23"/>
  <c r="B96" i="23"/>
  <c r="E96" i="23" s="1"/>
  <c r="E95" i="23"/>
  <c r="F94" i="23"/>
  <c r="B94" i="23"/>
  <c r="E94" i="23" s="1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50" i="23"/>
  <c r="E49" i="23"/>
  <c r="F48" i="23"/>
  <c r="B48" i="23"/>
  <c r="E48" i="23" s="1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G8" i="23"/>
  <c r="F8" i="23"/>
  <c r="B8" i="23"/>
  <c r="E7" i="23"/>
  <c r="E8" i="23" s="1"/>
  <c r="E6" i="23"/>
  <c r="E5" i="23"/>
  <c r="G196" i="23" l="1"/>
  <c r="F196" i="23"/>
  <c r="E196" i="23"/>
  <c r="B196" i="23"/>
  <c r="G193" i="22" l="1"/>
  <c r="F193" i="22"/>
  <c r="B193" i="22"/>
  <c r="E193" i="22" s="1"/>
  <c r="F192" i="22"/>
  <c r="B192" i="22"/>
  <c r="E192" i="22" s="1"/>
  <c r="F191" i="22"/>
  <c r="B191" i="22"/>
  <c r="E191" i="22" s="1"/>
  <c r="F190" i="22"/>
  <c r="B190" i="22"/>
  <c r="E190" i="22" s="1"/>
  <c r="F189" i="22"/>
  <c r="B189" i="22"/>
  <c r="E189" i="22" s="1"/>
  <c r="E188" i="22"/>
  <c r="F187" i="22"/>
  <c r="B187" i="22"/>
  <c r="E187" i="22" s="1"/>
  <c r="E186" i="22"/>
  <c r="E185" i="22"/>
  <c r="E184" i="22"/>
  <c r="G183" i="22"/>
  <c r="F183" i="22"/>
  <c r="B183" i="22"/>
  <c r="E183" i="22" s="1"/>
  <c r="E182" i="22"/>
  <c r="G181" i="22"/>
  <c r="B181" i="22"/>
  <c r="E181" i="22" s="1"/>
  <c r="G180" i="22"/>
  <c r="B180" i="22"/>
  <c r="E180" i="22" s="1"/>
  <c r="E179" i="22"/>
  <c r="F178" i="22"/>
  <c r="B178" i="22"/>
  <c r="E178" i="22" s="1"/>
  <c r="G177" i="22"/>
  <c r="B177" i="22"/>
  <c r="E177" i="22" s="1"/>
  <c r="E176" i="22"/>
  <c r="E175" i="22"/>
  <c r="G174" i="22"/>
  <c r="B174" i="22"/>
  <c r="E174" i="22" s="1"/>
  <c r="G173" i="22"/>
  <c r="B173" i="22"/>
  <c r="E173" i="22" s="1"/>
  <c r="G172" i="22"/>
  <c r="B172" i="22"/>
  <c r="E172" i="22" s="1"/>
  <c r="G171" i="22"/>
  <c r="E171" i="22"/>
  <c r="B171" i="22"/>
  <c r="E170" i="22"/>
  <c r="E169" i="22"/>
  <c r="F168" i="22"/>
  <c r="B168" i="22"/>
  <c r="E168" i="22" s="1"/>
  <c r="E167" i="22"/>
  <c r="E166" i="22"/>
  <c r="E165" i="22"/>
  <c r="E164" i="22"/>
  <c r="G163" i="22"/>
  <c r="B163" i="22"/>
  <c r="E163" i="22" s="1"/>
  <c r="E162" i="22"/>
  <c r="G161" i="22"/>
  <c r="B161" i="22"/>
  <c r="E161" i="22" s="1"/>
  <c r="E160" i="22"/>
  <c r="E159" i="22"/>
  <c r="E158" i="22"/>
  <c r="F157" i="22"/>
  <c r="B157" i="22"/>
  <c r="E157" i="22" s="1"/>
  <c r="E156" i="22"/>
  <c r="G155" i="22"/>
  <c r="B155" i="22"/>
  <c r="E155" i="22" s="1"/>
  <c r="E154" i="22"/>
  <c r="E153" i="22"/>
  <c r="E152" i="22"/>
  <c r="E151" i="22"/>
  <c r="E150" i="22"/>
  <c r="E149" i="22"/>
  <c r="G148" i="22"/>
  <c r="F148" i="22"/>
  <c r="B148" i="22"/>
  <c r="E148" i="22" s="1"/>
  <c r="E147" i="22"/>
  <c r="G146" i="22"/>
  <c r="F146" i="22"/>
  <c r="B146" i="22"/>
  <c r="E146" i="22" s="1"/>
  <c r="E145" i="22"/>
  <c r="E144" i="22"/>
  <c r="E143" i="22"/>
  <c r="E142" i="22"/>
  <c r="E141" i="22"/>
  <c r="E140" i="22"/>
  <c r="E139" i="22"/>
  <c r="E138" i="22"/>
  <c r="E132" i="22"/>
  <c r="E131" i="22"/>
  <c r="E130" i="22"/>
  <c r="E129" i="22"/>
  <c r="E128" i="22"/>
  <c r="E127" i="22"/>
  <c r="E126" i="22"/>
  <c r="E125" i="22"/>
  <c r="E124" i="22"/>
  <c r="G123" i="22"/>
  <c r="F123" i="22"/>
  <c r="B123" i="22"/>
  <c r="E123" i="22" s="1"/>
  <c r="E122" i="22"/>
  <c r="E121" i="22"/>
  <c r="E120" i="22"/>
  <c r="F119" i="22"/>
  <c r="B119" i="22"/>
  <c r="E119" i="22" s="1"/>
  <c r="G118" i="22"/>
  <c r="F118" i="22"/>
  <c r="B118" i="22"/>
  <c r="E118" i="22" s="1"/>
  <c r="G117" i="22"/>
  <c r="F117" i="22"/>
  <c r="B117" i="22"/>
  <c r="E117" i="22" s="1"/>
  <c r="G116" i="22"/>
  <c r="F116" i="22"/>
  <c r="B116" i="22"/>
  <c r="E116" i="22" s="1"/>
  <c r="G115" i="22"/>
  <c r="F115" i="22"/>
  <c r="B115" i="22"/>
  <c r="E115" i="22" s="1"/>
  <c r="G114" i="22"/>
  <c r="F114" i="22"/>
  <c r="B114" i="22"/>
  <c r="E114" i="22" s="1"/>
  <c r="G113" i="22"/>
  <c r="F113" i="22"/>
  <c r="B113" i="22"/>
  <c r="E113" i="22" s="1"/>
  <c r="G112" i="22"/>
  <c r="F112" i="22"/>
  <c r="B112" i="22"/>
  <c r="E112" i="22" s="1"/>
  <c r="E111" i="22"/>
  <c r="E110" i="22"/>
  <c r="E109" i="22"/>
  <c r="E108" i="22"/>
  <c r="E107" i="22"/>
  <c r="F106" i="22"/>
  <c r="B106" i="22"/>
  <c r="E106" i="22" s="1"/>
  <c r="E105" i="22"/>
  <c r="E104" i="22"/>
  <c r="E103" i="22"/>
  <c r="E102" i="22"/>
  <c r="G101" i="22"/>
  <c r="F101" i="22"/>
  <c r="B101" i="22"/>
  <c r="E101" i="22" s="1"/>
  <c r="F100" i="22"/>
  <c r="B100" i="22"/>
  <c r="E100" i="22" s="1"/>
  <c r="F99" i="22"/>
  <c r="B99" i="22"/>
  <c r="E99" i="22" s="1"/>
  <c r="E98" i="22"/>
  <c r="F97" i="22"/>
  <c r="B97" i="22"/>
  <c r="E97" i="22" s="1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F75" i="22"/>
  <c r="B75" i="22"/>
  <c r="E75" i="22" s="1"/>
  <c r="E74" i="22"/>
  <c r="E73" i="22"/>
  <c r="E72" i="22"/>
  <c r="E71" i="22"/>
  <c r="E70" i="22"/>
  <c r="E60" i="22"/>
  <c r="E59" i="22"/>
  <c r="E58" i="22"/>
  <c r="E57" i="22"/>
  <c r="E56" i="22"/>
  <c r="E55" i="22"/>
  <c r="E54" i="22"/>
  <c r="E53" i="22"/>
  <c r="E52" i="22"/>
  <c r="F51" i="22"/>
  <c r="B51" i="22"/>
  <c r="E51" i="22" s="1"/>
  <c r="E50" i="22"/>
  <c r="F49" i="22"/>
  <c r="B49" i="22"/>
  <c r="E49" i="22" s="1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G10" i="22"/>
  <c r="F10" i="22"/>
  <c r="B10" i="22"/>
  <c r="E8" i="22"/>
  <c r="E7" i="22"/>
  <c r="E10" i="22" s="1"/>
  <c r="E6" i="22"/>
  <c r="E5" i="22"/>
  <c r="G194" i="22" l="1"/>
  <c r="F194" i="22"/>
  <c r="E194" i="22"/>
  <c r="B194" i="22"/>
  <c r="E22" i="21" l="1"/>
  <c r="E23" i="21"/>
  <c r="E24" i="21"/>
  <c r="E25" i="21"/>
  <c r="E26" i="21"/>
  <c r="E27" i="21"/>
  <c r="E28" i="21"/>
  <c r="E29" i="21"/>
  <c r="E30" i="21"/>
  <c r="E31" i="21"/>
  <c r="D32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B49" i="21"/>
  <c r="E49" i="21"/>
  <c r="F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B70" i="21"/>
  <c r="E70" i="21"/>
  <c r="F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B95" i="21"/>
  <c r="B180" i="21" s="1"/>
  <c r="F95" i="21"/>
  <c r="F180" i="21" s="1"/>
  <c r="B96" i="21"/>
  <c r="E96" i="21"/>
  <c r="B97" i="21"/>
  <c r="E97" i="21"/>
  <c r="F97" i="21"/>
  <c r="E98" i="21"/>
  <c r="D99" i="21"/>
  <c r="E99" i="21"/>
  <c r="E100" i="21"/>
  <c r="B101" i="21"/>
  <c r="E101" i="21" s="1"/>
  <c r="D101" i="21"/>
  <c r="F101" i="21"/>
  <c r="D102" i="21"/>
  <c r="E102" i="21" s="1"/>
  <c r="B103" i="21"/>
  <c r="E103" i="21" s="1"/>
  <c r="F103" i="21"/>
  <c r="E104" i="21"/>
  <c r="B105" i="21"/>
  <c r="E105" i="21" s="1"/>
  <c r="F105" i="21"/>
  <c r="E106" i="21"/>
  <c r="E107" i="21"/>
  <c r="E108" i="21"/>
  <c r="E109" i="21"/>
  <c r="E110" i="21"/>
  <c r="E111" i="21"/>
  <c r="B112" i="21"/>
  <c r="D112" i="21"/>
  <c r="E112" i="21" s="1"/>
  <c r="F112" i="21"/>
  <c r="G112" i="21"/>
  <c r="E113" i="21"/>
  <c r="E114" i="21"/>
  <c r="E115" i="21"/>
  <c r="B116" i="21"/>
  <c r="E116" i="21"/>
  <c r="F116" i="21"/>
  <c r="E117" i="21"/>
  <c r="B118" i="21"/>
  <c r="E118" i="21"/>
  <c r="G118" i="21"/>
  <c r="E119" i="21"/>
  <c r="E120" i="21"/>
  <c r="E121" i="21"/>
  <c r="E122" i="21"/>
  <c r="E123" i="21"/>
  <c r="E124" i="21"/>
  <c r="E125" i="21"/>
  <c r="E126" i="21"/>
  <c r="E127" i="21"/>
  <c r="E128" i="21"/>
  <c r="E129" i="21"/>
  <c r="B130" i="21"/>
  <c r="E130" i="21"/>
  <c r="F130" i="21"/>
  <c r="G130" i="21"/>
  <c r="B131" i="21"/>
  <c r="E131" i="21"/>
  <c r="F131" i="21"/>
  <c r="G131" i="21"/>
  <c r="B132" i="21"/>
  <c r="E132" i="21"/>
  <c r="F132" i="21"/>
  <c r="G132" i="21"/>
  <c r="B133" i="21"/>
  <c r="E133" i="21"/>
  <c r="F133" i="21"/>
  <c r="G133" i="21"/>
  <c r="B134" i="21"/>
  <c r="E134" i="21"/>
  <c r="G134" i="21"/>
  <c r="B140" i="21"/>
  <c r="E140" i="21" s="1"/>
  <c r="F140" i="21"/>
  <c r="G140" i="21"/>
  <c r="B141" i="21"/>
  <c r="E141" i="21" s="1"/>
  <c r="F141" i="21"/>
  <c r="G141" i="21"/>
  <c r="B142" i="21"/>
  <c r="E142" i="21" s="1"/>
  <c r="F142" i="21"/>
  <c r="G142" i="21"/>
  <c r="B143" i="21"/>
  <c r="E143" i="21" s="1"/>
  <c r="F143" i="21"/>
  <c r="E144" i="21"/>
  <c r="E145" i="21"/>
  <c r="B146" i="21"/>
  <c r="E146" i="21"/>
  <c r="G146" i="21"/>
  <c r="E147" i="21"/>
  <c r="E148" i="21"/>
  <c r="E149" i="21"/>
  <c r="E150" i="21"/>
  <c r="B151" i="21"/>
  <c r="E151" i="21" s="1"/>
  <c r="G151" i="21"/>
  <c r="B152" i="21"/>
  <c r="E152" i="21"/>
  <c r="F152" i="21"/>
  <c r="G152" i="21"/>
  <c r="E153" i="21"/>
  <c r="B154" i="21"/>
  <c r="E154" i="21" s="1"/>
  <c r="F154" i="21"/>
  <c r="G154" i="21"/>
  <c r="E155" i="21"/>
  <c r="E156" i="21"/>
  <c r="E157" i="21"/>
  <c r="E158" i="21"/>
  <c r="E159" i="21"/>
  <c r="E160" i="21"/>
  <c r="B161" i="21"/>
  <c r="E161" i="21" s="1"/>
  <c r="G161" i="21"/>
  <c r="B162" i="21"/>
  <c r="E162" i="21"/>
  <c r="G162" i="21"/>
  <c r="B163" i="21"/>
  <c r="E163" i="21" s="1"/>
  <c r="G163" i="21"/>
  <c r="E164" i="21"/>
  <c r="B165" i="21"/>
  <c r="E165" i="21" s="1"/>
  <c r="F165" i="21"/>
  <c r="B166" i="21"/>
  <c r="E166" i="21"/>
  <c r="G166" i="21"/>
  <c r="B167" i="21"/>
  <c r="E167" i="21" s="1"/>
  <c r="F167" i="21"/>
  <c r="G167" i="21"/>
  <c r="B168" i="21"/>
  <c r="E168" i="21" s="1"/>
  <c r="G168" i="21"/>
  <c r="E169" i="21"/>
  <c r="E170" i="21"/>
  <c r="B171" i="21"/>
  <c r="E171" i="21"/>
  <c r="F171" i="21"/>
  <c r="B172" i="21"/>
  <c r="E172" i="21" s="1"/>
  <c r="F172" i="21"/>
  <c r="B173" i="21"/>
  <c r="E173" i="21"/>
  <c r="F173" i="21"/>
  <c r="B174" i="21"/>
  <c r="E174" i="21" s="1"/>
  <c r="F174" i="21"/>
  <c r="E175" i="21"/>
  <c r="E176" i="21"/>
  <c r="E177" i="21"/>
  <c r="B178" i="21"/>
  <c r="E178" i="21" s="1"/>
  <c r="F178" i="21"/>
  <c r="G178" i="21"/>
  <c r="E179" i="21"/>
  <c r="G180" i="21"/>
  <c r="G17" i="21"/>
  <c r="F17" i="21"/>
  <c r="B17" i="21"/>
  <c r="E15" i="21"/>
  <c r="E14" i="21"/>
  <c r="E13" i="21"/>
  <c r="E12" i="21"/>
  <c r="E11" i="21"/>
  <c r="E10" i="21"/>
  <c r="E9" i="21"/>
  <c r="E8" i="21"/>
  <c r="E7" i="21"/>
  <c r="E6" i="21"/>
  <c r="E5" i="21"/>
  <c r="E95" i="21" l="1"/>
  <c r="E180" i="21" s="1"/>
  <c r="E17" i="21"/>
  <c r="E173" i="20" l="1"/>
  <c r="G172" i="20"/>
  <c r="F172" i="20"/>
  <c r="E172" i="20"/>
  <c r="B172" i="20"/>
  <c r="E171" i="20"/>
  <c r="E170" i="20"/>
  <c r="E169" i="20"/>
  <c r="F168" i="20"/>
  <c r="B168" i="20"/>
  <c r="E168" i="20" s="1"/>
  <c r="F167" i="20"/>
  <c r="B167" i="20"/>
  <c r="E167" i="20" s="1"/>
  <c r="F166" i="20"/>
  <c r="E166" i="20"/>
  <c r="B166" i="20"/>
  <c r="F165" i="20"/>
  <c r="B165" i="20"/>
  <c r="E165" i="20" s="1"/>
  <c r="E164" i="20"/>
  <c r="E163" i="20"/>
  <c r="G162" i="20"/>
  <c r="E162" i="20"/>
  <c r="B162" i="20"/>
  <c r="G161" i="20"/>
  <c r="F161" i="20"/>
  <c r="E161" i="20"/>
  <c r="B161" i="20"/>
  <c r="G160" i="20"/>
  <c r="B160" i="20"/>
  <c r="E160" i="20" s="1"/>
  <c r="F159" i="20"/>
  <c r="B159" i="20"/>
  <c r="E159" i="20" s="1"/>
  <c r="E158" i="20"/>
  <c r="G157" i="20"/>
  <c r="B157" i="20"/>
  <c r="E157" i="20" s="1"/>
  <c r="G156" i="20"/>
  <c r="B156" i="20"/>
  <c r="E156" i="20" s="1"/>
  <c r="G155" i="20"/>
  <c r="E155" i="20"/>
  <c r="B155" i="20"/>
  <c r="E154" i="20"/>
  <c r="E153" i="20"/>
  <c r="E152" i="20"/>
  <c r="B152" i="20"/>
  <c r="E151" i="20"/>
  <c r="E150" i="20"/>
  <c r="E149" i="20"/>
  <c r="F148" i="20"/>
  <c r="B148" i="20"/>
  <c r="E148" i="20" s="1"/>
  <c r="E147" i="20"/>
  <c r="G146" i="20"/>
  <c r="F146" i="20"/>
  <c r="B146" i="20"/>
  <c r="E146" i="20" s="1"/>
  <c r="G145" i="20"/>
  <c r="B145" i="20"/>
  <c r="E145" i="20" s="1"/>
  <c r="E144" i="20"/>
  <c r="E143" i="20"/>
  <c r="E142" i="20"/>
  <c r="E141" i="20"/>
  <c r="G140" i="20"/>
  <c r="B140" i="20"/>
  <c r="E140" i="20" s="1"/>
  <c r="E134" i="20"/>
  <c r="E133" i="20"/>
  <c r="F132" i="20"/>
  <c r="B132" i="20"/>
  <c r="E132" i="20" s="1"/>
  <c r="F131" i="20"/>
  <c r="B131" i="20"/>
  <c r="E131" i="20" s="1"/>
  <c r="G130" i="20"/>
  <c r="F130" i="20"/>
  <c r="B130" i="20"/>
  <c r="E130" i="20" s="1"/>
  <c r="G129" i="20"/>
  <c r="F129" i="20"/>
  <c r="B129" i="20"/>
  <c r="E129" i="20" s="1"/>
  <c r="F128" i="20"/>
  <c r="E128" i="20"/>
  <c r="B128" i="20"/>
  <c r="G127" i="20"/>
  <c r="F127" i="20"/>
  <c r="E127" i="20"/>
  <c r="B127" i="20"/>
  <c r="G126" i="20"/>
  <c r="F126" i="20"/>
  <c r="E126" i="20"/>
  <c r="B126" i="20"/>
  <c r="G125" i="20"/>
  <c r="F125" i="20"/>
  <c r="E125" i="20"/>
  <c r="B125" i="20"/>
  <c r="G124" i="20"/>
  <c r="F124" i="20"/>
  <c r="E124" i="20"/>
  <c r="B124" i="20"/>
  <c r="E123" i="20"/>
  <c r="E122" i="20"/>
  <c r="E121" i="20"/>
  <c r="E120" i="20"/>
  <c r="E119" i="20"/>
  <c r="G118" i="20"/>
  <c r="E118" i="20"/>
  <c r="B118" i="20"/>
  <c r="E117" i="20"/>
  <c r="E116" i="20"/>
  <c r="E115" i="20"/>
  <c r="E114" i="20"/>
  <c r="E113" i="20"/>
  <c r="G112" i="20"/>
  <c r="E112" i="20"/>
  <c r="B112" i="20"/>
  <c r="E111" i="20"/>
  <c r="F110" i="20"/>
  <c r="E110" i="20"/>
  <c r="B110" i="20"/>
  <c r="E109" i="20"/>
  <c r="E108" i="20"/>
  <c r="E107" i="20"/>
  <c r="G106" i="20"/>
  <c r="G174" i="20" s="1"/>
  <c r="F106" i="20"/>
  <c r="D106" i="20"/>
  <c r="E106" i="20" s="1"/>
  <c r="B106" i="20"/>
  <c r="E105" i="20"/>
  <c r="E104" i="20"/>
  <c r="E103" i="20"/>
  <c r="E102" i="20"/>
  <c r="E101" i="20"/>
  <c r="F100" i="20"/>
  <c r="E100" i="20"/>
  <c r="B100" i="20"/>
  <c r="B99" i="20"/>
  <c r="E99" i="20" s="1"/>
  <c r="F98" i="20"/>
  <c r="B98" i="20"/>
  <c r="E98" i="20" s="1"/>
  <c r="D97" i="20"/>
  <c r="E97" i="20" s="1"/>
  <c r="F96" i="20"/>
  <c r="D96" i="20"/>
  <c r="E96" i="20" s="1"/>
  <c r="B96" i="20"/>
  <c r="E95" i="20"/>
  <c r="D94" i="20"/>
  <c r="E94" i="20" s="1"/>
  <c r="E93" i="20"/>
  <c r="E92" i="20"/>
  <c r="B91" i="20"/>
  <c r="E91" i="20" s="1"/>
  <c r="F90" i="20"/>
  <c r="B90" i="20"/>
  <c r="E90" i="20" s="1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4" i="20"/>
  <c r="E63" i="20"/>
  <c r="E62" i="20"/>
  <c r="F61" i="20"/>
  <c r="B61" i="20"/>
  <c r="E61" i="20" s="1"/>
  <c r="E60" i="20"/>
  <c r="E59" i="20"/>
  <c r="E58" i="20"/>
  <c r="E57" i="20"/>
  <c r="E56" i="20"/>
  <c r="F55" i="20"/>
  <c r="F174" i="20" s="1"/>
  <c r="B55" i="20"/>
  <c r="E55" i="20" s="1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D27" i="20"/>
  <c r="E26" i="20"/>
  <c r="E25" i="20"/>
  <c r="E24" i="20"/>
  <c r="E23" i="20"/>
  <c r="E22" i="20"/>
  <c r="E21" i="20"/>
  <c r="E20" i="20"/>
  <c r="E19" i="20"/>
  <c r="E18" i="20"/>
  <c r="E17" i="20"/>
  <c r="G11" i="20"/>
  <c r="F11" i="20"/>
  <c r="B11" i="20"/>
  <c r="E9" i="20"/>
  <c r="E8" i="20"/>
  <c r="E7" i="20"/>
  <c r="E6" i="20"/>
  <c r="E11" i="20" s="1"/>
  <c r="E5" i="20"/>
  <c r="E174" i="20" l="1"/>
  <c r="B174" i="20"/>
  <c r="E171" i="19" l="1"/>
  <c r="G170" i="19"/>
  <c r="F170" i="19"/>
  <c r="E170" i="19"/>
  <c r="B170" i="19"/>
  <c r="E169" i="19"/>
  <c r="E168" i="19"/>
  <c r="E167" i="19"/>
  <c r="F166" i="19"/>
  <c r="E166" i="19"/>
  <c r="B166" i="19"/>
  <c r="F165" i="19"/>
  <c r="B165" i="19"/>
  <c r="E165" i="19" s="1"/>
  <c r="F164" i="19"/>
  <c r="E164" i="19"/>
  <c r="B164" i="19"/>
  <c r="F163" i="19"/>
  <c r="B163" i="19"/>
  <c r="E163" i="19" s="1"/>
  <c r="E162" i="19"/>
  <c r="E161" i="19"/>
  <c r="G160" i="19"/>
  <c r="E160" i="19"/>
  <c r="B160" i="19"/>
  <c r="G159" i="19"/>
  <c r="F159" i="19"/>
  <c r="E159" i="19"/>
  <c r="B159" i="19"/>
  <c r="G158" i="19"/>
  <c r="B158" i="19"/>
  <c r="E158" i="19" s="1"/>
  <c r="F157" i="19"/>
  <c r="E157" i="19"/>
  <c r="B157" i="19"/>
  <c r="E156" i="19"/>
  <c r="G155" i="19"/>
  <c r="E155" i="19"/>
  <c r="B155" i="19"/>
  <c r="G154" i="19"/>
  <c r="B154" i="19"/>
  <c r="E154" i="19" s="1"/>
  <c r="G153" i="19"/>
  <c r="E153" i="19"/>
  <c r="B153" i="19"/>
  <c r="E152" i="19"/>
  <c r="F151" i="19"/>
  <c r="E151" i="19"/>
  <c r="B151" i="19"/>
  <c r="E150" i="19"/>
  <c r="E149" i="19"/>
  <c r="E148" i="19"/>
  <c r="F147" i="19"/>
  <c r="E147" i="19"/>
  <c r="B147" i="19"/>
  <c r="E146" i="19"/>
  <c r="G145" i="19"/>
  <c r="F145" i="19"/>
  <c r="B145" i="19"/>
  <c r="E145" i="19" s="1"/>
  <c r="G144" i="19"/>
  <c r="E144" i="19"/>
  <c r="B144" i="19"/>
  <c r="E143" i="19"/>
  <c r="E142" i="19"/>
  <c r="E135" i="19"/>
  <c r="E134" i="19"/>
  <c r="G133" i="19"/>
  <c r="B133" i="19"/>
  <c r="E133" i="19" s="1"/>
  <c r="F132" i="19"/>
  <c r="E132" i="19"/>
  <c r="B132" i="19"/>
  <c r="G131" i="19"/>
  <c r="F131" i="19"/>
  <c r="E131" i="19"/>
  <c r="B131" i="19"/>
  <c r="G130" i="19"/>
  <c r="F130" i="19"/>
  <c r="E130" i="19"/>
  <c r="B130" i="19"/>
  <c r="G129" i="19"/>
  <c r="F129" i="19"/>
  <c r="E129" i="19"/>
  <c r="B129" i="19"/>
  <c r="G128" i="19"/>
  <c r="F128" i="19"/>
  <c r="E128" i="19"/>
  <c r="B128" i="19"/>
  <c r="G127" i="19"/>
  <c r="F127" i="19"/>
  <c r="E127" i="19"/>
  <c r="B127" i="19"/>
  <c r="G126" i="19"/>
  <c r="F126" i="19"/>
  <c r="E126" i="19"/>
  <c r="B126" i="19"/>
  <c r="G125" i="19"/>
  <c r="F125" i="19"/>
  <c r="E125" i="19"/>
  <c r="B125" i="19"/>
  <c r="G124" i="19"/>
  <c r="G172" i="19" s="1"/>
  <c r="F124" i="19"/>
  <c r="E124" i="19"/>
  <c r="B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F106" i="19"/>
  <c r="D106" i="19"/>
  <c r="B106" i="19"/>
  <c r="E106" i="19" s="1"/>
  <c r="E105" i="19"/>
  <c r="E104" i="19"/>
  <c r="E103" i="19"/>
  <c r="F102" i="19"/>
  <c r="B102" i="19"/>
  <c r="E102" i="19" s="1"/>
  <c r="F101" i="19"/>
  <c r="E101" i="19"/>
  <c r="B101" i="19"/>
  <c r="E100" i="19"/>
  <c r="D100" i="19"/>
  <c r="F99" i="19"/>
  <c r="D99" i="19"/>
  <c r="E99" i="19" s="1"/>
  <c r="B99" i="19"/>
  <c r="E98" i="19"/>
  <c r="D97" i="19"/>
  <c r="E97" i="19" s="1"/>
  <c r="E96" i="19"/>
  <c r="E95" i="19"/>
  <c r="E94" i="19"/>
  <c r="F93" i="19"/>
  <c r="F172" i="19" s="1"/>
  <c r="B93" i="19"/>
  <c r="E93" i="19" s="1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F65" i="19"/>
  <c r="E65" i="19"/>
  <c r="B65" i="19"/>
  <c r="E64" i="19"/>
  <c r="E63" i="19"/>
  <c r="E62" i="19"/>
  <c r="E61" i="19"/>
  <c r="E60" i="19"/>
  <c r="B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G37" i="19"/>
  <c r="F36" i="19"/>
  <c r="F37" i="19" s="1"/>
  <c r="B36" i="19"/>
  <c r="E36" i="19" s="1"/>
  <c r="E35" i="19"/>
  <c r="E34" i="19"/>
  <c r="E33" i="19"/>
  <c r="E32" i="19"/>
  <c r="B31" i="19"/>
  <c r="B37" i="19" s="1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D14" i="19"/>
  <c r="E14" i="19" s="1"/>
  <c r="E13" i="19"/>
  <c r="E12" i="19"/>
  <c r="E11" i="19"/>
  <c r="E10" i="19"/>
  <c r="E9" i="19"/>
  <c r="E8" i="19"/>
  <c r="E7" i="19"/>
  <c r="E6" i="19"/>
  <c r="E5" i="19"/>
  <c r="E172" i="19" l="1"/>
  <c r="B172" i="19"/>
  <c r="E37" i="19"/>
  <c r="E31" i="19"/>
  <c r="G159" i="18" l="1"/>
  <c r="F159" i="18"/>
  <c r="B159" i="18"/>
  <c r="E159" i="18" s="1"/>
  <c r="E158" i="18"/>
  <c r="F157" i="18"/>
  <c r="B157" i="18"/>
  <c r="E157" i="18" s="1"/>
  <c r="F156" i="18"/>
  <c r="B156" i="18"/>
  <c r="E156" i="18" s="1"/>
  <c r="F155" i="18"/>
  <c r="E155" i="18"/>
  <c r="B155" i="18"/>
  <c r="F154" i="18"/>
  <c r="E154" i="18"/>
  <c r="B154" i="18"/>
  <c r="G153" i="18"/>
  <c r="B153" i="18"/>
  <c r="E153" i="18" s="1"/>
  <c r="F152" i="18"/>
  <c r="B152" i="18"/>
  <c r="E152" i="18" s="1"/>
  <c r="F151" i="18"/>
  <c r="E151" i="18"/>
  <c r="B151" i="18"/>
  <c r="G150" i="18"/>
  <c r="E150" i="18"/>
  <c r="B150" i="18"/>
  <c r="G149" i="18"/>
  <c r="B149" i="18"/>
  <c r="E149" i="18" s="1"/>
  <c r="E148" i="18"/>
  <c r="E147" i="18"/>
  <c r="E142" i="18"/>
  <c r="F141" i="18"/>
  <c r="E141" i="18"/>
  <c r="B141" i="18"/>
  <c r="E140" i="18"/>
  <c r="E139" i="18"/>
  <c r="E138" i="18"/>
  <c r="G137" i="18"/>
  <c r="F137" i="18"/>
  <c r="E137" i="18"/>
  <c r="B137" i="18"/>
  <c r="G136" i="18"/>
  <c r="B136" i="18"/>
  <c r="E136" i="18" s="1"/>
  <c r="E135" i="18"/>
  <c r="E134" i="18"/>
  <c r="E133" i="18"/>
  <c r="G132" i="18"/>
  <c r="E132" i="18"/>
  <c r="B132" i="18"/>
  <c r="F131" i="18"/>
  <c r="E131" i="18"/>
  <c r="B131" i="18"/>
  <c r="E130" i="18"/>
  <c r="G129" i="18"/>
  <c r="F129" i="18"/>
  <c r="E129" i="18"/>
  <c r="B129" i="18"/>
  <c r="G128" i="18"/>
  <c r="F128" i="18"/>
  <c r="E128" i="18"/>
  <c r="B128" i="18"/>
  <c r="G127" i="18"/>
  <c r="F127" i="18"/>
  <c r="E127" i="18"/>
  <c r="B127" i="18"/>
  <c r="G126" i="18"/>
  <c r="F126" i="18"/>
  <c r="E126" i="18"/>
  <c r="B126" i="18"/>
  <c r="G125" i="18"/>
  <c r="G160" i="18" s="1"/>
  <c r="F125" i="18"/>
  <c r="E125" i="18"/>
  <c r="B125" i="18"/>
  <c r="E124" i="18"/>
  <c r="E123" i="18"/>
  <c r="E122" i="18"/>
  <c r="E121" i="18"/>
  <c r="D120" i="18"/>
  <c r="E120" i="18" s="1"/>
  <c r="E119" i="18"/>
  <c r="E118" i="18"/>
  <c r="E117" i="18"/>
  <c r="E116" i="18"/>
  <c r="E115" i="18"/>
  <c r="E114" i="18"/>
  <c r="E113" i="18"/>
  <c r="E112" i="18"/>
  <c r="E111" i="18"/>
  <c r="E110" i="18"/>
  <c r="F109" i="18"/>
  <c r="E109" i="18"/>
  <c r="B109" i="18"/>
  <c r="E108" i="18"/>
  <c r="E107" i="18"/>
  <c r="E106" i="18"/>
  <c r="D106" i="18"/>
  <c r="D105" i="18"/>
  <c r="E105" i="18" s="1"/>
  <c r="E104" i="18"/>
  <c r="D104" i="18"/>
  <c r="D103" i="18"/>
  <c r="E103" i="18" s="1"/>
  <c r="F102" i="18"/>
  <c r="E102" i="18"/>
  <c r="B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D81" i="18"/>
  <c r="E81" i="18" s="1"/>
  <c r="E80" i="18"/>
  <c r="F79" i="18"/>
  <c r="F160" i="18" s="1"/>
  <c r="B79" i="18"/>
  <c r="B160" i="18" s="1"/>
  <c r="E78" i="18"/>
  <c r="E77" i="18"/>
  <c r="E76" i="18"/>
  <c r="E75" i="18"/>
  <c r="E74" i="18"/>
  <c r="E68" i="18"/>
  <c r="E67" i="18"/>
  <c r="E66" i="18"/>
  <c r="E65" i="18"/>
  <c r="E64" i="18"/>
  <c r="E63" i="18"/>
  <c r="E62" i="18"/>
  <c r="E61" i="18"/>
  <c r="E60" i="18"/>
  <c r="E59" i="18"/>
  <c r="G53" i="18"/>
  <c r="B53" i="18"/>
  <c r="E52" i="18"/>
  <c r="F51" i="18"/>
  <c r="F53" i="18" s="1"/>
  <c r="B51" i="18"/>
  <c r="E51" i="18" s="1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D15" i="18"/>
  <c r="E14" i="18"/>
  <c r="E13" i="18"/>
  <c r="E12" i="18"/>
  <c r="E11" i="18"/>
  <c r="E10" i="18"/>
  <c r="E9" i="18"/>
  <c r="E8" i="18"/>
  <c r="E53" i="18" s="1"/>
  <c r="E7" i="18"/>
  <c r="E6" i="18"/>
  <c r="E5" i="18"/>
  <c r="E79" i="18" l="1"/>
  <c r="E160" i="18" s="1"/>
  <c r="G177" i="17" l="1"/>
  <c r="F177" i="17"/>
  <c r="B177" i="17"/>
  <c r="E177" i="17" s="1"/>
  <c r="E176" i="17"/>
  <c r="F175" i="17"/>
  <c r="B175" i="17"/>
  <c r="E175" i="17" s="1"/>
  <c r="F174" i="17"/>
  <c r="B174" i="17"/>
  <c r="E174" i="17" s="1"/>
  <c r="F173" i="17"/>
  <c r="B173" i="17"/>
  <c r="E173" i="17" s="1"/>
  <c r="F172" i="17"/>
  <c r="E172" i="17"/>
  <c r="B172" i="17"/>
  <c r="G171" i="17"/>
  <c r="B171" i="17"/>
  <c r="E171" i="17" s="1"/>
  <c r="F170" i="17"/>
  <c r="B170" i="17"/>
  <c r="E170" i="17" s="1"/>
  <c r="F169" i="17"/>
  <c r="B169" i="17"/>
  <c r="E169" i="17" s="1"/>
  <c r="G168" i="17"/>
  <c r="E168" i="17"/>
  <c r="B168" i="17"/>
  <c r="G167" i="17"/>
  <c r="B167" i="17"/>
  <c r="E167" i="17" s="1"/>
  <c r="E166" i="17"/>
  <c r="E165" i="17"/>
  <c r="E164" i="17"/>
  <c r="F163" i="17"/>
  <c r="B163" i="17"/>
  <c r="E163" i="17" s="1"/>
  <c r="E162" i="17"/>
  <c r="F161" i="17"/>
  <c r="B161" i="17"/>
  <c r="E161" i="17" s="1"/>
  <c r="E160" i="17"/>
  <c r="G159" i="17"/>
  <c r="F159" i="17"/>
  <c r="B159" i="17"/>
  <c r="E159" i="17" s="1"/>
  <c r="G158" i="17"/>
  <c r="B158" i="17"/>
  <c r="E158" i="17" s="1"/>
  <c r="E157" i="17"/>
  <c r="E156" i="17"/>
  <c r="E155" i="17"/>
  <c r="E154" i="17"/>
  <c r="G153" i="17"/>
  <c r="F153" i="17"/>
  <c r="B153" i="17"/>
  <c r="E153" i="17" s="1"/>
  <c r="E152" i="17"/>
  <c r="E151" i="17"/>
  <c r="E150" i="17"/>
  <c r="G149" i="17"/>
  <c r="G178" i="17" s="1"/>
  <c r="B149" i="17"/>
  <c r="E149" i="17" s="1"/>
  <c r="E148" i="17"/>
  <c r="E147" i="17"/>
  <c r="E146" i="17"/>
  <c r="E145" i="17"/>
  <c r="E144" i="17"/>
  <c r="E143" i="17"/>
  <c r="E142" i="17"/>
  <c r="E134" i="17"/>
  <c r="E133" i="17"/>
  <c r="E132" i="17"/>
  <c r="E131" i="17"/>
  <c r="E130" i="17"/>
  <c r="F129" i="17"/>
  <c r="B129" i="17"/>
  <c r="E129" i="17" s="1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F105" i="17"/>
  <c r="F178" i="17" s="1"/>
  <c r="E105" i="17"/>
  <c r="B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178" i="17" s="1"/>
  <c r="G85" i="17"/>
  <c r="F84" i="17"/>
  <c r="E84" i="17"/>
  <c r="B84" i="17"/>
  <c r="F83" i="17"/>
  <c r="E83" i="17"/>
  <c r="B83" i="17"/>
  <c r="F82" i="17"/>
  <c r="B82" i="17"/>
  <c r="E82" i="17" s="1"/>
  <c r="E81" i="17"/>
  <c r="G80" i="17"/>
  <c r="B80" i="17"/>
  <c r="E80" i="17" s="1"/>
  <c r="E79" i="17"/>
  <c r="E78" i="17"/>
  <c r="E77" i="17"/>
  <c r="E76" i="17"/>
  <c r="E75" i="17"/>
  <c r="E74" i="17"/>
  <c r="F73" i="17"/>
  <c r="E73" i="17"/>
  <c r="B73" i="17"/>
  <c r="G72" i="17"/>
  <c r="F72" i="17"/>
  <c r="E72" i="17"/>
  <c r="B72" i="17"/>
  <c r="F66" i="17"/>
  <c r="B66" i="17"/>
  <c r="E66" i="17" s="1"/>
  <c r="E65" i="17"/>
  <c r="G64" i="17"/>
  <c r="F64" i="17"/>
  <c r="E64" i="17"/>
  <c r="B64" i="17"/>
  <c r="G63" i="17"/>
  <c r="F63" i="17"/>
  <c r="E63" i="17"/>
  <c r="B63" i="17"/>
  <c r="G62" i="17"/>
  <c r="F62" i="17"/>
  <c r="E62" i="17"/>
  <c r="B62" i="17"/>
  <c r="G61" i="17"/>
  <c r="F61" i="17"/>
  <c r="E61" i="17"/>
  <c r="B61" i="17"/>
  <c r="E60" i="17"/>
  <c r="E59" i="17"/>
  <c r="E58" i="17"/>
  <c r="E57" i="17"/>
  <c r="G56" i="17"/>
  <c r="F56" i="17"/>
  <c r="E56" i="17"/>
  <c r="B56" i="17"/>
  <c r="E55" i="17"/>
  <c r="E54" i="17"/>
  <c r="E53" i="17"/>
  <c r="E52" i="17"/>
  <c r="F51" i="17"/>
  <c r="B51" i="17"/>
  <c r="B85" i="17" s="1"/>
  <c r="E50" i="17"/>
  <c r="E49" i="17"/>
  <c r="E48" i="17"/>
  <c r="E47" i="17"/>
  <c r="E46" i="17"/>
  <c r="E45" i="17"/>
  <c r="F44" i="17"/>
  <c r="F85" i="17" s="1"/>
  <c r="E44" i="17"/>
  <c r="B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B178" i="17" l="1"/>
  <c r="E85" i="17"/>
  <c r="E51" i="17"/>
  <c r="G175" i="16" l="1"/>
  <c r="F175" i="16"/>
  <c r="D175" i="16"/>
  <c r="E175" i="16" s="1"/>
  <c r="B175" i="16"/>
  <c r="E174" i="16"/>
  <c r="F173" i="16"/>
  <c r="E173" i="16"/>
  <c r="B173" i="16"/>
  <c r="F172" i="16"/>
  <c r="B172" i="16"/>
  <c r="E172" i="16" s="1"/>
  <c r="F171" i="16"/>
  <c r="B171" i="16"/>
  <c r="E171" i="16" s="1"/>
  <c r="F170" i="16"/>
  <c r="B170" i="16"/>
  <c r="E170" i="16" s="1"/>
  <c r="G169" i="16"/>
  <c r="E169" i="16"/>
  <c r="B169" i="16"/>
  <c r="G168" i="16"/>
  <c r="F168" i="16"/>
  <c r="E168" i="16"/>
  <c r="B168" i="16"/>
  <c r="F167" i="16"/>
  <c r="B167" i="16"/>
  <c r="E167" i="16" s="1"/>
  <c r="E166" i="16"/>
  <c r="G165" i="16"/>
  <c r="B165" i="16"/>
  <c r="E165" i="16" s="1"/>
  <c r="G164" i="16"/>
  <c r="B164" i="16"/>
  <c r="E164" i="16" s="1"/>
  <c r="E163" i="16"/>
  <c r="E162" i="16"/>
  <c r="E161" i="16"/>
  <c r="F160" i="16"/>
  <c r="E160" i="16"/>
  <c r="B160" i="16"/>
  <c r="E159" i="16"/>
  <c r="F158" i="16"/>
  <c r="E158" i="16"/>
  <c r="B158" i="16"/>
  <c r="E157" i="16"/>
  <c r="G156" i="16"/>
  <c r="F156" i="16"/>
  <c r="B156" i="16"/>
  <c r="E156" i="16" s="1"/>
  <c r="G155" i="16"/>
  <c r="E155" i="16"/>
  <c r="B155" i="16"/>
  <c r="E154" i="16"/>
  <c r="E153" i="16"/>
  <c r="E152" i="16"/>
  <c r="E151" i="16"/>
  <c r="G150" i="16"/>
  <c r="F150" i="16"/>
  <c r="E150" i="16"/>
  <c r="B150" i="16"/>
  <c r="E149" i="16"/>
  <c r="E148" i="16"/>
  <c r="E147" i="16"/>
  <c r="G146" i="16"/>
  <c r="G176" i="16" s="1"/>
  <c r="B146" i="16"/>
  <c r="E146" i="16" s="1"/>
  <c r="E145" i="16"/>
  <c r="E144" i="16"/>
  <c r="E143" i="16"/>
  <c r="E142" i="16"/>
  <c r="E136" i="16"/>
  <c r="E135" i="16"/>
  <c r="E134" i="16"/>
  <c r="E133" i="16"/>
  <c r="E132" i="16"/>
  <c r="E131" i="16"/>
  <c r="E130" i="16"/>
  <c r="E129" i="16"/>
  <c r="F128" i="16"/>
  <c r="B128" i="16"/>
  <c r="E128" i="16" s="1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F104" i="16"/>
  <c r="F176" i="16" s="1"/>
  <c r="B104" i="16"/>
  <c r="E104" i="16" s="1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3" i="16"/>
  <c r="E82" i="16"/>
  <c r="F81" i="16"/>
  <c r="B81" i="16"/>
  <c r="E81" i="16" s="1"/>
  <c r="F80" i="16"/>
  <c r="B80" i="16"/>
  <c r="E80" i="16" s="1"/>
  <c r="F79" i="16"/>
  <c r="E79" i="16"/>
  <c r="B79" i="16"/>
  <c r="E78" i="16"/>
  <c r="G77" i="16"/>
  <c r="E77" i="16"/>
  <c r="B77" i="16"/>
  <c r="E76" i="16"/>
  <c r="E75" i="16"/>
  <c r="E74" i="16"/>
  <c r="E73" i="16"/>
  <c r="E67" i="16"/>
  <c r="E66" i="16"/>
  <c r="F65" i="16"/>
  <c r="B65" i="16"/>
  <c r="E65" i="16" s="1"/>
  <c r="G64" i="16"/>
  <c r="F64" i="16"/>
  <c r="B64" i="16"/>
  <c r="E64" i="16" s="1"/>
  <c r="F63" i="16"/>
  <c r="E63" i="16"/>
  <c r="B63" i="16"/>
  <c r="E62" i="16"/>
  <c r="G61" i="16"/>
  <c r="F61" i="16"/>
  <c r="B61" i="16"/>
  <c r="E61" i="16" s="1"/>
  <c r="G60" i="16"/>
  <c r="F60" i="16"/>
  <c r="B60" i="16"/>
  <c r="E60" i="16" s="1"/>
  <c r="G59" i="16"/>
  <c r="F59" i="16"/>
  <c r="B59" i="16"/>
  <c r="E59" i="16" s="1"/>
  <c r="G58" i="16"/>
  <c r="F58" i="16"/>
  <c r="B58" i="16"/>
  <c r="E58" i="16" s="1"/>
  <c r="G57" i="16"/>
  <c r="G84" i="16" s="1"/>
  <c r="F57" i="16"/>
  <c r="B57" i="16"/>
  <c r="E57" i="16" s="1"/>
  <c r="E56" i="16"/>
  <c r="E55" i="16"/>
  <c r="E54" i="16"/>
  <c r="E53" i="16"/>
  <c r="E52" i="16"/>
  <c r="E51" i="16"/>
  <c r="E50" i="16"/>
  <c r="E49" i="16"/>
  <c r="E48" i="16"/>
  <c r="F47" i="16"/>
  <c r="F84" i="16" s="1"/>
  <c r="B47" i="16"/>
  <c r="E47" i="16" s="1"/>
  <c r="F46" i="16"/>
  <c r="E46" i="16"/>
  <c r="B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84" i="16" l="1"/>
  <c r="E176" i="16"/>
  <c r="B176" i="16"/>
  <c r="B84" i="16"/>
  <c r="F164" i="15" l="1"/>
  <c r="B164" i="15"/>
  <c r="E164" i="15" s="1"/>
  <c r="G163" i="15"/>
  <c r="F163" i="15"/>
  <c r="D163" i="15"/>
  <c r="B163" i="15"/>
  <c r="E162" i="15"/>
  <c r="F161" i="15"/>
  <c r="B161" i="15"/>
  <c r="E161" i="15" s="1"/>
  <c r="F160" i="15"/>
  <c r="B160" i="15"/>
  <c r="E160" i="15" s="1"/>
  <c r="F159" i="15"/>
  <c r="E159" i="15"/>
  <c r="B159" i="15"/>
  <c r="G158" i="15"/>
  <c r="B158" i="15"/>
  <c r="E158" i="15" s="1"/>
  <c r="G157" i="15"/>
  <c r="B157" i="15"/>
  <c r="F156" i="15"/>
  <c r="B156" i="15"/>
  <c r="E156" i="15" s="1"/>
  <c r="F155" i="15"/>
  <c r="B155" i="15"/>
  <c r="E155" i="15" s="1"/>
  <c r="E154" i="15"/>
  <c r="G153" i="15"/>
  <c r="B153" i="15"/>
  <c r="E153" i="15" s="1"/>
  <c r="G152" i="15"/>
  <c r="B152" i="15"/>
  <c r="E152" i="15" s="1"/>
  <c r="E76" i="15"/>
  <c r="E151" i="15"/>
  <c r="E75" i="15"/>
  <c r="E150" i="15"/>
  <c r="F74" i="15"/>
  <c r="B74" i="15"/>
  <c r="E74" i="15" s="1"/>
  <c r="E149" i="15"/>
  <c r="F73" i="15"/>
  <c r="B73" i="15"/>
  <c r="E73" i="15" s="1"/>
  <c r="F148" i="15"/>
  <c r="B148" i="15"/>
  <c r="E148" i="15" s="1"/>
  <c r="F72" i="15"/>
  <c r="B72" i="15"/>
  <c r="E72" i="15" s="1"/>
  <c r="E147" i="15"/>
  <c r="E71" i="15"/>
  <c r="F146" i="15"/>
  <c r="B146" i="15"/>
  <c r="E146" i="15" s="1"/>
  <c r="E70" i="15"/>
  <c r="E145" i="15"/>
  <c r="E69" i="15"/>
  <c r="G144" i="15"/>
  <c r="F144" i="15"/>
  <c r="E144" i="15"/>
  <c r="B144" i="15"/>
  <c r="E68" i="15"/>
  <c r="G143" i="15"/>
  <c r="E143" i="15"/>
  <c r="B143" i="15"/>
  <c r="E67" i="15"/>
  <c r="E142" i="15"/>
  <c r="E66" i="15"/>
  <c r="E141" i="15"/>
  <c r="E65" i="15"/>
  <c r="E140" i="15"/>
  <c r="E64" i="15"/>
  <c r="E139" i="15"/>
  <c r="F63" i="15"/>
  <c r="B63" i="15"/>
  <c r="E63" i="15" s="1"/>
  <c r="G138" i="15"/>
  <c r="F138" i="15"/>
  <c r="B138" i="15"/>
  <c r="E138" i="15" s="1"/>
  <c r="G62" i="15"/>
  <c r="F62" i="15"/>
  <c r="B62" i="15"/>
  <c r="E62" i="15" s="1"/>
  <c r="E137" i="15"/>
  <c r="F61" i="15"/>
  <c r="B61" i="15"/>
  <c r="E61" i="15" s="1"/>
  <c r="E136" i="15"/>
  <c r="E60" i="15"/>
  <c r="E135" i="15"/>
  <c r="G59" i="15"/>
  <c r="F59" i="15"/>
  <c r="B59" i="15"/>
  <c r="E59" i="15" s="1"/>
  <c r="G134" i="15"/>
  <c r="B134" i="15"/>
  <c r="E134" i="15" s="1"/>
  <c r="G58" i="15"/>
  <c r="F58" i="15"/>
  <c r="B58" i="15"/>
  <c r="E58" i="15" s="1"/>
  <c r="E133" i="15"/>
  <c r="G57" i="15"/>
  <c r="F57" i="15"/>
  <c r="B57" i="15"/>
  <c r="E57" i="15" s="1"/>
  <c r="E132" i="15"/>
  <c r="G56" i="15"/>
  <c r="F56" i="15"/>
  <c r="B56" i="15"/>
  <c r="E56" i="15" s="1"/>
  <c r="E131" i="15"/>
  <c r="G55" i="15"/>
  <c r="F55" i="15"/>
  <c r="E55" i="15"/>
  <c r="B55" i="15"/>
  <c r="E130" i="15"/>
  <c r="E54" i="15"/>
  <c r="E129" i="15"/>
  <c r="E53" i="15"/>
  <c r="E128" i="15"/>
  <c r="E52" i="15"/>
  <c r="E127" i="15"/>
  <c r="E51" i="15"/>
  <c r="E126" i="15"/>
  <c r="E50" i="15"/>
  <c r="E125" i="15"/>
  <c r="E49" i="15"/>
  <c r="E124" i="15"/>
  <c r="E48" i="15"/>
  <c r="E123" i="15"/>
  <c r="F47" i="15"/>
  <c r="B47" i="15"/>
  <c r="E47" i="15" s="1"/>
  <c r="E122" i="15"/>
  <c r="F46" i="15"/>
  <c r="B46" i="15"/>
  <c r="F121" i="15"/>
  <c r="B121" i="15"/>
  <c r="E121" i="15" s="1"/>
  <c r="E45" i="15"/>
  <c r="E120" i="15"/>
  <c r="E44" i="15"/>
  <c r="E119" i="15"/>
  <c r="E43" i="15"/>
  <c r="E118" i="15"/>
  <c r="E42" i="15"/>
  <c r="E117" i="15"/>
  <c r="E41" i="15"/>
  <c r="E116" i="15"/>
  <c r="E40" i="15"/>
  <c r="E115" i="15"/>
  <c r="E39" i="15"/>
  <c r="E114" i="15"/>
  <c r="E38" i="15"/>
  <c r="E113" i="15"/>
  <c r="E37" i="15"/>
  <c r="E112" i="15"/>
  <c r="E36" i="15"/>
  <c r="E111" i="15"/>
  <c r="E35" i="15"/>
  <c r="E110" i="15"/>
  <c r="E34" i="15"/>
  <c r="E109" i="15"/>
  <c r="E33" i="15"/>
  <c r="E108" i="15"/>
  <c r="E32" i="15"/>
  <c r="E107" i="15"/>
  <c r="E31" i="15"/>
  <c r="E106" i="15"/>
  <c r="E30" i="15"/>
  <c r="E105" i="15"/>
  <c r="E29" i="15"/>
  <c r="E104" i="15"/>
  <c r="E28" i="15"/>
  <c r="E103" i="15"/>
  <c r="E27" i="15"/>
  <c r="E102" i="15"/>
  <c r="E26" i="15"/>
  <c r="E101" i="15"/>
  <c r="E25" i="15"/>
  <c r="E100" i="15"/>
  <c r="E24" i="15"/>
  <c r="E99" i="15"/>
  <c r="E23" i="15"/>
  <c r="E98" i="15"/>
  <c r="E22" i="15"/>
  <c r="F97" i="15"/>
  <c r="E97" i="15"/>
  <c r="B97" i="15"/>
  <c r="E21" i="15"/>
  <c r="E96" i="15"/>
  <c r="E20" i="15"/>
  <c r="E95" i="15"/>
  <c r="E19" i="15"/>
  <c r="E94" i="15"/>
  <c r="E18" i="15"/>
  <c r="E93" i="15"/>
  <c r="E17" i="15"/>
  <c r="E92" i="15"/>
  <c r="E16" i="15"/>
  <c r="E91" i="15"/>
  <c r="E15" i="15"/>
  <c r="E90" i="15"/>
  <c r="E14" i="15"/>
  <c r="E89" i="15"/>
  <c r="E13" i="15"/>
  <c r="E88" i="15"/>
  <c r="E12" i="15"/>
  <c r="E87" i="15"/>
  <c r="E11" i="15"/>
  <c r="E86" i="15"/>
  <c r="E10" i="15"/>
  <c r="E85" i="15"/>
  <c r="E9" i="15"/>
  <c r="E84" i="15"/>
  <c r="E8" i="15"/>
  <c r="E83" i="15"/>
  <c r="E7" i="15"/>
  <c r="G77" i="15" l="1"/>
  <c r="E163" i="15"/>
  <c r="B77" i="15"/>
  <c r="B165" i="15"/>
  <c r="F165" i="15"/>
  <c r="F77" i="15"/>
  <c r="G165" i="15"/>
  <c r="E165" i="15"/>
  <c r="E46" i="15"/>
  <c r="E77" i="15" s="1"/>
  <c r="E157" i="15"/>
</calcChain>
</file>

<file path=xl/sharedStrings.xml><?xml version="1.0" encoding="utf-8"?>
<sst xmlns="http://schemas.openxmlformats.org/spreadsheetml/2006/main" count="1728" uniqueCount="264">
  <si>
    <t>MASCULINO</t>
  </si>
  <si>
    <t>FEMENINO</t>
  </si>
  <si>
    <t>MONTO SALARIO</t>
  </si>
  <si>
    <t>SEXO</t>
  </si>
  <si>
    <t>CARGO</t>
  </si>
  <si>
    <t>Asesor del Despacho</t>
  </si>
  <si>
    <t>No. PLAZAS</t>
  </si>
  <si>
    <t>Asesor del Despacho II</t>
  </si>
  <si>
    <t>Asesor en Informática</t>
  </si>
  <si>
    <t>TOTAL SALARIO</t>
  </si>
  <si>
    <t>Asesor Técnico Jurídico</t>
  </si>
  <si>
    <t>Asesor de Comunicaciones</t>
  </si>
  <si>
    <t>Capacitador en Asuntos Laborales</t>
  </si>
  <si>
    <t>Colaborador Técnico Jurídico en Tratados de Libre Comercio</t>
  </si>
  <si>
    <t>Subdirector de Relaciones Internacionales de Trabajo</t>
  </si>
  <si>
    <t>Coordinador de Unidad Trabajo Infantil</t>
  </si>
  <si>
    <t>Jefe de Unidad Financiera Institucional</t>
  </si>
  <si>
    <t>Secretario</t>
  </si>
  <si>
    <t>Director de Relaciones Internacionales de Trabajo</t>
  </si>
  <si>
    <t>Jefe de Gabinete de Tratados de Libre Comercio</t>
  </si>
  <si>
    <t>Colaborador Jurídico de Relaciones Internacionales</t>
  </si>
  <si>
    <t>Jefe del Departamento de Coordinación y Desarrollo Instituciona</t>
  </si>
  <si>
    <t>Jefe del Depto. de Organismos y Normas Internac. de Trabajo</t>
  </si>
  <si>
    <t>Colaborador Técnico en Tratados de Libre Comercio</t>
  </si>
  <si>
    <t>Asesor Consejo Superior del Trabajo</t>
  </si>
  <si>
    <t>Técnico de Informática</t>
  </si>
  <si>
    <t>Pagador Institucional</t>
  </si>
  <si>
    <t>Colaborador Jurídico</t>
  </si>
  <si>
    <t>Secretaria</t>
  </si>
  <si>
    <t>Colaborador de Coordinación y Desarrollo Institucional</t>
  </si>
  <si>
    <t>Técnico Programador</t>
  </si>
  <si>
    <t>Colaborador de Estadística e Informática Laboral</t>
  </si>
  <si>
    <t>Técnico Atención al Cliente</t>
  </si>
  <si>
    <t>Notificador</t>
  </si>
  <si>
    <t>Motorista</t>
  </si>
  <si>
    <t>Ordenanza</t>
  </si>
  <si>
    <t>Asistente Técnico en Tratados de Libre Comercio</t>
  </si>
  <si>
    <t>FORMA DE PAGO:   LEY DE SALARIO</t>
  </si>
  <si>
    <t>Ministro</t>
  </si>
  <si>
    <t>Viceministro</t>
  </si>
  <si>
    <t>Presidente Consejo Nacional de Salario Mínimo (Abogado ó Econom</t>
  </si>
  <si>
    <t>Jefe de Auditoría y Control Interno</t>
  </si>
  <si>
    <t>Jefe de Prensa y Relaciones Públicas</t>
  </si>
  <si>
    <t>Jefe del Departamento de Cooperación Técnica Internacional</t>
  </si>
  <si>
    <t>Jefe del Departamento de Estadística e Informática Laboral</t>
  </si>
  <si>
    <t>Técnico Administrativo</t>
  </si>
  <si>
    <t>Jefe de Activo Fijo</t>
  </si>
  <si>
    <t>Jefe de Contabilidad</t>
  </si>
  <si>
    <t>Jefe de Presupuesto</t>
  </si>
  <si>
    <t>Colaborador de Auditoría</t>
  </si>
  <si>
    <t>Colaborador de Prensa</t>
  </si>
  <si>
    <t>Colaborador de Presupuesto</t>
  </si>
  <si>
    <t>Colaborador de Relaciones Internacionales</t>
  </si>
  <si>
    <t>Técnico de Activo Fijo</t>
  </si>
  <si>
    <t>Técnico en Informatica</t>
  </si>
  <si>
    <t>Auxiliar de Informática</t>
  </si>
  <si>
    <t>Encargada de Biblioteca</t>
  </si>
  <si>
    <t>Auxiliar</t>
  </si>
  <si>
    <t>Director Administrativo y Financiero</t>
  </si>
  <si>
    <t>Subdirector Administrativo Financiero</t>
  </si>
  <si>
    <t>Jefe Unidad Adquisiciones y Contrataciones Institucionales</t>
  </si>
  <si>
    <t>Director General de Trabajo</t>
  </si>
  <si>
    <t>Jefe de Secc. Asesoría p/la Constitución de Organizaciones Soc.</t>
  </si>
  <si>
    <t>Delegado</t>
  </si>
  <si>
    <t>Subdirector de Trabajo</t>
  </si>
  <si>
    <t>Coordinador de Delegados</t>
  </si>
  <si>
    <t>Jefe de Sección Inspección Agricola</t>
  </si>
  <si>
    <t>Director General de Inspección de Trabajo</t>
  </si>
  <si>
    <t>Jefe de Unidad Especial de Género y Prevención de Actos Laboral</t>
  </si>
  <si>
    <t>Subdirector de Inspección de Trabajo</t>
  </si>
  <si>
    <t>Inspector de Trabajo</t>
  </si>
  <si>
    <t>Secretaria Auxiliar</t>
  </si>
  <si>
    <t>Jefe de Sección Inspección Industria, Comercio y Servicios</t>
  </si>
  <si>
    <t>Director General de Previsión Social y Empleo</t>
  </si>
  <si>
    <t>Subdirector de Previsión Social y Empleo</t>
  </si>
  <si>
    <t>Jefe de Departamento de Bienestar Social</t>
  </si>
  <si>
    <t>Jefe de Sección de Recreación para Trabajadores</t>
  </si>
  <si>
    <t>Administrador Centro Obrero</t>
  </si>
  <si>
    <t>Gestor de Empleo</t>
  </si>
  <si>
    <t>Técnico en Higiene Ocupacional</t>
  </si>
  <si>
    <t>Técnico en Seguridad Ocupacional</t>
  </si>
  <si>
    <t>Jefe de Sección Trabajadores Migrantes</t>
  </si>
  <si>
    <t>Médico (2 horas diarias)</t>
  </si>
  <si>
    <t>Jefe de Oficina Regional</t>
  </si>
  <si>
    <t>Vigilante</t>
  </si>
  <si>
    <t>Técnico en Mantenimiento</t>
  </si>
  <si>
    <t>Técnico de Empleo Departamental</t>
  </si>
  <si>
    <t>Técnico de Empleo Regional</t>
  </si>
  <si>
    <t>Jefe de Oficina Departamental de La Unión</t>
  </si>
  <si>
    <t>Colaborador de Unidad Financiera</t>
  </si>
  <si>
    <t>Jefe Departamento de Recursos Humanos</t>
  </si>
  <si>
    <t>Jefe del Departamento de Servicios Generales</t>
  </si>
  <si>
    <t>Intendente</t>
  </si>
  <si>
    <t>Jefe Sección de Mantenimiento</t>
  </si>
  <si>
    <t>Jefe de Sección de Capacitación</t>
  </si>
  <si>
    <t>Jefe de Sección de Compras</t>
  </si>
  <si>
    <t>Jefe de Sección de Registro y Control de Personal</t>
  </si>
  <si>
    <t>Colaborador de Activo Fijo</t>
  </si>
  <si>
    <t>Colaborador de Recursos Humanos</t>
  </si>
  <si>
    <t>Colaborador de UACI</t>
  </si>
  <si>
    <t>Encargado de Bodega</t>
  </si>
  <si>
    <t>Enfermera</t>
  </si>
  <si>
    <t>Jefe del Departamento de Organizaciones Sociales</t>
  </si>
  <si>
    <t>Jefe del Departamento de Relaciones de Trabajo</t>
  </si>
  <si>
    <t>Jefe de Sección de Registro y Control de Organizaciones Sociale</t>
  </si>
  <si>
    <t>Jefe de Sección de Relaciones Colectivas de Trabajo</t>
  </si>
  <si>
    <t>Jefe de Sección de Relaciones Individuales de Trabajo</t>
  </si>
  <si>
    <t>Colaborador Juridico</t>
  </si>
  <si>
    <t>Jefe de Departamento de Inspección Agrícola</t>
  </si>
  <si>
    <t>Jefe de Sección Liquidación Laboral</t>
  </si>
  <si>
    <t>Supervisor</t>
  </si>
  <si>
    <t>Jefe del Departamento Gestión de Empleo</t>
  </si>
  <si>
    <t>Jefe del Departamento Seguridad e Higiene Ocupacional</t>
  </si>
  <si>
    <t>Jefe de Sección Desarrollo Ecológico y Mantenimiento de Centros</t>
  </si>
  <si>
    <t>Jefe de Sección Evaluación</t>
  </si>
  <si>
    <t>Jefe de Sección Gestión y Colocación</t>
  </si>
  <si>
    <t>Jefe de Sección Higiene Ocupacional</t>
  </si>
  <si>
    <t>Jefe de Sección Protección de Riesgos Ocupacionales</t>
  </si>
  <si>
    <t>Jefe de Sección Seguridad Ocupacional</t>
  </si>
  <si>
    <t>Coordinador de Unidad de Mujeres y Menores</t>
  </si>
  <si>
    <t>Programador Analista</t>
  </si>
  <si>
    <t>Subadministrador Centro Obrero</t>
  </si>
  <si>
    <t>Técnico Educativo</t>
  </si>
  <si>
    <t>Técnico en Mantenimiento de Piscina</t>
  </si>
  <si>
    <t>Ordenanza (Pintor)</t>
  </si>
  <si>
    <t>Jefe de Oficina Departamental de Usulután</t>
  </si>
  <si>
    <t>Jefe de Oficina Departamental de Sonsonate</t>
  </si>
  <si>
    <t>ANEXO 5</t>
  </si>
  <si>
    <t>FORMA DE PAGO:   CONTRATO                                    AÑO:   2010</t>
  </si>
  <si>
    <t>Jefe de Gabinete de Desarrollo Institucional</t>
  </si>
  <si>
    <t>Asesor Financiero del Despacho</t>
  </si>
  <si>
    <t>Tecnico Administrativo I</t>
  </si>
  <si>
    <t>Tecnico Administrativo II</t>
  </si>
  <si>
    <t>Asistente del Despacho</t>
  </si>
  <si>
    <t>Colaborador del Despacho</t>
  </si>
  <si>
    <t>FORMA DE PAGO:   CONTRATO                                    AÑO:   2011</t>
  </si>
  <si>
    <t>Asesor Administrativo</t>
  </si>
  <si>
    <t>Tecnico</t>
  </si>
  <si>
    <t>Encargada del Centro de Formacion Laboral</t>
  </si>
  <si>
    <t>FORMA DE PAGO:   CONTRATO                                    AÑO:   2012</t>
  </si>
  <si>
    <t>Director Ejecutivo</t>
  </si>
  <si>
    <t>Jefe Unidad Juridica</t>
  </si>
  <si>
    <t>Jefe de Departamento de Desarrollo</t>
  </si>
  <si>
    <t>Colaborador Juridico I</t>
  </si>
  <si>
    <t>Coordinador de Proyectos</t>
  </si>
  <si>
    <t>Colaborador Jurídico II</t>
  </si>
  <si>
    <t>Jefe de Comunicaciones y Relaciones Públicas</t>
  </si>
  <si>
    <t xml:space="preserve">Subdirector Administrativo </t>
  </si>
  <si>
    <t>Colaborador Juridico IV</t>
  </si>
  <si>
    <t>Colaborador Jurídico III</t>
  </si>
  <si>
    <t>Jefe de Infraestructura</t>
  </si>
  <si>
    <t>Supervisor de Obras de Infraestructura</t>
  </si>
  <si>
    <t>Coordinador</t>
  </si>
  <si>
    <t>Jefe de Seccion</t>
  </si>
  <si>
    <t>Jefe de Sección Desarrollo Ecológico y Mantenimiento de Centros Obreros</t>
  </si>
  <si>
    <t>Especialista en Monitoreo y Seguimiento</t>
  </si>
  <si>
    <t>Coordinador de Comunicaciones y Relaciones Públicas</t>
  </si>
  <si>
    <t>Coordinador de Recursos Humanos</t>
  </si>
  <si>
    <t>Colaborador Jurídico V</t>
  </si>
  <si>
    <t xml:space="preserve">Colaborador Jurídico </t>
  </si>
  <si>
    <t>Encargada del Fondo Circulante</t>
  </si>
  <si>
    <t>Colaborador de la Unidad</t>
  </si>
  <si>
    <t>Técnico programador</t>
  </si>
  <si>
    <t>Tecnico en Informatica</t>
  </si>
  <si>
    <t>FORMA DE PAGO:   CONTRATO                                    AÑO:   2013</t>
  </si>
  <si>
    <t>Jefe de Unidad de Desarrollo Tecnologico</t>
  </si>
  <si>
    <t>Jefe da la Unidad Financiera Institucional</t>
  </si>
  <si>
    <t>Jefe de Unidad</t>
  </si>
  <si>
    <t>Jefe de Comunicaciones</t>
  </si>
  <si>
    <t>Jefe de Planificacion</t>
  </si>
  <si>
    <t>Jefe de Unidad Especial de Género y Prevención de Actos Laborales Discriminatorios</t>
  </si>
  <si>
    <t>Jefe del Departamento de Inspeccion de Industria, comercio y servicio</t>
  </si>
  <si>
    <t>Coordinador de Capacitacion</t>
  </si>
  <si>
    <t>Coordinador de Area</t>
  </si>
  <si>
    <t>Colabarodar del Despacho</t>
  </si>
  <si>
    <t>Coordinador de Unidad</t>
  </si>
  <si>
    <t>Coordinador de Empleo</t>
  </si>
  <si>
    <t xml:space="preserve">Tecnico </t>
  </si>
  <si>
    <t>Colaborador Juridico V</t>
  </si>
  <si>
    <t>Colaborador Jurídico IV</t>
  </si>
  <si>
    <t>Coordinador de Comunicaciones</t>
  </si>
  <si>
    <t>Oficial de Informacion</t>
  </si>
  <si>
    <t>Coordinador de Centros Obreros</t>
  </si>
  <si>
    <t>Coordinador de Infraestructura</t>
  </si>
  <si>
    <t>Supervisor de Obras de Infraestructuras</t>
  </si>
  <si>
    <t>Técnico Administrativo II</t>
  </si>
  <si>
    <t>Jefe de Bodega</t>
  </si>
  <si>
    <t>Jefe de Compras UACI</t>
  </si>
  <si>
    <t>Jefe de Oficina Departamental II</t>
  </si>
  <si>
    <t>Secretaruio de Actuaciones</t>
  </si>
  <si>
    <t>Técnico de Informática III</t>
  </si>
  <si>
    <t>Secretaria VI</t>
  </si>
  <si>
    <t>Administrador de Centro Recreativo</t>
  </si>
  <si>
    <t>Colaborador Jurídico  II</t>
  </si>
  <si>
    <t>Delegado II</t>
  </si>
  <si>
    <t>Colaborador de Comunicaciones</t>
  </si>
  <si>
    <t>Colaborador de Planificacion</t>
  </si>
  <si>
    <t>Colaborador de Proyectos</t>
  </si>
  <si>
    <t>Motorista del Despacho</t>
  </si>
  <si>
    <t>Colaborador de Bodega</t>
  </si>
  <si>
    <t>Colaborador Administrativo</t>
  </si>
  <si>
    <t>Tecnico en Informatica I</t>
  </si>
  <si>
    <t>Encargado de Archivo General</t>
  </si>
  <si>
    <t>Delegado I</t>
  </si>
  <si>
    <t>Gestor de Empleo II</t>
  </si>
  <si>
    <t>Tecnico Educativo</t>
  </si>
  <si>
    <t>Jefe de Oficina Departamental I</t>
  </si>
  <si>
    <t>Secretaria V</t>
  </si>
  <si>
    <t>Mecanico</t>
  </si>
  <si>
    <t>Técnico en Mantenimiento II</t>
  </si>
  <si>
    <t>Técnico en Mantenimiento I</t>
  </si>
  <si>
    <t>Secretaria IV</t>
  </si>
  <si>
    <t>Gestor de Empleo I</t>
  </si>
  <si>
    <t>Colaborador de Informatica</t>
  </si>
  <si>
    <t>Auxiliar VI</t>
  </si>
  <si>
    <t>Auxiliar IV</t>
  </si>
  <si>
    <t>Secretaria III</t>
  </si>
  <si>
    <t>Secretaria II</t>
  </si>
  <si>
    <t>Electricista</t>
  </si>
  <si>
    <t>Auxiliar V</t>
  </si>
  <si>
    <t>Secretaria I</t>
  </si>
  <si>
    <t>Motorista II</t>
  </si>
  <si>
    <t>Encargado de Servicio</t>
  </si>
  <si>
    <t>Auxiliar III</t>
  </si>
  <si>
    <t>Motorista I</t>
  </si>
  <si>
    <t>Auxiliar II</t>
  </si>
  <si>
    <t>Ordenanza II</t>
  </si>
  <si>
    <t>Auxiliar I</t>
  </si>
  <si>
    <t>Ordenanza I</t>
  </si>
  <si>
    <t>Jardinero</t>
  </si>
  <si>
    <t>FORMA DE PAGO:   CONTRATO                                    AÑO:   2014</t>
  </si>
  <si>
    <t>Jefe de Unidad Juridica</t>
  </si>
  <si>
    <t>Director Administrativo</t>
  </si>
  <si>
    <t>Jefe Unidad de Desarrollo Tecnológico</t>
  </si>
  <si>
    <t>Jefe de la Unidad Financiera Institucional</t>
  </si>
  <si>
    <t xml:space="preserve">Subdirector de Previsión Social y Empleo </t>
  </si>
  <si>
    <t>Colaborador del Despacho II</t>
  </si>
  <si>
    <t>Supervisor de Seguridad</t>
  </si>
  <si>
    <t>FORMA DE PAGO:   CONTRATO                                    AÑO:   2015</t>
  </si>
  <si>
    <t>Técnica</t>
  </si>
  <si>
    <t>Colaborador de Unidad</t>
  </si>
  <si>
    <t>Asesor del Despacho I</t>
  </si>
  <si>
    <t>Asistente</t>
  </si>
  <si>
    <t>Jefe de Departamento</t>
  </si>
  <si>
    <t>Secretario de Actuaciones</t>
  </si>
  <si>
    <t>FORMA DE PAGO:   CONTRATO                                    AÑO:   2016</t>
  </si>
  <si>
    <t xml:space="preserve">Jefe de Unidad </t>
  </si>
  <si>
    <t xml:space="preserve">Asistente </t>
  </si>
  <si>
    <t>Jefa de la Unidad de Genero</t>
  </si>
  <si>
    <t>Colaboradora Juridica</t>
  </si>
  <si>
    <t xml:space="preserve">Tecnico en Informatica </t>
  </si>
  <si>
    <t>Supervisor de Obras</t>
  </si>
  <si>
    <t>Gestor de empleo II</t>
  </si>
  <si>
    <t>FORMA DE PAGO:   CONTRATO                                    AÑO:   2017</t>
  </si>
  <si>
    <r>
      <t>Asesor del Despacho I</t>
    </r>
    <r>
      <rPr>
        <sz val="9"/>
        <color indexed="10"/>
        <rFont val="Arial"/>
        <family val="2"/>
      </rPr>
      <t xml:space="preserve"> </t>
    </r>
  </si>
  <si>
    <t>Sud Director Administrativo</t>
  </si>
  <si>
    <t>Jefa de Unidad de Genero</t>
  </si>
  <si>
    <t xml:space="preserve">Colaborador de Unidad </t>
  </si>
  <si>
    <t>Orientador</t>
  </si>
  <si>
    <t>Tecnico en Gestion</t>
  </si>
  <si>
    <t>Tecnico en Analisis Economico</t>
  </si>
  <si>
    <t>Técnico de Informática II</t>
  </si>
  <si>
    <t>FORMA DE PAGO:   CONTRATO                                    AÑO:   2018</t>
  </si>
  <si>
    <t>FORMA DE PAGO:   CONTRATO                                      AÑO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</si>
</sst>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Fill="1"/>
    <xf numFmtId="44" fontId="0" fillId="0" borderId="0" xfId="1" applyFont="1"/>
    <xf numFmtId="0" fontId="0" fillId="0" borderId="0" xfId="0" applyAlignment="1">
      <alignment horizontal="left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/>
    <xf numFmtId="44" fontId="0" fillId="0" borderId="1" xfId="1" applyFont="1" applyBorder="1"/>
    <xf numFmtId="44" fontId="2" fillId="0" borderId="0" xfId="0" applyNumberFormat="1" applyFont="1" applyFill="1"/>
    <xf numFmtId="0" fontId="3" fillId="0" borderId="1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44" fontId="0" fillId="0" borderId="2" xfId="1" applyFont="1" applyBorder="1"/>
    <xf numFmtId="44" fontId="2" fillId="0" borderId="1" xfId="0" applyNumberFormat="1" applyFont="1" applyFill="1" applyBorder="1"/>
    <xf numFmtId="44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/>
    <xf numFmtId="0" fontId="2" fillId="0" borderId="1" xfId="0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1" applyFont="1" applyBorder="1"/>
    <xf numFmtId="44" fontId="0" fillId="0" borderId="0" xfId="1" applyFont="1" applyBorder="1"/>
    <xf numFmtId="44" fontId="0" fillId="0" borderId="3" xfId="0" applyNumberFormat="1" applyBorder="1"/>
    <xf numFmtId="0" fontId="6" fillId="0" borderId="0" xfId="0" applyFont="1" applyAlignment="1">
      <alignment horizontal="left"/>
    </xf>
    <xf numFmtId="0" fontId="6" fillId="0" borderId="0" xfId="0" applyFont="1"/>
    <xf numFmtId="44" fontId="2" fillId="0" borderId="2" xfId="0" applyNumberFormat="1" applyFont="1" applyFill="1" applyBorder="1"/>
    <xf numFmtId="0" fontId="2" fillId="0" borderId="0" xfId="0" applyFont="1"/>
    <xf numFmtId="44" fontId="5" fillId="0" borderId="1" xfId="1" applyFont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/>
    </xf>
    <xf numFmtId="44" fontId="2" fillId="0" borderId="1" xfId="0" applyNumberFormat="1" applyFont="1" applyFill="1" applyBorder="1" applyAlignment="1">
      <alignment horizontal="left"/>
    </xf>
    <xf numFmtId="44" fontId="0" fillId="0" borderId="1" xfId="0" applyNumberFormat="1" applyFont="1" applyBorder="1"/>
    <xf numFmtId="0" fontId="2" fillId="0" borderId="5" xfId="0" applyFont="1" applyFill="1" applyBorder="1"/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Fill="1" applyBorder="1"/>
    <xf numFmtId="0" fontId="0" fillId="0" borderId="0" xfId="0" applyBorder="1" applyAlignment="1">
      <alignment horizontal="center"/>
    </xf>
    <xf numFmtId="0" fontId="2" fillId="0" borderId="0" xfId="0" applyFont="1" applyFill="1" applyBorder="1"/>
    <xf numFmtId="0" fontId="2" fillId="0" borderId="3" xfId="0" applyFont="1" applyBorder="1"/>
    <xf numFmtId="44" fontId="2" fillId="0" borderId="3" xfId="0" applyNumberFormat="1" applyFont="1" applyFill="1" applyBorder="1"/>
    <xf numFmtId="0" fontId="2" fillId="0" borderId="4" xfId="0" applyFont="1" applyBorder="1"/>
    <xf numFmtId="44" fontId="2" fillId="0" borderId="4" xfId="0" applyNumberFormat="1" applyFont="1" applyFill="1" applyBorder="1"/>
    <xf numFmtId="44" fontId="0" fillId="0" borderId="4" xfId="0" applyNumberFormat="1" applyBorder="1"/>
    <xf numFmtId="0" fontId="2" fillId="0" borderId="0" xfId="0" applyFont="1" applyBorder="1"/>
    <xf numFmtId="44" fontId="2" fillId="0" borderId="0" xfId="0" applyNumberFormat="1" applyFont="1" applyFill="1" applyBorder="1"/>
    <xf numFmtId="44" fontId="0" fillId="0" borderId="0" xfId="0" applyNumberFormat="1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44" fontId="2" fillId="0" borderId="6" xfId="0" applyNumberFormat="1" applyFont="1" applyFill="1" applyBorder="1"/>
    <xf numFmtId="44" fontId="0" fillId="0" borderId="6" xfId="0" applyNumberFormat="1" applyBorder="1"/>
    <xf numFmtId="0" fontId="0" fillId="0" borderId="7" xfId="0" applyBorder="1" applyAlignment="1">
      <alignment horizontal="center"/>
    </xf>
    <xf numFmtId="0" fontId="2" fillId="0" borderId="7" xfId="0" applyFont="1" applyBorder="1"/>
    <xf numFmtId="44" fontId="2" fillId="0" borderId="7" xfId="0" applyNumberFormat="1" applyFont="1" applyFill="1" applyBorder="1"/>
    <xf numFmtId="44" fontId="0" fillId="0" borderId="7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5"/>
  <sheetViews>
    <sheetView view="pageBreakPreview" zoomScale="60" zoomScaleNormal="100" workbookViewId="0">
      <selection activeCell="E13" sqref="E13"/>
    </sheetView>
  </sheetViews>
  <sheetFormatPr baseColWidth="10" defaultColWidth="9.140625" defaultRowHeight="15" x14ac:dyDescent="0.25"/>
  <cols>
    <col min="2" max="2" width="9.140625" style="2"/>
    <col min="3" max="3" width="52.7109375" customWidth="1"/>
    <col min="4" max="4" width="12.140625" style="4" customWidth="1"/>
    <col min="5" max="5" width="14.42578125" style="4" customWidth="1"/>
    <col min="6" max="6" width="13" style="2" customWidth="1"/>
    <col min="7" max="7" width="13.140625" style="2" customWidth="1"/>
    <col min="8" max="8" width="3.42578125" style="13" customWidth="1"/>
    <col min="10" max="10" width="51.85546875" customWidth="1"/>
    <col min="11" max="11" width="12.140625" customWidth="1"/>
    <col min="12" max="12" width="16.28515625" customWidth="1"/>
    <col min="13" max="13" width="11.7109375" customWidth="1"/>
    <col min="14" max="14" width="10.28515625" customWidth="1"/>
  </cols>
  <sheetData>
    <row r="2" spans="2:7" ht="21" x14ac:dyDescent="0.35">
      <c r="B2" s="46" t="s">
        <v>127</v>
      </c>
      <c r="C2" s="46"/>
      <c r="D2" s="46"/>
      <c r="E2" s="46"/>
      <c r="F2" s="46"/>
      <c r="G2" s="46"/>
    </row>
    <row r="4" spans="2:7" x14ac:dyDescent="0.25">
      <c r="B4" s="5" t="s">
        <v>263</v>
      </c>
    </row>
    <row r="5" spans="2:7" x14ac:dyDescent="0.25">
      <c r="F5" s="45" t="s">
        <v>3</v>
      </c>
      <c r="G5" s="45"/>
    </row>
    <row r="6" spans="2:7" ht="30" x14ac:dyDescent="0.25">
      <c r="B6" s="6" t="s">
        <v>6</v>
      </c>
      <c r="C6" s="7" t="s">
        <v>4</v>
      </c>
      <c r="D6" s="6" t="s">
        <v>2</v>
      </c>
      <c r="E6" s="6" t="s">
        <v>9</v>
      </c>
      <c r="F6" s="7" t="s">
        <v>0</v>
      </c>
      <c r="G6" s="7" t="s">
        <v>1</v>
      </c>
    </row>
    <row r="7" spans="2:7" x14ac:dyDescent="0.25">
      <c r="B7" s="8">
        <v>1</v>
      </c>
      <c r="C7" s="9" t="s">
        <v>5</v>
      </c>
      <c r="D7" s="10">
        <v>2314.85</v>
      </c>
      <c r="E7" s="10">
        <f t="shared" ref="E7:E70" si="0">D7*B7</f>
        <v>2314.85</v>
      </c>
      <c r="F7" s="8">
        <v>1</v>
      </c>
      <c r="G7" s="8"/>
    </row>
    <row r="8" spans="2:7" x14ac:dyDescent="0.25">
      <c r="B8" s="8">
        <v>1</v>
      </c>
      <c r="C8" s="9" t="s">
        <v>18</v>
      </c>
      <c r="D8" s="10">
        <v>2183.02</v>
      </c>
      <c r="E8" s="10">
        <f t="shared" si="0"/>
        <v>2183.02</v>
      </c>
      <c r="F8" s="8"/>
      <c r="G8" s="8">
        <v>1</v>
      </c>
    </row>
    <row r="9" spans="2:7" x14ac:dyDescent="0.25">
      <c r="B9" s="8">
        <v>1</v>
      </c>
      <c r="C9" s="9" t="s">
        <v>58</v>
      </c>
      <c r="D9" s="10">
        <v>2183.02</v>
      </c>
      <c r="E9" s="10">
        <f t="shared" si="0"/>
        <v>2183.02</v>
      </c>
      <c r="F9" s="8">
        <v>1</v>
      </c>
      <c r="G9" s="8"/>
    </row>
    <row r="10" spans="2:7" x14ac:dyDescent="0.25">
      <c r="B10" s="8">
        <v>1</v>
      </c>
      <c r="C10" s="9" t="s">
        <v>61</v>
      </c>
      <c r="D10" s="10">
        <v>2183.02</v>
      </c>
      <c r="E10" s="10">
        <f t="shared" si="0"/>
        <v>2183.02</v>
      </c>
      <c r="F10" s="8">
        <v>1</v>
      </c>
      <c r="G10" s="8"/>
    </row>
    <row r="11" spans="2:7" x14ac:dyDescent="0.25">
      <c r="B11" s="8">
        <v>1</v>
      </c>
      <c r="C11" s="9" t="s">
        <v>67</v>
      </c>
      <c r="D11" s="16">
        <v>2183.0100000000002</v>
      </c>
      <c r="E11" s="10">
        <f t="shared" si="0"/>
        <v>2183.0100000000002</v>
      </c>
      <c r="F11" s="8"/>
      <c r="G11" s="8">
        <v>1</v>
      </c>
    </row>
    <row r="12" spans="2:7" x14ac:dyDescent="0.25">
      <c r="B12" s="8">
        <v>1</v>
      </c>
      <c r="C12" s="9" t="s">
        <v>73</v>
      </c>
      <c r="D12" s="16">
        <v>2183.02</v>
      </c>
      <c r="E12" s="10">
        <f t="shared" si="0"/>
        <v>2183.02</v>
      </c>
      <c r="F12" s="8">
        <v>1</v>
      </c>
      <c r="G12" s="8"/>
    </row>
    <row r="13" spans="2:7" x14ac:dyDescent="0.25">
      <c r="B13" s="8">
        <v>1</v>
      </c>
      <c r="C13" s="9" t="s">
        <v>19</v>
      </c>
      <c r="D13" s="10">
        <v>2183.0100000000002</v>
      </c>
      <c r="E13" s="10">
        <f t="shared" si="0"/>
        <v>2183.0100000000002</v>
      </c>
      <c r="F13" s="8">
        <v>1</v>
      </c>
      <c r="G13" s="8"/>
    </row>
    <row r="14" spans="2:7" x14ac:dyDescent="0.25">
      <c r="B14" s="8">
        <v>4</v>
      </c>
      <c r="C14" s="9" t="s">
        <v>7</v>
      </c>
      <c r="D14" s="10">
        <v>2060</v>
      </c>
      <c r="E14" s="10">
        <f t="shared" si="0"/>
        <v>8240</v>
      </c>
      <c r="F14" s="8">
        <v>3</v>
      </c>
      <c r="G14" s="8">
        <v>1</v>
      </c>
    </row>
    <row r="15" spans="2:7" x14ac:dyDescent="0.25">
      <c r="B15" s="8">
        <v>1</v>
      </c>
      <c r="C15" s="9" t="s">
        <v>8</v>
      </c>
      <c r="D15" s="10">
        <v>2060</v>
      </c>
      <c r="E15" s="10">
        <f t="shared" si="0"/>
        <v>2060</v>
      </c>
      <c r="F15" s="8">
        <v>1</v>
      </c>
      <c r="G15" s="8"/>
    </row>
    <row r="16" spans="2:7" x14ac:dyDescent="0.25">
      <c r="B16" s="8">
        <v>1</v>
      </c>
      <c r="C16" s="9" t="s">
        <v>10</v>
      </c>
      <c r="D16" s="10">
        <v>1580.29</v>
      </c>
      <c r="E16" s="10">
        <f t="shared" si="0"/>
        <v>1580.29</v>
      </c>
      <c r="F16" s="8">
        <v>1</v>
      </c>
      <c r="G16" s="8"/>
    </row>
    <row r="17" spans="2:7" x14ac:dyDescent="0.25">
      <c r="B17" s="8">
        <v>1</v>
      </c>
      <c r="C17" s="9" t="s">
        <v>11</v>
      </c>
      <c r="D17" s="10">
        <v>1462.57</v>
      </c>
      <c r="E17" s="10">
        <f t="shared" si="0"/>
        <v>1462.57</v>
      </c>
      <c r="F17" s="8"/>
      <c r="G17" s="8">
        <v>1</v>
      </c>
    </row>
    <row r="18" spans="2:7" x14ac:dyDescent="0.25">
      <c r="B18" s="8">
        <v>1</v>
      </c>
      <c r="C18" s="9" t="s">
        <v>12</v>
      </c>
      <c r="D18" s="10">
        <v>1815.71</v>
      </c>
      <c r="E18" s="10">
        <f t="shared" si="0"/>
        <v>1815.71</v>
      </c>
      <c r="F18" s="8">
        <v>1</v>
      </c>
      <c r="G18" s="8"/>
    </row>
    <row r="19" spans="2:7" x14ac:dyDescent="0.25">
      <c r="B19" s="8">
        <v>3</v>
      </c>
      <c r="C19" s="9" t="s">
        <v>13</v>
      </c>
      <c r="D19" s="10">
        <v>1623.25</v>
      </c>
      <c r="E19" s="10">
        <f t="shared" si="0"/>
        <v>4869.75</v>
      </c>
      <c r="F19" s="8">
        <v>2</v>
      </c>
      <c r="G19" s="8">
        <v>1</v>
      </c>
    </row>
    <row r="20" spans="2:7" x14ac:dyDescent="0.25">
      <c r="B20" s="8">
        <v>1</v>
      </c>
      <c r="C20" s="9" t="s">
        <v>14</v>
      </c>
      <c r="D20" s="10">
        <v>1373.12</v>
      </c>
      <c r="E20" s="10">
        <f t="shared" si="0"/>
        <v>1373.12</v>
      </c>
      <c r="F20" s="8"/>
      <c r="G20" s="8">
        <v>1</v>
      </c>
    </row>
    <row r="21" spans="2:7" x14ac:dyDescent="0.25">
      <c r="B21" s="8">
        <v>1</v>
      </c>
      <c r="C21" s="9" t="s">
        <v>59</v>
      </c>
      <c r="D21" s="10">
        <v>1373.12</v>
      </c>
      <c r="E21" s="10">
        <f t="shared" si="0"/>
        <v>1373.12</v>
      </c>
      <c r="F21" s="8"/>
      <c r="G21" s="8">
        <v>1</v>
      </c>
    </row>
    <row r="22" spans="2:7" x14ac:dyDescent="0.25">
      <c r="B22" s="8">
        <v>1</v>
      </c>
      <c r="C22" s="9" t="s">
        <v>64</v>
      </c>
      <c r="D22" s="10">
        <v>1373.12</v>
      </c>
      <c r="E22" s="10">
        <f t="shared" si="0"/>
        <v>1373.12</v>
      </c>
      <c r="F22" s="8"/>
      <c r="G22" s="8">
        <v>1</v>
      </c>
    </row>
    <row r="23" spans="2:7" x14ac:dyDescent="0.25">
      <c r="B23" s="8">
        <v>1</v>
      </c>
      <c r="C23" s="9" t="s">
        <v>69</v>
      </c>
      <c r="D23" s="16">
        <v>1373.12</v>
      </c>
      <c r="E23" s="10">
        <f t="shared" si="0"/>
        <v>1373.12</v>
      </c>
      <c r="F23" s="8">
        <v>1</v>
      </c>
      <c r="G23" s="8"/>
    </row>
    <row r="24" spans="2:7" x14ac:dyDescent="0.25">
      <c r="B24" s="8">
        <v>1</v>
      </c>
      <c r="C24" s="9" t="s">
        <v>74</v>
      </c>
      <c r="D24" s="16">
        <v>1373.12</v>
      </c>
      <c r="E24" s="10">
        <f t="shared" si="0"/>
        <v>1373.12</v>
      </c>
      <c r="F24" s="8">
        <v>1</v>
      </c>
      <c r="G24" s="8"/>
    </row>
    <row r="25" spans="2:7" x14ac:dyDescent="0.25">
      <c r="B25" s="8">
        <v>1</v>
      </c>
      <c r="C25" s="9" t="s">
        <v>15</v>
      </c>
      <c r="D25" s="10">
        <v>1373.12</v>
      </c>
      <c r="E25" s="10">
        <f t="shared" si="0"/>
        <v>1373.12</v>
      </c>
      <c r="F25" s="8"/>
      <c r="G25" s="8">
        <v>1</v>
      </c>
    </row>
    <row r="26" spans="2:7" x14ac:dyDescent="0.25">
      <c r="B26" s="8">
        <v>1</v>
      </c>
      <c r="C26" s="9" t="s">
        <v>16</v>
      </c>
      <c r="D26" s="10">
        <v>1373.12</v>
      </c>
      <c r="E26" s="10">
        <f t="shared" si="0"/>
        <v>1373.12</v>
      </c>
      <c r="F26" s="8">
        <v>1</v>
      </c>
      <c r="G26" s="8"/>
    </row>
    <row r="27" spans="2:7" x14ac:dyDescent="0.25">
      <c r="B27" s="8">
        <v>1</v>
      </c>
      <c r="C27" s="9" t="s">
        <v>68</v>
      </c>
      <c r="D27" s="16">
        <v>1373.12</v>
      </c>
      <c r="E27" s="10">
        <f t="shared" si="0"/>
        <v>1373.12</v>
      </c>
      <c r="F27" s="8">
        <v>1</v>
      </c>
      <c r="G27" s="8"/>
    </row>
    <row r="28" spans="2:7" x14ac:dyDescent="0.25">
      <c r="B28" s="8">
        <v>1</v>
      </c>
      <c r="C28" s="9" t="s">
        <v>17</v>
      </c>
      <c r="D28" s="10">
        <v>1373.12</v>
      </c>
      <c r="E28" s="10">
        <f t="shared" si="0"/>
        <v>1373.12</v>
      </c>
      <c r="F28" s="8">
        <v>1</v>
      </c>
      <c r="G28" s="8"/>
    </row>
    <row r="29" spans="2:7" x14ac:dyDescent="0.25">
      <c r="B29" s="8">
        <v>1</v>
      </c>
      <c r="C29" s="9" t="s">
        <v>20</v>
      </c>
      <c r="D29" s="10">
        <v>1108.3</v>
      </c>
      <c r="E29" s="10">
        <f t="shared" si="0"/>
        <v>1108.3</v>
      </c>
      <c r="F29" s="8"/>
      <c r="G29" s="8">
        <v>1</v>
      </c>
    </row>
    <row r="30" spans="2:7" x14ac:dyDescent="0.25">
      <c r="B30" s="8">
        <v>1</v>
      </c>
      <c r="C30" s="9" t="s">
        <v>21</v>
      </c>
      <c r="D30" s="10">
        <v>1108.25</v>
      </c>
      <c r="E30" s="10">
        <f t="shared" si="0"/>
        <v>1108.25</v>
      </c>
      <c r="F30" s="8"/>
      <c r="G30" s="8">
        <v>1</v>
      </c>
    </row>
    <row r="31" spans="2:7" x14ac:dyDescent="0.25">
      <c r="B31" s="8">
        <v>1</v>
      </c>
      <c r="C31" s="9" t="s">
        <v>22</v>
      </c>
      <c r="D31" s="10">
        <v>1108.25</v>
      </c>
      <c r="E31" s="10">
        <f t="shared" si="0"/>
        <v>1108.25</v>
      </c>
      <c r="F31" s="8"/>
      <c r="G31" s="8">
        <v>1</v>
      </c>
    </row>
    <row r="32" spans="2:7" x14ac:dyDescent="0.25">
      <c r="B32" s="8">
        <v>1</v>
      </c>
      <c r="C32" s="9" t="s">
        <v>60</v>
      </c>
      <c r="D32" s="10">
        <v>1108.25</v>
      </c>
      <c r="E32" s="10">
        <f t="shared" si="0"/>
        <v>1108.25</v>
      </c>
      <c r="F32" s="8"/>
      <c r="G32" s="8">
        <v>1</v>
      </c>
    </row>
    <row r="33" spans="2:7" x14ac:dyDescent="0.25">
      <c r="B33" s="8">
        <v>1</v>
      </c>
      <c r="C33" s="9" t="s">
        <v>75</v>
      </c>
      <c r="D33" s="16">
        <v>1108.25</v>
      </c>
      <c r="E33" s="10">
        <f t="shared" si="0"/>
        <v>1108.25</v>
      </c>
      <c r="F33" s="8">
        <v>1</v>
      </c>
      <c r="G33" s="8"/>
    </row>
    <row r="34" spans="2:7" x14ac:dyDescent="0.25">
      <c r="B34" s="8">
        <v>1</v>
      </c>
      <c r="C34" s="3" t="s">
        <v>83</v>
      </c>
      <c r="D34" s="11">
        <v>1108.25</v>
      </c>
      <c r="E34" s="10">
        <f t="shared" si="0"/>
        <v>1108.25</v>
      </c>
      <c r="F34" s="8">
        <v>1</v>
      </c>
      <c r="G34" s="8"/>
    </row>
    <row r="35" spans="2:7" x14ac:dyDescent="0.25">
      <c r="B35" s="8">
        <v>1</v>
      </c>
      <c r="C35" s="9" t="s">
        <v>65</v>
      </c>
      <c r="D35" s="10">
        <v>1108.25</v>
      </c>
      <c r="E35" s="10">
        <f t="shared" si="0"/>
        <v>1108.25</v>
      </c>
      <c r="F35" s="8">
        <v>1</v>
      </c>
      <c r="G35" s="8"/>
    </row>
    <row r="36" spans="2:7" x14ac:dyDescent="0.25">
      <c r="B36" s="8">
        <v>1</v>
      </c>
      <c r="C36" s="9" t="s">
        <v>23</v>
      </c>
      <c r="D36" s="10">
        <v>933.44</v>
      </c>
      <c r="E36" s="10">
        <f t="shared" si="0"/>
        <v>933.44</v>
      </c>
      <c r="F36" s="8"/>
      <c r="G36" s="8">
        <v>1</v>
      </c>
    </row>
    <row r="37" spans="2:7" x14ac:dyDescent="0.25">
      <c r="B37" s="8">
        <v>3</v>
      </c>
      <c r="C37" s="9" t="s">
        <v>24</v>
      </c>
      <c r="D37" s="10">
        <v>798.67</v>
      </c>
      <c r="E37" s="10">
        <f t="shared" si="0"/>
        <v>2396.0099999999998</v>
      </c>
      <c r="F37" s="8">
        <v>2</v>
      </c>
      <c r="G37" s="8">
        <v>1</v>
      </c>
    </row>
    <row r="38" spans="2:7" x14ac:dyDescent="0.25">
      <c r="B38" s="8">
        <v>1</v>
      </c>
      <c r="C38" s="9" t="s">
        <v>25</v>
      </c>
      <c r="D38" s="10">
        <v>798.67</v>
      </c>
      <c r="E38" s="10">
        <f t="shared" si="0"/>
        <v>798.67</v>
      </c>
      <c r="F38" s="8"/>
      <c r="G38" s="8">
        <v>1</v>
      </c>
    </row>
    <row r="39" spans="2:7" ht="15" customHeight="1" x14ac:dyDescent="0.25">
      <c r="B39" s="8">
        <v>1</v>
      </c>
      <c r="C39" s="9" t="s">
        <v>26</v>
      </c>
      <c r="D39" s="10">
        <v>798.67</v>
      </c>
      <c r="E39" s="10">
        <f t="shared" si="0"/>
        <v>798.67</v>
      </c>
      <c r="F39" s="8">
        <v>1</v>
      </c>
      <c r="G39" s="8"/>
    </row>
    <row r="40" spans="2:7" x14ac:dyDescent="0.25">
      <c r="B40" s="8">
        <v>1</v>
      </c>
      <c r="C40" s="9" t="s">
        <v>62</v>
      </c>
      <c r="D40" s="10">
        <v>798.67</v>
      </c>
      <c r="E40" s="10">
        <f t="shared" si="0"/>
        <v>798.67</v>
      </c>
      <c r="F40" s="8">
        <v>1</v>
      </c>
      <c r="G40" s="8"/>
    </row>
    <row r="41" spans="2:7" x14ac:dyDescent="0.25">
      <c r="B41" s="8">
        <v>1</v>
      </c>
      <c r="C41" s="9" t="s">
        <v>66</v>
      </c>
      <c r="D41" s="16">
        <v>798.67</v>
      </c>
      <c r="E41" s="10">
        <f t="shared" si="0"/>
        <v>798.67</v>
      </c>
      <c r="F41" s="8">
        <v>1</v>
      </c>
      <c r="G41" s="8"/>
    </row>
    <row r="42" spans="2:7" x14ac:dyDescent="0.25">
      <c r="B42" s="8">
        <v>1</v>
      </c>
      <c r="C42" s="9" t="s">
        <v>72</v>
      </c>
      <c r="D42" s="16">
        <v>798.67</v>
      </c>
      <c r="E42" s="10">
        <f t="shared" si="0"/>
        <v>798.67</v>
      </c>
      <c r="F42" s="8">
        <v>1</v>
      </c>
      <c r="G42" s="8"/>
    </row>
    <row r="43" spans="2:7" x14ac:dyDescent="0.25">
      <c r="B43" s="8">
        <v>1</v>
      </c>
      <c r="C43" s="9" t="s">
        <v>76</v>
      </c>
      <c r="D43" s="16">
        <v>798.67</v>
      </c>
      <c r="E43" s="10">
        <f t="shared" si="0"/>
        <v>798.67</v>
      </c>
      <c r="F43" s="8">
        <v>1</v>
      </c>
      <c r="G43" s="8"/>
    </row>
    <row r="44" spans="2:7" x14ac:dyDescent="0.25">
      <c r="B44" s="8">
        <v>1</v>
      </c>
      <c r="C44" s="9" t="s">
        <v>81</v>
      </c>
      <c r="D44" s="16">
        <v>798.67</v>
      </c>
      <c r="E44" s="10">
        <f t="shared" si="0"/>
        <v>798.67</v>
      </c>
      <c r="F44" s="8"/>
      <c r="G44" s="8">
        <v>1</v>
      </c>
    </row>
    <row r="45" spans="2:7" x14ac:dyDescent="0.25">
      <c r="B45" s="8">
        <v>1</v>
      </c>
      <c r="C45" s="3" t="s">
        <v>88</v>
      </c>
      <c r="D45" s="11">
        <v>798.67</v>
      </c>
      <c r="E45" s="10">
        <f t="shared" si="0"/>
        <v>798.67</v>
      </c>
      <c r="F45" s="8">
        <v>1</v>
      </c>
      <c r="G45" s="8"/>
    </row>
    <row r="46" spans="2:7" x14ac:dyDescent="0.25">
      <c r="B46" s="8">
        <f>1+1</f>
        <v>2</v>
      </c>
      <c r="C46" s="9" t="s">
        <v>17</v>
      </c>
      <c r="D46" s="10">
        <v>798.67</v>
      </c>
      <c r="E46" s="10">
        <f t="shared" si="0"/>
        <v>1597.34</v>
      </c>
      <c r="F46" s="8">
        <f>1+1</f>
        <v>2</v>
      </c>
      <c r="G46" s="8"/>
    </row>
    <row r="47" spans="2:7" x14ac:dyDescent="0.25">
      <c r="B47" s="8">
        <f>3+1</f>
        <v>4</v>
      </c>
      <c r="C47" s="9" t="s">
        <v>27</v>
      </c>
      <c r="D47" s="10">
        <v>743.67</v>
      </c>
      <c r="E47" s="10">
        <f t="shared" si="0"/>
        <v>2974.68</v>
      </c>
      <c r="F47" s="8">
        <f>3+1</f>
        <v>4</v>
      </c>
      <c r="G47" s="8"/>
    </row>
    <row r="48" spans="2:7" x14ac:dyDescent="0.25">
      <c r="B48" s="8">
        <v>1</v>
      </c>
      <c r="C48" s="9" t="s">
        <v>28</v>
      </c>
      <c r="D48" s="10">
        <v>743.67</v>
      </c>
      <c r="E48" s="10">
        <f t="shared" si="0"/>
        <v>743.67</v>
      </c>
      <c r="F48" s="8"/>
      <c r="G48" s="8">
        <v>1</v>
      </c>
    </row>
    <row r="49" spans="2:7" x14ac:dyDescent="0.25">
      <c r="B49" s="8">
        <v>2</v>
      </c>
      <c r="C49" s="9" t="s">
        <v>77</v>
      </c>
      <c r="D49" s="16">
        <v>743.67</v>
      </c>
      <c r="E49" s="10">
        <f t="shared" si="0"/>
        <v>1487.34</v>
      </c>
      <c r="F49" s="8">
        <v>2</v>
      </c>
      <c r="G49" s="8"/>
    </row>
    <row r="50" spans="2:7" x14ac:dyDescent="0.25">
      <c r="B50" s="8">
        <v>1</v>
      </c>
      <c r="C50" s="9" t="s">
        <v>36</v>
      </c>
      <c r="D50" s="10">
        <v>698</v>
      </c>
      <c r="E50" s="10">
        <f t="shared" si="0"/>
        <v>698</v>
      </c>
      <c r="F50" s="8"/>
      <c r="G50" s="8">
        <v>1</v>
      </c>
    </row>
    <row r="51" spans="2:7" x14ac:dyDescent="0.25">
      <c r="B51" s="8">
        <v>1</v>
      </c>
      <c r="C51" s="9" t="s">
        <v>29</v>
      </c>
      <c r="D51" s="10">
        <v>674.55</v>
      </c>
      <c r="E51" s="10">
        <f t="shared" si="0"/>
        <v>674.55</v>
      </c>
      <c r="F51" s="8">
        <v>1</v>
      </c>
      <c r="G51" s="8"/>
    </row>
    <row r="52" spans="2:7" x14ac:dyDescent="0.25">
      <c r="B52" s="8">
        <v>1</v>
      </c>
      <c r="C52" s="9" t="s">
        <v>30</v>
      </c>
      <c r="D52" s="10">
        <v>674.55</v>
      </c>
      <c r="E52" s="10">
        <f t="shared" si="0"/>
        <v>674.55</v>
      </c>
      <c r="F52" s="8">
        <v>1</v>
      </c>
      <c r="G52" s="8"/>
    </row>
    <row r="53" spans="2:7" x14ac:dyDescent="0.25">
      <c r="B53" s="8">
        <v>1</v>
      </c>
      <c r="C53" s="9" t="s">
        <v>31</v>
      </c>
      <c r="D53" s="10">
        <v>674.55</v>
      </c>
      <c r="E53" s="10">
        <f t="shared" si="0"/>
        <v>674.55</v>
      </c>
      <c r="F53" s="8">
        <v>1</v>
      </c>
      <c r="G53" s="8"/>
    </row>
    <row r="54" spans="2:7" x14ac:dyDescent="0.25">
      <c r="B54" s="8">
        <v>1</v>
      </c>
      <c r="C54" s="9" t="s">
        <v>32</v>
      </c>
      <c r="D54" s="10">
        <v>674.55</v>
      </c>
      <c r="E54" s="10">
        <f t="shared" si="0"/>
        <v>674.55</v>
      </c>
      <c r="F54" s="8"/>
      <c r="G54" s="8">
        <v>1</v>
      </c>
    </row>
    <row r="55" spans="2:7" x14ac:dyDescent="0.25">
      <c r="B55" s="8">
        <f>37+5+1+7+6+6+7</f>
        <v>69</v>
      </c>
      <c r="C55" s="9" t="s">
        <v>63</v>
      </c>
      <c r="D55" s="10">
        <v>674.55</v>
      </c>
      <c r="E55" s="10">
        <f t="shared" si="0"/>
        <v>46543.95</v>
      </c>
      <c r="F55" s="8">
        <f>2+5+2+6+4+3+3</f>
        <v>25</v>
      </c>
      <c r="G55" s="8">
        <f>16+14+3+1+1+2+3+4</f>
        <v>44</v>
      </c>
    </row>
    <row r="56" spans="2:7" x14ac:dyDescent="0.25">
      <c r="B56" s="8">
        <f>76+3+6+6+9+9+8</f>
        <v>117</v>
      </c>
      <c r="C56" s="9" t="s">
        <v>70</v>
      </c>
      <c r="D56" s="16">
        <v>674.55</v>
      </c>
      <c r="E56" s="10">
        <f t="shared" si="0"/>
        <v>78922.349999999991</v>
      </c>
      <c r="F56" s="8">
        <f>35+2+3+4+5+6+3</f>
        <v>58</v>
      </c>
      <c r="G56" s="8">
        <f>41+1+3+2+4+3+5</f>
        <v>59</v>
      </c>
    </row>
    <row r="57" spans="2:7" x14ac:dyDescent="0.25">
      <c r="B57" s="8">
        <f>3+3+1+2+2+2+2+6</f>
        <v>21</v>
      </c>
      <c r="C57" s="9" t="s">
        <v>78</v>
      </c>
      <c r="D57" s="16">
        <v>674.55</v>
      </c>
      <c r="E57" s="10">
        <f t="shared" si="0"/>
        <v>14165.55</v>
      </c>
      <c r="F57" s="8">
        <f>1+1+1+1+1+1+2</f>
        <v>8</v>
      </c>
      <c r="G57" s="8">
        <f>2+3+1+1+1+1+4</f>
        <v>13</v>
      </c>
    </row>
    <row r="58" spans="2:7" x14ac:dyDescent="0.25">
      <c r="B58" s="8">
        <f>4+4+2+7+3+5</f>
        <v>25</v>
      </c>
      <c r="C58" s="9" t="s">
        <v>79</v>
      </c>
      <c r="D58" s="16">
        <v>674.55</v>
      </c>
      <c r="E58" s="10">
        <f t="shared" si="0"/>
        <v>16863.75</v>
      </c>
      <c r="F58" s="8">
        <f>2+3+1+5+2+5</f>
        <v>18</v>
      </c>
      <c r="G58" s="8">
        <f>2+1+1+2+1</f>
        <v>7</v>
      </c>
    </row>
    <row r="59" spans="2:7" x14ac:dyDescent="0.25">
      <c r="B59" s="8">
        <f>6+2+3+1+5+4+4</f>
        <v>25</v>
      </c>
      <c r="C59" s="9" t="s">
        <v>80</v>
      </c>
      <c r="D59" s="16">
        <v>674.55</v>
      </c>
      <c r="E59" s="10">
        <f t="shared" si="0"/>
        <v>16863.75</v>
      </c>
      <c r="F59" s="8">
        <f>5+2+2+1+2+2+2</f>
        <v>16</v>
      </c>
      <c r="G59" s="8">
        <f>1+1+3+2+2</f>
        <v>9</v>
      </c>
    </row>
    <row r="60" spans="2:7" x14ac:dyDescent="0.25">
      <c r="B60" s="8">
        <v>1</v>
      </c>
      <c r="C60" s="3" t="s">
        <v>86</v>
      </c>
      <c r="D60" s="11">
        <v>674.55</v>
      </c>
      <c r="E60" s="10">
        <f t="shared" si="0"/>
        <v>674.55</v>
      </c>
      <c r="F60" s="8"/>
      <c r="G60" s="8">
        <v>1</v>
      </c>
    </row>
    <row r="61" spans="2:7" x14ac:dyDescent="0.25">
      <c r="B61" s="8">
        <f>1+1</f>
        <v>2</v>
      </c>
      <c r="C61" s="3" t="s">
        <v>87</v>
      </c>
      <c r="D61" s="11">
        <v>674.55</v>
      </c>
      <c r="E61" s="10">
        <f t="shared" si="0"/>
        <v>1349.1</v>
      </c>
      <c r="F61" s="8">
        <f>1+1</f>
        <v>2</v>
      </c>
      <c r="G61" s="8"/>
    </row>
    <row r="62" spans="2:7" x14ac:dyDescent="0.25">
      <c r="B62" s="8">
        <f>3+1+2</f>
        <v>6</v>
      </c>
      <c r="C62" s="9" t="s">
        <v>78</v>
      </c>
      <c r="D62" s="16">
        <v>577.04</v>
      </c>
      <c r="E62" s="10">
        <f t="shared" si="0"/>
        <v>3462.24</v>
      </c>
      <c r="F62" s="8">
        <f>2+1+1</f>
        <v>4</v>
      </c>
      <c r="G62" s="8">
        <f>1+1</f>
        <v>2</v>
      </c>
    </row>
    <row r="63" spans="2:7" x14ac:dyDescent="0.25">
      <c r="B63" s="8">
        <f>1+1+2</f>
        <v>4</v>
      </c>
      <c r="C63" s="9" t="s">
        <v>79</v>
      </c>
      <c r="D63" s="16">
        <v>577.04</v>
      </c>
      <c r="E63" s="10">
        <f t="shared" si="0"/>
        <v>2308.16</v>
      </c>
      <c r="F63" s="8">
        <f>1+1+1</f>
        <v>3</v>
      </c>
      <c r="G63" s="8">
        <v>1</v>
      </c>
    </row>
    <row r="64" spans="2:7" x14ac:dyDescent="0.25">
      <c r="B64" s="8">
        <v>3</v>
      </c>
      <c r="C64" s="9" t="s">
        <v>80</v>
      </c>
      <c r="D64" s="16">
        <v>577.04</v>
      </c>
      <c r="E64" s="10">
        <f t="shared" si="0"/>
        <v>1731.12</v>
      </c>
      <c r="F64" s="8">
        <v>3</v>
      </c>
      <c r="G64" s="8"/>
    </row>
    <row r="65" spans="2:7" x14ac:dyDescent="0.25">
      <c r="B65" s="8">
        <v>1</v>
      </c>
      <c r="C65" s="3" t="s">
        <v>85</v>
      </c>
      <c r="D65" s="11">
        <v>577.04</v>
      </c>
      <c r="E65" s="10">
        <f t="shared" si="0"/>
        <v>577.04</v>
      </c>
      <c r="F65" s="8">
        <v>1</v>
      </c>
      <c r="G65" s="8"/>
    </row>
    <row r="66" spans="2:7" x14ac:dyDescent="0.25">
      <c r="B66" s="8">
        <v>1</v>
      </c>
      <c r="C66" s="9" t="s">
        <v>28</v>
      </c>
      <c r="D66" s="10">
        <v>674.55</v>
      </c>
      <c r="E66" s="10">
        <f t="shared" si="0"/>
        <v>674.55</v>
      </c>
      <c r="F66" s="8"/>
      <c r="G66" s="8">
        <v>1</v>
      </c>
    </row>
    <row r="67" spans="2:7" x14ac:dyDescent="0.25">
      <c r="B67" s="8">
        <v>1</v>
      </c>
      <c r="C67" s="9" t="s">
        <v>28</v>
      </c>
      <c r="D67" s="10">
        <v>577.04</v>
      </c>
      <c r="E67" s="10">
        <f t="shared" si="0"/>
        <v>577.04</v>
      </c>
      <c r="F67" s="8"/>
      <c r="G67" s="8">
        <v>1</v>
      </c>
    </row>
    <row r="68" spans="2:7" x14ac:dyDescent="0.25">
      <c r="B68" s="8">
        <v>1</v>
      </c>
      <c r="C68" s="9" t="s">
        <v>28</v>
      </c>
      <c r="D68" s="10">
        <v>563.46</v>
      </c>
      <c r="E68" s="10">
        <f t="shared" si="0"/>
        <v>563.46</v>
      </c>
      <c r="F68" s="8"/>
      <c r="G68" s="8">
        <v>1</v>
      </c>
    </row>
    <row r="69" spans="2:7" x14ac:dyDescent="0.25">
      <c r="B69" s="8">
        <v>1</v>
      </c>
      <c r="C69" s="9" t="s">
        <v>28</v>
      </c>
      <c r="D69" s="10">
        <v>507.92</v>
      </c>
      <c r="E69" s="10">
        <f t="shared" si="0"/>
        <v>507.92</v>
      </c>
      <c r="F69" s="8"/>
      <c r="G69" s="8">
        <v>1</v>
      </c>
    </row>
    <row r="70" spans="2:7" x14ac:dyDescent="0.25">
      <c r="B70" s="8">
        <v>1</v>
      </c>
      <c r="C70" s="9" t="s">
        <v>71</v>
      </c>
      <c r="D70" s="16">
        <v>488.12</v>
      </c>
      <c r="E70" s="10">
        <f t="shared" si="0"/>
        <v>488.12</v>
      </c>
      <c r="F70" s="8"/>
      <c r="G70" s="8">
        <v>1</v>
      </c>
    </row>
    <row r="71" spans="2:7" x14ac:dyDescent="0.25">
      <c r="B71" s="8">
        <v>1</v>
      </c>
      <c r="C71" s="9" t="s">
        <v>57</v>
      </c>
      <c r="D71" s="10">
        <v>488.12</v>
      </c>
      <c r="E71" s="10">
        <f t="shared" ref="E71:E76" si="1">D71*B71</f>
        <v>488.12</v>
      </c>
      <c r="F71" s="8">
        <v>1</v>
      </c>
      <c r="G71" s="8"/>
    </row>
    <row r="72" spans="2:7" x14ac:dyDescent="0.25">
      <c r="B72" s="8">
        <f>1+3+1</f>
        <v>5</v>
      </c>
      <c r="C72" s="9" t="s">
        <v>33</v>
      </c>
      <c r="D72" s="10">
        <v>431.55</v>
      </c>
      <c r="E72" s="10">
        <f t="shared" si="1"/>
        <v>2157.75</v>
      </c>
      <c r="F72" s="8">
        <f>1+3+1</f>
        <v>5</v>
      </c>
      <c r="G72" s="8"/>
    </row>
    <row r="73" spans="2:7" x14ac:dyDescent="0.25">
      <c r="B73" s="8">
        <f>1+2+1</f>
        <v>4</v>
      </c>
      <c r="C73" s="9" t="s">
        <v>34</v>
      </c>
      <c r="D73" s="10">
        <v>431.55</v>
      </c>
      <c r="E73" s="10">
        <f t="shared" si="1"/>
        <v>1726.2</v>
      </c>
      <c r="F73" s="8">
        <f>1+2+1</f>
        <v>4</v>
      </c>
      <c r="G73" s="8"/>
    </row>
    <row r="74" spans="2:7" x14ac:dyDescent="0.25">
      <c r="B74" s="8">
        <f>1+1</f>
        <v>2</v>
      </c>
      <c r="C74" s="9" t="s">
        <v>84</v>
      </c>
      <c r="D74" s="10">
        <v>431.55</v>
      </c>
      <c r="E74" s="10">
        <f t="shared" si="1"/>
        <v>863.1</v>
      </c>
      <c r="F74" s="8">
        <f>1+1</f>
        <v>2</v>
      </c>
      <c r="G74" s="8"/>
    </row>
    <row r="75" spans="2:7" x14ac:dyDescent="0.25">
      <c r="B75" s="8">
        <v>1</v>
      </c>
      <c r="C75" s="9" t="s">
        <v>35</v>
      </c>
      <c r="D75" s="10">
        <v>403.27</v>
      </c>
      <c r="E75" s="10">
        <f t="shared" si="1"/>
        <v>403.27</v>
      </c>
      <c r="F75" s="8">
        <v>1</v>
      </c>
      <c r="G75" s="8"/>
    </row>
    <row r="76" spans="2:7" x14ac:dyDescent="0.25">
      <c r="B76" s="8">
        <v>1</v>
      </c>
      <c r="C76" s="9" t="s">
        <v>82</v>
      </c>
      <c r="D76" s="16">
        <v>305.49</v>
      </c>
      <c r="E76" s="10">
        <f t="shared" si="1"/>
        <v>305.49</v>
      </c>
      <c r="F76" s="8"/>
      <c r="G76" s="8">
        <v>1</v>
      </c>
    </row>
    <row r="77" spans="2:7" ht="15.75" x14ac:dyDescent="0.25">
      <c r="B77" s="12">
        <f>SUM(B7:B76)</f>
        <v>353</v>
      </c>
      <c r="C77" s="1"/>
      <c r="D77" s="15"/>
      <c r="E77" s="17">
        <f>SUM(E7:E76)</f>
        <v>267691.76999999996</v>
      </c>
      <c r="F77" s="14">
        <f>SUM(F7:F76)</f>
        <v>191</v>
      </c>
      <c r="G77" s="14">
        <f>SUM(G7:G76)</f>
        <v>162</v>
      </c>
    </row>
    <row r="80" spans="2:7" x14ac:dyDescent="0.25">
      <c r="B80" s="5" t="s">
        <v>37</v>
      </c>
      <c r="D80"/>
      <c r="E80"/>
      <c r="F80"/>
      <c r="G80"/>
    </row>
    <row r="81" spans="2:14" x14ac:dyDescent="0.25">
      <c r="F81" s="45" t="s">
        <v>3</v>
      </c>
      <c r="G81" s="45"/>
    </row>
    <row r="82" spans="2:14" ht="30" x14ac:dyDescent="0.25">
      <c r="B82" s="6" t="s">
        <v>6</v>
      </c>
      <c r="C82" s="7" t="s">
        <v>4</v>
      </c>
      <c r="D82" s="6" t="s">
        <v>2</v>
      </c>
      <c r="E82" s="6" t="s">
        <v>9</v>
      </c>
      <c r="F82" s="7" t="s">
        <v>0</v>
      </c>
      <c r="G82" s="7" t="s">
        <v>1</v>
      </c>
    </row>
    <row r="83" spans="2:14" x14ac:dyDescent="0.25">
      <c r="B83" s="8">
        <v>1</v>
      </c>
      <c r="C83" s="19" t="s">
        <v>38</v>
      </c>
      <c r="D83" s="16">
        <v>2773.72</v>
      </c>
      <c r="E83" s="20">
        <f>D83*B83</f>
        <v>2773.72</v>
      </c>
      <c r="F83" s="8">
        <v>1</v>
      </c>
      <c r="G83" s="8"/>
    </row>
    <row r="84" spans="2:14" x14ac:dyDescent="0.25">
      <c r="B84" s="8">
        <v>1</v>
      </c>
      <c r="C84" s="19" t="s">
        <v>39</v>
      </c>
      <c r="D84" s="16">
        <v>2080.58</v>
      </c>
      <c r="E84" s="20">
        <f t="shared" ref="E84:E155" si="2">D84*B84</f>
        <v>2080.58</v>
      </c>
      <c r="F84" s="8"/>
      <c r="G84" s="8">
        <v>1</v>
      </c>
    </row>
    <row r="85" spans="2:14" x14ac:dyDescent="0.25">
      <c r="B85" s="8">
        <v>1</v>
      </c>
      <c r="C85" s="19" t="s">
        <v>40</v>
      </c>
      <c r="D85" s="16">
        <v>1373.12</v>
      </c>
      <c r="E85" s="20">
        <f t="shared" si="2"/>
        <v>1373.12</v>
      </c>
      <c r="F85" s="8">
        <v>1</v>
      </c>
      <c r="G85" s="8"/>
    </row>
    <row r="86" spans="2:14" x14ac:dyDescent="0.25">
      <c r="B86" s="8">
        <v>1</v>
      </c>
      <c r="C86" s="19" t="s">
        <v>41</v>
      </c>
      <c r="D86" s="16">
        <v>1108.25</v>
      </c>
      <c r="E86" s="20">
        <f t="shared" si="2"/>
        <v>1108.25</v>
      </c>
      <c r="F86" s="8">
        <v>1</v>
      </c>
      <c r="G86" s="8"/>
    </row>
    <row r="87" spans="2:14" x14ac:dyDescent="0.25">
      <c r="B87" s="8">
        <v>1</v>
      </c>
      <c r="C87" s="19" t="s">
        <v>42</v>
      </c>
      <c r="D87" s="16">
        <v>1108.25</v>
      </c>
      <c r="E87" s="20">
        <f t="shared" si="2"/>
        <v>1108.25</v>
      </c>
      <c r="F87" s="8">
        <v>1</v>
      </c>
      <c r="G87" s="8"/>
    </row>
    <row r="88" spans="2:14" x14ac:dyDescent="0.25">
      <c r="B88" s="8">
        <v>1</v>
      </c>
      <c r="C88" s="9" t="s">
        <v>43</v>
      </c>
      <c r="D88" s="16">
        <v>1108.25</v>
      </c>
      <c r="E88" s="20">
        <f t="shared" si="2"/>
        <v>1108.25</v>
      </c>
      <c r="F88" s="8">
        <v>1</v>
      </c>
      <c r="G88" s="8"/>
    </row>
    <row r="89" spans="2:14" x14ac:dyDescent="0.25">
      <c r="B89" s="8">
        <v>1</v>
      </c>
      <c r="C89" s="19" t="s">
        <v>44</v>
      </c>
      <c r="D89" s="16">
        <v>1108.25</v>
      </c>
      <c r="E89" s="20">
        <f t="shared" si="2"/>
        <v>1108.25</v>
      </c>
      <c r="F89" s="8">
        <v>1</v>
      </c>
      <c r="G89" s="8"/>
    </row>
    <row r="90" spans="2:14" x14ac:dyDescent="0.25">
      <c r="B90" s="8">
        <v>1</v>
      </c>
      <c r="C90" s="19" t="s">
        <v>90</v>
      </c>
      <c r="D90" s="16">
        <v>1108.25</v>
      </c>
      <c r="E90" s="20">
        <f t="shared" si="2"/>
        <v>1108.25</v>
      </c>
      <c r="F90" s="8">
        <v>1</v>
      </c>
      <c r="G90" s="8"/>
      <c r="M90" s="2"/>
      <c r="N90" s="2"/>
    </row>
    <row r="91" spans="2:14" x14ac:dyDescent="0.25">
      <c r="B91" s="8">
        <v>1</v>
      </c>
      <c r="C91" s="19" t="s">
        <v>91</v>
      </c>
      <c r="D91" s="16">
        <v>1108.25</v>
      </c>
      <c r="E91" s="20">
        <f t="shared" si="2"/>
        <v>1108.25</v>
      </c>
      <c r="F91" s="8">
        <v>1</v>
      </c>
      <c r="G91" s="8"/>
      <c r="M91" s="2"/>
      <c r="N91" s="2"/>
    </row>
    <row r="92" spans="2:14" x14ac:dyDescent="0.25">
      <c r="B92" s="8">
        <v>1</v>
      </c>
      <c r="C92" s="19" t="s">
        <v>102</v>
      </c>
      <c r="D92" s="16">
        <v>1108.25</v>
      </c>
      <c r="E92" s="20">
        <f t="shared" si="2"/>
        <v>1108.25</v>
      </c>
      <c r="F92" s="8"/>
      <c r="G92" s="8">
        <v>1</v>
      </c>
      <c r="M92" s="2"/>
      <c r="N92" s="2"/>
    </row>
    <row r="93" spans="2:14" x14ac:dyDescent="0.25">
      <c r="B93" s="8">
        <v>1</v>
      </c>
      <c r="C93" s="19" t="s">
        <v>103</v>
      </c>
      <c r="D93" s="16">
        <v>1108.25</v>
      </c>
      <c r="E93" s="20">
        <f t="shared" si="2"/>
        <v>1108.25</v>
      </c>
      <c r="F93" s="8">
        <v>1</v>
      </c>
      <c r="G93" s="8"/>
      <c r="M93" s="2"/>
      <c r="N93" s="2"/>
    </row>
    <row r="94" spans="2:14" x14ac:dyDescent="0.25">
      <c r="B94" s="8">
        <v>1</v>
      </c>
      <c r="C94" s="19" t="s">
        <v>108</v>
      </c>
      <c r="D94" s="16">
        <v>1108.25</v>
      </c>
      <c r="E94" s="20">
        <f t="shared" si="2"/>
        <v>1108.25</v>
      </c>
      <c r="F94" s="8"/>
      <c r="G94" s="8">
        <v>1</v>
      </c>
      <c r="M94" s="2"/>
      <c r="N94" s="2"/>
    </row>
    <row r="95" spans="2:14" x14ac:dyDescent="0.25">
      <c r="B95" s="8">
        <v>1</v>
      </c>
      <c r="C95" s="9" t="s">
        <v>111</v>
      </c>
      <c r="D95" s="16">
        <v>1108.25</v>
      </c>
      <c r="E95" s="20">
        <f t="shared" si="2"/>
        <v>1108.25</v>
      </c>
      <c r="F95" s="8">
        <v>1</v>
      </c>
      <c r="G95" s="8"/>
      <c r="M95" s="2"/>
      <c r="N95" s="2"/>
    </row>
    <row r="96" spans="2:14" x14ac:dyDescent="0.25">
      <c r="B96" s="8">
        <v>1</v>
      </c>
      <c r="C96" s="19" t="s">
        <v>112</v>
      </c>
      <c r="D96" s="16">
        <v>1108.25</v>
      </c>
      <c r="E96" s="20">
        <f t="shared" si="2"/>
        <v>1108.25</v>
      </c>
      <c r="F96" s="8">
        <v>1</v>
      </c>
      <c r="G96" s="8"/>
      <c r="M96" s="2"/>
      <c r="N96" s="2"/>
    </row>
    <row r="97" spans="2:14" x14ac:dyDescent="0.25">
      <c r="B97" s="8">
        <f>1+1</f>
        <v>2</v>
      </c>
      <c r="C97" s="19" t="s">
        <v>83</v>
      </c>
      <c r="D97" s="16">
        <v>1108.25</v>
      </c>
      <c r="E97" s="20">
        <f t="shared" si="2"/>
        <v>2216.5</v>
      </c>
      <c r="F97" s="8">
        <f>1+1</f>
        <v>2</v>
      </c>
      <c r="G97" s="8"/>
      <c r="M97" s="2"/>
      <c r="N97" s="2"/>
    </row>
    <row r="98" spans="2:14" x14ac:dyDescent="0.25">
      <c r="B98" s="8">
        <v>3</v>
      </c>
      <c r="C98" s="9" t="s">
        <v>45</v>
      </c>
      <c r="D98" s="16">
        <v>1108.25</v>
      </c>
      <c r="E98" s="20">
        <f t="shared" si="2"/>
        <v>3324.75</v>
      </c>
      <c r="F98" s="8">
        <v>1</v>
      </c>
      <c r="G98" s="8">
        <v>2</v>
      </c>
      <c r="M98" s="2"/>
      <c r="N98" s="2"/>
    </row>
    <row r="99" spans="2:14" x14ac:dyDescent="0.25">
      <c r="B99" s="8">
        <v>1</v>
      </c>
      <c r="C99" s="19" t="s">
        <v>46</v>
      </c>
      <c r="D99" s="16">
        <v>798.67</v>
      </c>
      <c r="E99" s="20">
        <f t="shared" si="2"/>
        <v>798.67</v>
      </c>
      <c r="F99" s="8">
        <v>1</v>
      </c>
      <c r="G99" s="8"/>
      <c r="M99" s="2"/>
      <c r="N99" s="2"/>
    </row>
    <row r="100" spans="2:14" x14ac:dyDescent="0.25">
      <c r="B100" s="8">
        <v>1</v>
      </c>
      <c r="C100" s="9" t="s">
        <v>47</v>
      </c>
      <c r="D100" s="16">
        <v>798.67</v>
      </c>
      <c r="E100" s="20">
        <f t="shared" si="2"/>
        <v>798.67</v>
      </c>
      <c r="F100" s="8">
        <v>1</v>
      </c>
      <c r="G100" s="8"/>
      <c r="M100" s="2"/>
      <c r="N100" s="2"/>
    </row>
    <row r="101" spans="2:14" x14ac:dyDescent="0.25">
      <c r="B101" s="8">
        <v>1</v>
      </c>
      <c r="C101" s="19" t="s">
        <v>48</v>
      </c>
      <c r="D101" s="16">
        <v>798.67</v>
      </c>
      <c r="E101" s="20">
        <f t="shared" si="2"/>
        <v>798.67</v>
      </c>
      <c r="F101" s="8"/>
      <c r="G101" s="8">
        <v>1</v>
      </c>
      <c r="M101" s="2"/>
      <c r="N101" s="2"/>
    </row>
    <row r="102" spans="2:14" x14ac:dyDescent="0.25">
      <c r="B102" s="8">
        <v>1</v>
      </c>
      <c r="C102" s="19" t="s">
        <v>92</v>
      </c>
      <c r="D102" s="16">
        <v>798.67</v>
      </c>
      <c r="E102" s="20">
        <f t="shared" si="2"/>
        <v>798.67</v>
      </c>
      <c r="F102" s="8">
        <v>1</v>
      </c>
      <c r="G102" s="8"/>
      <c r="M102" s="2"/>
      <c r="N102" s="2"/>
    </row>
    <row r="103" spans="2:14" x14ac:dyDescent="0.25">
      <c r="B103" s="8">
        <v>1</v>
      </c>
      <c r="C103" s="19" t="s">
        <v>93</v>
      </c>
      <c r="D103" s="16">
        <v>798.67</v>
      </c>
      <c r="E103" s="20">
        <f t="shared" si="2"/>
        <v>798.67</v>
      </c>
      <c r="F103" s="8">
        <v>1</v>
      </c>
      <c r="G103" s="8"/>
      <c r="M103" s="2"/>
      <c r="N103" s="2"/>
    </row>
    <row r="104" spans="2:14" x14ac:dyDescent="0.25">
      <c r="B104" s="8">
        <v>1</v>
      </c>
      <c r="C104" s="19" t="s">
        <v>94</v>
      </c>
      <c r="D104" s="16">
        <v>798.67</v>
      </c>
      <c r="E104" s="20">
        <f t="shared" si="2"/>
        <v>798.67</v>
      </c>
      <c r="F104" s="8">
        <v>1</v>
      </c>
      <c r="G104" s="8"/>
    </row>
    <row r="105" spans="2:14" x14ac:dyDescent="0.25">
      <c r="B105" s="8">
        <v>1</v>
      </c>
      <c r="C105" s="19" t="s">
        <v>95</v>
      </c>
      <c r="D105" s="16">
        <v>798.67</v>
      </c>
      <c r="E105" s="20">
        <f t="shared" si="2"/>
        <v>798.67</v>
      </c>
      <c r="F105" s="8">
        <v>1</v>
      </c>
      <c r="G105" s="8"/>
    </row>
    <row r="106" spans="2:14" x14ac:dyDescent="0.25">
      <c r="B106" s="8">
        <v>1</v>
      </c>
      <c r="C106" s="9" t="s">
        <v>96</v>
      </c>
      <c r="D106" s="16">
        <v>798.67</v>
      </c>
      <c r="E106" s="20">
        <f t="shared" si="2"/>
        <v>798.67</v>
      </c>
      <c r="F106" s="8"/>
      <c r="G106" s="8">
        <v>1</v>
      </c>
    </row>
    <row r="107" spans="2:14" x14ac:dyDescent="0.25">
      <c r="B107" s="8">
        <v>1</v>
      </c>
      <c r="C107" s="19" t="s">
        <v>104</v>
      </c>
      <c r="D107" s="16">
        <v>798.67</v>
      </c>
      <c r="E107" s="20">
        <f t="shared" si="2"/>
        <v>798.67</v>
      </c>
      <c r="F107" s="8"/>
      <c r="G107" s="8">
        <v>1</v>
      </c>
    </row>
    <row r="108" spans="2:14" x14ac:dyDescent="0.25">
      <c r="B108" s="8">
        <v>1</v>
      </c>
      <c r="C108" s="19" t="s">
        <v>105</v>
      </c>
      <c r="D108" s="16">
        <v>798.67</v>
      </c>
      <c r="E108" s="20">
        <f t="shared" si="2"/>
        <v>798.67</v>
      </c>
      <c r="F108" s="8">
        <v>1</v>
      </c>
      <c r="G108" s="8"/>
    </row>
    <row r="109" spans="2:14" x14ac:dyDescent="0.25">
      <c r="B109" s="8">
        <v>1</v>
      </c>
      <c r="C109" s="19" t="s">
        <v>106</v>
      </c>
      <c r="D109" s="16">
        <v>798.67</v>
      </c>
      <c r="E109" s="20">
        <f t="shared" si="2"/>
        <v>798.67</v>
      </c>
      <c r="F109" s="8">
        <v>1</v>
      </c>
      <c r="G109" s="8"/>
    </row>
    <row r="110" spans="2:14" x14ac:dyDescent="0.25">
      <c r="B110" s="8">
        <v>1</v>
      </c>
      <c r="C110" s="19" t="s">
        <v>109</v>
      </c>
      <c r="D110" s="16">
        <v>798.67</v>
      </c>
      <c r="E110" s="20">
        <f t="shared" si="2"/>
        <v>798.67</v>
      </c>
      <c r="F110" s="8">
        <v>1</v>
      </c>
      <c r="G110" s="8"/>
    </row>
    <row r="111" spans="2:14" x14ac:dyDescent="0.25">
      <c r="B111" s="8">
        <v>1</v>
      </c>
      <c r="C111" s="19" t="s">
        <v>113</v>
      </c>
      <c r="D111" s="16">
        <v>798.67</v>
      </c>
      <c r="E111" s="20">
        <f t="shared" si="2"/>
        <v>798.67</v>
      </c>
      <c r="F111" s="8">
        <v>1</v>
      </c>
      <c r="G111" s="8"/>
    </row>
    <row r="112" spans="2:14" x14ac:dyDescent="0.25">
      <c r="B112" s="8">
        <v>1</v>
      </c>
      <c r="C112" s="19" t="s">
        <v>114</v>
      </c>
      <c r="D112" s="16">
        <v>798.67</v>
      </c>
      <c r="E112" s="20">
        <f t="shared" si="2"/>
        <v>798.67</v>
      </c>
      <c r="F112" s="8"/>
      <c r="G112" s="8">
        <v>1</v>
      </c>
    </row>
    <row r="113" spans="2:7" x14ac:dyDescent="0.25">
      <c r="B113" s="8">
        <v>1</v>
      </c>
      <c r="C113" s="19" t="s">
        <v>115</v>
      </c>
      <c r="D113" s="16">
        <v>798.67</v>
      </c>
      <c r="E113" s="20">
        <f t="shared" si="2"/>
        <v>798.67</v>
      </c>
      <c r="F113" s="8"/>
      <c r="G113" s="8">
        <v>1</v>
      </c>
    </row>
    <row r="114" spans="2:7" x14ac:dyDescent="0.25">
      <c r="B114" s="8">
        <v>1</v>
      </c>
      <c r="C114" s="19" t="s">
        <v>116</v>
      </c>
      <c r="D114" s="16">
        <v>798.67</v>
      </c>
      <c r="E114" s="20">
        <f t="shared" si="2"/>
        <v>798.67</v>
      </c>
      <c r="F114" s="8">
        <v>1</v>
      </c>
      <c r="G114" s="8"/>
    </row>
    <row r="115" spans="2:7" x14ac:dyDescent="0.25">
      <c r="B115" s="8">
        <v>1</v>
      </c>
      <c r="C115" s="19" t="s">
        <v>117</v>
      </c>
      <c r="D115" s="16">
        <v>798.67</v>
      </c>
      <c r="E115" s="20">
        <f t="shared" si="2"/>
        <v>798.67</v>
      </c>
      <c r="F115" s="8">
        <v>1</v>
      </c>
      <c r="G115" s="8"/>
    </row>
    <row r="116" spans="2:7" x14ac:dyDescent="0.25">
      <c r="B116" s="8">
        <v>1</v>
      </c>
      <c r="C116" s="19" t="s">
        <v>118</v>
      </c>
      <c r="D116" s="16">
        <v>798.67</v>
      </c>
      <c r="E116" s="20">
        <f t="shared" si="2"/>
        <v>798.67</v>
      </c>
      <c r="F116" s="8"/>
      <c r="G116" s="8">
        <v>1</v>
      </c>
    </row>
    <row r="117" spans="2:7" x14ac:dyDescent="0.25">
      <c r="B117" s="8">
        <v>1</v>
      </c>
      <c r="C117" s="19" t="s">
        <v>125</v>
      </c>
      <c r="D117" s="16">
        <v>798.67</v>
      </c>
      <c r="E117" s="20">
        <f t="shared" si="2"/>
        <v>798.67</v>
      </c>
      <c r="F117" s="8">
        <v>1</v>
      </c>
      <c r="G117" s="8"/>
    </row>
    <row r="118" spans="2:7" x14ac:dyDescent="0.25">
      <c r="B118" s="8">
        <v>1</v>
      </c>
      <c r="C118" s="19" t="s">
        <v>126</v>
      </c>
      <c r="D118" s="16">
        <v>798.67</v>
      </c>
      <c r="E118" s="20">
        <f t="shared" si="2"/>
        <v>798.67</v>
      </c>
      <c r="F118" s="8"/>
      <c r="G118" s="8">
        <v>1</v>
      </c>
    </row>
    <row r="119" spans="2:7" x14ac:dyDescent="0.25">
      <c r="B119" s="8">
        <v>1</v>
      </c>
      <c r="C119" s="19" t="s">
        <v>77</v>
      </c>
      <c r="D119" s="16">
        <v>743.67</v>
      </c>
      <c r="E119" s="20">
        <f t="shared" si="2"/>
        <v>743.67</v>
      </c>
      <c r="F119" s="8">
        <v>1</v>
      </c>
      <c r="G119" s="8"/>
    </row>
    <row r="120" spans="2:7" x14ac:dyDescent="0.25">
      <c r="B120" s="8">
        <v>1</v>
      </c>
      <c r="C120" s="19" t="s">
        <v>28</v>
      </c>
      <c r="D120" s="16">
        <v>743.67</v>
      </c>
      <c r="E120" s="20">
        <f t="shared" si="2"/>
        <v>743.67</v>
      </c>
      <c r="F120" s="8"/>
      <c r="G120" s="8">
        <v>1</v>
      </c>
    </row>
    <row r="121" spans="2:7" x14ac:dyDescent="0.25">
      <c r="B121" s="8">
        <f>3+1</f>
        <v>4</v>
      </c>
      <c r="C121" s="19" t="s">
        <v>110</v>
      </c>
      <c r="D121" s="16">
        <v>715.91</v>
      </c>
      <c r="E121" s="20">
        <f t="shared" si="2"/>
        <v>2863.64</v>
      </c>
      <c r="F121" s="8">
        <f>2+1</f>
        <v>3</v>
      </c>
      <c r="G121" s="8">
        <v>1</v>
      </c>
    </row>
    <row r="122" spans="2:7" x14ac:dyDescent="0.25">
      <c r="B122" s="8">
        <v>3</v>
      </c>
      <c r="C122" s="9" t="s">
        <v>49</v>
      </c>
      <c r="D122" s="16">
        <v>674.55</v>
      </c>
      <c r="E122" s="20">
        <f t="shared" si="2"/>
        <v>2023.6499999999999</v>
      </c>
      <c r="F122" s="8">
        <v>2</v>
      </c>
      <c r="G122" s="8">
        <v>1</v>
      </c>
    </row>
    <row r="123" spans="2:7" x14ac:dyDescent="0.25">
      <c r="B123" s="8">
        <v>5</v>
      </c>
      <c r="C123" s="9" t="s">
        <v>29</v>
      </c>
      <c r="D123" s="16">
        <v>674.55</v>
      </c>
      <c r="E123" s="20">
        <f t="shared" si="2"/>
        <v>3372.75</v>
      </c>
      <c r="F123" s="8">
        <v>2</v>
      </c>
      <c r="G123" s="8">
        <v>3</v>
      </c>
    </row>
    <row r="124" spans="2:7" x14ac:dyDescent="0.25">
      <c r="B124" s="8">
        <v>3</v>
      </c>
      <c r="C124" s="9" t="s">
        <v>31</v>
      </c>
      <c r="D124" s="16">
        <v>674.55</v>
      </c>
      <c r="E124" s="20">
        <f t="shared" si="2"/>
        <v>2023.6499999999999</v>
      </c>
      <c r="F124" s="8">
        <v>3</v>
      </c>
      <c r="G124" s="8"/>
    </row>
    <row r="125" spans="2:7" x14ac:dyDescent="0.25">
      <c r="B125" s="8">
        <v>1</v>
      </c>
      <c r="C125" s="9" t="s">
        <v>50</v>
      </c>
      <c r="D125" s="16">
        <v>674.55</v>
      </c>
      <c r="E125" s="20">
        <f t="shared" si="2"/>
        <v>674.55</v>
      </c>
      <c r="F125" s="8"/>
      <c r="G125" s="8">
        <v>1</v>
      </c>
    </row>
    <row r="126" spans="2:7" x14ac:dyDescent="0.25">
      <c r="B126" s="8">
        <v>1</v>
      </c>
      <c r="C126" s="9" t="s">
        <v>51</v>
      </c>
      <c r="D126" s="16">
        <v>674.55</v>
      </c>
      <c r="E126" s="20">
        <f t="shared" si="2"/>
        <v>674.55</v>
      </c>
      <c r="F126" s="8"/>
      <c r="G126" s="8">
        <v>1</v>
      </c>
    </row>
    <row r="127" spans="2:7" x14ac:dyDescent="0.25">
      <c r="B127" s="8">
        <v>2</v>
      </c>
      <c r="C127" s="9" t="s">
        <v>52</v>
      </c>
      <c r="D127" s="16">
        <v>674.55</v>
      </c>
      <c r="E127" s="20">
        <f t="shared" si="2"/>
        <v>1349.1</v>
      </c>
      <c r="F127" s="8"/>
      <c r="G127" s="8">
        <v>2</v>
      </c>
    </row>
    <row r="128" spans="2:7" x14ac:dyDescent="0.25">
      <c r="B128" s="8">
        <v>5</v>
      </c>
      <c r="C128" s="9" t="s">
        <v>89</v>
      </c>
      <c r="D128" s="16">
        <v>674.55</v>
      </c>
      <c r="E128" s="20">
        <f t="shared" si="2"/>
        <v>3372.75</v>
      </c>
      <c r="F128" s="8">
        <v>2</v>
      </c>
      <c r="G128" s="8">
        <v>3</v>
      </c>
    </row>
    <row r="129" spans="2:7" x14ac:dyDescent="0.25">
      <c r="B129" s="8">
        <v>2</v>
      </c>
      <c r="C129" s="19" t="s">
        <v>97</v>
      </c>
      <c r="D129" s="16">
        <v>674.55</v>
      </c>
      <c r="E129" s="20">
        <f t="shared" si="2"/>
        <v>1349.1</v>
      </c>
      <c r="F129" s="8">
        <v>1</v>
      </c>
      <c r="G129" s="8">
        <v>1</v>
      </c>
    </row>
    <row r="130" spans="2:7" x14ac:dyDescent="0.25">
      <c r="B130" s="8">
        <v>3</v>
      </c>
      <c r="C130" s="19" t="s">
        <v>98</v>
      </c>
      <c r="D130" s="16">
        <v>674.55</v>
      </c>
      <c r="E130" s="20">
        <f t="shared" si="2"/>
        <v>2023.6499999999999</v>
      </c>
      <c r="F130" s="8">
        <v>1</v>
      </c>
      <c r="G130" s="8">
        <v>2</v>
      </c>
    </row>
    <row r="131" spans="2:7" x14ac:dyDescent="0.25">
      <c r="B131" s="8">
        <v>4</v>
      </c>
      <c r="C131" s="19" t="s">
        <v>99</v>
      </c>
      <c r="D131" s="16">
        <v>674.55</v>
      </c>
      <c r="E131" s="20">
        <f t="shared" si="2"/>
        <v>2698.2</v>
      </c>
      <c r="F131" s="8">
        <v>1</v>
      </c>
      <c r="G131" s="8">
        <v>3</v>
      </c>
    </row>
    <row r="132" spans="2:7" x14ac:dyDescent="0.25">
      <c r="B132" s="8">
        <v>1</v>
      </c>
      <c r="C132" s="19" t="s">
        <v>107</v>
      </c>
      <c r="D132" s="16">
        <v>674.55</v>
      </c>
      <c r="E132" s="20">
        <f t="shared" si="2"/>
        <v>674.55</v>
      </c>
      <c r="F132" s="8"/>
      <c r="G132" s="8">
        <v>1</v>
      </c>
    </row>
    <row r="133" spans="2:7" x14ac:dyDescent="0.25">
      <c r="B133" s="8">
        <v>1</v>
      </c>
      <c r="C133" s="9" t="s">
        <v>50</v>
      </c>
      <c r="D133" s="16">
        <v>674.55</v>
      </c>
      <c r="E133" s="20">
        <f t="shared" si="2"/>
        <v>674.55</v>
      </c>
      <c r="F133" s="8"/>
      <c r="G133" s="8">
        <v>1</v>
      </c>
    </row>
    <row r="134" spans="2:7" x14ac:dyDescent="0.25">
      <c r="B134" s="8">
        <f>3+1+1+1+1</f>
        <v>7</v>
      </c>
      <c r="C134" s="9" t="s">
        <v>28</v>
      </c>
      <c r="D134" s="16">
        <v>674.55</v>
      </c>
      <c r="E134" s="20">
        <f t="shared" si="2"/>
        <v>4721.8499999999995</v>
      </c>
      <c r="F134" s="8"/>
      <c r="G134" s="8">
        <f>3+1+1+1+1</f>
        <v>7</v>
      </c>
    </row>
    <row r="135" spans="2:7" x14ac:dyDescent="0.25">
      <c r="B135" s="8">
        <v>1</v>
      </c>
      <c r="C135" s="9" t="s">
        <v>53</v>
      </c>
      <c r="D135" s="16">
        <v>674.55</v>
      </c>
      <c r="E135" s="20">
        <f t="shared" si="2"/>
        <v>674.55</v>
      </c>
      <c r="F135" s="8">
        <v>1</v>
      </c>
      <c r="G135" s="8"/>
    </row>
    <row r="136" spans="2:7" x14ac:dyDescent="0.25">
      <c r="B136" s="8">
        <v>2</v>
      </c>
      <c r="C136" s="9" t="s">
        <v>54</v>
      </c>
      <c r="D136" s="16">
        <v>674.55</v>
      </c>
      <c r="E136" s="20">
        <f t="shared" si="2"/>
        <v>1349.1</v>
      </c>
      <c r="F136" s="8">
        <v>1</v>
      </c>
      <c r="G136" s="8">
        <v>1</v>
      </c>
    </row>
    <row r="137" spans="2:7" x14ac:dyDescent="0.25">
      <c r="B137" s="8">
        <v>4</v>
      </c>
      <c r="C137" s="9" t="s">
        <v>63</v>
      </c>
      <c r="D137" s="16">
        <v>674.55</v>
      </c>
      <c r="E137" s="20">
        <f t="shared" si="2"/>
        <v>2698.2</v>
      </c>
      <c r="F137" s="8"/>
      <c r="G137" s="8">
        <v>4</v>
      </c>
    </row>
    <row r="138" spans="2:7" x14ac:dyDescent="0.25">
      <c r="B138" s="8">
        <f>28+1+3+5+1+4</f>
        <v>42</v>
      </c>
      <c r="C138" s="19" t="s">
        <v>70</v>
      </c>
      <c r="D138" s="16">
        <v>674.55</v>
      </c>
      <c r="E138" s="20">
        <f t="shared" si="2"/>
        <v>28331.1</v>
      </c>
      <c r="F138" s="8">
        <f>14+1+3+3+1+3</f>
        <v>25</v>
      </c>
      <c r="G138" s="8">
        <f>14+2+1</f>
        <v>17</v>
      </c>
    </row>
    <row r="139" spans="2:7" x14ac:dyDescent="0.25">
      <c r="B139" s="8">
        <v>1</v>
      </c>
      <c r="C139" s="19" t="s">
        <v>119</v>
      </c>
      <c r="D139" s="16">
        <v>604.82000000000005</v>
      </c>
      <c r="E139" s="20">
        <f t="shared" si="2"/>
        <v>604.82000000000005</v>
      </c>
      <c r="F139" s="8"/>
      <c r="G139" s="8">
        <v>1</v>
      </c>
    </row>
    <row r="140" spans="2:7" x14ac:dyDescent="0.25">
      <c r="B140" s="8">
        <v>1</v>
      </c>
      <c r="C140" s="19" t="s">
        <v>55</v>
      </c>
      <c r="D140" s="16">
        <v>577.04</v>
      </c>
      <c r="E140" s="20">
        <f t="shared" si="2"/>
        <v>577.04</v>
      </c>
      <c r="F140" s="8"/>
      <c r="G140" s="8">
        <v>1</v>
      </c>
    </row>
    <row r="141" spans="2:7" x14ac:dyDescent="0.25">
      <c r="B141" s="8">
        <v>1</v>
      </c>
      <c r="C141" s="19" t="s">
        <v>100</v>
      </c>
      <c r="D141" s="16">
        <v>577.04</v>
      </c>
      <c r="E141" s="20">
        <f t="shared" si="2"/>
        <v>577.04</v>
      </c>
      <c r="F141" s="8"/>
      <c r="G141" s="8">
        <v>1</v>
      </c>
    </row>
    <row r="142" spans="2:7" x14ac:dyDescent="0.25">
      <c r="B142" s="8">
        <v>4</v>
      </c>
      <c r="C142" s="19" t="s">
        <v>85</v>
      </c>
      <c r="D142" s="16">
        <v>577.04</v>
      </c>
      <c r="E142" s="20">
        <f t="shared" si="2"/>
        <v>2308.16</v>
      </c>
      <c r="F142" s="8">
        <v>4</v>
      </c>
      <c r="G142" s="8"/>
    </row>
    <row r="143" spans="2:7" x14ac:dyDescent="0.25">
      <c r="B143" s="8">
        <f>1+1</f>
        <v>2</v>
      </c>
      <c r="C143" s="19" t="s">
        <v>71</v>
      </c>
      <c r="D143" s="16">
        <v>577.04</v>
      </c>
      <c r="E143" s="20">
        <f t="shared" si="2"/>
        <v>1154.08</v>
      </c>
      <c r="F143" s="8"/>
      <c r="G143" s="8">
        <f>1+1</f>
        <v>2</v>
      </c>
    </row>
    <row r="144" spans="2:7" x14ac:dyDescent="0.25">
      <c r="B144" s="8">
        <f>6+1+1+1+2</f>
        <v>11</v>
      </c>
      <c r="C144" s="19" t="s">
        <v>78</v>
      </c>
      <c r="D144" s="16">
        <v>577.04</v>
      </c>
      <c r="E144" s="20">
        <f t="shared" si="2"/>
        <v>6347.44</v>
      </c>
      <c r="F144" s="8">
        <f>4+1+1</f>
        <v>6</v>
      </c>
      <c r="G144" s="8">
        <f>2+1+1+1</f>
        <v>5</v>
      </c>
    </row>
    <row r="145" spans="2:7" x14ac:dyDescent="0.25">
      <c r="B145" s="8">
        <v>1</v>
      </c>
      <c r="C145" s="9" t="s">
        <v>120</v>
      </c>
      <c r="D145" s="16">
        <v>577.04</v>
      </c>
      <c r="E145" s="20">
        <f t="shared" si="2"/>
        <v>577.04</v>
      </c>
      <c r="F145" s="8">
        <v>1</v>
      </c>
      <c r="G145" s="8"/>
    </row>
    <row r="146" spans="2:7" x14ac:dyDescent="0.25">
      <c r="B146" s="8">
        <f>1+1</f>
        <v>2</v>
      </c>
      <c r="C146" s="19" t="s">
        <v>121</v>
      </c>
      <c r="D146" s="16">
        <v>577.04</v>
      </c>
      <c r="E146" s="20">
        <f t="shared" si="2"/>
        <v>1154.08</v>
      </c>
      <c r="F146" s="8">
        <f>1+1</f>
        <v>2</v>
      </c>
      <c r="G146" s="8"/>
    </row>
    <row r="147" spans="2:7" x14ac:dyDescent="0.25">
      <c r="B147" s="8">
        <v>3</v>
      </c>
      <c r="C147" s="19" t="s">
        <v>122</v>
      </c>
      <c r="D147" s="16">
        <v>577.04</v>
      </c>
      <c r="E147" s="20">
        <f t="shared" si="2"/>
        <v>1731.12</v>
      </c>
      <c r="F147" s="8">
        <v>2</v>
      </c>
      <c r="G147" s="8">
        <v>1</v>
      </c>
    </row>
    <row r="148" spans="2:7" x14ac:dyDescent="0.25">
      <c r="B148" s="8">
        <f>3+1</f>
        <v>4</v>
      </c>
      <c r="C148" s="19" t="s">
        <v>79</v>
      </c>
      <c r="D148" s="16">
        <v>577.04</v>
      </c>
      <c r="E148" s="20">
        <f t="shared" si="2"/>
        <v>2308.16</v>
      </c>
      <c r="F148" s="8">
        <f>3+1</f>
        <v>4</v>
      </c>
      <c r="G148" s="8"/>
    </row>
    <row r="149" spans="2:7" x14ac:dyDescent="0.25">
      <c r="B149" s="8">
        <v>1</v>
      </c>
      <c r="C149" s="19" t="s">
        <v>123</v>
      </c>
      <c r="D149" s="16">
        <v>577.04</v>
      </c>
      <c r="E149" s="20">
        <f t="shared" si="2"/>
        <v>577.04</v>
      </c>
      <c r="F149" s="8">
        <v>1</v>
      </c>
      <c r="G149" s="8"/>
    </row>
    <row r="150" spans="2:7" x14ac:dyDescent="0.25">
      <c r="B150" s="8">
        <v>2</v>
      </c>
      <c r="C150" s="19" t="s">
        <v>80</v>
      </c>
      <c r="D150" s="16">
        <v>577.04</v>
      </c>
      <c r="E150" s="20">
        <f t="shared" si="2"/>
        <v>1154.08</v>
      </c>
      <c r="F150" s="8">
        <v>1</v>
      </c>
      <c r="G150" s="8">
        <v>1</v>
      </c>
    </row>
    <row r="151" spans="2:7" x14ac:dyDescent="0.25">
      <c r="B151" s="8">
        <v>1</v>
      </c>
      <c r="C151" s="19" t="s">
        <v>56</v>
      </c>
      <c r="D151" s="16">
        <v>563.46</v>
      </c>
      <c r="E151" s="20">
        <f t="shared" si="2"/>
        <v>563.46</v>
      </c>
      <c r="F151" s="8"/>
      <c r="G151" s="8">
        <v>1</v>
      </c>
    </row>
    <row r="152" spans="2:7" x14ac:dyDescent="0.25">
      <c r="B152" s="8">
        <f>6+7+1+3+1+1</f>
        <v>19</v>
      </c>
      <c r="C152" s="19" t="s">
        <v>28</v>
      </c>
      <c r="D152" s="16">
        <v>563.46</v>
      </c>
      <c r="E152" s="20">
        <f t="shared" si="2"/>
        <v>10705.740000000002</v>
      </c>
      <c r="F152" s="8"/>
      <c r="G152" s="8">
        <f>6+7+1+3+1+1</f>
        <v>19</v>
      </c>
    </row>
    <row r="153" spans="2:7" x14ac:dyDescent="0.25">
      <c r="B153" s="8">
        <f>1+1+4+1+1+1</f>
        <v>9</v>
      </c>
      <c r="C153" s="19" t="s">
        <v>28</v>
      </c>
      <c r="D153" s="16">
        <v>507.92</v>
      </c>
      <c r="E153" s="20">
        <f t="shared" si="2"/>
        <v>4571.28</v>
      </c>
      <c r="F153" s="8"/>
      <c r="G153" s="8">
        <f>1+1+4+1+1+1</f>
        <v>9</v>
      </c>
    </row>
    <row r="154" spans="2:7" x14ac:dyDescent="0.25">
      <c r="B154" s="8">
        <v>1</v>
      </c>
      <c r="C154" s="19" t="s">
        <v>101</v>
      </c>
      <c r="D154" s="16">
        <v>507.92</v>
      </c>
      <c r="E154" s="20">
        <f t="shared" si="2"/>
        <v>507.92</v>
      </c>
      <c r="F154" s="8"/>
      <c r="G154" s="8">
        <v>1</v>
      </c>
    </row>
    <row r="155" spans="2:7" x14ac:dyDescent="0.25">
      <c r="B155" s="8">
        <f>1+1</f>
        <v>2</v>
      </c>
      <c r="C155" s="19" t="s">
        <v>57</v>
      </c>
      <c r="D155" s="16">
        <v>499.91</v>
      </c>
      <c r="E155" s="20">
        <f t="shared" si="2"/>
        <v>999.82</v>
      </c>
      <c r="F155" s="8">
        <f>1+1</f>
        <v>2</v>
      </c>
      <c r="G155" s="8"/>
    </row>
    <row r="156" spans="2:7" x14ac:dyDescent="0.25">
      <c r="B156" s="8">
        <f>8+6+2</f>
        <v>16</v>
      </c>
      <c r="C156" s="19" t="s">
        <v>57</v>
      </c>
      <c r="D156" s="16">
        <v>488.12</v>
      </c>
      <c r="E156" s="20">
        <f t="shared" ref="E156:E164" si="3">D156*B156</f>
        <v>7809.92</v>
      </c>
      <c r="F156" s="8">
        <f>8+6+2</f>
        <v>16</v>
      </c>
      <c r="G156" s="8"/>
    </row>
    <row r="157" spans="2:7" x14ac:dyDescent="0.25">
      <c r="B157" s="8">
        <f>3+7+2+2+4+1+2</f>
        <v>21</v>
      </c>
      <c r="C157" s="9" t="s">
        <v>71</v>
      </c>
      <c r="D157" s="16">
        <v>488.12</v>
      </c>
      <c r="E157" s="20">
        <f t="shared" si="3"/>
        <v>10250.52</v>
      </c>
      <c r="F157" s="8"/>
      <c r="G157" s="8">
        <f>3+7+2+2+4+1+2</f>
        <v>21</v>
      </c>
    </row>
    <row r="158" spans="2:7" x14ac:dyDescent="0.25">
      <c r="B158" s="8">
        <f>1+1</f>
        <v>2</v>
      </c>
      <c r="C158" s="9" t="s">
        <v>57</v>
      </c>
      <c r="D158" s="16">
        <v>446</v>
      </c>
      <c r="E158" s="20">
        <f t="shared" si="3"/>
        <v>892</v>
      </c>
      <c r="F158" s="8"/>
      <c r="G158" s="8">
        <f>1+1</f>
        <v>2</v>
      </c>
    </row>
    <row r="159" spans="2:7" x14ac:dyDescent="0.25">
      <c r="B159" s="8">
        <f>2+15+1+2+4</f>
        <v>24</v>
      </c>
      <c r="C159" s="19" t="s">
        <v>34</v>
      </c>
      <c r="D159" s="16">
        <v>431.55</v>
      </c>
      <c r="E159" s="20">
        <f t="shared" si="3"/>
        <v>10357.200000000001</v>
      </c>
      <c r="F159" s="8">
        <f>2+15+1+2+4</f>
        <v>24</v>
      </c>
      <c r="G159" s="8"/>
    </row>
    <row r="160" spans="2:7" x14ac:dyDescent="0.25">
      <c r="B160" s="8">
        <f>7+1</f>
        <v>8</v>
      </c>
      <c r="C160" s="19" t="s">
        <v>84</v>
      </c>
      <c r="D160" s="16">
        <v>431.55</v>
      </c>
      <c r="E160" s="20">
        <f t="shared" si="3"/>
        <v>3452.4</v>
      </c>
      <c r="F160" s="8">
        <f>7+1</f>
        <v>8</v>
      </c>
      <c r="G160" s="8"/>
    </row>
    <row r="161" spans="2:7" x14ac:dyDescent="0.25">
      <c r="B161" s="8">
        <f>2+2+2+1+1</f>
        <v>8</v>
      </c>
      <c r="C161" s="19" t="s">
        <v>33</v>
      </c>
      <c r="D161" s="16">
        <v>431.55</v>
      </c>
      <c r="E161" s="20">
        <f t="shared" si="3"/>
        <v>3452.4</v>
      </c>
      <c r="F161" s="8">
        <f>2+2+2+1+1</f>
        <v>8</v>
      </c>
      <c r="G161" s="8"/>
    </row>
    <row r="162" spans="2:7" x14ac:dyDescent="0.25">
      <c r="B162" s="8">
        <v>1</v>
      </c>
      <c r="C162" s="19" t="s">
        <v>124</v>
      </c>
      <c r="D162" s="16">
        <v>417.72</v>
      </c>
      <c r="E162" s="20">
        <f t="shared" si="3"/>
        <v>417.72</v>
      </c>
      <c r="F162" s="8">
        <v>1</v>
      </c>
      <c r="G162" s="8"/>
    </row>
    <row r="163" spans="2:7" x14ac:dyDescent="0.25">
      <c r="B163" s="8">
        <f>3+12+11+3+1+4+3+5+1</f>
        <v>43</v>
      </c>
      <c r="C163" s="19" t="s">
        <v>35</v>
      </c>
      <c r="D163" s="16">
        <f>403.27</f>
        <v>403.27</v>
      </c>
      <c r="E163" s="20">
        <f t="shared" si="3"/>
        <v>17340.61</v>
      </c>
      <c r="F163" s="8">
        <f>2+11+10+2+1+3+3+5+1</f>
        <v>38</v>
      </c>
      <c r="G163" s="8">
        <f>1+1+1+1+1</f>
        <v>5</v>
      </c>
    </row>
    <row r="164" spans="2:7" x14ac:dyDescent="0.25">
      <c r="B164" s="8">
        <f>2+2</f>
        <v>4</v>
      </c>
      <c r="C164" s="19" t="s">
        <v>57</v>
      </c>
      <c r="D164" s="16">
        <v>488.12</v>
      </c>
      <c r="E164" s="20">
        <f t="shared" si="3"/>
        <v>1952.48</v>
      </c>
      <c r="F164" s="8">
        <f>2+2</f>
        <v>4</v>
      </c>
      <c r="G164" s="8"/>
    </row>
    <row r="165" spans="2:7" ht="15.75" x14ac:dyDescent="0.25">
      <c r="B165" s="12">
        <f>SUM(B83:B164)</f>
        <v>324</v>
      </c>
      <c r="C165" s="1"/>
      <c r="D165" s="1"/>
      <c r="E165" s="18">
        <f>SUM(E83:E164)</f>
        <v>195313.22</v>
      </c>
      <c r="F165" s="14">
        <f>SUM(F83:F164)</f>
        <v>192</v>
      </c>
      <c r="G165" s="14">
        <f>SUM(G83:G164)</f>
        <v>132</v>
      </c>
    </row>
  </sheetData>
  <mergeCells count="3">
    <mergeCell ref="F5:G5"/>
    <mergeCell ref="F81:G81"/>
    <mergeCell ref="B2:G2"/>
  </mergeCells>
  <pageMargins left="0.7" right="0.7" top="0.75" bottom="0.75" header="0.3" footer="0.3"/>
  <pageSetup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4"/>
  <sheetViews>
    <sheetView tabSelected="1" view="pageBreakPreview" topLeftCell="A154" zoomScale="60" zoomScaleNormal="100" workbookViewId="0">
      <selection activeCell="C122" sqref="C122"/>
    </sheetView>
  </sheetViews>
  <sheetFormatPr baseColWidth="10" defaultRowHeight="15" x14ac:dyDescent="0.25"/>
  <cols>
    <col min="1" max="1" width="7.8554687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262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254</v>
      </c>
      <c r="D5" s="16">
        <v>2600</v>
      </c>
      <c r="E5" s="10">
        <f t="shared" ref="E5:E7" si="0">D5*B5</f>
        <v>2600</v>
      </c>
      <c r="F5" s="7"/>
      <c r="G5" s="7">
        <v>1</v>
      </c>
    </row>
    <row r="6" spans="2:7" x14ac:dyDescent="0.25">
      <c r="B6" s="21">
        <v>1</v>
      </c>
      <c r="C6" s="3" t="s">
        <v>246</v>
      </c>
      <c r="D6" s="16">
        <v>1623.25</v>
      </c>
      <c r="E6" s="10">
        <f t="shared" si="0"/>
        <v>1623.25</v>
      </c>
      <c r="F6" s="7">
        <v>1</v>
      </c>
      <c r="G6" s="7"/>
    </row>
    <row r="7" spans="2:7" x14ac:dyDescent="0.25">
      <c r="B7" s="21">
        <v>1</v>
      </c>
      <c r="C7" s="9" t="s">
        <v>180</v>
      </c>
      <c r="D7" s="16">
        <v>1108.25</v>
      </c>
      <c r="E7" s="10">
        <f t="shared" si="0"/>
        <v>1108.25</v>
      </c>
      <c r="F7" s="21">
        <v>1</v>
      </c>
      <c r="G7" s="21"/>
    </row>
    <row r="8" spans="2:7" ht="15.75" x14ac:dyDescent="0.25">
      <c r="B8" s="12">
        <f>SUM(B5:B7)</f>
        <v>3</v>
      </c>
      <c r="C8" s="1"/>
      <c r="D8" s="15"/>
      <c r="E8" s="17">
        <f>SUM(E5:E7)</f>
        <v>5331.5</v>
      </c>
      <c r="F8" s="14">
        <f>SUM(F5:F7)</f>
        <v>2</v>
      </c>
      <c r="G8" s="14">
        <f>SUM(G5:G7)</f>
        <v>1</v>
      </c>
    </row>
    <row r="11" spans="2:7" x14ac:dyDescent="0.25">
      <c r="B11" s="29" t="s">
        <v>37</v>
      </c>
      <c r="C11" s="30"/>
    </row>
    <row r="12" spans="2:7" x14ac:dyDescent="0.25">
      <c r="B12" s="2"/>
      <c r="D12" s="4"/>
      <c r="E12" s="4"/>
      <c r="F12" s="45" t="s">
        <v>3</v>
      </c>
      <c r="G12" s="45"/>
    </row>
    <row r="13" spans="2:7" ht="30" x14ac:dyDescent="0.25">
      <c r="B13" s="6" t="s">
        <v>6</v>
      </c>
      <c r="C13" s="7" t="s">
        <v>4</v>
      </c>
      <c r="D13" s="6" t="s">
        <v>2</v>
      </c>
      <c r="E13" s="6" t="s">
        <v>9</v>
      </c>
      <c r="F13" s="7" t="s">
        <v>0</v>
      </c>
      <c r="G13" s="7" t="s">
        <v>1</v>
      </c>
    </row>
    <row r="14" spans="2:7" x14ac:dyDescent="0.25">
      <c r="B14" s="21">
        <v>1</v>
      </c>
      <c r="C14" s="19" t="s">
        <v>38</v>
      </c>
      <c r="D14" s="16">
        <v>2773.8</v>
      </c>
      <c r="E14" s="20">
        <f>D14*B14</f>
        <v>2773.8</v>
      </c>
      <c r="F14" s="21"/>
      <c r="G14" s="21">
        <v>1</v>
      </c>
    </row>
    <row r="15" spans="2:7" x14ac:dyDescent="0.25">
      <c r="B15" s="21">
        <v>1</v>
      </c>
      <c r="C15" s="19" t="s">
        <v>39</v>
      </c>
      <c r="D15" s="16">
        <v>2080.58</v>
      </c>
      <c r="E15" s="20">
        <f>D15*B15</f>
        <v>2080.58</v>
      </c>
      <c r="F15" s="21">
        <v>1</v>
      </c>
      <c r="G15" s="21"/>
    </row>
    <row r="16" spans="2:7" x14ac:dyDescent="0.25">
      <c r="B16" s="21">
        <v>1</v>
      </c>
      <c r="C16" s="3" t="s">
        <v>140</v>
      </c>
      <c r="D16" s="16">
        <v>2600</v>
      </c>
      <c r="E16" s="20">
        <f t="shared" ref="E16:E85" si="1">D16*B16</f>
        <v>2600</v>
      </c>
      <c r="F16" s="21"/>
      <c r="G16" s="21">
        <v>1</v>
      </c>
    </row>
    <row r="17" spans="2:7" x14ac:dyDescent="0.25">
      <c r="B17" s="21">
        <v>1</v>
      </c>
      <c r="C17" s="19" t="s">
        <v>231</v>
      </c>
      <c r="D17" s="16">
        <v>2600</v>
      </c>
      <c r="E17" s="20">
        <f t="shared" si="1"/>
        <v>2600</v>
      </c>
      <c r="F17" s="21">
        <v>1</v>
      </c>
      <c r="G17" s="21"/>
    </row>
    <row r="18" spans="2:7" x14ac:dyDescent="0.25">
      <c r="B18" s="21">
        <v>1</v>
      </c>
      <c r="C18" s="9" t="s">
        <v>18</v>
      </c>
      <c r="D18" s="16">
        <v>2375</v>
      </c>
      <c r="E18" s="20">
        <f t="shared" si="1"/>
        <v>2375</v>
      </c>
      <c r="F18" s="21"/>
      <c r="G18" s="21">
        <v>1</v>
      </c>
    </row>
    <row r="19" spans="2:7" x14ac:dyDescent="0.25">
      <c r="B19" s="21">
        <v>1</v>
      </c>
      <c r="C19" s="9" t="s">
        <v>232</v>
      </c>
      <c r="D19" s="16">
        <v>2375</v>
      </c>
      <c r="E19" s="20">
        <f t="shared" si="1"/>
        <v>2375</v>
      </c>
      <c r="F19" s="21"/>
      <c r="G19" s="21">
        <v>1</v>
      </c>
    </row>
    <row r="20" spans="2:7" x14ac:dyDescent="0.25">
      <c r="B20" s="21">
        <v>1</v>
      </c>
      <c r="C20" s="9" t="s">
        <v>61</v>
      </c>
      <c r="D20" s="16">
        <v>2375</v>
      </c>
      <c r="E20" s="20">
        <f t="shared" si="1"/>
        <v>2375</v>
      </c>
      <c r="F20" s="21"/>
      <c r="G20" s="21">
        <v>1</v>
      </c>
    </row>
    <row r="21" spans="2:7" x14ac:dyDescent="0.25">
      <c r="B21" s="21">
        <v>1</v>
      </c>
      <c r="C21" s="9" t="s">
        <v>67</v>
      </c>
      <c r="D21" s="16">
        <v>2375</v>
      </c>
      <c r="E21" s="20">
        <f t="shared" si="1"/>
        <v>2375</v>
      </c>
      <c r="F21" s="21">
        <v>1</v>
      </c>
      <c r="G21" s="21"/>
    </row>
    <row r="22" spans="2:7" x14ac:dyDescent="0.25">
      <c r="B22" s="21">
        <v>1</v>
      </c>
      <c r="C22" s="3" t="s">
        <v>73</v>
      </c>
      <c r="D22" s="16">
        <v>2375</v>
      </c>
      <c r="E22" s="20">
        <f t="shared" si="1"/>
        <v>2375</v>
      </c>
      <c r="F22" s="21"/>
      <c r="G22" s="21">
        <v>1</v>
      </c>
    </row>
    <row r="23" spans="2:7" x14ac:dyDescent="0.25">
      <c r="B23" s="21">
        <v>1</v>
      </c>
      <c r="C23" s="9" t="s">
        <v>90</v>
      </c>
      <c r="D23" s="16">
        <v>2060</v>
      </c>
      <c r="E23" s="20">
        <f t="shared" si="1"/>
        <v>2060</v>
      </c>
      <c r="F23" s="21"/>
      <c r="G23" s="21">
        <v>1</v>
      </c>
    </row>
    <row r="24" spans="2:7" x14ac:dyDescent="0.25">
      <c r="B24" s="21">
        <v>1</v>
      </c>
      <c r="C24" s="9" t="s">
        <v>233</v>
      </c>
      <c r="D24" s="16">
        <v>2060</v>
      </c>
      <c r="E24" s="20">
        <f t="shared" si="1"/>
        <v>2060</v>
      </c>
      <c r="F24" s="21">
        <v>1</v>
      </c>
      <c r="G24" s="21"/>
    </row>
    <row r="25" spans="2:7" x14ac:dyDescent="0.25">
      <c r="B25" s="21">
        <v>1</v>
      </c>
      <c r="C25" s="9" t="s">
        <v>234</v>
      </c>
      <c r="D25" s="16">
        <v>1850</v>
      </c>
      <c r="E25" s="20">
        <f>D25*B25</f>
        <v>1850</v>
      </c>
      <c r="F25" s="21">
        <v>1</v>
      </c>
      <c r="G25" s="21"/>
    </row>
    <row r="26" spans="2:7" x14ac:dyDescent="0.25">
      <c r="B26" s="21">
        <v>1</v>
      </c>
      <c r="C26" s="9" t="s">
        <v>247</v>
      </c>
      <c r="D26" s="16">
        <v>1775.02</v>
      </c>
      <c r="E26" s="20">
        <f t="shared" si="1"/>
        <v>1775.02</v>
      </c>
      <c r="F26" s="21"/>
      <c r="G26" s="21">
        <v>1</v>
      </c>
    </row>
    <row r="27" spans="2:7" x14ac:dyDescent="0.25">
      <c r="B27" s="21">
        <v>1</v>
      </c>
      <c r="C27" s="9" t="s">
        <v>133</v>
      </c>
      <c r="D27" s="16">
        <v>1775.02</v>
      </c>
      <c r="E27" s="20">
        <f t="shared" si="1"/>
        <v>1775.02</v>
      </c>
      <c r="F27" s="21"/>
      <c r="G27" s="21">
        <v>1</v>
      </c>
    </row>
    <row r="28" spans="2:7" x14ac:dyDescent="0.25">
      <c r="B28" s="21">
        <v>1</v>
      </c>
      <c r="C28" s="9" t="s">
        <v>255</v>
      </c>
      <c r="D28" s="16">
        <v>1500</v>
      </c>
      <c r="E28" s="20">
        <f t="shared" si="1"/>
        <v>1500</v>
      </c>
      <c r="F28" s="21">
        <v>1</v>
      </c>
      <c r="G28" s="21"/>
    </row>
    <row r="29" spans="2:7" x14ac:dyDescent="0.25">
      <c r="B29" s="24">
        <v>1</v>
      </c>
      <c r="C29" s="9" t="s">
        <v>64</v>
      </c>
      <c r="D29" s="16">
        <v>1500</v>
      </c>
      <c r="E29" s="20">
        <f t="shared" si="1"/>
        <v>1500</v>
      </c>
      <c r="F29" s="24">
        <v>1</v>
      </c>
      <c r="G29" s="24"/>
    </row>
    <row r="30" spans="2:7" x14ac:dyDescent="0.25">
      <c r="B30" s="21">
        <v>1</v>
      </c>
      <c r="C30" s="9" t="s">
        <v>69</v>
      </c>
      <c r="D30" s="16">
        <v>1500</v>
      </c>
      <c r="E30" s="20">
        <f t="shared" si="1"/>
        <v>1500</v>
      </c>
      <c r="F30" s="21">
        <v>1</v>
      </c>
      <c r="G30" s="21"/>
    </row>
    <row r="31" spans="2:7" x14ac:dyDescent="0.25">
      <c r="B31" s="21">
        <v>1</v>
      </c>
      <c r="C31" s="9" t="s">
        <v>235</v>
      </c>
      <c r="D31" s="16">
        <v>1500</v>
      </c>
      <c r="E31" s="20">
        <f t="shared" si="1"/>
        <v>1500</v>
      </c>
      <c r="F31" s="21"/>
      <c r="G31" s="21">
        <v>1</v>
      </c>
    </row>
    <row r="32" spans="2:7" x14ac:dyDescent="0.25">
      <c r="B32" s="21">
        <v>1</v>
      </c>
      <c r="C32" s="9" t="s">
        <v>168</v>
      </c>
      <c r="D32" s="16">
        <v>1475</v>
      </c>
      <c r="E32" s="20">
        <f t="shared" si="1"/>
        <v>1475</v>
      </c>
      <c r="F32" s="21">
        <v>1</v>
      </c>
      <c r="G32" s="21"/>
    </row>
    <row r="33" spans="2:7" x14ac:dyDescent="0.25">
      <c r="B33" s="21">
        <v>1</v>
      </c>
      <c r="C33" s="9" t="s">
        <v>169</v>
      </c>
      <c r="D33" s="16">
        <v>1475</v>
      </c>
      <c r="E33" s="20">
        <f t="shared" si="1"/>
        <v>1475</v>
      </c>
      <c r="F33" s="21">
        <v>1</v>
      </c>
      <c r="G33" s="21"/>
    </row>
    <row r="34" spans="2:7" x14ac:dyDescent="0.25">
      <c r="B34" s="21">
        <v>1</v>
      </c>
      <c r="C34" s="19" t="s">
        <v>44</v>
      </c>
      <c r="D34" s="31">
        <v>1475</v>
      </c>
      <c r="E34" s="20">
        <f t="shared" si="1"/>
        <v>1475</v>
      </c>
      <c r="F34" s="21">
        <v>1</v>
      </c>
      <c r="G34" s="21"/>
    </row>
    <row r="35" spans="2:7" x14ac:dyDescent="0.25">
      <c r="B35" s="21">
        <v>1</v>
      </c>
      <c r="C35" s="19" t="s">
        <v>256</v>
      </c>
      <c r="D35" s="31">
        <v>1475</v>
      </c>
      <c r="E35" s="20">
        <f t="shared" si="1"/>
        <v>1475</v>
      </c>
      <c r="F35" s="21"/>
      <c r="G35" s="21">
        <v>1</v>
      </c>
    </row>
    <row r="36" spans="2:7" x14ac:dyDescent="0.25">
      <c r="B36" s="21">
        <v>1</v>
      </c>
      <c r="C36" s="9" t="s">
        <v>177</v>
      </c>
      <c r="D36" s="16">
        <v>1400</v>
      </c>
      <c r="E36" s="20">
        <f t="shared" si="1"/>
        <v>1400</v>
      </c>
      <c r="F36" s="21">
        <v>1</v>
      </c>
      <c r="G36" s="21"/>
    </row>
    <row r="37" spans="2:7" x14ac:dyDescent="0.25">
      <c r="B37" s="21">
        <v>1</v>
      </c>
      <c r="C37" s="9" t="s">
        <v>243</v>
      </c>
      <c r="D37" s="16">
        <v>1400</v>
      </c>
      <c r="E37" s="20">
        <f t="shared" si="1"/>
        <v>1400</v>
      </c>
      <c r="F37" s="21"/>
      <c r="G37" s="21">
        <v>1</v>
      </c>
    </row>
    <row r="38" spans="2:7" x14ac:dyDescent="0.25">
      <c r="B38" s="21">
        <v>1</v>
      </c>
      <c r="C38" s="19" t="s">
        <v>40</v>
      </c>
      <c r="D38" s="16">
        <v>1373.12</v>
      </c>
      <c r="E38" s="20">
        <f t="shared" si="1"/>
        <v>1373.12</v>
      </c>
      <c r="F38" s="21">
        <v>1</v>
      </c>
      <c r="G38" s="21"/>
    </row>
    <row r="39" spans="2:7" x14ac:dyDescent="0.25">
      <c r="B39" s="21">
        <v>1</v>
      </c>
      <c r="C39" s="9" t="s">
        <v>172</v>
      </c>
      <c r="D39" s="16">
        <v>1373.12</v>
      </c>
      <c r="E39" s="20">
        <f t="shared" si="1"/>
        <v>1373.12</v>
      </c>
      <c r="F39" s="21"/>
      <c r="G39" s="21">
        <v>1</v>
      </c>
    </row>
    <row r="40" spans="2:7" ht="24.75" x14ac:dyDescent="0.25">
      <c r="B40" s="21">
        <v>1</v>
      </c>
      <c r="C40" s="34" t="s">
        <v>170</v>
      </c>
      <c r="D40" s="16">
        <v>1373.12</v>
      </c>
      <c r="E40" s="20">
        <f t="shared" si="1"/>
        <v>1373.12</v>
      </c>
      <c r="F40" s="21"/>
      <c r="G40" s="21">
        <v>1</v>
      </c>
    </row>
    <row r="41" spans="2:7" ht="24.75" x14ac:dyDescent="0.25">
      <c r="B41" s="21">
        <v>1</v>
      </c>
      <c r="C41" s="34" t="s">
        <v>171</v>
      </c>
      <c r="D41" s="16">
        <v>1373.12</v>
      </c>
      <c r="E41" s="20">
        <f t="shared" si="1"/>
        <v>1373.12</v>
      </c>
      <c r="F41" s="21"/>
      <c r="G41" s="21">
        <v>1</v>
      </c>
    </row>
    <row r="42" spans="2:7" x14ac:dyDescent="0.25">
      <c r="B42" s="21"/>
      <c r="C42" s="19" t="s">
        <v>41</v>
      </c>
      <c r="D42" s="16"/>
      <c r="E42" s="20">
        <f t="shared" si="1"/>
        <v>0</v>
      </c>
      <c r="F42" s="21"/>
      <c r="G42" s="21"/>
    </row>
    <row r="43" spans="2:7" x14ac:dyDescent="0.25">
      <c r="B43" s="21">
        <v>1</v>
      </c>
      <c r="C43" s="19" t="s">
        <v>108</v>
      </c>
      <c r="D43" s="16">
        <v>1200</v>
      </c>
      <c r="E43" s="20">
        <f t="shared" si="1"/>
        <v>1200</v>
      </c>
      <c r="F43" s="21"/>
      <c r="G43" s="21">
        <v>1</v>
      </c>
    </row>
    <row r="44" spans="2:7" x14ac:dyDescent="0.25">
      <c r="B44" s="21">
        <v>1</v>
      </c>
      <c r="C44" s="19" t="s">
        <v>91</v>
      </c>
      <c r="D44" s="31">
        <v>1150</v>
      </c>
      <c r="E44" s="20">
        <f t="shared" si="1"/>
        <v>1150</v>
      </c>
      <c r="F44" s="21">
        <v>1</v>
      </c>
      <c r="G44" s="21"/>
    </row>
    <row r="45" spans="2:7" x14ac:dyDescent="0.25">
      <c r="B45" s="21">
        <v>1</v>
      </c>
      <c r="C45" s="19" t="s">
        <v>103</v>
      </c>
      <c r="D45" s="16">
        <v>1150</v>
      </c>
      <c r="E45" s="20">
        <f t="shared" si="1"/>
        <v>1150</v>
      </c>
      <c r="F45" s="21">
        <v>1</v>
      </c>
      <c r="G45" s="21"/>
    </row>
    <row r="46" spans="2:7" x14ac:dyDescent="0.25">
      <c r="B46" s="21">
        <v>1</v>
      </c>
      <c r="C46" s="19" t="s">
        <v>112</v>
      </c>
      <c r="D46" s="16">
        <v>1150</v>
      </c>
      <c r="E46" s="20">
        <f>D46*B46</f>
        <v>1150</v>
      </c>
      <c r="F46" s="21"/>
      <c r="G46" s="21">
        <v>1</v>
      </c>
    </row>
    <row r="47" spans="2:7" x14ac:dyDescent="0.25">
      <c r="B47" s="21">
        <v>3</v>
      </c>
      <c r="C47" s="19" t="s">
        <v>83</v>
      </c>
      <c r="D47" s="16">
        <v>1150</v>
      </c>
      <c r="E47" s="20">
        <f t="shared" si="1"/>
        <v>3450</v>
      </c>
      <c r="F47" s="21">
        <v>2</v>
      </c>
      <c r="G47" s="21">
        <v>1</v>
      </c>
    </row>
    <row r="48" spans="2:7" x14ac:dyDescent="0.25">
      <c r="B48" s="21">
        <v>1</v>
      </c>
      <c r="C48" s="19" t="s">
        <v>160</v>
      </c>
      <c r="D48" s="16">
        <v>1150</v>
      </c>
      <c r="E48" s="20">
        <f>D48*B48</f>
        <v>1150</v>
      </c>
      <c r="F48" s="21"/>
      <c r="G48" s="21">
        <v>1</v>
      </c>
    </row>
    <row r="49" spans="2:7" x14ac:dyDescent="0.25">
      <c r="B49" s="21">
        <v>1</v>
      </c>
      <c r="C49" s="9" t="s">
        <v>47</v>
      </c>
      <c r="D49" s="16">
        <v>1150</v>
      </c>
      <c r="E49" s="20">
        <f>D49*B49</f>
        <v>1150</v>
      </c>
      <c r="F49" s="21">
        <v>1</v>
      </c>
      <c r="G49" s="21"/>
    </row>
    <row r="50" spans="2:7" x14ac:dyDescent="0.25">
      <c r="B50" s="21">
        <v>1</v>
      </c>
      <c r="C50" s="19" t="s">
        <v>48</v>
      </c>
      <c r="D50" s="16">
        <v>1150</v>
      </c>
      <c r="E50" s="20">
        <f>D50*B50</f>
        <v>1150</v>
      </c>
      <c r="F50" s="21"/>
      <c r="G50" s="21">
        <v>1</v>
      </c>
    </row>
    <row r="51" spans="2:7" x14ac:dyDescent="0.25">
      <c r="B51" s="21">
        <v>1</v>
      </c>
      <c r="C51" s="19" t="s">
        <v>26</v>
      </c>
      <c r="D51" s="16">
        <v>1150</v>
      </c>
      <c r="E51" s="20">
        <f>D51*B51</f>
        <v>1150</v>
      </c>
      <c r="F51" s="21">
        <v>1</v>
      </c>
      <c r="G51" s="21"/>
    </row>
    <row r="52" spans="2:7" x14ac:dyDescent="0.25">
      <c r="B52" s="21">
        <v>4</v>
      </c>
      <c r="C52" s="19" t="s">
        <v>188</v>
      </c>
      <c r="D52" s="16">
        <v>1150</v>
      </c>
      <c r="E52" s="20">
        <f>D52*B52</f>
        <v>4600</v>
      </c>
      <c r="F52" s="21">
        <v>3</v>
      </c>
      <c r="G52" s="21">
        <v>1</v>
      </c>
    </row>
    <row r="53" spans="2:7" x14ac:dyDescent="0.25">
      <c r="B53" s="21">
        <v>1</v>
      </c>
      <c r="C53" s="19" t="s">
        <v>178</v>
      </c>
      <c r="D53" s="16">
        <v>1108.3</v>
      </c>
      <c r="E53" s="20">
        <f t="shared" si="1"/>
        <v>1108.3</v>
      </c>
      <c r="F53" s="21"/>
      <c r="G53" s="21">
        <v>1</v>
      </c>
    </row>
    <row r="54" spans="2:7" x14ac:dyDescent="0.25">
      <c r="B54" s="21">
        <f>1+2</f>
        <v>3</v>
      </c>
      <c r="C54" s="19" t="s">
        <v>179</v>
      </c>
      <c r="D54" s="16">
        <v>1108.25</v>
      </c>
      <c r="E54" s="20">
        <f t="shared" si="1"/>
        <v>3324.75</v>
      </c>
      <c r="F54" s="21">
        <f>1+1</f>
        <v>2</v>
      </c>
      <c r="G54" s="21">
        <v>1</v>
      </c>
    </row>
    <row r="55" spans="2:7" x14ac:dyDescent="0.25">
      <c r="B55" s="21">
        <v>1</v>
      </c>
      <c r="C55" s="19" t="s">
        <v>180</v>
      </c>
      <c r="D55" s="16">
        <v>1108.25</v>
      </c>
      <c r="E55" s="20">
        <f t="shared" si="1"/>
        <v>1108.25</v>
      </c>
      <c r="F55" s="21">
        <v>1</v>
      </c>
      <c r="G55" s="21"/>
    </row>
    <row r="56" spans="2:7" x14ac:dyDescent="0.25">
      <c r="B56" s="21">
        <v>1</v>
      </c>
      <c r="C56" s="9" t="s">
        <v>22</v>
      </c>
      <c r="D56" s="31">
        <v>1108.25</v>
      </c>
      <c r="E56" s="20">
        <f t="shared" si="1"/>
        <v>1108.25</v>
      </c>
      <c r="F56" s="21"/>
      <c r="G56" s="21">
        <v>1</v>
      </c>
    </row>
    <row r="57" spans="2:7" x14ac:dyDescent="0.25">
      <c r="B57" s="21">
        <v>1</v>
      </c>
      <c r="C57" s="9" t="s">
        <v>181</v>
      </c>
      <c r="D57" s="16">
        <v>1108.25</v>
      </c>
      <c r="E57" s="20">
        <f t="shared" si="1"/>
        <v>1108.25</v>
      </c>
      <c r="F57" s="21"/>
      <c r="G57" s="21">
        <v>1</v>
      </c>
    </row>
    <row r="58" spans="2:7" x14ac:dyDescent="0.25">
      <c r="B58" s="21">
        <v>1</v>
      </c>
      <c r="C58" s="9" t="s">
        <v>182</v>
      </c>
      <c r="D58" s="31">
        <v>1108.25</v>
      </c>
      <c r="E58" s="20">
        <f t="shared" si="1"/>
        <v>1108.25</v>
      </c>
      <c r="F58" s="21"/>
      <c r="G58" s="21">
        <v>1</v>
      </c>
    </row>
    <row r="59" spans="2:7" x14ac:dyDescent="0.25">
      <c r="B59" s="21">
        <v>1</v>
      </c>
      <c r="C59" s="3" t="s">
        <v>157</v>
      </c>
      <c r="D59" s="16">
        <v>1108.25</v>
      </c>
      <c r="E59" s="20">
        <f>D59*B59</f>
        <v>1108.25</v>
      </c>
      <c r="F59" s="21">
        <v>1</v>
      </c>
      <c r="G59" s="21"/>
    </row>
    <row r="60" spans="2:7" x14ac:dyDescent="0.25">
      <c r="B60" s="21">
        <v>1</v>
      </c>
      <c r="C60" s="9" t="s">
        <v>183</v>
      </c>
      <c r="D60" s="31">
        <v>1108.25</v>
      </c>
      <c r="E60" s="20">
        <f t="shared" si="1"/>
        <v>1108.25</v>
      </c>
      <c r="F60" s="21"/>
      <c r="G60" s="21">
        <v>1</v>
      </c>
    </row>
    <row r="61" spans="2:7" x14ac:dyDescent="0.25">
      <c r="B61" s="23">
        <v>1</v>
      </c>
      <c r="C61" s="9" t="s">
        <v>184</v>
      </c>
      <c r="D61" s="16">
        <v>1108.25</v>
      </c>
      <c r="E61" s="20">
        <f t="shared" si="1"/>
        <v>1108.25</v>
      </c>
      <c r="F61" s="23"/>
      <c r="G61" s="23">
        <v>1</v>
      </c>
    </row>
    <row r="62" spans="2:7" x14ac:dyDescent="0.25">
      <c r="B62" s="23">
        <v>3</v>
      </c>
      <c r="C62" s="9" t="s">
        <v>185</v>
      </c>
      <c r="D62" s="16">
        <v>1108.25</v>
      </c>
      <c r="E62" s="20">
        <f t="shared" si="1"/>
        <v>3324.75</v>
      </c>
      <c r="F62" s="23">
        <v>1</v>
      </c>
      <c r="G62" s="23">
        <v>2</v>
      </c>
    </row>
    <row r="63" spans="2:7" x14ac:dyDescent="0.25">
      <c r="B63" s="23">
        <v>1</v>
      </c>
      <c r="C63" s="9" t="s">
        <v>131</v>
      </c>
      <c r="D63" s="16">
        <v>1060</v>
      </c>
      <c r="E63" s="20">
        <f t="shared" si="1"/>
        <v>1060</v>
      </c>
      <c r="F63" s="23">
        <v>1</v>
      </c>
      <c r="G63" s="23"/>
    </row>
    <row r="64" spans="2:7" x14ac:dyDescent="0.25">
      <c r="B64" s="23">
        <v>1</v>
      </c>
      <c r="C64" s="9" t="s">
        <v>240</v>
      </c>
      <c r="D64" s="16">
        <v>1050</v>
      </c>
      <c r="E64" s="20">
        <f t="shared" si="1"/>
        <v>1050</v>
      </c>
      <c r="F64" s="23">
        <v>1</v>
      </c>
      <c r="G64" s="23"/>
    </row>
    <row r="65" spans="2:7" x14ac:dyDescent="0.25">
      <c r="B65" s="23">
        <v>5</v>
      </c>
      <c r="C65" s="9" t="s">
        <v>206</v>
      </c>
      <c r="D65" s="16">
        <v>1050</v>
      </c>
      <c r="E65" s="20">
        <f>D65*B65</f>
        <v>5250</v>
      </c>
      <c r="F65" s="23">
        <v>2</v>
      </c>
      <c r="G65" s="23">
        <v>3</v>
      </c>
    </row>
    <row r="66" spans="2:7" s="13" customFormat="1" x14ac:dyDescent="0.25">
      <c r="B66" s="48"/>
      <c r="C66" s="49"/>
      <c r="D66" s="56"/>
      <c r="E66" s="57"/>
      <c r="F66" s="48"/>
      <c r="G66" s="48"/>
    </row>
    <row r="67" spans="2:7" s="13" customFormat="1" x14ac:dyDescent="0.25">
      <c r="B67" s="48"/>
      <c r="C67" s="49"/>
      <c r="D67" s="56"/>
      <c r="E67" s="57"/>
      <c r="F67" s="48"/>
      <c r="G67" s="48"/>
    </row>
    <row r="68" spans="2:7" s="13" customFormat="1" x14ac:dyDescent="0.25">
      <c r="B68" s="48"/>
      <c r="C68" s="49"/>
      <c r="D68" s="56"/>
      <c r="E68" s="57"/>
      <c r="F68" s="48"/>
      <c r="G68" s="48"/>
    </row>
    <row r="69" spans="2:7" s="13" customFormat="1" x14ac:dyDescent="0.25">
      <c r="B69" s="48"/>
      <c r="C69" s="49"/>
      <c r="D69" s="56"/>
      <c r="E69" s="57"/>
      <c r="F69" s="48"/>
      <c r="G69" s="48"/>
    </row>
    <row r="70" spans="2:7" s="13" customFormat="1" x14ac:dyDescent="0.25">
      <c r="B70" s="48"/>
      <c r="C70" s="49"/>
      <c r="D70" s="56"/>
      <c r="E70" s="57"/>
      <c r="F70" s="48"/>
      <c r="G70" s="48"/>
    </row>
    <row r="71" spans="2:7" s="13" customFormat="1" x14ac:dyDescent="0.25">
      <c r="B71" s="48"/>
      <c r="C71" s="49"/>
      <c r="D71" s="56"/>
      <c r="E71" s="57"/>
      <c r="F71" s="48"/>
      <c r="G71" s="48"/>
    </row>
    <row r="72" spans="2:7" x14ac:dyDescent="0.25">
      <c r="B72" s="23">
        <v>1</v>
      </c>
      <c r="C72" s="9" t="s">
        <v>183</v>
      </c>
      <c r="D72" s="16">
        <v>1007</v>
      </c>
      <c r="E72" s="20">
        <f t="shared" si="1"/>
        <v>1007</v>
      </c>
      <c r="F72" s="23">
        <v>1</v>
      </c>
      <c r="G72" s="23"/>
    </row>
    <row r="73" spans="2:7" x14ac:dyDescent="0.25">
      <c r="B73" s="23">
        <v>1</v>
      </c>
      <c r="C73" s="9" t="s">
        <v>23</v>
      </c>
      <c r="D73" s="16">
        <v>989.45</v>
      </c>
      <c r="E73" s="20">
        <f t="shared" si="1"/>
        <v>989.45</v>
      </c>
      <c r="F73" s="23">
        <v>1</v>
      </c>
      <c r="G73" s="23"/>
    </row>
    <row r="74" spans="2:7" x14ac:dyDescent="0.25">
      <c r="B74" s="23">
        <v>1</v>
      </c>
      <c r="C74" s="19" t="s">
        <v>46</v>
      </c>
      <c r="D74" s="16">
        <v>970</v>
      </c>
      <c r="E74" s="20">
        <f t="shared" si="1"/>
        <v>970</v>
      </c>
      <c r="F74" s="23">
        <v>1</v>
      </c>
      <c r="G74" s="23"/>
    </row>
    <row r="75" spans="2:7" x14ac:dyDescent="0.25">
      <c r="B75" s="23">
        <v>1</v>
      </c>
      <c r="C75" s="19" t="s">
        <v>92</v>
      </c>
      <c r="D75" s="16">
        <v>970</v>
      </c>
      <c r="E75" s="20">
        <f t="shared" si="1"/>
        <v>970</v>
      </c>
      <c r="F75" s="23">
        <v>1</v>
      </c>
      <c r="G75" s="23"/>
    </row>
    <row r="76" spans="2:7" x14ac:dyDescent="0.25">
      <c r="B76" s="23">
        <v>1</v>
      </c>
      <c r="C76" s="19" t="s">
        <v>93</v>
      </c>
      <c r="D76" s="16">
        <v>970</v>
      </c>
      <c r="E76" s="20">
        <f t="shared" si="1"/>
        <v>970</v>
      </c>
      <c r="F76" s="23">
        <v>1</v>
      </c>
      <c r="G76" s="23"/>
    </row>
    <row r="77" spans="2:7" x14ac:dyDescent="0.25">
      <c r="B77" s="23">
        <v>1</v>
      </c>
      <c r="C77" s="19" t="s">
        <v>186</v>
      </c>
      <c r="D77" s="16">
        <v>970</v>
      </c>
      <c r="E77" s="20">
        <f t="shared" si="1"/>
        <v>970</v>
      </c>
      <c r="F77" s="23">
        <v>1</v>
      </c>
      <c r="G77" s="23"/>
    </row>
    <row r="78" spans="2:7" x14ac:dyDescent="0.25">
      <c r="B78" s="23">
        <v>1</v>
      </c>
      <c r="C78" s="9" t="s">
        <v>187</v>
      </c>
      <c r="D78" s="16">
        <v>970</v>
      </c>
      <c r="E78" s="20">
        <f t="shared" si="1"/>
        <v>970</v>
      </c>
      <c r="F78" s="23"/>
      <c r="G78" s="23">
        <v>1</v>
      </c>
    </row>
    <row r="79" spans="2:7" ht="24.75" x14ac:dyDescent="0.25">
      <c r="B79" s="23">
        <v>1</v>
      </c>
      <c r="C79" s="34" t="s">
        <v>154</v>
      </c>
      <c r="D79" s="16">
        <v>970</v>
      </c>
      <c r="E79" s="20">
        <f t="shared" si="1"/>
        <v>970</v>
      </c>
      <c r="F79" s="23">
        <v>1</v>
      </c>
      <c r="G79" s="23"/>
    </row>
    <row r="80" spans="2:7" x14ac:dyDescent="0.25">
      <c r="B80" s="21">
        <v>1</v>
      </c>
      <c r="C80" s="19" t="s">
        <v>94</v>
      </c>
      <c r="D80" s="16">
        <v>970</v>
      </c>
      <c r="E80" s="20">
        <f t="shared" si="1"/>
        <v>970</v>
      </c>
      <c r="F80" s="21">
        <v>1</v>
      </c>
      <c r="G80" s="21"/>
    </row>
    <row r="81" spans="2:7" x14ac:dyDescent="0.25">
      <c r="B81" s="21">
        <v>1</v>
      </c>
      <c r="C81" s="9" t="s">
        <v>96</v>
      </c>
      <c r="D81" s="16">
        <v>970</v>
      </c>
      <c r="E81" s="20">
        <f t="shared" si="1"/>
        <v>970</v>
      </c>
      <c r="F81" s="21">
        <v>1</v>
      </c>
      <c r="G81" s="21"/>
    </row>
    <row r="82" spans="2:7" x14ac:dyDescent="0.25">
      <c r="B82" s="21">
        <v>1</v>
      </c>
      <c r="C82" s="19" t="s">
        <v>104</v>
      </c>
      <c r="D82" s="16">
        <v>970</v>
      </c>
      <c r="E82" s="20">
        <f t="shared" si="1"/>
        <v>970</v>
      </c>
      <c r="F82" s="21"/>
      <c r="G82" s="21">
        <v>1</v>
      </c>
    </row>
    <row r="83" spans="2:7" x14ac:dyDescent="0.25">
      <c r="B83" s="21">
        <v>1</v>
      </c>
      <c r="C83" s="19" t="s">
        <v>105</v>
      </c>
      <c r="D83" s="16">
        <v>970</v>
      </c>
      <c r="E83" s="20">
        <f t="shared" si="1"/>
        <v>970</v>
      </c>
      <c r="F83" s="21">
        <v>1</v>
      </c>
      <c r="G83" s="21"/>
    </row>
    <row r="84" spans="2:7" x14ac:dyDescent="0.25">
      <c r="B84" s="21">
        <v>1</v>
      </c>
      <c r="C84" s="19" t="s">
        <v>106</v>
      </c>
      <c r="D84" s="16">
        <v>970</v>
      </c>
      <c r="E84" s="20">
        <f t="shared" si="1"/>
        <v>970</v>
      </c>
      <c r="F84" s="21"/>
      <c r="G84" s="21">
        <v>1</v>
      </c>
    </row>
    <row r="85" spans="2:7" x14ac:dyDescent="0.25">
      <c r="B85" s="21">
        <v>1</v>
      </c>
      <c r="C85" s="19" t="s">
        <v>66</v>
      </c>
      <c r="D85" s="16">
        <v>970</v>
      </c>
      <c r="E85" s="20">
        <f t="shared" si="1"/>
        <v>970</v>
      </c>
      <c r="F85" s="21">
        <v>1</v>
      </c>
      <c r="G85" s="21"/>
    </row>
    <row r="86" spans="2:7" x14ac:dyDescent="0.25">
      <c r="B86" s="21">
        <v>1</v>
      </c>
      <c r="C86" s="19" t="s">
        <v>109</v>
      </c>
      <c r="D86" s="16">
        <v>970</v>
      </c>
      <c r="E86" s="20">
        <f t="shared" ref="E86:E135" si="2">D86*B86</f>
        <v>970</v>
      </c>
      <c r="F86" s="21">
        <v>1</v>
      </c>
      <c r="G86" s="21"/>
    </row>
    <row r="87" spans="2:7" x14ac:dyDescent="0.25">
      <c r="B87" s="21">
        <v>2</v>
      </c>
      <c r="C87" s="19" t="s">
        <v>153</v>
      </c>
      <c r="D87" s="16">
        <v>970</v>
      </c>
      <c r="E87" s="20">
        <f>D87*B87</f>
        <v>1940</v>
      </c>
      <c r="F87" s="21">
        <v>2</v>
      </c>
      <c r="G87" s="21"/>
    </row>
    <row r="88" spans="2:7" x14ac:dyDescent="0.25">
      <c r="B88" s="21">
        <v>1</v>
      </c>
      <c r="C88" s="19" t="s">
        <v>115</v>
      </c>
      <c r="D88" s="16">
        <v>970</v>
      </c>
      <c r="E88" s="20">
        <f t="shared" si="2"/>
        <v>970</v>
      </c>
      <c r="F88" s="21"/>
      <c r="G88" s="21">
        <v>1</v>
      </c>
    </row>
    <row r="89" spans="2:7" x14ac:dyDescent="0.25">
      <c r="B89" s="21">
        <v>1</v>
      </c>
      <c r="C89" s="19" t="s">
        <v>116</v>
      </c>
      <c r="D89" s="16">
        <v>970</v>
      </c>
      <c r="E89" s="20">
        <f t="shared" si="2"/>
        <v>970</v>
      </c>
      <c r="F89" s="21">
        <v>1</v>
      </c>
      <c r="G89" s="21"/>
    </row>
    <row r="90" spans="2:7" x14ac:dyDescent="0.25">
      <c r="B90" s="21">
        <v>1</v>
      </c>
      <c r="C90" s="19" t="s">
        <v>117</v>
      </c>
      <c r="D90" s="16">
        <v>970</v>
      </c>
      <c r="E90" s="20">
        <f t="shared" si="2"/>
        <v>970</v>
      </c>
      <c r="F90" s="21">
        <v>1</v>
      </c>
      <c r="G90" s="21"/>
    </row>
    <row r="91" spans="2:7" x14ac:dyDescent="0.25">
      <c r="B91" s="21">
        <v>1</v>
      </c>
      <c r="C91" s="19" t="s">
        <v>118</v>
      </c>
      <c r="D91" s="16">
        <v>970</v>
      </c>
      <c r="E91" s="20">
        <f t="shared" si="2"/>
        <v>970</v>
      </c>
      <c r="F91" s="21"/>
      <c r="G91" s="21">
        <v>1</v>
      </c>
    </row>
    <row r="92" spans="2:7" x14ac:dyDescent="0.25">
      <c r="B92" s="21">
        <v>1</v>
      </c>
      <c r="C92" s="32" t="s">
        <v>81</v>
      </c>
      <c r="D92" s="16">
        <v>970</v>
      </c>
      <c r="E92" s="20">
        <f t="shared" si="2"/>
        <v>970</v>
      </c>
      <c r="F92" s="21">
        <v>1</v>
      </c>
      <c r="G92" s="21"/>
    </row>
    <row r="93" spans="2:7" x14ac:dyDescent="0.25">
      <c r="B93" s="21">
        <f>1+1</f>
        <v>2</v>
      </c>
      <c r="C93" s="19" t="s">
        <v>17</v>
      </c>
      <c r="D93" s="16">
        <v>970</v>
      </c>
      <c r="E93" s="20">
        <f t="shared" si="2"/>
        <v>1940</v>
      </c>
      <c r="F93" s="21">
        <f>1+1</f>
        <v>2</v>
      </c>
      <c r="G93" s="21"/>
    </row>
    <row r="94" spans="2:7" x14ac:dyDescent="0.25">
      <c r="B94" s="21">
        <v>1</v>
      </c>
      <c r="C94" s="19" t="s">
        <v>189</v>
      </c>
      <c r="D94" s="16">
        <v>970</v>
      </c>
      <c r="E94" s="20">
        <f t="shared" si="2"/>
        <v>970</v>
      </c>
      <c r="F94" s="21">
        <v>1</v>
      </c>
      <c r="G94" s="21"/>
    </row>
    <row r="95" spans="2:7" x14ac:dyDescent="0.25">
      <c r="B95" s="21">
        <v>1</v>
      </c>
      <c r="C95" s="19" t="s">
        <v>145</v>
      </c>
      <c r="D95" s="16">
        <v>970</v>
      </c>
      <c r="E95" s="20">
        <f t="shared" si="2"/>
        <v>970</v>
      </c>
      <c r="F95" s="21">
        <v>1</v>
      </c>
      <c r="G95" s="21"/>
    </row>
    <row r="96" spans="2:7" x14ac:dyDescent="0.25">
      <c r="B96" s="21">
        <f>2+1</f>
        <v>3</v>
      </c>
      <c r="C96" s="19" t="s">
        <v>149</v>
      </c>
      <c r="D96" s="16">
        <v>970</v>
      </c>
      <c r="E96" s="20">
        <f t="shared" si="2"/>
        <v>2910</v>
      </c>
      <c r="F96" s="21">
        <f>1+1</f>
        <v>2</v>
      </c>
      <c r="G96" s="21">
        <v>1</v>
      </c>
    </row>
    <row r="97" spans="2:7" x14ac:dyDescent="0.25">
      <c r="B97" s="21">
        <v>1</v>
      </c>
      <c r="C97" s="19" t="s">
        <v>249</v>
      </c>
      <c r="D97" s="16">
        <v>970</v>
      </c>
      <c r="E97" s="20">
        <f t="shared" si="2"/>
        <v>970</v>
      </c>
      <c r="F97" s="21"/>
      <c r="G97" s="21">
        <v>1</v>
      </c>
    </row>
    <row r="98" spans="2:7" x14ac:dyDescent="0.25">
      <c r="B98" s="21">
        <v>6</v>
      </c>
      <c r="C98" s="19" t="s">
        <v>110</v>
      </c>
      <c r="D98" s="16">
        <v>970</v>
      </c>
      <c r="E98" s="20">
        <f>D98*B98</f>
        <v>5820</v>
      </c>
      <c r="F98" s="21">
        <v>5</v>
      </c>
      <c r="G98" s="21">
        <v>1</v>
      </c>
    </row>
    <row r="99" spans="2:7" x14ac:dyDescent="0.25">
      <c r="B99" s="21">
        <v>1</v>
      </c>
      <c r="C99" s="19" t="s">
        <v>175</v>
      </c>
      <c r="D99" s="16">
        <v>970</v>
      </c>
      <c r="E99" s="20">
        <f>D99*B99</f>
        <v>970</v>
      </c>
      <c r="F99" s="21"/>
      <c r="G99" s="21">
        <v>1</v>
      </c>
    </row>
    <row r="100" spans="2:7" x14ac:dyDescent="0.25">
      <c r="B100" s="21">
        <v>1</v>
      </c>
      <c r="C100" s="19" t="s">
        <v>176</v>
      </c>
      <c r="D100" s="16">
        <v>970</v>
      </c>
      <c r="E100" s="20">
        <f>D100*B100</f>
        <v>970</v>
      </c>
      <c r="F100" s="21">
        <v>1</v>
      </c>
      <c r="G100" s="21"/>
    </row>
    <row r="101" spans="2:7" x14ac:dyDescent="0.25">
      <c r="B101" s="21">
        <v>4</v>
      </c>
      <c r="C101" s="19" t="s">
        <v>192</v>
      </c>
      <c r="D101" s="16">
        <v>970</v>
      </c>
      <c r="E101" s="20">
        <f t="shared" ref="E101:E117" si="3">D101*B101</f>
        <v>3880</v>
      </c>
      <c r="F101" s="21">
        <v>3</v>
      </c>
      <c r="G101" s="21">
        <v>1</v>
      </c>
    </row>
    <row r="102" spans="2:7" x14ac:dyDescent="0.25">
      <c r="B102" s="21">
        <f>20+12+1</f>
        <v>33</v>
      </c>
      <c r="C102" s="9" t="s">
        <v>143</v>
      </c>
      <c r="D102" s="16">
        <v>970</v>
      </c>
      <c r="E102" s="20">
        <f t="shared" si="3"/>
        <v>32010</v>
      </c>
      <c r="F102" s="21">
        <f>5+5+1</f>
        <v>11</v>
      </c>
      <c r="G102" s="21">
        <f>15+7</f>
        <v>22</v>
      </c>
    </row>
    <row r="103" spans="2:7" x14ac:dyDescent="0.25">
      <c r="B103" s="21">
        <f>20+10</f>
        <v>30</v>
      </c>
      <c r="C103" s="9" t="s">
        <v>203</v>
      </c>
      <c r="D103" s="31">
        <v>970</v>
      </c>
      <c r="E103" s="20">
        <f t="shared" si="3"/>
        <v>29100</v>
      </c>
      <c r="F103" s="21">
        <f>6+3</f>
        <v>9</v>
      </c>
      <c r="G103" s="21">
        <f>14+7</f>
        <v>21</v>
      </c>
    </row>
    <row r="104" spans="2:7" x14ac:dyDescent="0.25">
      <c r="B104" s="21">
        <v>1</v>
      </c>
      <c r="C104" s="9" t="s">
        <v>194</v>
      </c>
      <c r="D104" s="31">
        <v>970</v>
      </c>
      <c r="E104" s="20">
        <f t="shared" si="3"/>
        <v>970</v>
      </c>
      <c r="F104" s="21">
        <v>1</v>
      </c>
      <c r="G104" s="21"/>
    </row>
    <row r="105" spans="2:7" x14ac:dyDescent="0.25">
      <c r="B105" s="21">
        <f>122+60</f>
        <v>182</v>
      </c>
      <c r="C105" s="19" t="s">
        <v>70</v>
      </c>
      <c r="D105" s="31">
        <v>970</v>
      </c>
      <c r="E105" s="20">
        <f t="shared" si="3"/>
        <v>176540</v>
      </c>
      <c r="F105" s="21">
        <f>61+32</f>
        <v>93</v>
      </c>
      <c r="G105" s="21">
        <f>61+28</f>
        <v>89</v>
      </c>
    </row>
    <row r="106" spans="2:7" x14ac:dyDescent="0.25">
      <c r="B106" s="24">
        <f>55+23+5</f>
        <v>83</v>
      </c>
      <c r="C106" s="19" t="s">
        <v>204</v>
      </c>
      <c r="D106" s="16">
        <v>970</v>
      </c>
      <c r="E106" s="20">
        <f t="shared" si="3"/>
        <v>80510</v>
      </c>
      <c r="F106" s="21">
        <f>26+9</f>
        <v>35</v>
      </c>
      <c r="G106" s="21">
        <f>29+14+5</f>
        <v>48</v>
      </c>
    </row>
    <row r="107" spans="2:7" x14ac:dyDescent="0.25">
      <c r="B107" s="24">
        <f>10+8</f>
        <v>18</v>
      </c>
      <c r="C107" s="19" t="s">
        <v>205</v>
      </c>
      <c r="D107" s="16">
        <v>970</v>
      </c>
      <c r="E107" s="20">
        <f t="shared" si="3"/>
        <v>17460</v>
      </c>
      <c r="F107" s="21">
        <f>4+3</f>
        <v>7</v>
      </c>
      <c r="G107" s="21">
        <f>6+5</f>
        <v>11</v>
      </c>
    </row>
    <row r="108" spans="2:7" x14ac:dyDescent="0.25">
      <c r="B108" s="21">
        <f>6+3+10</f>
        <v>19</v>
      </c>
      <c r="C108" s="9" t="s">
        <v>79</v>
      </c>
      <c r="D108" s="16">
        <v>970</v>
      </c>
      <c r="E108" s="20">
        <f t="shared" si="3"/>
        <v>18430</v>
      </c>
      <c r="F108" s="21">
        <f>4+2+9</f>
        <v>15</v>
      </c>
      <c r="G108" s="21">
        <f>2+1+1</f>
        <v>4</v>
      </c>
    </row>
    <row r="109" spans="2:7" x14ac:dyDescent="0.25">
      <c r="B109" s="21">
        <f>5+3+22</f>
        <v>30</v>
      </c>
      <c r="C109" s="9" t="s">
        <v>80</v>
      </c>
      <c r="D109" s="31">
        <v>970</v>
      </c>
      <c r="E109" s="20">
        <f t="shared" si="3"/>
        <v>29100</v>
      </c>
      <c r="F109" s="24">
        <f>3+3+11</f>
        <v>17</v>
      </c>
      <c r="G109" s="24">
        <f>2+11</f>
        <v>13</v>
      </c>
    </row>
    <row r="110" spans="2:7" x14ac:dyDescent="0.25">
      <c r="B110" s="21">
        <v>3</v>
      </c>
      <c r="C110" s="9" t="s">
        <v>86</v>
      </c>
      <c r="D110" s="31">
        <v>970</v>
      </c>
      <c r="E110" s="20">
        <f t="shared" si="3"/>
        <v>2910</v>
      </c>
      <c r="F110" s="21">
        <v>2</v>
      </c>
      <c r="G110" s="21">
        <v>1</v>
      </c>
    </row>
    <row r="111" spans="2:7" x14ac:dyDescent="0.25">
      <c r="B111" s="21">
        <v>1</v>
      </c>
      <c r="C111" s="9" t="s">
        <v>202</v>
      </c>
      <c r="D111" s="16">
        <v>970</v>
      </c>
      <c r="E111" s="20">
        <f t="shared" si="3"/>
        <v>970</v>
      </c>
      <c r="F111" s="21"/>
      <c r="G111" s="21">
        <v>1</v>
      </c>
    </row>
    <row r="112" spans="2:7" x14ac:dyDescent="0.25">
      <c r="B112" s="21">
        <f>1+2+1</f>
        <v>4</v>
      </c>
      <c r="C112" s="9" t="s">
        <v>215</v>
      </c>
      <c r="D112" s="16">
        <v>970</v>
      </c>
      <c r="E112" s="20">
        <f t="shared" si="3"/>
        <v>3880</v>
      </c>
      <c r="F112" s="21">
        <f>1+1+1</f>
        <v>3</v>
      </c>
      <c r="G112" s="21">
        <v>1</v>
      </c>
    </row>
    <row r="113" spans="2:7" x14ac:dyDescent="0.25">
      <c r="B113" s="22">
        <f>13+3</f>
        <v>16</v>
      </c>
      <c r="C113" s="19" t="s">
        <v>212</v>
      </c>
      <c r="D113" s="16">
        <v>970</v>
      </c>
      <c r="E113" s="20">
        <f t="shared" si="3"/>
        <v>15520</v>
      </c>
      <c r="F113" s="21">
        <f>9+1</f>
        <v>10</v>
      </c>
      <c r="G113" s="21">
        <f>4+2</f>
        <v>6</v>
      </c>
    </row>
    <row r="114" spans="2:7" x14ac:dyDescent="0.25">
      <c r="B114" s="22">
        <v>1</v>
      </c>
      <c r="C114" s="9" t="s">
        <v>251</v>
      </c>
      <c r="D114" s="31">
        <v>970</v>
      </c>
      <c r="E114" s="20">
        <f t="shared" si="3"/>
        <v>970</v>
      </c>
      <c r="F114" s="21">
        <v>1</v>
      </c>
      <c r="G114" s="21"/>
    </row>
    <row r="115" spans="2:7" x14ac:dyDescent="0.25">
      <c r="B115" s="22">
        <v>1</v>
      </c>
      <c r="C115" s="19" t="s">
        <v>217</v>
      </c>
      <c r="D115" s="16">
        <v>970</v>
      </c>
      <c r="E115" s="20">
        <f t="shared" si="3"/>
        <v>970</v>
      </c>
      <c r="F115" s="21"/>
      <c r="G115" s="21">
        <v>1</v>
      </c>
    </row>
    <row r="116" spans="2:7" x14ac:dyDescent="0.25">
      <c r="B116" s="22">
        <v>1</v>
      </c>
      <c r="C116" s="19" t="s">
        <v>216</v>
      </c>
      <c r="D116" s="16">
        <v>875</v>
      </c>
      <c r="E116" s="20">
        <f t="shared" si="3"/>
        <v>875</v>
      </c>
      <c r="F116" s="21"/>
      <c r="G116" s="21">
        <v>1</v>
      </c>
    </row>
    <row r="117" spans="2:7" x14ac:dyDescent="0.25">
      <c r="B117" s="22">
        <f>2+1+4</f>
        <v>7</v>
      </c>
      <c r="C117" s="9" t="s">
        <v>215</v>
      </c>
      <c r="D117" s="16">
        <v>875</v>
      </c>
      <c r="E117" s="20">
        <f t="shared" si="3"/>
        <v>6125</v>
      </c>
      <c r="F117" s="21">
        <f>2+1+3</f>
        <v>6</v>
      </c>
      <c r="G117" s="21">
        <v>1</v>
      </c>
    </row>
    <row r="118" spans="2:7" x14ac:dyDescent="0.25">
      <c r="B118" s="21">
        <v>1</v>
      </c>
      <c r="C118" s="19" t="s">
        <v>191</v>
      </c>
      <c r="D118" s="16">
        <v>875</v>
      </c>
      <c r="E118" s="20">
        <f t="shared" si="2"/>
        <v>875</v>
      </c>
      <c r="F118" s="21"/>
      <c r="G118" s="21">
        <v>1</v>
      </c>
    </row>
    <row r="119" spans="2:7" x14ac:dyDescent="0.25">
      <c r="B119" s="21">
        <v>1</v>
      </c>
      <c r="C119" s="19" t="s">
        <v>236</v>
      </c>
      <c r="D119" s="16">
        <v>875</v>
      </c>
      <c r="E119" s="20">
        <f>D119*B119</f>
        <v>875</v>
      </c>
      <c r="F119" s="21"/>
      <c r="G119" s="21">
        <v>1</v>
      </c>
    </row>
    <row r="120" spans="2:7" x14ac:dyDescent="0.25">
      <c r="B120" s="43">
        <f>5+3+2+1</f>
        <v>11</v>
      </c>
      <c r="C120" s="9" t="s">
        <v>257</v>
      </c>
      <c r="D120" s="16">
        <v>875</v>
      </c>
      <c r="E120" s="44">
        <f>D120*B120</f>
        <v>9625</v>
      </c>
      <c r="F120" s="21">
        <f>2+2+1</f>
        <v>5</v>
      </c>
      <c r="G120" s="21">
        <f>3+1+2</f>
        <v>6</v>
      </c>
    </row>
    <row r="121" spans="2:7" x14ac:dyDescent="0.25">
      <c r="B121" s="21">
        <v>4</v>
      </c>
      <c r="C121" s="9" t="s">
        <v>49</v>
      </c>
      <c r="D121" s="16">
        <v>875</v>
      </c>
      <c r="E121" s="20">
        <f t="shared" si="2"/>
        <v>3500</v>
      </c>
      <c r="F121" s="21">
        <v>1</v>
      </c>
      <c r="G121" s="21">
        <v>3</v>
      </c>
    </row>
    <row r="122" spans="2:7" x14ac:dyDescent="0.25">
      <c r="B122" s="21">
        <v>3</v>
      </c>
      <c r="C122" s="9" t="s">
        <v>195</v>
      </c>
      <c r="D122" s="16">
        <v>875</v>
      </c>
      <c r="E122" s="20">
        <f t="shared" si="2"/>
        <v>2625</v>
      </c>
      <c r="F122" s="21">
        <v>1</v>
      </c>
      <c r="G122" s="21">
        <v>2</v>
      </c>
    </row>
    <row r="123" spans="2:7" x14ac:dyDescent="0.25">
      <c r="B123" s="21">
        <v>1</v>
      </c>
      <c r="C123" s="9" t="s">
        <v>134</v>
      </c>
      <c r="D123" s="16">
        <v>875</v>
      </c>
      <c r="E123" s="20">
        <f t="shared" si="2"/>
        <v>875</v>
      </c>
      <c r="F123" s="21">
        <v>1</v>
      </c>
      <c r="G123" s="21"/>
    </row>
    <row r="124" spans="2:7" x14ac:dyDescent="0.25">
      <c r="B124" s="21">
        <v>5</v>
      </c>
      <c r="C124" s="9" t="s">
        <v>196</v>
      </c>
      <c r="D124" s="11">
        <v>875</v>
      </c>
      <c r="E124" s="20">
        <f t="shared" si="2"/>
        <v>4375</v>
      </c>
      <c r="F124" s="21">
        <v>1</v>
      </c>
      <c r="G124" s="21">
        <v>4</v>
      </c>
    </row>
    <row r="125" spans="2:7" x14ac:dyDescent="0.25">
      <c r="B125" s="21">
        <v>6</v>
      </c>
      <c r="C125" s="9" t="s">
        <v>31</v>
      </c>
      <c r="D125" s="16">
        <v>875</v>
      </c>
      <c r="E125" s="20">
        <f t="shared" si="2"/>
        <v>5250</v>
      </c>
      <c r="F125" s="21">
        <v>3</v>
      </c>
      <c r="G125" s="21">
        <v>3</v>
      </c>
    </row>
    <row r="126" spans="2:7" x14ac:dyDescent="0.25">
      <c r="B126" s="21">
        <v>1</v>
      </c>
      <c r="C126" s="9" t="s">
        <v>197</v>
      </c>
      <c r="D126" s="16">
        <v>875</v>
      </c>
      <c r="E126" s="20">
        <f t="shared" si="2"/>
        <v>875</v>
      </c>
      <c r="F126" s="21"/>
      <c r="G126" s="21">
        <v>1</v>
      </c>
    </row>
    <row r="127" spans="2:7" x14ac:dyDescent="0.25">
      <c r="B127" s="21">
        <v>2</v>
      </c>
      <c r="C127" s="9" t="s">
        <v>52</v>
      </c>
      <c r="D127" s="16">
        <v>875</v>
      </c>
      <c r="E127" s="20">
        <f t="shared" si="2"/>
        <v>1750</v>
      </c>
      <c r="F127" s="21"/>
      <c r="G127" s="21">
        <v>2</v>
      </c>
    </row>
    <row r="128" spans="2:7" x14ac:dyDescent="0.25">
      <c r="B128" s="21">
        <v>7</v>
      </c>
      <c r="C128" s="9" t="s">
        <v>89</v>
      </c>
      <c r="D128" s="16">
        <v>875</v>
      </c>
      <c r="E128" s="20">
        <f t="shared" si="2"/>
        <v>6125</v>
      </c>
      <c r="F128" s="21">
        <v>3</v>
      </c>
      <c r="G128" s="21">
        <v>4</v>
      </c>
    </row>
    <row r="129" spans="2:7" x14ac:dyDescent="0.25">
      <c r="B129" s="21">
        <v>1</v>
      </c>
      <c r="C129" s="9" t="s">
        <v>97</v>
      </c>
      <c r="D129" s="16">
        <v>875</v>
      </c>
      <c r="E129" s="20">
        <f t="shared" si="2"/>
        <v>875</v>
      </c>
      <c r="F129" s="21"/>
      <c r="G129" s="21">
        <v>1</v>
      </c>
    </row>
    <row r="130" spans="2:7" x14ac:dyDescent="0.25">
      <c r="B130" s="21">
        <v>2</v>
      </c>
      <c r="C130" s="9" t="s">
        <v>98</v>
      </c>
      <c r="D130" s="16">
        <v>875</v>
      </c>
      <c r="E130" s="20">
        <f t="shared" si="2"/>
        <v>1750</v>
      </c>
      <c r="F130" s="21">
        <v>1</v>
      </c>
      <c r="G130" s="21">
        <v>1</v>
      </c>
    </row>
    <row r="131" spans="2:7" x14ac:dyDescent="0.25">
      <c r="B131" s="21">
        <v>4</v>
      </c>
      <c r="C131" s="19" t="s">
        <v>99</v>
      </c>
      <c r="D131" s="16">
        <v>875</v>
      </c>
      <c r="E131" s="20">
        <f t="shared" si="2"/>
        <v>3500</v>
      </c>
      <c r="F131" s="21">
        <v>2</v>
      </c>
      <c r="G131" s="21">
        <v>2</v>
      </c>
    </row>
    <row r="132" spans="2:7" x14ac:dyDescent="0.25">
      <c r="B132" s="23">
        <v>2</v>
      </c>
      <c r="C132" s="19" t="s">
        <v>200</v>
      </c>
      <c r="D132" s="16">
        <v>875</v>
      </c>
      <c r="E132" s="20">
        <f t="shared" si="2"/>
        <v>1750</v>
      </c>
      <c r="F132" s="23">
        <v>1</v>
      </c>
      <c r="G132" s="23">
        <v>1</v>
      </c>
    </row>
    <row r="133" spans="2:7" x14ac:dyDescent="0.25">
      <c r="B133" s="23">
        <v>1</v>
      </c>
      <c r="C133" s="9" t="s">
        <v>162</v>
      </c>
      <c r="D133" s="16">
        <v>875</v>
      </c>
      <c r="E133" s="20">
        <f t="shared" si="2"/>
        <v>875</v>
      </c>
      <c r="F133" s="23">
        <v>1</v>
      </c>
      <c r="G133" s="23"/>
    </row>
    <row r="134" spans="2:7" x14ac:dyDescent="0.25">
      <c r="B134" s="22">
        <v>1</v>
      </c>
      <c r="C134" s="9" t="s">
        <v>250</v>
      </c>
      <c r="D134" s="16">
        <v>875</v>
      </c>
      <c r="E134" s="20">
        <f t="shared" si="2"/>
        <v>875</v>
      </c>
      <c r="F134" s="23">
        <v>1</v>
      </c>
      <c r="G134" s="23"/>
    </row>
    <row r="135" spans="2:7" x14ac:dyDescent="0.25">
      <c r="B135" s="22">
        <v>4</v>
      </c>
      <c r="C135" s="9" t="s">
        <v>201</v>
      </c>
      <c r="D135" s="16">
        <v>875</v>
      </c>
      <c r="E135" s="20">
        <f t="shared" si="2"/>
        <v>3500</v>
      </c>
      <c r="F135" s="23">
        <v>3</v>
      </c>
      <c r="G135" s="23">
        <v>1</v>
      </c>
    </row>
    <row r="136" spans="2:7" x14ac:dyDescent="0.25">
      <c r="B136" s="23">
        <v>1</v>
      </c>
      <c r="C136" s="19" t="s">
        <v>261</v>
      </c>
      <c r="D136" s="16">
        <v>875</v>
      </c>
      <c r="E136" s="20">
        <f>D136*B136</f>
        <v>875</v>
      </c>
      <c r="F136" s="23"/>
      <c r="G136" s="23">
        <v>1</v>
      </c>
    </row>
    <row r="137" spans="2:7" s="13" customFormat="1" x14ac:dyDescent="0.25">
      <c r="B137" s="48"/>
      <c r="C137" s="55"/>
      <c r="D137" s="56"/>
      <c r="E137" s="57"/>
      <c r="F137" s="48"/>
      <c r="G137" s="48"/>
    </row>
    <row r="138" spans="2:7" s="13" customFormat="1" x14ac:dyDescent="0.25">
      <c r="B138" s="48"/>
      <c r="C138" s="55"/>
      <c r="D138" s="56"/>
      <c r="E138" s="57"/>
      <c r="F138" s="48"/>
      <c r="G138" s="48"/>
    </row>
    <row r="139" spans="2:7" s="13" customFormat="1" x14ac:dyDescent="0.25">
      <c r="B139" s="48"/>
      <c r="C139" s="55"/>
      <c r="D139" s="56"/>
      <c r="E139" s="57"/>
      <c r="F139" s="48"/>
      <c r="G139" s="48"/>
    </row>
    <row r="140" spans="2:7" s="13" customFormat="1" x14ac:dyDescent="0.25">
      <c r="B140" s="48"/>
      <c r="C140" s="55"/>
      <c r="D140" s="56"/>
      <c r="E140" s="57"/>
      <c r="F140" s="48"/>
      <c r="G140" s="48"/>
    </row>
    <row r="141" spans="2:7" s="13" customFormat="1" x14ac:dyDescent="0.25">
      <c r="B141" s="48"/>
      <c r="C141" s="55"/>
      <c r="D141" s="56"/>
      <c r="E141" s="57"/>
      <c r="F141" s="48"/>
      <c r="G141" s="48"/>
    </row>
    <row r="142" spans="2:7" x14ac:dyDescent="0.25">
      <c r="B142" s="22">
        <v>1</v>
      </c>
      <c r="C142" s="9" t="s">
        <v>206</v>
      </c>
      <c r="D142" s="16">
        <v>875</v>
      </c>
      <c r="E142" s="20">
        <f>D142*B142</f>
        <v>875</v>
      </c>
      <c r="F142" s="23">
        <v>1</v>
      </c>
      <c r="G142" s="23"/>
    </row>
    <row r="143" spans="2:7" x14ac:dyDescent="0.25">
      <c r="B143" s="22">
        <v>1</v>
      </c>
      <c r="C143" s="9" t="s">
        <v>213</v>
      </c>
      <c r="D143" s="16">
        <v>875</v>
      </c>
      <c r="E143" s="20">
        <f t="shared" ref="E143:E151" si="4">D143*B143</f>
        <v>875</v>
      </c>
      <c r="F143" s="23">
        <v>1</v>
      </c>
      <c r="G143" s="23"/>
    </row>
    <row r="144" spans="2:7" x14ac:dyDescent="0.25">
      <c r="B144" s="22">
        <f>1+1</f>
        <v>2</v>
      </c>
      <c r="C144" s="19" t="s">
        <v>214</v>
      </c>
      <c r="D144" s="16">
        <v>875</v>
      </c>
      <c r="E144" s="20">
        <f t="shared" si="4"/>
        <v>1750</v>
      </c>
      <c r="F144" s="23"/>
      <c r="G144" s="23">
        <f>1+1</f>
        <v>2</v>
      </c>
    </row>
    <row r="145" spans="2:7" x14ac:dyDescent="0.25">
      <c r="B145" s="22">
        <f>1+1</f>
        <v>2</v>
      </c>
      <c r="C145" s="19" t="s">
        <v>217</v>
      </c>
      <c r="D145" s="16">
        <v>875</v>
      </c>
      <c r="E145" s="20">
        <f>D145*B145</f>
        <v>1750</v>
      </c>
      <c r="F145" s="23"/>
      <c r="G145" s="23">
        <f>1+1</f>
        <v>2</v>
      </c>
    </row>
    <row r="146" spans="2:7" x14ac:dyDescent="0.25">
      <c r="B146" s="22">
        <v>1</v>
      </c>
      <c r="C146" s="19" t="s">
        <v>219</v>
      </c>
      <c r="D146" s="16">
        <v>875</v>
      </c>
      <c r="E146" s="20">
        <f t="shared" si="4"/>
        <v>875</v>
      </c>
      <c r="F146" s="23"/>
      <c r="G146" s="23">
        <v>1</v>
      </c>
    </row>
    <row r="147" spans="2:7" x14ac:dyDescent="0.25">
      <c r="B147" s="22">
        <v>1</v>
      </c>
      <c r="C147" s="9" t="s">
        <v>220</v>
      </c>
      <c r="D147" s="16">
        <v>875</v>
      </c>
      <c r="E147" s="20">
        <f>D147*B147</f>
        <v>875</v>
      </c>
      <c r="F147" s="23"/>
      <c r="G147" s="23">
        <v>1</v>
      </c>
    </row>
    <row r="148" spans="2:7" x14ac:dyDescent="0.25">
      <c r="B148" s="22">
        <v>1</v>
      </c>
      <c r="C148" s="9" t="s">
        <v>198</v>
      </c>
      <c r="D148" s="16">
        <v>800</v>
      </c>
      <c r="E148" s="20">
        <f>D148*B148</f>
        <v>800</v>
      </c>
      <c r="F148" s="21">
        <v>1</v>
      </c>
      <c r="G148" s="21"/>
    </row>
    <row r="149" spans="2:7" x14ac:dyDescent="0.25">
      <c r="B149" s="21">
        <v>1</v>
      </c>
      <c r="C149" s="19" t="s">
        <v>149</v>
      </c>
      <c r="D149" s="16">
        <v>788.29</v>
      </c>
      <c r="E149" s="20">
        <f>D149*B149</f>
        <v>788.29</v>
      </c>
      <c r="F149" s="21">
        <v>1</v>
      </c>
      <c r="G149" s="21"/>
    </row>
    <row r="150" spans="2:7" x14ac:dyDescent="0.25">
      <c r="B150" s="22">
        <v>1</v>
      </c>
      <c r="C150" s="19" t="s">
        <v>237</v>
      </c>
      <c r="D150" s="16">
        <v>750</v>
      </c>
      <c r="E150" s="20">
        <f>D150*B150</f>
        <v>750</v>
      </c>
      <c r="F150" s="21">
        <v>1</v>
      </c>
      <c r="G150" s="21"/>
    </row>
    <row r="151" spans="2:7" x14ac:dyDescent="0.25">
      <c r="B151" s="22">
        <f>1+1</f>
        <v>2</v>
      </c>
      <c r="C151" s="19" t="s">
        <v>215</v>
      </c>
      <c r="D151" s="16">
        <v>725</v>
      </c>
      <c r="E151" s="20">
        <f t="shared" si="4"/>
        <v>1450</v>
      </c>
      <c r="F151" s="21">
        <f>1+1</f>
        <v>2</v>
      </c>
      <c r="G151" s="21"/>
    </row>
    <row r="152" spans="2:7" x14ac:dyDescent="0.25">
      <c r="B152" s="22">
        <v>1</v>
      </c>
      <c r="C152" s="9" t="s">
        <v>208</v>
      </c>
      <c r="D152" s="16">
        <v>725</v>
      </c>
      <c r="E152" s="20">
        <f>D152*B152</f>
        <v>725</v>
      </c>
      <c r="F152" s="21">
        <v>1</v>
      </c>
      <c r="G152" s="21"/>
    </row>
    <row r="153" spans="2:7" x14ac:dyDescent="0.25">
      <c r="B153" s="22">
        <v>1</v>
      </c>
      <c r="C153" s="19" t="s">
        <v>209</v>
      </c>
      <c r="D153" s="16">
        <v>725</v>
      </c>
      <c r="E153" s="20">
        <f t="shared" ref="E153:E183" si="5">D153*B153</f>
        <v>725</v>
      </c>
      <c r="F153" s="21">
        <v>1</v>
      </c>
      <c r="G153" s="21"/>
    </row>
    <row r="154" spans="2:7" x14ac:dyDescent="0.25">
      <c r="B154" s="22">
        <v>10</v>
      </c>
      <c r="C154" s="19" t="s">
        <v>210</v>
      </c>
      <c r="D154" s="16">
        <v>725</v>
      </c>
      <c r="E154" s="20">
        <f t="shared" si="5"/>
        <v>7250</v>
      </c>
      <c r="F154" s="21">
        <v>10</v>
      </c>
      <c r="G154" s="21"/>
    </row>
    <row r="155" spans="2:7" x14ac:dyDescent="0.25">
      <c r="B155" s="22">
        <v>1</v>
      </c>
      <c r="C155" s="19" t="s">
        <v>218</v>
      </c>
      <c r="D155" s="16">
        <v>725</v>
      </c>
      <c r="E155" s="20">
        <f>D155*B155</f>
        <v>725</v>
      </c>
      <c r="F155" s="21">
        <v>1</v>
      </c>
      <c r="G155" s="21"/>
    </row>
    <row r="156" spans="2:7" x14ac:dyDescent="0.25">
      <c r="B156" s="22">
        <f>2+7+1+1+4+1</f>
        <v>16</v>
      </c>
      <c r="C156" s="19" t="s">
        <v>220</v>
      </c>
      <c r="D156" s="16">
        <v>715.02</v>
      </c>
      <c r="E156" s="20">
        <f>D156*B156</f>
        <v>11440.32</v>
      </c>
      <c r="F156" s="21"/>
      <c r="G156" s="21">
        <f>2+7+1+1+4+1</f>
        <v>16</v>
      </c>
    </row>
    <row r="157" spans="2:7" x14ac:dyDescent="0.25">
      <c r="B157" s="22">
        <v>1</v>
      </c>
      <c r="C157" s="9" t="s">
        <v>199</v>
      </c>
      <c r="D157" s="16">
        <v>715.02</v>
      </c>
      <c r="E157" s="20">
        <f>D157*B157</f>
        <v>715.02</v>
      </c>
      <c r="F157" s="21">
        <v>1</v>
      </c>
      <c r="G157" s="21"/>
    </row>
    <row r="158" spans="2:7" x14ac:dyDescent="0.25">
      <c r="B158" s="22">
        <v>1</v>
      </c>
      <c r="C158" s="9" t="s">
        <v>28</v>
      </c>
      <c r="D158" s="31">
        <v>715.02</v>
      </c>
      <c r="E158" s="20">
        <f>D158*B158</f>
        <v>715.02</v>
      </c>
      <c r="F158" s="21"/>
      <c r="G158" s="21">
        <v>1</v>
      </c>
    </row>
    <row r="159" spans="2:7" x14ac:dyDescent="0.25">
      <c r="B159" s="22">
        <f>2+1+1+1+1+1</f>
        <v>7</v>
      </c>
      <c r="C159" s="19" t="s">
        <v>207</v>
      </c>
      <c r="D159" s="16">
        <v>715.02</v>
      </c>
      <c r="E159" s="20">
        <f>D159*B159</f>
        <v>5005.1399999999994</v>
      </c>
      <c r="F159" s="21"/>
      <c r="G159" s="21">
        <f>2+1+1+1+1+1</f>
        <v>7</v>
      </c>
    </row>
    <row r="160" spans="2:7" x14ac:dyDescent="0.25">
      <c r="B160" s="22">
        <f>1+1+3</f>
        <v>5</v>
      </c>
      <c r="C160" s="19" t="s">
        <v>211</v>
      </c>
      <c r="D160" s="16">
        <v>715.02</v>
      </c>
      <c r="E160" s="20">
        <f t="shared" si="5"/>
        <v>3575.1</v>
      </c>
      <c r="F160" s="21"/>
      <c r="G160" s="21">
        <f>1+1+3</f>
        <v>5</v>
      </c>
    </row>
    <row r="161" spans="2:7" x14ac:dyDescent="0.25">
      <c r="B161" s="22">
        <f>5+5+1+1+1</f>
        <v>13</v>
      </c>
      <c r="C161" s="19" t="s">
        <v>216</v>
      </c>
      <c r="D161" s="16">
        <v>715.02</v>
      </c>
      <c r="E161" s="20">
        <f t="shared" si="5"/>
        <v>9295.26</v>
      </c>
      <c r="F161" s="21"/>
      <c r="G161" s="21">
        <f>5+5+1+1+1</f>
        <v>13</v>
      </c>
    </row>
    <row r="162" spans="2:7" x14ac:dyDescent="0.25">
      <c r="B162" s="22">
        <f>1+1</f>
        <v>2</v>
      </c>
      <c r="C162" s="9" t="s">
        <v>57</v>
      </c>
      <c r="D162" s="16">
        <v>715.02</v>
      </c>
      <c r="E162" s="20">
        <f t="shared" si="5"/>
        <v>1430.04</v>
      </c>
      <c r="F162" s="21"/>
      <c r="G162" s="21">
        <f>1+1</f>
        <v>2</v>
      </c>
    </row>
    <row r="163" spans="2:7" x14ac:dyDescent="0.25">
      <c r="B163" s="22">
        <f>1+1+2+1</f>
        <v>5</v>
      </c>
      <c r="C163" s="19" t="s">
        <v>217</v>
      </c>
      <c r="D163" s="16">
        <v>715.02</v>
      </c>
      <c r="E163" s="20">
        <f t="shared" si="5"/>
        <v>3575.1</v>
      </c>
      <c r="F163" s="21"/>
      <c r="G163" s="21">
        <f>1+1+2+1</f>
        <v>5</v>
      </c>
    </row>
    <row r="164" spans="2:7" x14ac:dyDescent="0.25">
      <c r="B164" s="22">
        <f>13</f>
        <v>13</v>
      </c>
      <c r="C164" s="19" t="s">
        <v>78</v>
      </c>
      <c r="D164" s="16">
        <v>715.02</v>
      </c>
      <c r="E164" s="20">
        <f t="shared" si="5"/>
        <v>9295.26</v>
      </c>
      <c r="F164" s="21">
        <v>5</v>
      </c>
      <c r="G164" s="21">
        <f>8</f>
        <v>8</v>
      </c>
    </row>
    <row r="165" spans="2:7" x14ac:dyDescent="0.25">
      <c r="B165" s="22">
        <v>1</v>
      </c>
      <c r="C165" s="19" t="s">
        <v>204</v>
      </c>
      <c r="D165" s="16">
        <v>715.02</v>
      </c>
      <c r="E165" s="20">
        <f t="shared" si="5"/>
        <v>715.02</v>
      </c>
      <c r="F165" s="21"/>
      <c r="G165" s="21">
        <v>1</v>
      </c>
    </row>
    <row r="166" spans="2:7" x14ac:dyDescent="0.25">
      <c r="B166" s="22">
        <v>14</v>
      </c>
      <c r="C166" s="19" t="s">
        <v>258</v>
      </c>
      <c r="D166" s="16">
        <v>715.02</v>
      </c>
      <c r="E166" s="20">
        <f t="shared" si="5"/>
        <v>10010.279999999999</v>
      </c>
      <c r="F166" s="21">
        <v>3</v>
      </c>
      <c r="G166" s="21">
        <v>11</v>
      </c>
    </row>
    <row r="167" spans="2:7" x14ac:dyDescent="0.25">
      <c r="B167" s="22">
        <v>5</v>
      </c>
      <c r="C167" s="19" t="s">
        <v>259</v>
      </c>
      <c r="D167" s="16">
        <v>715.02</v>
      </c>
      <c r="E167" s="20">
        <f t="shared" si="5"/>
        <v>3575.1</v>
      </c>
      <c r="F167" s="21"/>
      <c r="G167" s="21">
        <v>5</v>
      </c>
    </row>
    <row r="168" spans="2:7" x14ac:dyDescent="0.25">
      <c r="B168" s="22">
        <v>2</v>
      </c>
      <c r="C168" s="19" t="s">
        <v>260</v>
      </c>
      <c r="D168" s="16">
        <v>715.02</v>
      </c>
      <c r="E168" s="20">
        <f t="shared" si="5"/>
        <v>1430.04</v>
      </c>
      <c r="F168" s="21"/>
      <c r="G168" s="21">
        <v>2</v>
      </c>
    </row>
    <row r="169" spans="2:7" x14ac:dyDescent="0.25">
      <c r="B169" s="22">
        <v>1</v>
      </c>
      <c r="C169" s="9" t="s">
        <v>222</v>
      </c>
      <c r="D169" s="16">
        <v>715.02</v>
      </c>
      <c r="E169" s="20">
        <f t="shared" si="5"/>
        <v>715.02</v>
      </c>
      <c r="F169" s="21">
        <v>1</v>
      </c>
      <c r="G169" s="21"/>
    </row>
    <row r="170" spans="2:7" x14ac:dyDescent="0.25">
      <c r="B170" s="22">
        <f>1+2+1</f>
        <v>4</v>
      </c>
      <c r="C170" s="9" t="s">
        <v>215</v>
      </c>
      <c r="D170" s="16">
        <v>705</v>
      </c>
      <c r="E170" s="20">
        <f t="shared" si="5"/>
        <v>2820</v>
      </c>
      <c r="F170" s="21">
        <f>1+2</f>
        <v>3</v>
      </c>
      <c r="G170" s="21">
        <v>1</v>
      </c>
    </row>
    <row r="171" spans="2:7" x14ac:dyDescent="0.25">
      <c r="B171" s="22">
        <f>2+2</f>
        <v>4</v>
      </c>
      <c r="C171" s="19" t="s">
        <v>214</v>
      </c>
      <c r="D171" s="16">
        <v>705</v>
      </c>
      <c r="E171" s="20">
        <f t="shared" si="5"/>
        <v>2820</v>
      </c>
      <c r="F171" s="21">
        <f>1+1</f>
        <v>2</v>
      </c>
      <c r="G171" s="21">
        <f>1+1</f>
        <v>2</v>
      </c>
    </row>
    <row r="172" spans="2:7" x14ac:dyDescent="0.25">
      <c r="B172" s="22">
        <v>2</v>
      </c>
      <c r="C172" s="9" t="s">
        <v>57</v>
      </c>
      <c r="D172" s="16">
        <v>705</v>
      </c>
      <c r="E172" s="20">
        <f t="shared" si="5"/>
        <v>1410</v>
      </c>
      <c r="F172" s="21"/>
      <c r="G172" s="21">
        <v>2</v>
      </c>
    </row>
    <row r="173" spans="2:7" x14ac:dyDescent="0.25">
      <c r="B173" s="22">
        <v>1</v>
      </c>
      <c r="C173" s="9" t="s">
        <v>225</v>
      </c>
      <c r="D173" s="16">
        <v>705</v>
      </c>
      <c r="E173" s="20">
        <f>D173*B173</f>
        <v>705</v>
      </c>
      <c r="F173" s="21"/>
      <c r="G173" s="21">
        <v>1</v>
      </c>
    </row>
    <row r="174" spans="2:7" x14ac:dyDescent="0.25">
      <c r="B174" s="22">
        <f>1+1</f>
        <v>2</v>
      </c>
      <c r="C174" s="32" t="s">
        <v>219</v>
      </c>
      <c r="D174" s="16">
        <v>705</v>
      </c>
      <c r="E174" s="20">
        <f t="shared" si="5"/>
        <v>1410</v>
      </c>
      <c r="F174" s="21">
        <f>1+1</f>
        <v>2</v>
      </c>
      <c r="G174" s="21"/>
    </row>
    <row r="175" spans="2:7" x14ac:dyDescent="0.25">
      <c r="B175" s="22">
        <v>1</v>
      </c>
      <c r="C175" s="19" t="s">
        <v>123</v>
      </c>
      <c r="D175" s="16">
        <v>675</v>
      </c>
      <c r="E175" s="20">
        <f>D175*B175</f>
        <v>675</v>
      </c>
      <c r="F175" s="21">
        <v>1</v>
      </c>
      <c r="G175" s="21"/>
    </row>
    <row r="176" spans="2:7" x14ac:dyDescent="0.25">
      <c r="B176" s="22">
        <f>3+1</f>
        <v>4</v>
      </c>
      <c r="C176" s="19" t="s">
        <v>215</v>
      </c>
      <c r="D176" s="16">
        <v>627</v>
      </c>
      <c r="E176" s="20">
        <f t="shared" si="5"/>
        <v>2508</v>
      </c>
      <c r="F176" s="21">
        <f>3+1</f>
        <v>4</v>
      </c>
      <c r="G176" s="21"/>
    </row>
    <row r="177" spans="2:7" x14ac:dyDescent="0.25">
      <c r="B177" s="22">
        <v>1</v>
      </c>
      <c r="C177" s="9" t="s">
        <v>219</v>
      </c>
      <c r="D177" s="16">
        <v>627</v>
      </c>
      <c r="E177" s="20">
        <f t="shared" si="5"/>
        <v>627</v>
      </c>
      <c r="F177" s="21">
        <v>1</v>
      </c>
      <c r="G177" s="21"/>
    </row>
    <row r="178" spans="2:7" x14ac:dyDescent="0.25">
      <c r="B178" s="21">
        <v>1</v>
      </c>
      <c r="C178" s="9" t="s">
        <v>221</v>
      </c>
      <c r="D178" s="16">
        <v>627</v>
      </c>
      <c r="E178" s="20">
        <f t="shared" si="5"/>
        <v>627</v>
      </c>
      <c r="F178" s="21">
        <v>1</v>
      </c>
      <c r="G178" s="21"/>
    </row>
    <row r="179" spans="2:7" x14ac:dyDescent="0.25">
      <c r="B179" s="21">
        <v>2</v>
      </c>
      <c r="C179" s="19" t="s">
        <v>223</v>
      </c>
      <c r="D179" s="16">
        <v>627</v>
      </c>
      <c r="E179" s="20">
        <f>D179*B179</f>
        <v>1254</v>
      </c>
      <c r="F179" s="21">
        <v>2</v>
      </c>
      <c r="G179" s="21"/>
    </row>
    <row r="180" spans="2:7" x14ac:dyDescent="0.25">
      <c r="B180" s="21">
        <f>2+24+7</f>
        <v>33</v>
      </c>
      <c r="C180" s="19" t="s">
        <v>224</v>
      </c>
      <c r="D180" s="16">
        <v>627</v>
      </c>
      <c r="E180" s="20">
        <f t="shared" si="5"/>
        <v>20691</v>
      </c>
      <c r="F180" s="21">
        <f>2+24+7</f>
        <v>33</v>
      </c>
      <c r="G180" s="21"/>
    </row>
    <row r="181" spans="2:7" x14ac:dyDescent="0.25">
      <c r="B181" s="21">
        <f>40+2</f>
        <v>42</v>
      </c>
      <c r="C181" s="19" t="s">
        <v>84</v>
      </c>
      <c r="D181" s="16">
        <v>627</v>
      </c>
      <c r="E181" s="20">
        <f t="shared" si="5"/>
        <v>26334</v>
      </c>
      <c r="F181" s="21">
        <f>40+2</f>
        <v>42</v>
      </c>
      <c r="G181" s="21"/>
    </row>
    <row r="182" spans="2:7" x14ac:dyDescent="0.25">
      <c r="B182" s="21">
        <f>1+1+5+2+1+2</f>
        <v>12</v>
      </c>
      <c r="C182" s="19" t="s">
        <v>33</v>
      </c>
      <c r="D182" s="16">
        <v>627</v>
      </c>
      <c r="E182" s="20">
        <f t="shared" si="5"/>
        <v>7524</v>
      </c>
      <c r="F182" s="21">
        <f>1+1+5+2+1+2</f>
        <v>12</v>
      </c>
      <c r="G182" s="21"/>
    </row>
    <row r="183" spans="2:7" x14ac:dyDescent="0.25">
      <c r="B183" s="21">
        <f>3+11+19+7</f>
        <v>40</v>
      </c>
      <c r="C183" s="19" t="s">
        <v>228</v>
      </c>
      <c r="D183" s="31">
        <v>627</v>
      </c>
      <c r="E183" s="20">
        <f t="shared" si="5"/>
        <v>25080</v>
      </c>
      <c r="F183" s="21">
        <f>1+10+15+6</f>
        <v>32</v>
      </c>
      <c r="G183" s="21">
        <f>2+1+4+1</f>
        <v>8</v>
      </c>
    </row>
    <row r="184" spans="2:7" ht="15.75" x14ac:dyDescent="0.25">
      <c r="B184" s="12">
        <f>SUM(B14:B183)</f>
        <v>855</v>
      </c>
      <c r="C184" s="1"/>
      <c r="D184" s="1"/>
      <c r="E184" s="18">
        <f>SUM(E14:E183)</f>
        <v>775893.91000000015</v>
      </c>
      <c r="F184" s="14">
        <f>SUM(F14:F183)</f>
        <v>462</v>
      </c>
      <c r="G184" s="14">
        <f>SUM(G14:G183)</f>
        <v>393</v>
      </c>
    </row>
  </sheetData>
  <mergeCells count="2">
    <mergeCell ref="F3:G3"/>
    <mergeCell ref="F12:G12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6"/>
  <sheetViews>
    <sheetView topLeftCell="A123" zoomScaleNormal="100" workbookViewId="0">
      <selection activeCell="C132" sqref="C132"/>
    </sheetView>
  </sheetViews>
  <sheetFormatPr baseColWidth="10" defaultRowHeight="15" x14ac:dyDescent="0.25"/>
  <cols>
    <col min="1" max="1" width="5.710937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128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5</v>
      </c>
      <c r="D5" s="16">
        <v>2600</v>
      </c>
      <c r="E5" s="10">
        <f t="shared" ref="E5:E73" si="0">D5*B5</f>
        <v>2600</v>
      </c>
      <c r="F5" s="7">
        <v>1</v>
      </c>
      <c r="G5" s="7"/>
    </row>
    <row r="6" spans="2:7" x14ac:dyDescent="0.25">
      <c r="B6" s="21">
        <v>1</v>
      </c>
      <c r="C6" s="9" t="s">
        <v>129</v>
      </c>
      <c r="D6" s="16">
        <v>2600</v>
      </c>
      <c r="E6" s="10">
        <f t="shared" si="0"/>
        <v>2600</v>
      </c>
      <c r="F6" s="7">
        <v>1</v>
      </c>
      <c r="G6" s="7"/>
    </row>
    <row r="7" spans="2:7" x14ac:dyDescent="0.25">
      <c r="B7" s="21">
        <v>1</v>
      </c>
      <c r="C7" s="3" t="s">
        <v>5</v>
      </c>
      <c r="D7" s="11">
        <v>2183.02</v>
      </c>
      <c r="E7" s="10">
        <f t="shared" si="0"/>
        <v>2183.02</v>
      </c>
      <c r="F7" s="7"/>
      <c r="G7" s="7">
        <v>1</v>
      </c>
    </row>
    <row r="8" spans="2:7" x14ac:dyDescent="0.25">
      <c r="B8" s="21">
        <v>1</v>
      </c>
      <c r="C8" s="9" t="s">
        <v>18</v>
      </c>
      <c r="D8" s="10">
        <v>2183.02</v>
      </c>
      <c r="E8" s="10">
        <f t="shared" si="0"/>
        <v>2183.02</v>
      </c>
      <c r="F8" s="21"/>
      <c r="G8" s="21">
        <v>1</v>
      </c>
    </row>
    <row r="9" spans="2:7" x14ac:dyDescent="0.25">
      <c r="B9" s="21">
        <v>1</v>
      </c>
      <c r="C9" s="9" t="s">
        <v>58</v>
      </c>
      <c r="D9" s="10">
        <v>2183.02</v>
      </c>
      <c r="E9" s="10">
        <f t="shared" si="0"/>
        <v>2183.02</v>
      </c>
      <c r="F9" s="21"/>
      <c r="G9" s="21">
        <v>1</v>
      </c>
    </row>
    <row r="10" spans="2:7" x14ac:dyDescent="0.25">
      <c r="B10" s="21">
        <v>1</v>
      </c>
      <c r="C10" s="9" t="s">
        <v>61</v>
      </c>
      <c r="D10" s="10">
        <v>2183.02</v>
      </c>
      <c r="E10" s="10">
        <f t="shared" si="0"/>
        <v>2183.02</v>
      </c>
      <c r="F10" s="21">
        <v>1</v>
      </c>
      <c r="G10" s="21"/>
    </row>
    <row r="11" spans="2:7" x14ac:dyDescent="0.25">
      <c r="B11" s="21">
        <v>1</v>
      </c>
      <c r="C11" s="9" t="s">
        <v>67</v>
      </c>
      <c r="D11" s="16">
        <v>2183.0100000000002</v>
      </c>
      <c r="E11" s="10">
        <f t="shared" si="0"/>
        <v>2183.0100000000002</v>
      </c>
      <c r="F11" s="21"/>
      <c r="G11" s="21">
        <v>1</v>
      </c>
    </row>
    <row r="12" spans="2:7" x14ac:dyDescent="0.25">
      <c r="B12" s="21">
        <v>1</v>
      </c>
      <c r="C12" s="9" t="s">
        <v>73</v>
      </c>
      <c r="D12" s="16">
        <v>2183.02</v>
      </c>
      <c r="E12" s="10">
        <f t="shared" si="0"/>
        <v>2183.02</v>
      </c>
      <c r="F12" s="21">
        <v>1</v>
      </c>
      <c r="G12" s="21"/>
    </row>
    <row r="13" spans="2:7" x14ac:dyDescent="0.25">
      <c r="B13" s="21">
        <v>3</v>
      </c>
      <c r="C13" s="9" t="s">
        <v>7</v>
      </c>
      <c r="D13" s="10">
        <v>2060</v>
      </c>
      <c r="E13" s="10">
        <f t="shared" si="0"/>
        <v>6180</v>
      </c>
      <c r="F13" s="21">
        <v>2</v>
      </c>
      <c r="G13" s="21">
        <v>1</v>
      </c>
    </row>
    <row r="14" spans="2:7" x14ac:dyDescent="0.25">
      <c r="B14" s="21">
        <v>1</v>
      </c>
      <c r="C14" s="9" t="s">
        <v>8</v>
      </c>
      <c r="D14" s="10">
        <v>2060</v>
      </c>
      <c r="E14" s="10">
        <f t="shared" si="0"/>
        <v>2060</v>
      </c>
      <c r="F14" s="21">
        <v>1</v>
      </c>
      <c r="G14" s="21"/>
    </row>
    <row r="15" spans="2:7" x14ac:dyDescent="0.25">
      <c r="B15" s="21">
        <v>1</v>
      </c>
      <c r="C15" s="3" t="s">
        <v>130</v>
      </c>
      <c r="D15" s="11">
        <v>2000</v>
      </c>
      <c r="E15" s="10">
        <f t="shared" si="0"/>
        <v>2000</v>
      </c>
      <c r="F15" s="21">
        <v>1</v>
      </c>
      <c r="G15" s="21"/>
    </row>
    <row r="16" spans="2:7" x14ac:dyDescent="0.25">
      <c r="B16" s="21">
        <v>1</v>
      </c>
      <c r="C16" s="9" t="s">
        <v>10</v>
      </c>
      <c r="D16" s="10">
        <v>1580.29</v>
      </c>
      <c r="E16" s="10">
        <f t="shared" si="0"/>
        <v>1580.29</v>
      </c>
      <c r="F16" s="21">
        <v>1</v>
      </c>
      <c r="G16" s="21"/>
    </row>
    <row r="17" spans="2:7" x14ac:dyDescent="0.25">
      <c r="B17" s="21">
        <v>1</v>
      </c>
      <c r="C17" s="9" t="s">
        <v>11</v>
      </c>
      <c r="D17" s="10">
        <v>1462.57</v>
      </c>
      <c r="E17" s="10">
        <f t="shared" si="0"/>
        <v>1462.57</v>
      </c>
      <c r="F17" s="21"/>
      <c r="G17" s="21">
        <v>1</v>
      </c>
    </row>
    <row r="18" spans="2:7" x14ac:dyDescent="0.25">
      <c r="B18" s="21">
        <v>1</v>
      </c>
      <c r="C18" s="3" t="s">
        <v>131</v>
      </c>
      <c r="D18" s="10">
        <v>1400</v>
      </c>
      <c r="E18" s="10">
        <f t="shared" si="0"/>
        <v>1400</v>
      </c>
      <c r="F18" s="21"/>
      <c r="G18" s="21">
        <v>1</v>
      </c>
    </row>
    <row r="19" spans="2:7" x14ac:dyDescent="0.25">
      <c r="B19" s="21">
        <v>1</v>
      </c>
      <c r="C19" s="9" t="s">
        <v>13</v>
      </c>
      <c r="D19" s="10">
        <v>1623.25</v>
      </c>
      <c r="E19" s="10">
        <f t="shared" si="0"/>
        <v>1623.25</v>
      </c>
      <c r="F19" s="21">
        <v>1</v>
      </c>
      <c r="G19" s="21"/>
    </row>
    <row r="20" spans="2:7" x14ac:dyDescent="0.25">
      <c r="B20" s="21">
        <v>1</v>
      </c>
      <c r="C20" s="3" t="s">
        <v>13</v>
      </c>
      <c r="D20" s="10">
        <v>1623.25</v>
      </c>
      <c r="E20" s="10">
        <f t="shared" si="0"/>
        <v>1623.25</v>
      </c>
      <c r="F20" s="21">
        <v>1</v>
      </c>
      <c r="G20" s="21"/>
    </row>
    <row r="21" spans="2:7" x14ac:dyDescent="0.25">
      <c r="B21" s="21">
        <v>1</v>
      </c>
      <c r="C21" s="9" t="s">
        <v>59</v>
      </c>
      <c r="D21" s="10">
        <v>1373.12</v>
      </c>
      <c r="E21" s="10">
        <f t="shared" si="0"/>
        <v>1373.12</v>
      </c>
      <c r="F21" s="21"/>
      <c r="G21" s="21">
        <v>1</v>
      </c>
    </row>
    <row r="22" spans="2:7" x14ac:dyDescent="0.25">
      <c r="B22" s="21">
        <v>1</v>
      </c>
      <c r="C22" s="9" t="s">
        <v>64</v>
      </c>
      <c r="D22" s="10">
        <v>1373.12</v>
      </c>
      <c r="E22" s="10">
        <f t="shared" si="0"/>
        <v>1373.12</v>
      </c>
      <c r="F22" s="21"/>
      <c r="G22" s="21">
        <v>1</v>
      </c>
    </row>
    <row r="23" spans="2:7" x14ac:dyDescent="0.25">
      <c r="B23" s="21">
        <v>1</v>
      </c>
      <c r="C23" s="9" t="s">
        <v>69</v>
      </c>
      <c r="D23" s="10">
        <v>1373.12</v>
      </c>
      <c r="E23" s="10">
        <f t="shared" si="0"/>
        <v>1373.12</v>
      </c>
      <c r="F23" s="21">
        <v>1</v>
      </c>
      <c r="G23" s="21"/>
    </row>
    <row r="24" spans="2:7" x14ac:dyDescent="0.25">
      <c r="B24" s="21">
        <v>1</v>
      </c>
      <c r="C24" s="9" t="s">
        <v>74</v>
      </c>
      <c r="D24" s="10">
        <v>1373.12</v>
      </c>
      <c r="E24" s="10">
        <f t="shared" si="0"/>
        <v>1373.12</v>
      </c>
      <c r="F24" s="21"/>
      <c r="G24" s="21">
        <v>1</v>
      </c>
    </row>
    <row r="25" spans="2:7" x14ac:dyDescent="0.25">
      <c r="B25" s="21">
        <v>1</v>
      </c>
      <c r="C25" s="9" t="s">
        <v>15</v>
      </c>
      <c r="D25" s="10">
        <v>1373.12</v>
      </c>
      <c r="E25" s="10">
        <f t="shared" si="0"/>
        <v>1373.12</v>
      </c>
      <c r="F25" s="21"/>
      <c r="G25" s="21">
        <v>1</v>
      </c>
    </row>
    <row r="26" spans="2:7" x14ac:dyDescent="0.25">
      <c r="B26" s="21">
        <v>1</v>
      </c>
      <c r="C26" s="9" t="s">
        <v>16</v>
      </c>
      <c r="D26" s="10">
        <v>1373.12</v>
      </c>
      <c r="E26" s="10">
        <f t="shared" si="0"/>
        <v>1373.12</v>
      </c>
      <c r="F26" s="21">
        <v>1</v>
      </c>
      <c r="G26" s="21"/>
    </row>
    <row r="27" spans="2:7" x14ac:dyDescent="0.25">
      <c r="B27" s="21">
        <v>1</v>
      </c>
      <c r="C27" s="9" t="s">
        <v>68</v>
      </c>
      <c r="D27" s="10">
        <v>1373.12</v>
      </c>
      <c r="E27" s="10">
        <f t="shared" si="0"/>
        <v>1373.12</v>
      </c>
      <c r="F27" s="21">
        <v>1</v>
      </c>
      <c r="G27" s="21"/>
    </row>
    <row r="28" spans="2:7" x14ac:dyDescent="0.25">
      <c r="B28" s="21">
        <v>1</v>
      </c>
      <c r="C28" s="9" t="s">
        <v>20</v>
      </c>
      <c r="D28" s="10">
        <v>1108.3</v>
      </c>
      <c r="E28" s="10">
        <f t="shared" si="0"/>
        <v>1108.3</v>
      </c>
      <c r="F28" s="21"/>
      <c r="G28" s="21">
        <v>1</v>
      </c>
    </row>
    <row r="29" spans="2:7" x14ac:dyDescent="0.25">
      <c r="B29" s="21">
        <v>1</v>
      </c>
      <c r="C29" s="9" t="s">
        <v>21</v>
      </c>
      <c r="D29" s="10">
        <v>1108.25</v>
      </c>
      <c r="E29" s="10">
        <f t="shared" si="0"/>
        <v>1108.25</v>
      </c>
      <c r="F29" s="21"/>
      <c r="G29" s="21">
        <v>1</v>
      </c>
    </row>
    <row r="30" spans="2:7" x14ac:dyDescent="0.25">
      <c r="B30" s="21">
        <v>1</v>
      </c>
      <c r="C30" s="9" t="s">
        <v>22</v>
      </c>
      <c r="D30" s="10">
        <v>1108.25</v>
      </c>
      <c r="E30" s="10">
        <f t="shared" si="0"/>
        <v>1108.25</v>
      </c>
      <c r="F30" s="21"/>
      <c r="G30" s="21">
        <v>1</v>
      </c>
    </row>
    <row r="31" spans="2:7" x14ac:dyDescent="0.25">
      <c r="B31" s="21">
        <v>1</v>
      </c>
      <c r="C31" s="9" t="s">
        <v>60</v>
      </c>
      <c r="D31" s="10">
        <v>1108.25</v>
      </c>
      <c r="E31" s="10">
        <f t="shared" si="0"/>
        <v>1108.25</v>
      </c>
      <c r="F31" s="21"/>
      <c r="G31" s="21">
        <v>1</v>
      </c>
    </row>
    <row r="32" spans="2:7" x14ac:dyDescent="0.25">
      <c r="B32" s="21">
        <v>1</v>
      </c>
      <c r="C32" s="9" t="s">
        <v>75</v>
      </c>
      <c r="D32" s="10">
        <v>1108.25</v>
      </c>
      <c r="E32" s="10">
        <f t="shared" si="0"/>
        <v>1108.25</v>
      </c>
      <c r="F32" s="21">
        <v>1</v>
      </c>
      <c r="G32" s="21"/>
    </row>
    <row r="33" spans="2:7" x14ac:dyDescent="0.25">
      <c r="B33" s="21">
        <v>1</v>
      </c>
      <c r="C33" s="3" t="s">
        <v>83</v>
      </c>
      <c r="D33" s="10">
        <v>1108.25</v>
      </c>
      <c r="E33" s="10">
        <f t="shared" si="0"/>
        <v>1108.25</v>
      </c>
      <c r="F33" s="21">
        <v>1</v>
      </c>
      <c r="G33" s="21"/>
    </row>
    <row r="34" spans="2:7" x14ac:dyDescent="0.25">
      <c r="B34" s="21">
        <v>1</v>
      </c>
      <c r="C34" s="9" t="s">
        <v>65</v>
      </c>
      <c r="D34" s="10">
        <v>1108.25</v>
      </c>
      <c r="E34" s="10">
        <f t="shared" si="0"/>
        <v>1108.25</v>
      </c>
      <c r="F34" s="21">
        <v>1</v>
      </c>
      <c r="G34" s="21"/>
    </row>
    <row r="35" spans="2:7" x14ac:dyDescent="0.25">
      <c r="B35" s="21">
        <v>2</v>
      </c>
      <c r="C35" s="3" t="s">
        <v>132</v>
      </c>
      <c r="D35" s="10">
        <v>1000</v>
      </c>
      <c r="E35" s="10">
        <f t="shared" si="0"/>
        <v>2000</v>
      </c>
      <c r="F35" s="21">
        <v>2</v>
      </c>
      <c r="G35" s="21"/>
    </row>
    <row r="36" spans="2:7" x14ac:dyDescent="0.25">
      <c r="B36" s="21">
        <v>1</v>
      </c>
      <c r="C36" s="3" t="s">
        <v>133</v>
      </c>
      <c r="D36" s="10">
        <v>950</v>
      </c>
      <c r="E36" s="10">
        <f t="shared" si="0"/>
        <v>950</v>
      </c>
      <c r="F36" s="21">
        <v>1</v>
      </c>
      <c r="G36" s="21"/>
    </row>
    <row r="37" spans="2:7" x14ac:dyDescent="0.25">
      <c r="B37" s="21">
        <v>1</v>
      </c>
      <c r="C37" s="9" t="s">
        <v>23</v>
      </c>
      <c r="D37" s="10">
        <v>933.44</v>
      </c>
      <c r="E37" s="10">
        <f t="shared" si="0"/>
        <v>933.44</v>
      </c>
      <c r="F37" s="21"/>
      <c r="G37" s="21">
        <v>1</v>
      </c>
    </row>
    <row r="38" spans="2:7" x14ac:dyDescent="0.25">
      <c r="B38" s="21">
        <v>3</v>
      </c>
      <c r="C38" s="9" t="s">
        <v>24</v>
      </c>
      <c r="D38" s="10">
        <v>798.67</v>
      </c>
      <c r="E38" s="10">
        <f t="shared" si="0"/>
        <v>2396.0099999999998</v>
      </c>
      <c r="F38" s="21">
        <v>2</v>
      </c>
      <c r="G38" s="21">
        <v>1</v>
      </c>
    </row>
    <row r="39" spans="2:7" x14ac:dyDescent="0.25">
      <c r="B39" s="21">
        <v>1</v>
      </c>
      <c r="C39" s="9" t="s">
        <v>25</v>
      </c>
      <c r="D39" s="10">
        <v>798.67</v>
      </c>
      <c r="E39" s="10">
        <f t="shared" si="0"/>
        <v>798.67</v>
      </c>
      <c r="F39" s="21"/>
      <c r="G39" s="21">
        <v>1</v>
      </c>
    </row>
    <row r="40" spans="2:7" x14ac:dyDescent="0.25">
      <c r="B40" s="21">
        <v>1</v>
      </c>
      <c r="C40" s="9" t="s">
        <v>26</v>
      </c>
      <c r="D40" s="10">
        <v>798.67</v>
      </c>
      <c r="E40" s="10">
        <f t="shared" si="0"/>
        <v>798.67</v>
      </c>
      <c r="F40" s="21">
        <v>1</v>
      </c>
      <c r="G40" s="21"/>
    </row>
    <row r="41" spans="2:7" x14ac:dyDescent="0.25">
      <c r="B41" s="21">
        <v>1</v>
      </c>
      <c r="C41" s="9" t="s">
        <v>62</v>
      </c>
      <c r="D41" s="10">
        <v>798.67</v>
      </c>
      <c r="E41" s="10">
        <f t="shared" si="0"/>
        <v>798.67</v>
      </c>
      <c r="F41" s="21">
        <v>1</v>
      </c>
      <c r="G41" s="21"/>
    </row>
    <row r="42" spans="2:7" x14ac:dyDescent="0.25">
      <c r="B42" s="21">
        <v>1</v>
      </c>
      <c r="C42" s="9" t="s">
        <v>66</v>
      </c>
      <c r="D42" s="16">
        <v>798.67</v>
      </c>
      <c r="E42" s="10">
        <f t="shared" si="0"/>
        <v>798.67</v>
      </c>
      <c r="F42" s="21">
        <v>1</v>
      </c>
      <c r="G42" s="21"/>
    </row>
    <row r="43" spans="2:7" x14ac:dyDescent="0.25">
      <c r="B43" s="21">
        <v>1</v>
      </c>
      <c r="C43" s="9" t="s">
        <v>72</v>
      </c>
      <c r="D43" s="16">
        <v>798.67</v>
      </c>
      <c r="E43" s="10">
        <f t="shared" si="0"/>
        <v>798.67</v>
      </c>
      <c r="F43" s="21">
        <v>1</v>
      </c>
      <c r="G43" s="21"/>
    </row>
    <row r="44" spans="2:7" x14ac:dyDescent="0.25">
      <c r="B44" s="21">
        <v>1</v>
      </c>
      <c r="C44" s="9" t="s">
        <v>81</v>
      </c>
      <c r="D44" s="16">
        <v>798.67</v>
      </c>
      <c r="E44" s="10">
        <f t="shared" si="0"/>
        <v>798.67</v>
      </c>
      <c r="F44" s="21"/>
      <c r="G44" s="21">
        <v>1</v>
      </c>
    </row>
    <row r="45" spans="2:7" x14ac:dyDescent="0.25">
      <c r="B45" s="21">
        <v>1</v>
      </c>
      <c r="C45" s="3" t="s">
        <v>88</v>
      </c>
      <c r="D45" s="11">
        <v>798.67</v>
      </c>
      <c r="E45" s="10">
        <f t="shared" si="0"/>
        <v>798.67</v>
      </c>
      <c r="F45" s="21">
        <v>1</v>
      </c>
      <c r="G45" s="21"/>
    </row>
    <row r="46" spans="2:7" x14ac:dyDescent="0.25">
      <c r="B46" s="21">
        <f>1+1</f>
        <v>2</v>
      </c>
      <c r="C46" s="9" t="s">
        <v>17</v>
      </c>
      <c r="D46" s="10">
        <v>798.67</v>
      </c>
      <c r="E46" s="10">
        <f t="shared" si="0"/>
        <v>1597.34</v>
      </c>
      <c r="F46" s="21">
        <f>1+1</f>
        <v>2</v>
      </c>
      <c r="G46" s="21"/>
    </row>
    <row r="47" spans="2:7" x14ac:dyDescent="0.25">
      <c r="B47" s="21">
        <f>3+1</f>
        <v>4</v>
      </c>
      <c r="C47" s="9" t="s">
        <v>27</v>
      </c>
      <c r="D47" s="10">
        <v>743.67</v>
      </c>
      <c r="E47" s="10">
        <f t="shared" si="0"/>
        <v>2974.68</v>
      </c>
      <c r="F47" s="21">
        <f>3+1</f>
        <v>4</v>
      </c>
      <c r="G47" s="21"/>
    </row>
    <row r="48" spans="2:7" x14ac:dyDescent="0.25">
      <c r="B48" s="21">
        <v>1</v>
      </c>
      <c r="C48" s="9" t="s">
        <v>28</v>
      </c>
      <c r="D48" s="10">
        <v>743.67</v>
      </c>
      <c r="E48" s="10">
        <f t="shared" si="0"/>
        <v>743.67</v>
      </c>
      <c r="F48" s="21"/>
      <c r="G48" s="21">
        <v>1</v>
      </c>
    </row>
    <row r="49" spans="2:7" x14ac:dyDescent="0.25">
      <c r="B49" s="21">
        <v>2</v>
      </c>
      <c r="C49" s="9" t="s">
        <v>77</v>
      </c>
      <c r="D49" s="16">
        <v>743.67</v>
      </c>
      <c r="E49" s="10">
        <f t="shared" si="0"/>
        <v>1487.34</v>
      </c>
      <c r="F49" s="21">
        <v>2</v>
      </c>
      <c r="G49" s="21"/>
    </row>
    <row r="50" spans="2:7" x14ac:dyDescent="0.25">
      <c r="B50" s="21">
        <v>1</v>
      </c>
      <c r="C50" s="9" t="s">
        <v>36</v>
      </c>
      <c r="D50" s="10">
        <v>698</v>
      </c>
      <c r="E50" s="10">
        <f t="shared" si="0"/>
        <v>698</v>
      </c>
      <c r="F50" s="21"/>
      <c r="G50" s="21">
        <v>1</v>
      </c>
    </row>
    <row r="51" spans="2:7" x14ac:dyDescent="0.25">
      <c r="B51" s="21">
        <v>1</v>
      </c>
      <c r="C51" s="9" t="s">
        <v>134</v>
      </c>
      <c r="D51" s="10">
        <v>692.69</v>
      </c>
      <c r="E51" s="10">
        <f t="shared" si="0"/>
        <v>692.69</v>
      </c>
      <c r="F51" s="21">
        <v>1</v>
      </c>
      <c r="G51" s="21"/>
    </row>
    <row r="52" spans="2:7" x14ac:dyDescent="0.25">
      <c r="B52" s="21">
        <v>1</v>
      </c>
      <c r="C52" s="3" t="s">
        <v>63</v>
      </c>
      <c r="D52" s="10">
        <v>680.1</v>
      </c>
      <c r="E52" s="10">
        <f t="shared" si="0"/>
        <v>680.1</v>
      </c>
      <c r="F52" s="21">
        <v>1</v>
      </c>
      <c r="G52" s="21"/>
    </row>
    <row r="53" spans="2:7" x14ac:dyDescent="0.25">
      <c r="B53" s="21">
        <v>1</v>
      </c>
      <c r="C53" s="9" t="s">
        <v>29</v>
      </c>
      <c r="D53" s="10">
        <v>674.55</v>
      </c>
      <c r="E53" s="10">
        <f t="shared" si="0"/>
        <v>674.55</v>
      </c>
      <c r="F53" s="21">
        <v>1</v>
      </c>
      <c r="G53" s="21"/>
    </row>
    <row r="54" spans="2:7" x14ac:dyDescent="0.25">
      <c r="B54" s="21">
        <v>1</v>
      </c>
      <c r="C54" s="9" t="s">
        <v>30</v>
      </c>
      <c r="D54" s="10">
        <v>674.55</v>
      </c>
      <c r="E54" s="10">
        <f t="shared" si="0"/>
        <v>674.55</v>
      </c>
      <c r="F54" s="21">
        <v>1</v>
      </c>
      <c r="G54" s="21"/>
    </row>
    <row r="55" spans="2:7" x14ac:dyDescent="0.25">
      <c r="B55" s="21">
        <v>1</v>
      </c>
      <c r="C55" s="9" t="s">
        <v>31</v>
      </c>
      <c r="D55" s="10">
        <v>674.55</v>
      </c>
      <c r="E55" s="10">
        <f t="shared" si="0"/>
        <v>674.55</v>
      </c>
      <c r="F55" s="21">
        <v>1</v>
      </c>
      <c r="G55" s="21"/>
    </row>
    <row r="56" spans="2:7" x14ac:dyDescent="0.25">
      <c r="B56" s="21">
        <v>1</v>
      </c>
      <c r="C56" s="9" t="s">
        <v>32</v>
      </c>
      <c r="D56" s="10">
        <v>674.55</v>
      </c>
      <c r="E56" s="10">
        <f t="shared" si="0"/>
        <v>674.55</v>
      </c>
      <c r="F56" s="21"/>
      <c r="G56" s="21">
        <v>1</v>
      </c>
    </row>
    <row r="57" spans="2:7" x14ac:dyDescent="0.25">
      <c r="B57" s="21">
        <f>37+7+6+3+6+6</f>
        <v>65</v>
      </c>
      <c r="C57" s="9" t="s">
        <v>63</v>
      </c>
      <c r="D57" s="10">
        <v>674.55</v>
      </c>
      <c r="E57" s="10">
        <f t="shared" si="0"/>
        <v>43845.75</v>
      </c>
      <c r="F57" s="21">
        <f>7+3+5+2+3+3</f>
        <v>23</v>
      </c>
      <c r="G57" s="21">
        <f>30+4+1+1+3+3</f>
        <v>42</v>
      </c>
    </row>
    <row r="58" spans="2:7" x14ac:dyDescent="0.25">
      <c r="B58" s="21">
        <f>70+9+6+9+9+8</f>
        <v>111</v>
      </c>
      <c r="C58" s="9" t="s">
        <v>70</v>
      </c>
      <c r="D58" s="16">
        <v>674.55</v>
      </c>
      <c r="E58" s="10">
        <f t="shared" si="0"/>
        <v>74875.049999999988</v>
      </c>
      <c r="F58" s="21">
        <f>30+5+3+5+6+4</f>
        <v>53</v>
      </c>
      <c r="G58" s="21">
        <f>40+4+3+4+3+4</f>
        <v>58</v>
      </c>
    </row>
    <row r="59" spans="2:7" x14ac:dyDescent="0.25">
      <c r="B59" s="21">
        <f>6+5+2+2+2+5</f>
        <v>22</v>
      </c>
      <c r="C59" s="9" t="s">
        <v>78</v>
      </c>
      <c r="D59" s="10">
        <v>674.55</v>
      </c>
      <c r="E59" s="10">
        <f t="shared" si="0"/>
        <v>14840.099999999999</v>
      </c>
      <c r="F59" s="21">
        <f>1+3+1+1+1+1</f>
        <v>8</v>
      </c>
      <c r="G59" s="21">
        <f>5+2+1+1+1+4</f>
        <v>14</v>
      </c>
    </row>
    <row r="60" spans="2:7" x14ac:dyDescent="0.25">
      <c r="B60" s="21">
        <f>8+8+3+5</f>
        <v>24</v>
      </c>
      <c r="C60" s="9" t="s">
        <v>79</v>
      </c>
      <c r="D60" s="10">
        <v>674.55</v>
      </c>
      <c r="E60" s="10">
        <f t="shared" si="0"/>
        <v>16189.199999999999</v>
      </c>
      <c r="F60" s="21">
        <f>5+5+2+5</f>
        <v>17</v>
      </c>
      <c r="G60" s="21">
        <f>3+3+1</f>
        <v>7</v>
      </c>
    </row>
    <row r="61" spans="2:7" x14ac:dyDescent="0.25">
      <c r="B61" s="21">
        <f>10+6+4+4</f>
        <v>24</v>
      </c>
      <c r="C61" s="9" t="s">
        <v>80</v>
      </c>
      <c r="D61" s="10">
        <v>674.55</v>
      </c>
      <c r="E61" s="10">
        <f t="shared" si="0"/>
        <v>16189.199999999999</v>
      </c>
      <c r="F61" s="21">
        <f>8+3+2+2</f>
        <v>15</v>
      </c>
      <c r="G61" s="21">
        <f>2+3+2+2</f>
        <v>9</v>
      </c>
    </row>
    <row r="62" spans="2:7" x14ac:dyDescent="0.25">
      <c r="B62" s="21">
        <v>1</v>
      </c>
      <c r="C62" s="9" t="s">
        <v>86</v>
      </c>
      <c r="D62" s="10">
        <v>674.55</v>
      </c>
      <c r="E62" s="10">
        <f t="shared" si="0"/>
        <v>674.55</v>
      </c>
      <c r="F62" s="21"/>
      <c r="G62" s="21">
        <v>1</v>
      </c>
    </row>
    <row r="63" spans="2:7" x14ac:dyDescent="0.25">
      <c r="B63" s="21">
        <f>1+1</f>
        <v>2</v>
      </c>
      <c r="C63" s="9" t="s">
        <v>87</v>
      </c>
      <c r="D63" s="10">
        <v>674.55</v>
      </c>
      <c r="E63" s="10">
        <f t="shared" si="0"/>
        <v>1349.1</v>
      </c>
      <c r="F63" s="21">
        <f>1+1</f>
        <v>2</v>
      </c>
      <c r="G63" s="21"/>
    </row>
    <row r="64" spans="2:7" x14ac:dyDescent="0.25">
      <c r="B64" s="21">
        <f>3+1+2</f>
        <v>6</v>
      </c>
      <c r="C64" s="9" t="s">
        <v>78</v>
      </c>
      <c r="D64" s="10">
        <v>577.04</v>
      </c>
      <c r="E64" s="10">
        <f t="shared" si="0"/>
        <v>3462.24</v>
      </c>
      <c r="F64" s="21">
        <f>2+1+1</f>
        <v>4</v>
      </c>
      <c r="G64" s="21">
        <f>1+1</f>
        <v>2</v>
      </c>
    </row>
    <row r="65" spans="2:7" x14ac:dyDescent="0.25">
      <c r="B65" s="23">
        <f>1+2</f>
        <v>3</v>
      </c>
      <c r="C65" s="9" t="s">
        <v>79</v>
      </c>
      <c r="D65" s="10">
        <v>577.04</v>
      </c>
      <c r="E65" s="10">
        <f t="shared" si="0"/>
        <v>1731.12</v>
      </c>
      <c r="F65" s="23">
        <f>1+1</f>
        <v>2</v>
      </c>
      <c r="G65" s="23">
        <v>1</v>
      </c>
    </row>
    <row r="66" spans="2:7" x14ac:dyDescent="0.25">
      <c r="B66" s="23">
        <v>5</v>
      </c>
      <c r="C66" s="9" t="s">
        <v>80</v>
      </c>
      <c r="D66" s="10">
        <v>577.04</v>
      </c>
      <c r="E66" s="10">
        <f t="shared" si="0"/>
        <v>2885.2</v>
      </c>
      <c r="F66" s="23">
        <v>5</v>
      </c>
      <c r="G66" s="23"/>
    </row>
    <row r="67" spans="2:7" x14ac:dyDescent="0.25">
      <c r="B67" s="23">
        <v>1</v>
      </c>
      <c r="C67" s="9" t="s">
        <v>85</v>
      </c>
      <c r="D67" s="10">
        <v>577.04</v>
      </c>
      <c r="E67" s="10">
        <f t="shared" si="0"/>
        <v>577.04</v>
      </c>
      <c r="F67" s="23">
        <v>1</v>
      </c>
      <c r="G67" s="23"/>
    </row>
    <row r="68" spans="2:7" s="13" customFormat="1" x14ac:dyDescent="0.25">
      <c r="B68" s="48"/>
      <c r="C68" s="49"/>
      <c r="D68" s="27"/>
      <c r="E68" s="27"/>
      <c r="F68" s="48"/>
      <c r="G68" s="48"/>
    </row>
    <row r="69" spans="2:7" s="13" customFormat="1" x14ac:dyDescent="0.25">
      <c r="B69" s="48"/>
      <c r="C69" s="49"/>
      <c r="D69" s="27"/>
      <c r="E69" s="27"/>
      <c r="F69" s="48"/>
      <c r="G69" s="48"/>
    </row>
    <row r="70" spans="2:7" s="13" customFormat="1" x14ac:dyDescent="0.25">
      <c r="B70" s="48"/>
      <c r="C70" s="49"/>
      <c r="D70" s="27"/>
      <c r="E70" s="27"/>
      <c r="F70" s="48"/>
      <c r="G70" s="48"/>
    </row>
    <row r="71" spans="2:7" s="13" customFormat="1" x14ac:dyDescent="0.25">
      <c r="B71" s="48"/>
      <c r="C71" s="49"/>
      <c r="D71" s="27"/>
      <c r="E71" s="27"/>
      <c r="F71" s="48"/>
      <c r="G71" s="48"/>
    </row>
    <row r="72" spans="2:7" s="13" customFormat="1" x14ac:dyDescent="0.25">
      <c r="B72" s="48"/>
      <c r="C72" s="49"/>
      <c r="D72" s="27"/>
      <c r="E72" s="27"/>
      <c r="F72" s="48"/>
      <c r="G72" s="48"/>
    </row>
    <row r="73" spans="2:7" x14ac:dyDescent="0.25">
      <c r="B73" s="23">
        <v>1</v>
      </c>
      <c r="C73" s="9" t="s">
        <v>28</v>
      </c>
      <c r="D73" s="10">
        <v>674.55</v>
      </c>
      <c r="E73" s="10">
        <f t="shared" si="0"/>
        <v>674.55</v>
      </c>
      <c r="F73" s="23"/>
      <c r="G73" s="23">
        <v>1</v>
      </c>
    </row>
    <row r="74" spans="2:7" x14ac:dyDescent="0.25">
      <c r="B74" s="23">
        <v>1</v>
      </c>
      <c r="C74" s="9" t="s">
        <v>28</v>
      </c>
      <c r="D74" s="10">
        <v>577.04</v>
      </c>
      <c r="E74" s="10">
        <f t="shared" ref="E74:E83" si="1">D74*B74</f>
        <v>577.04</v>
      </c>
      <c r="F74" s="23"/>
      <c r="G74" s="23">
        <v>1</v>
      </c>
    </row>
    <row r="75" spans="2:7" x14ac:dyDescent="0.25">
      <c r="B75" s="23">
        <v>1</v>
      </c>
      <c r="C75" s="9" t="s">
        <v>28</v>
      </c>
      <c r="D75" s="10">
        <v>563.46</v>
      </c>
      <c r="E75" s="10">
        <f t="shared" si="1"/>
        <v>563.46</v>
      </c>
      <c r="F75" s="23"/>
      <c r="G75" s="23">
        <v>1</v>
      </c>
    </row>
    <row r="76" spans="2:7" x14ac:dyDescent="0.25">
      <c r="B76" s="23">
        <v>1</v>
      </c>
      <c r="C76" s="9" t="s">
        <v>28</v>
      </c>
      <c r="D76" s="10">
        <v>507.92</v>
      </c>
      <c r="E76" s="10">
        <f t="shared" si="1"/>
        <v>507.92</v>
      </c>
      <c r="F76" s="23"/>
      <c r="G76" s="23">
        <v>1</v>
      </c>
    </row>
    <row r="77" spans="2:7" x14ac:dyDescent="0.25">
      <c r="B77" s="21">
        <f>1+1</f>
        <v>2</v>
      </c>
      <c r="C77" s="9" t="s">
        <v>71</v>
      </c>
      <c r="D77" s="16">
        <v>488.12</v>
      </c>
      <c r="E77" s="10">
        <f t="shared" si="1"/>
        <v>976.24</v>
      </c>
      <c r="F77" s="21"/>
      <c r="G77" s="21">
        <f>1+1</f>
        <v>2</v>
      </c>
    </row>
    <row r="78" spans="2:7" x14ac:dyDescent="0.25">
      <c r="B78" s="21">
        <v>1</v>
      </c>
      <c r="C78" s="9" t="s">
        <v>57</v>
      </c>
      <c r="D78" s="10">
        <v>488.12</v>
      </c>
      <c r="E78" s="10">
        <f t="shared" si="1"/>
        <v>488.12</v>
      </c>
      <c r="F78" s="21">
        <v>1</v>
      </c>
      <c r="G78" s="21"/>
    </row>
    <row r="79" spans="2:7" x14ac:dyDescent="0.25">
      <c r="B79" s="21">
        <f>1+3+1</f>
        <v>5</v>
      </c>
      <c r="C79" s="9" t="s">
        <v>33</v>
      </c>
      <c r="D79" s="10">
        <v>431.55</v>
      </c>
      <c r="E79" s="10">
        <f t="shared" si="1"/>
        <v>2157.75</v>
      </c>
      <c r="F79" s="21">
        <f>1+3+1</f>
        <v>5</v>
      </c>
      <c r="G79" s="21"/>
    </row>
    <row r="80" spans="2:7" x14ac:dyDescent="0.25">
      <c r="B80" s="21">
        <f>1+3+1</f>
        <v>5</v>
      </c>
      <c r="C80" s="9" t="s">
        <v>34</v>
      </c>
      <c r="D80" s="10">
        <v>431.55</v>
      </c>
      <c r="E80" s="10">
        <f t="shared" si="1"/>
        <v>2157.75</v>
      </c>
      <c r="F80" s="21">
        <f>1+3+1</f>
        <v>5</v>
      </c>
      <c r="G80" s="21"/>
    </row>
    <row r="81" spans="2:7" x14ac:dyDescent="0.25">
      <c r="B81" s="21">
        <f>1+1</f>
        <v>2</v>
      </c>
      <c r="C81" s="9" t="s">
        <v>84</v>
      </c>
      <c r="D81" s="10">
        <v>431.55</v>
      </c>
      <c r="E81" s="10">
        <f t="shared" si="1"/>
        <v>863.1</v>
      </c>
      <c r="F81" s="21">
        <f>1+1</f>
        <v>2</v>
      </c>
      <c r="G81" s="21"/>
    </row>
    <row r="82" spans="2:7" x14ac:dyDescent="0.25">
      <c r="B82" s="21">
        <v>1</v>
      </c>
      <c r="C82" s="9" t="s">
        <v>35</v>
      </c>
      <c r="D82" s="10">
        <v>403.27</v>
      </c>
      <c r="E82" s="10">
        <f t="shared" si="1"/>
        <v>403.27</v>
      </c>
      <c r="F82" s="21">
        <v>1</v>
      </c>
      <c r="G82" s="21"/>
    </row>
    <row r="83" spans="2:7" x14ac:dyDescent="0.25">
      <c r="B83" s="21">
        <v>1</v>
      </c>
      <c r="C83" s="9" t="s">
        <v>82</v>
      </c>
      <c r="D83" s="10">
        <v>305.49</v>
      </c>
      <c r="E83" s="10">
        <f t="shared" si="1"/>
        <v>305.49</v>
      </c>
      <c r="F83" s="21"/>
      <c r="G83" s="21">
        <v>1</v>
      </c>
    </row>
    <row r="84" spans="2:7" ht="15.75" x14ac:dyDescent="0.25">
      <c r="B84" s="12">
        <f>SUM(B5:B83)</f>
        <v>347</v>
      </c>
      <c r="C84" s="1"/>
      <c r="D84" s="15"/>
      <c r="E84" s="17">
        <f>SUM(E8:E83)</f>
        <v>255949.49</v>
      </c>
      <c r="F84" s="14">
        <f>SUM(F5:F83)</f>
        <v>184</v>
      </c>
      <c r="G84" s="14">
        <f>SUM(G5:G83)</f>
        <v>163</v>
      </c>
    </row>
    <row r="85" spans="2:7" x14ac:dyDescent="0.25">
      <c r="B85" s="2"/>
      <c r="D85" s="4"/>
      <c r="E85" s="4"/>
      <c r="F85" s="2"/>
      <c r="G85" s="2"/>
    </row>
    <row r="86" spans="2:7" x14ac:dyDescent="0.25">
      <c r="B86" s="2"/>
      <c r="D86" s="4"/>
      <c r="E86" s="4"/>
      <c r="F86" s="2"/>
      <c r="G86" s="2"/>
    </row>
    <row r="87" spans="2:7" x14ac:dyDescent="0.25">
      <c r="B87" s="29" t="s">
        <v>37</v>
      </c>
      <c r="C87" s="30"/>
    </row>
    <row r="88" spans="2:7" x14ac:dyDescent="0.25">
      <c r="B88" s="2"/>
      <c r="D88" s="4"/>
      <c r="E88" s="4"/>
      <c r="F88" s="45" t="s">
        <v>3</v>
      </c>
      <c r="G88" s="45"/>
    </row>
    <row r="89" spans="2:7" ht="30" x14ac:dyDescent="0.25">
      <c r="B89" s="6" t="s">
        <v>6</v>
      </c>
      <c r="C89" s="7" t="s">
        <v>4</v>
      </c>
      <c r="D89" s="6" t="s">
        <v>2</v>
      </c>
      <c r="E89" s="6" t="s">
        <v>9</v>
      </c>
      <c r="F89" s="7" t="s">
        <v>0</v>
      </c>
      <c r="G89" s="7" t="s">
        <v>1</v>
      </c>
    </row>
    <row r="90" spans="2:7" x14ac:dyDescent="0.25">
      <c r="B90" s="21">
        <v>1</v>
      </c>
      <c r="C90" s="19" t="s">
        <v>38</v>
      </c>
      <c r="D90" s="16">
        <v>2773.72</v>
      </c>
      <c r="E90" s="20">
        <f>D90*B90</f>
        <v>2773.72</v>
      </c>
      <c r="F90" s="21"/>
      <c r="G90" s="21">
        <v>1</v>
      </c>
    </row>
    <row r="91" spans="2:7" x14ac:dyDescent="0.25">
      <c r="B91" s="21">
        <v>1</v>
      </c>
      <c r="C91" s="19" t="s">
        <v>39</v>
      </c>
      <c r="D91" s="16">
        <v>2080.58</v>
      </c>
      <c r="E91" s="20">
        <f t="shared" ref="E91:E167" si="2">D91*B91</f>
        <v>2080.58</v>
      </c>
      <c r="F91" s="21">
        <v>1</v>
      </c>
      <c r="G91" s="21"/>
    </row>
    <row r="92" spans="2:7" x14ac:dyDescent="0.25">
      <c r="B92" s="21">
        <v>1</v>
      </c>
      <c r="C92" s="19" t="s">
        <v>40</v>
      </c>
      <c r="D92" s="16">
        <v>1373.12</v>
      </c>
      <c r="E92" s="20">
        <f t="shared" si="2"/>
        <v>1373.12</v>
      </c>
      <c r="F92" s="21">
        <v>1</v>
      </c>
      <c r="G92" s="21"/>
    </row>
    <row r="93" spans="2:7" x14ac:dyDescent="0.25">
      <c r="B93" s="21">
        <v>1</v>
      </c>
      <c r="C93" s="19" t="s">
        <v>41</v>
      </c>
      <c r="D93" s="16">
        <v>1108.25</v>
      </c>
      <c r="E93" s="20">
        <f t="shared" si="2"/>
        <v>1108.25</v>
      </c>
      <c r="F93" s="21">
        <v>1</v>
      </c>
      <c r="G93" s="21"/>
    </row>
    <row r="94" spans="2:7" x14ac:dyDescent="0.25">
      <c r="B94" s="21">
        <v>1</v>
      </c>
      <c r="C94" s="19" t="s">
        <v>42</v>
      </c>
      <c r="D94" s="16">
        <v>1108.25</v>
      </c>
      <c r="E94" s="20">
        <f t="shared" si="2"/>
        <v>1108.25</v>
      </c>
      <c r="F94" s="21">
        <v>1</v>
      </c>
      <c r="G94" s="21"/>
    </row>
    <row r="95" spans="2:7" x14ac:dyDescent="0.25">
      <c r="B95" s="21">
        <v>1</v>
      </c>
      <c r="C95" s="9" t="s">
        <v>43</v>
      </c>
      <c r="D95" s="16">
        <v>1108.25</v>
      </c>
      <c r="E95" s="20">
        <f t="shared" si="2"/>
        <v>1108.25</v>
      </c>
      <c r="F95" s="21">
        <v>1</v>
      </c>
      <c r="G95" s="21"/>
    </row>
    <row r="96" spans="2:7" x14ac:dyDescent="0.25">
      <c r="B96" s="21">
        <v>1</v>
      </c>
      <c r="C96" s="19" t="s">
        <v>44</v>
      </c>
      <c r="D96" s="16">
        <v>1108.25</v>
      </c>
      <c r="E96" s="20">
        <f t="shared" si="2"/>
        <v>1108.25</v>
      </c>
      <c r="F96" s="21">
        <v>1</v>
      </c>
      <c r="G96" s="21"/>
    </row>
    <row r="97" spans="2:7" x14ac:dyDescent="0.25">
      <c r="B97" s="21">
        <v>1</v>
      </c>
      <c r="C97" s="19" t="s">
        <v>90</v>
      </c>
      <c r="D97" s="16">
        <v>1108.25</v>
      </c>
      <c r="E97" s="20">
        <f t="shared" si="2"/>
        <v>1108.25</v>
      </c>
      <c r="F97" s="21">
        <v>1</v>
      </c>
      <c r="G97" s="21"/>
    </row>
    <row r="98" spans="2:7" x14ac:dyDescent="0.25">
      <c r="B98" s="21">
        <v>1</v>
      </c>
      <c r="C98" s="19" t="s">
        <v>91</v>
      </c>
      <c r="D98" s="16">
        <v>1108.25</v>
      </c>
      <c r="E98" s="20">
        <f t="shared" si="2"/>
        <v>1108.25</v>
      </c>
      <c r="F98" s="21">
        <v>1</v>
      </c>
      <c r="G98" s="21"/>
    </row>
    <row r="99" spans="2:7" x14ac:dyDescent="0.25">
      <c r="B99" s="21">
        <v>1</v>
      </c>
      <c r="C99" s="19" t="s">
        <v>102</v>
      </c>
      <c r="D99" s="16">
        <v>1108.25</v>
      </c>
      <c r="E99" s="20">
        <f t="shared" si="2"/>
        <v>1108.25</v>
      </c>
      <c r="F99" s="21">
        <v>1</v>
      </c>
      <c r="G99" s="21"/>
    </row>
    <row r="100" spans="2:7" x14ac:dyDescent="0.25">
      <c r="B100" s="21">
        <v>1</v>
      </c>
      <c r="C100" s="19" t="s">
        <v>103</v>
      </c>
      <c r="D100" s="16">
        <v>1108.25</v>
      </c>
      <c r="E100" s="20">
        <f t="shared" si="2"/>
        <v>1108.25</v>
      </c>
      <c r="F100" s="21"/>
      <c r="G100" s="21">
        <v>1</v>
      </c>
    </row>
    <row r="101" spans="2:7" x14ac:dyDescent="0.25">
      <c r="B101" s="21">
        <v>1</v>
      </c>
      <c r="C101" s="19" t="s">
        <v>108</v>
      </c>
      <c r="D101" s="16">
        <v>1108.25</v>
      </c>
      <c r="E101" s="20">
        <f t="shared" si="2"/>
        <v>1108.25</v>
      </c>
      <c r="F101" s="21"/>
      <c r="G101" s="21">
        <v>1</v>
      </c>
    </row>
    <row r="102" spans="2:7" x14ac:dyDescent="0.25">
      <c r="B102" s="21">
        <v>1</v>
      </c>
      <c r="C102" s="9" t="s">
        <v>111</v>
      </c>
      <c r="D102" s="16">
        <v>1108.25</v>
      </c>
      <c r="E102" s="20">
        <f t="shared" si="2"/>
        <v>1108.25</v>
      </c>
      <c r="F102" s="21">
        <v>1</v>
      </c>
      <c r="G102" s="21"/>
    </row>
    <row r="103" spans="2:7" x14ac:dyDescent="0.25">
      <c r="B103" s="21">
        <v>1</v>
      </c>
      <c r="C103" s="19" t="s">
        <v>112</v>
      </c>
      <c r="D103" s="16">
        <v>1108.25</v>
      </c>
      <c r="E103" s="20">
        <f t="shared" si="2"/>
        <v>1108.25</v>
      </c>
      <c r="F103" s="21">
        <v>1</v>
      </c>
      <c r="G103" s="21"/>
    </row>
    <row r="104" spans="2:7" x14ac:dyDescent="0.25">
      <c r="B104" s="21">
        <f>1+1</f>
        <v>2</v>
      </c>
      <c r="C104" s="19" t="s">
        <v>83</v>
      </c>
      <c r="D104" s="16">
        <v>1108.25</v>
      </c>
      <c r="E104" s="20">
        <f t="shared" si="2"/>
        <v>2216.5</v>
      </c>
      <c r="F104" s="21">
        <f>1+1</f>
        <v>2</v>
      </c>
      <c r="G104" s="21"/>
    </row>
    <row r="105" spans="2:7" x14ac:dyDescent="0.25">
      <c r="B105" s="21">
        <v>3</v>
      </c>
      <c r="C105" s="9" t="s">
        <v>45</v>
      </c>
      <c r="D105" s="16">
        <v>1108.25</v>
      </c>
      <c r="E105" s="20">
        <f t="shared" si="2"/>
        <v>3324.75</v>
      </c>
      <c r="F105" s="21">
        <v>1</v>
      </c>
      <c r="G105" s="21">
        <v>2</v>
      </c>
    </row>
    <row r="106" spans="2:7" x14ac:dyDescent="0.25">
      <c r="B106" s="21">
        <v>1</v>
      </c>
      <c r="C106" s="19" t="s">
        <v>46</v>
      </c>
      <c r="D106" s="16">
        <v>798.67</v>
      </c>
      <c r="E106" s="20">
        <f t="shared" si="2"/>
        <v>798.67</v>
      </c>
      <c r="F106" s="21">
        <v>1</v>
      </c>
      <c r="G106" s="21"/>
    </row>
    <row r="107" spans="2:7" x14ac:dyDescent="0.25">
      <c r="B107" s="21">
        <v>1</v>
      </c>
      <c r="C107" s="9" t="s">
        <v>47</v>
      </c>
      <c r="D107" s="16">
        <v>798.67</v>
      </c>
      <c r="E107" s="20">
        <f t="shared" si="2"/>
        <v>798.67</v>
      </c>
      <c r="F107" s="21">
        <v>1</v>
      </c>
      <c r="G107" s="21"/>
    </row>
    <row r="108" spans="2:7" x14ac:dyDescent="0.25">
      <c r="B108" s="21">
        <v>1</v>
      </c>
      <c r="C108" s="19" t="s">
        <v>48</v>
      </c>
      <c r="D108" s="16">
        <v>798.67</v>
      </c>
      <c r="E108" s="20">
        <f t="shared" si="2"/>
        <v>798.67</v>
      </c>
      <c r="F108" s="21"/>
      <c r="G108" s="21">
        <v>1</v>
      </c>
    </row>
    <row r="109" spans="2:7" x14ac:dyDescent="0.25">
      <c r="B109" s="21">
        <v>1</v>
      </c>
      <c r="C109" s="19" t="s">
        <v>92</v>
      </c>
      <c r="D109" s="16">
        <v>798.67</v>
      </c>
      <c r="E109" s="20">
        <f t="shared" si="2"/>
        <v>798.67</v>
      </c>
      <c r="F109" s="21">
        <v>1</v>
      </c>
      <c r="G109" s="21"/>
    </row>
    <row r="110" spans="2:7" x14ac:dyDescent="0.25">
      <c r="B110" s="21">
        <v>1</v>
      </c>
      <c r="C110" s="19" t="s">
        <v>93</v>
      </c>
      <c r="D110" s="16">
        <v>798.67</v>
      </c>
      <c r="E110" s="20">
        <f t="shared" si="2"/>
        <v>798.67</v>
      </c>
      <c r="F110" s="21">
        <v>1</v>
      </c>
      <c r="G110" s="21"/>
    </row>
    <row r="111" spans="2:7" x14ac:dyDescent="0.25">
      <c r="B111" s="21">
        <v>1</v>
      </c>
      <c r="C111" s="19" t="s">
        <v>94</v>
      </c>
      <c r="D111" s="16">
        <v>798.67</v>
      </c>
      <c r="E111" s="20">
        <f t="shared" si="2"/>
        <v>798.67</v>
      </c>
      <c r="F111" s="21">
        <v>1</v>
      </c>
      <c r="G111" s="21"/>
    </row>
    <row r="112" spans="2:7" x14ac:dyDescent="0.25">
      <c r="B112" s="21">
        <v>1</v>
      </c>
      <c r="C112" s="19" t="s">
        <v>95</v>
      </c>
      <c r="D112" s="16">
        <v>798.67</v>
      </c>
      <c r="E112" s="20">
        <f t="shared" si="2"/>
        <v>798.67</v>
      </c>
      <c r="F112" s="21">
        <v>1</v>
      </c>
      <c r="G112" s="21"/>
    </row>
    <row r="113" spans="2:7" x14ac:dyDescent="0.25">
      <c r="B113" s="21">
        <v>1</v>
      </c>
      <c r="C113" s="9" t="s">
        <v>96</v>
      </c>
      <c r="D113" s="16">
        <v>798.67</v>
      </c>
      <c r="E113" s="20">
        <f t="shared" si="2"/>
        <v>798.67</v>
      </c>
      <c r="F113" s="21"/>
      <c r="G113" s="21">
        <v>1</v>
      </c>
    </row>
    <row r="114" spans="2:7" x14ac:dyDescent="0.25">
      <c r="B114" s="21">
        <v>1</v>
      </c>
      <c r="C114" s="19" t="s">
        <v>104</v>
      </c>
      <c r="D114" s="16">
        <v>798.67</v>
      </c>
      <c r="E114" s="20">
        <f t="shared" si="2"/>
        <v>798.67</v>
      </c>
      <c r="F114" s="21"/>
      <c r="G114" s="21">
        <v>1</v>
      </c>
    </row>
    <row r="115" spans="2:7" x14ac:dyDescent="0.25">
      <c r="B115" s="21">
        <v>1</v>
      </c>
      <c r="C115" s="19" t="s">
        <v>105</v>
      </c>
      <c r="D115" s="16">
        <v>798.67</v>
      </c>
      <c r="E115" s="20">
        <f t="shared" si="2"/>
        <v>798.67</v>
      </c>
      <c r="F115" s="21">
        <v>1</v>
      </c>
      <c r="G115" s="21"/>
    </row>
    <row r="116" spans="2:7" x14ac:dyDescent="0.25">
      <c r="B116" s="21">
        <v>1</v>
      </c>
      <c r="C116" s="19" t="s">
        <v>106</v>
      </c>
      <c r="D116" s="16">
        <v>798.67</v>
      </c>
      <c r="E116" s="20">
        <f t="shared" si="2"/>
        <v>798.67</v>
      </c>
      <c r="F116" s="21">
        <v>1</v>
      </c>
      <c r="G116" s="21"/>
    </row>
    <row r="117" spans="2:7" x14ac:dyDescent="0.25">
      <c r="B117" s="21">
        <v>1</v>
      </c>
      <c r="C117" s="19" t="s">
        <v>109</v>
      </c>
      <c r="D117" s="16">
        <v>798.67</v>
      </c>
      <c r="E117" s="20">
        <f t="shared" si="2"/>
        <v>798.67</v>
      </c>
      <c r="F117" s="21">
        <v>1</v>
      </c>
      <c r="G117" s="21"/>
    </row>
    <row r="118" spans="2:7" x14ac:dyDescent="0.25">
      <c r="B118" s="21">
        <v>1</v>
      </c>
      <c r="C118" s="19" t="s">
        <v>113</v>
      </c>
      <c r="D118" s="16">
        <v>798.67</v>
      </c>
      <c r="E118" s="20">
        <f t="shared" si="2"/>
        <v>798.67</v>
      </c>
      <c r="F118" s="21">
        <v>1</v>
      </c>
      <c r="G118" s="21"/>
    </row>
    <row r="119" spans="2:7" x14ac:dyDescent="0.25">
      <c r="B119" s="21">
        <v>1</v>
      </c>
      <c r="C119" s="19" t="s">
        <v>114</v>
      </c>
      <c r="D119" s="16">
        <v>798.67</v>
      </c>
      <c r="E119" s="20">
        <f t="shared" si="2"/>
        <v>798.67</v>
      </c>
      <c r="F119" s="21"/>
      <c r="G119" s="21">
        <v>1</v>
      </c>
    </row>
    <row r="120" spans="2:7" x14ac:dyDescent="0.25">
      <c r="B120" s="21">
        <v>1</v>
      </c>
      <c r="C120" s="19" t="s">
        <v>115</v>
      </c>
      <c r="D120" s="16">
        <v>798.67</v>
      </c>
      <c r="E120" s="20">
        <f t="shared" si="2"/>
        <v>798.67</v>
      </c>
      <c r="F120" s="21"/>
      <c r="G120" s="21">
        <v>1</v>
      </c>
    </row>
    <row r="121" spans="2:7" x14ac:dyDescent="0.25">
      <c r="B121" s="21">
        <v>1</v>
      </c>
      <c r="C121" s="19" t="s">
        <v>116</v>
      </c>
      <c r="D121" s="16">
        <v>798.67</v>
      </c>
      <c r="E121" s="20">
        <f t="shared" si="2"/>
        <v>798.67</v>
      </c>
      <c r="F121" s="21">
        <v>1</v>
      </c>
      <c r="G121" s="21"/>
    </row>
    <row r="122" spans="2:7" x14ac:dyDescent="0.25">
      <c r="B122" s="21">
        <v>1</v>
      </c>
      <c r="C122" s="19" t="s">
        <v>117</v>
      </c>
      <c r="D122" s="16">
        <v>798.67</v>
      </c>
      <c r="E122" s="20">
        <f t="shared" si="2"/>
        <v>798.67</v>
      </c>
      <c r="F122" s="21">
        <v>1</v>
      </c>
      <c r="G122" s="21"/>
    </row>
    <row r="123" spans="2:7" x14ac:dyDescent="0.25">
      <c r="B123" s="21">
        <v>1</v>
      </c>
      <c r="C123" s="19" t="s">
        <v>118</v>
      </c>
      <c r="D123" s="16">
        <v>798.67</v>
      </c>
      <c r="E123" s="20">
        <f t="shared" si="2"/>
        <v>798.67</v>
      </c>
      <c r="F123" s="21"/>
      <c r="G123" s="21">
        <v>1</v>
      </c>
    </row>
    <row r="124" spans="2:7" x14ac:dyDescent="0.25">
      <c r="B124" s="21">
        <v>1</v>
      </c>
      <c r="C124" s="19" t="s">
        <v>125</v>
      </c>
      <c r="D124" s="16">
        <v>798.67</v>
      </c>
      <c r="E124" s="20">
        <f t="shared" si="2"/>
        <v>798.67</v>
      </c>
      <c r="F124" s="21">
        <v>1</v>
      </c>
      <c r="G124" s="21"/>
    </row>
    <row r="125" spans="2:7" x14ac:dyDescent="0.25">
      <c r="B125" s="21">
        <v>1</v>
      </c>
      <c r="C125" s="19" t="s">
        <v>126</v>
      </c>
      <c r="D125" s="16">
        <v>798.67</v>
      </c>
      <c r="E125" s="20">
        <f t="shared" si="2"/>
        <v>798.67</v>
      </c>
      <c r="F125" s="21"/>
      <c r="G125" s="21">
        <v>1</v>
      </c>
    </row>
    <row r="126" spans="2:7" x14ac:dyDescent="0.25">
      <c r="B126" s="21">
        <v>1</v>
      </c>
      <c r="C126" s="19" t="s">
        <v>77</v>
      </c>
      <c r="D126" s="16">
        <v>743.67</v>
      </c>
      <c r="E126" s="20">
        <f t="shared" si="2"/>
        <v>743.67</v>
      </c>
      <c r="F126" s="21">
        <v>1</v>
      </c>
      <c r="G126" s="21"/>
    </row>
    <row r="127" spans="2:7" x14ac:dyDescent="0.25">
      <c r="B127" s="21">
        <v>1</v>
      </c>
      <c r="C127" s="19" t="s">
        <v>28</v>
      </c>
      <c r="D127" s="16">
        <v>743.67</v>
      </c>
      <c r="E127" s="20">
        <f t="shared" si="2"/>
        <v>743.67</v>
      </c>
      <c r="F127" s="21"/>
      <c r="G127" s="21">
        <v>1</v>
      </c>
    </row>
    <row r="128" spans="2:7" x14ac:dyDescent="0.25">
      <c r="B128" s="21">
        <f>3+1</f>
        <v>4</v>
      </c>
      <c r="C128" s="19" t="s">
        <v>110</v>
      </c>
      <c r="D128" s="16">
        <v>715.91</v>
      </c>
      <c r="E128" s="20">
        <f t="shared" si="2"/>
        <v>2863.64</v>
      </c>
      <c r="F128" s="21">
        <f>2+1</f>
        <v>3</v>
      </c>
      <c r="G128" s="21">
        <v>1</v>
      </c>
    </row>
    <row r="129" spans="2:7" x14ac:dyDescent="0.25">
      <c r="B129" s="21">
        <v>3</v>
      </c>
      <c r="C129" s="9" t="s">
        <v>49</v>
      </c>
      <c r="D129" s="16">
        <v>674.55</v>
      </c>
      <c r="E129" s="20">
        <f t="shared" si="2"/>
        <v>2023.6499999999999</v>
      </c>
      <c r="F129" s="21">
        <v>2</v>
      </c>
      <c r="G129" s="21">
        <v>1</v>
      </c>
    </row>
    <row r="130" spans="2:7" x14ac:dyDescent="0.25">
      <c r="B130" s="21">
        <v>5</v>
      </c>
      <c r="C130" s="9" t="s">
        <v>29</v>
      </c>
      <c r="D130" s="16">
        <v>674.55</v>
      </c>
      <c r="E130" s="20">
        <f t="shared" si="2"/>
        <v>3372.75</v>
      </c>
      <c r="F130" s="21">
        <v>2</v>
      </c>
      <c r="G130" s="21">
        <v>3</v>
      </c>
    </row>
    <row r="131" spans="2:7" x14ac:dyDescent="0.25">
      <c r="B131" s="21">
        <v>3</v>
      </c>
      <c r="C131" s="9" t="s">
        <v>31</v>
      </c>
      <c r="D131" s="16">
        <v>674.55</v>
      </c>
      <c r="E131" s="20">
        <f t="shared" si="2"/>
        <v>2023.6499999999999</v>
      </c>
      <c r="F131" s="21">
        <v>3</v>
      </c>
      <c r="G131" s="21"/>
    </row>
    <row r="132" spans="2:7" x14ac:dyDescent="0.25">
      <c r="B132" s="21">
        <v>1</v>
      </c>
      <c r="C132" s="9" t="s">
        <v>50</v>
      </c>
      <c r="D132" s="16">
        <v>674.55</v>
      </c>
      <c r="E132" s="20">
        <f t="shared" si="2"/>
        <v>674.55</v>
      </c>
      <c r="F132" s="21"/>
      <c r="G132" s="21">
        <v>1</v>
      </c>
    </row>
    <row r="133" spans="2:7" x14ac:dyDescent="0.25">
      <c r="B133" s="21">
        <v>1</v>
      </c>
      <c r="C133" s="9" t="s">
        <v>51</v>
      </c>
      <c r="D133" s="16">
        <v>674.55</v>
      </c>
      <c r="E133" s="20">
        <f t="shared" si="2"/>
        <v>674.55</v>
      </c>
      <c r="F133" s="21"/>
      <c r="G133" s="21">
        <v>1</v>
      </c>
    </row>
    <row r="134" spans="2:7" x14ac:dyDescent="0.25">
      <c r="B134" s="21">
        <v>2</v>
      </c>
      <c r="C134" s="9" t="s">
        <v>52</v>
      </c>
      <c r="D134" s="16">
        <v>674.55</v>
      </c>
      <c r="E134" s="20">
        <f t="shared" si="2"/>
        <v>1349.1</v>
      </c>
      <c r="F134" s="21"/>
      <c r="G134" s="21">
        <v>2</v>
      </c>
    </row>
    <row r="135" spans="2:7" x14ac:dyDescent="0.25">
      <c r="B135" s="23">
        <v>5</v>
      </c>
      <c r="C135" s="9" t="s">
        <v>89</v>
      </c>
      <c r="D135" s="16">
        <v>674.55</v>
      </c>
      <c r="E135" s="20">
        <f t="shared" si="2"/>
        <v>3372.75</v>
      </c>
      <c r="F135" s="23">
        <v>2</v>
      </c>
      <c r="G135" s="23">
        <v>3</v>
      </c>
    </row>
    <row r="136" spans="2:7" x14ac:dyDescent="0.25">
      <c r="B136" s="23">
        <v>2</v>
      </c>
      <c r="C136" s="19" t="s">
        <v>97</v>
      </c>
      <c r="D136" s="16">
        <v>674.55</v>
      </c>
      <c r="E136" s="20">
        <f t="shared" si="2"/>
        <v>1349.1</v>
      </c>
      <c r="F136" s="23">
        <v>1</v>
      </c>
      <c r="G136" s="23">
        <v>1</v>
      </c>
    </row>
    <row r="137" spans="2:7" s="13" customFormat="1" x14ac:dyDescent="0.25">
      <c r="B137" s="48"/>
      <c r="C137" s="55"/>
      <c r="D137" s="56"/>
      <c r="E137" s="57"/>
      <c r="F137" s="48"/>
      <c r="G137" s="48"/>
    </row>
    <row r="138" spans="2:7" s="13" customFormat="1" x14ac:dyDescent="0.25">
      <c r="B138" s="48"/>
      <c r="C138" s="55"/>
      <c r="D138" s="56"/>
      <c r="E138" s="57"/>
      <c r="F138" s="48"/>
      <c r="G138" s="48"/>
    </row>
    <row r="139" spans="2:7" s="13" customFormat="1" x14ac:dyDescent="0.25">
      <c r="B139" s="48"/>
      <c r="C139" s="55"/>
      <c r="D139" s="56"/>
      <c r="E139" s="57"/>
      <c r="F139" s="48"/>
      <c r="G139" s="48"/>
    </row>
    <row r="140" spans="2:7" s="13" customFormat="1" x14ac:dyDescent="0.25">
      <c r="B140" s="48"/>
      <c r="C140" s="55"/>
      <c r="D140" s="56"/>
      <c r="E140" s="57"/>
      <c r="F140" s="48"/>
      <c r="G140" s="48"/>
    </row>
    <row r="141" spans="2:7" s="13" customFormat="1" x14ac:dyDescent="0.25">
      <c r="B141" s="48"/>
      <c r="C141" s="55"/>
      <c r="D141" s="56"/>
      <c r="E141" s="57"/>
      <c r="F141" s="48"/>
      <c r="G141" s="48"/>
    </row>
    <row r="142" spans="2:7" x14ac:dyDescent="0.25">
      <c r="B142" s="23">
        <v>3</v>
      </c>
      <c r="C142" s="19" t="s">
        <v>98</v>
      </c>
      <c r="D142" s="16">
        <v>674.55</v>
      </c>
      <c r="E142" s="20">
        <f t="shared" si="2"/>
        <v>2023.6499999999999</v>
      </c>
      <c r="F142" s="23">
        <v>1</v>
      </c>
      <c r="G142" s="23">
        <v>2</v>
      </c>
    </row>
    <row r="143" spans="2:7" x14ac:dyDescent="0.25">
      <c r="B143" s="23">
        <v>4</v>
      </c>
      <c r="C143" s="19" t="s">
        <v>99</v>
      </c>
      <c r="D143" s="16">
        <v>674.55</v>
      </c>
      <c r="E143" s="20">
        <f t="shared" si="2"/>
        <v>2698.2</v>
      </c>
      <c r="F143" s="23">
        <v>1</v>
      </c>
      <c r="G143" s="23">
        <v>3</v>
      </c>
    </row>
    <row r="144" spans="2:7" x14ac:dyDescent="0.25">
      <c r="B144" s="23">
        <v>1</v>
      </c>
      <c r="C144" s="19" t="s">
        <v>107</v>
      </c>
      <c r="D144" s="16">
        <v>674.55</v>
      </c>
      <c r="E144" s="20">
        <f t="shared" si="2"/>
        <v>674.55</v>
      </c>
      <c r="F144" s="23"/>
      <c r="G144" s="23">
        <v>1</v>
      </c>
    </row>
    <row r="145" spans="2:7" x14ac:dyDescent="0.25">
      <c r="B145" s="23">
        <v>1</v>
      </c>
      <c r="C145" s="9" t="s">
        <v>50</v>
      </c>
      <c r="D145" s="16">
        <v>674.55</v>
      </c>
      <c r="E145" s="20">
        <f t="shared" si="2"/>
        <v>674.55</v>
      </c>
      <c r="F145" s="23"/>
      <c r="G145" s="23">
        <v>1</v>
      </c>
    </row>
    <row r="146" spans="2:7" x14ac:dyDescent="0.25">
      <c r="B146" s="21">
        <f>3+1+1+1+1</f>
        <v>7</v>
      </c>
      <c r="C146" s="9" t="s">
        <v>28</v>
      </c>
      <c r="D146" s="16">
        <v>674.55</v>
      </c>
      <c r="E146" s="20">
        <f t="shared" si="2"/>
        <v>4721.8499999999995</v>
      </c>
      <c r="F146" s="21"/>
      <c r="G146" s="21">
        <f>3+1+1+1+1</f>
        <v>7</v>
      </c>
    </row>
    <row r="147" spans="2:7" x14ac:dyDescent="0.25">
      <c r="B147" s="21">
        <v>1</v>
      </c>
      <c r="C147" s="9" t="s">
        <v>53</v>
      </c>
      <c r="D147" s="16">
        <v>674.55</v>
      </c>
      <c r="E147" s="20">
        <f t="shared" si="2"/>
        <v>674.55</v>
      </c>
      <c r="F147" s="21">
        <v>1</v>
      </c>
      <c r="G147" s="21"/>
    </row>
    <row r="148" spans="2:7" x14ac:dyDescent="0.25">
      <c r="B148" s="21">
        <v>2</v>
      </c>
      <c r="C148" s="9" t="s">
        <v>54</v>
      </c>
      <c r="D148" s="16">
        <v>674.55</v>
      </c>
      <c r="E148" s="20">
        <f t="shared" si="2"/>
        <v>1349.1</v>
      </c>
      <c r="F148" s="21">
        <v>1</v>
      </c>
      <c r="G148" s="21">
        <v>1</v>
      </c>
    </row>
    <row r="149" spans="2:7" x14ac:dyDescent="0.25">
      <c r="B149" s="21">
        <v>4</v>
      </c>
      <c r="C149" s="9" t="s">
        <v>63</v>
      </c>
      <c r="D149" s="16">
        <v>674.55</v>
      </c>
      <c r="E149" s="20">
        <f t="shared" si="2"/>
        <v>2698.2</v>
      </c>
      <c r="F149" s="21"/>
      <c r="G149" s="21">
        <v>4</v>
      </c>
    </row>
    <row r="150" spans="2:7" x14ac:dyDescent="0.25">
      <c r="B150" s="21">
        <f>28+1+2+5+2+3</f>
        <v>41</v>
      </c>
      <c r="C150" s="19" t="s">
        <v>70</v>
      </c>
      <c r="D150" s="16">
        <v>674.55</v>
      </c>
      <c r="E150" s="20">
        <f t="shared" si="2"/>
        <v>27656.55</v>
      </c>
      <c r="F150" s="21">
        <f>14+1+2+3+1+2</f>
        <v>23</v>
      </c>
      <c r="G150" s="21">
        <f>14+2+1+1</f>
        <v>18</v>
      </c>
    </row>
    <row r="151" spans="2:7" x14ac:dyDescent="0.25">
      <c r="B151" s="21">
        <v>1</v>
      </c>
      <c r="C151" s="19" t="s">
        <v>119</v>
      </c>
      <c r="D151" s="16">
        <v>604.82000000000005</v>
      </c>
      <c r="E151" s="20">
        <f t="shared" si="2"/>
        <v>604.82000000000005</v>
      </c>
      <c r="F151" s="21">
        <v>1</v>
      </c>
      <c r="G151" s="21"/>
    </row>
    <row r="152" spans="2:7" x14ac:dyDescent="0.25">
      <c r="B152" s="21">
        <v>1</v>
      </c>
      <c r="C152" s="19" t="s">
        <v>55</v>
      </c>
      <c r="D152" s="16">
        <v>577.04</v>
      </c>
      <c r="E152" s="20">
        <f t="shared" si="2"/>
        <v>577.04</v>
      </c>
      <c r="F152" s="21"/>
      <c r="G152" s="21">
        <v>1</v>
      </c>
    </row>
    <row r="153" spans="2:7" x14ac:dyDescent="0.25">
      <c r="B153" s="21">
        <v>1</v>
      </c>
      <c r="C153" s="19" t="s">
        <v>100</v>
      </c>
      <c r="D153" s="16">
        <v>577.04</v>
      </c>
      <c r="E153" s="20">
        <f t="shared" si="2"/>
        <v>577.04</v>
      </c>
      <c r="F153" s="21">
        <v>1</v>
      </c>
      <c r="G153" s="21"/>
    </row>
    <row r="154" spans="2:7" x14ac:dyDescent="0.25">
      <c r="B154" s="21">
        <v>4</v>
      </c>
      <c r="C154" s="19" t="s">
        <v>85</v>
      </c>
      <c r="D154" s="16">
        <v>577.04</v>
      </c>
      <c r="E154" s="20">
        <f t="shared" si="2"/>
        <v>2308.16</v>
      </c>
      <c r="F154" s="21">
        <v>4</v>
      </c>
      <c r="G154" s="21"/>
    </row>
    <row r="155" spans="2:7" x14ac:dyDescent="0.25">
      <c r="B155" s="21">
        <f>1+1</f>
        <v>2</v>
      </c>
      <c r="C155" s="19" t="s">
        <v>71</v>
      </c>
      <c r="D155" s="16">
        <v>577.04</v>
      </c>
      <c r="E155" s="20">
        <f t="shared" si="2"/>
        <v>1154.08</v>
      </c>
      <c r="F155" s="21"/>
      <c r="G155" s="21">
        <f>1+1</f>
        <v>2</v>
      </c>
    </row>
    <row r="156" spans="2:7" x14ac:dyDescent="0.25">
      <c r="B156" s="21">
        <f>6+1+1+1+2</f>
        <v>11</v>
      </c>
      <c r="C156" s="19" t="s">
        <v>78</v>
      </c>
      <c r="D156" s="16">
        <v>577.04</v>
      </c>
      <c r="E156" s="20">
        <f t="shared" si="2"/>
        <v>6347.44</v>
      </c>
      <c r="F156" s="21">
        <f>5+1+1</f>
        <v>7</v>
      </c>
      <c r="G156" s="21">
        <f>1+1+1+1</f>
        <v>4</v>
      </c>
    </row>
    <row r="157" spans="2:7" x14ac:dyDescent="0.25">
      <c r="B157" s="21">
        <v>1</v>
      </c>
      <c r="C157" s="9" t="s">
        <v>120</v>
      </c>
      <c r="D157" s="16">
        <v>577.04</v>
      </c>
      <c r="E157" s="20">
        <f t="shared" si="2"/>
        <v>577.04</v>
      </c>
      <c r="F157" s="21">
        <v>1</v>
      </c>
      <c r="G157" s="21"/>
    </row>
    <row r="158" spans="2:7" x14ac:dyDescent="0.25">
      <c r="B158" s="21">
        <f>1+1</f>
        <v>2</v>
      </c>
      <c r="C158" s="19" t="s">
        <v>121</v>
      </c>
      <c r="D158" s="16">
        <v>577.04</v>
      </c>
      <c r="E158" s="20">
        <f t="shared" si="2"/>
        <v>1154.08</v>
      </c>
      <c r="F158" s="21">
        <f>1+1</f>
        <v>2</v>
      </c>
      <c r="G158" s="21"/>
    </row>
    <row r="159" spans="2:7" x14ac:dyDescent="0.25">
      <c r="B159" s="21">
        <v>2</v>
      </c>
      <c r="C159" s="19" t="s">
        <v>122</v>
      </c>
      <c r="D159" s="16">
        <v>577.04</v>
      </c>
      <c r="E159" s="20">
        <f t="shared" si="2"/>
        <v>1154.08</v>
      </c>
      <c r="F159" s="21">
        <v>1</v>
      </c>
      <c r="G159" s="21">
        <v>1</v>
      </c>
    </row>
    <row r="160" spans="2:7" x14ac:dyDescent="0.25">
      <c r="B160" s="21">
        <f>3+1</f>
        <v>4</v>
      </c>
      <c r="C160" s="19" t="s">
        <v>79</v>
      </c>
      <c r="D160" s="16">
        <v>577.04</v>
      </c>
      <c r="E160" s="20">
        <f t="shared" si="2"/>
        <v>2308.16</v>
      </c>
      <c r="F160" s="21">
        <f>3+1</f>
        <v>4</v>
      </c>
      <c r="G160" s="21"/>
    </row>
    <row r="161" spans="2:7" x14ac:dyDescent="0.25">
      <c r="B161" s="21">
        <v>1</v>
      </c>
      <c r="C161" s="19" t="s">
        <v>123</v>
      </c>
      <c r="D161" s="16">
        <v>577.04</v>
      </c>
      <c r="E161" s="20">
        <f t="shared" si="2"/>
        <v>577.04</v>
      </c>
      <c r="F161" s="21">
        <v>1</v>
      </c>
      <c r="G161" s="21"/>
    </row>
    <row r="162" spans="2:7" x14ac:dyDescent="0.25">
      <c r="B162" s="21">
        <v>2</v>
      </c>
      <c r="C162" s="19" t="s">
        <v>80</v>
      </c>
      <c r="D162" s="16">
        <v>577.04</v>
      </c>
      <c r="E162" s="20">
        <f t="shared" si="2"/>
        <v>1154.08</v>
      </c>
      <c r="F162" s="21">
        <v>1</v>
      </c>
      <c r="G162" s="21">
        <v>1</v>
      </c>
    </row>
    <row r="163" spans="2:7" x14ac:dyDescent="0.25">
      <c r="B163" s="21">
        <v>1</v>
      </c>
      <c r="C163" s="19" t="s">
        <v>56</v>
      </c>
      <c r="D163" s="16">
        <v>563.46</v>
      </c>
      <c r="E163" s="20">
        <f t="shared" si="2"/>
        <v>563.46</v>
      </c>
      <c r="F163" s="21"/>
      <c r="G163" s="21">
        <v>1</v>
      </c>
    </row>
    <row r="164" spans="2:7" x14ac:dyDescent="0.25">
      <c r="B164" s="21">
        <f>6+7+1+3+1+1</f>
        <v>19</v>
      </c>
      <c r="C164" s="19" t="s">
        <v>28</v>
      </c>
      <c r="D164" s="16">
        <v>563.46</v>
      </c>
      <c r="E164" s="20">
        <f t="shared" si="2"/>
        <v>10705.740000000002</v>
      </c>
      <c r="F164" s="21"/>
      <c r="G164" s="21">
        <f>6+7+1+3+1+1</f>
        <v>19</v>
      </c>
    </row>
    <row r="165" spans="2:7" x14ac:dyDescent="0.25">
      <c r="B165" s="21">
        <f>1+1+4+1+1+1</f>
        <v>9</v>
      </c>
      <c r="C165" s="19" t="s">
        <v>28</v>
      </c>
      <c r="D165" s="16">
        <v>507.92</v>
      </c>
      <c r="E165" s="20">
        <f t="shared" si="2"/>
        <v>4571.28</v>
      </c>
      <c r="F165" s="21"/>
      <c r="G165" s="21">
        <f>1+1+4+1+1+1</f>
        <v>9</v>
      </c>
    </row>
    <row r="166" spans="2:7" x14ac:dyDescent="0.25">
      <c r="B166" s="21">
        <v>1</v>
      </c>
      <c r="C166" s="19" t="s">
        <v>101</v>
      </c>
      <c r="D166" s="16">
        <v>507.92</v>
      </c>
      <c r="E166" s="20">
        <f t="shared" si="2"/>
        <v>507.92</v>
      </c>
      <c r="F166" s="21"/>
      <c r="G166" s="21">
        <v>1</v>
      </c>
    </row>
    <row r="167" spans="2:7" x14ac:dyDescent="0.25">
      <c r="B167" s="21">
        <f>1+1+1</f>
        <v>3</v>
      </c>
      <c r="C167" s="19" t="s">
        <v>57</v>
      </c>
      <c r="D167" s="16">
        <v>499.91</v>
      </c>
      <c r="E167" s="20">
        <f t="shared" si="2"/>
        <v>1499.73</v>
      </c>
      <c r="F167" s="21">
        <f>1+1+1</f>
        <v>3</v>
      </c>
      <c r="G167" s="21"/>
    </row>
    <row r="168" spans="2:7" x14ac:dyDescent="0.25">
      <c r="B168" s="21">
        <f>8+2+5+1+2+1</f>
        <v>19</v>
      </c>
      <c r="C168" s="19" t="s">
        <v>57</v>
      </c>
      <c r="D168" s="16">
        <v>488.12</v>
      </c>
      <c r="E168" s="20">
        <f t="shared" ref="E168:E175" si="3">D168*B168</f>
        <v>9274.2800000000007</v>
      </c>
      <c r="F168" s="21">
        <f>8+2+5+1+1</f>
        <v>17</v>
      </c>
      <c r="G168" s="21">
        <f>1+1</f>
        <v>2</v>
      </c>
    </row>
    <row r="169" spans="2:7" x14ac:dyDescent="0.25">
      <c r="B169" s="21">
        <f>3+7+2+2+1+3+1+2</f>
        <v>21</v>
      </c>
      <c r="C169" s="9" t="s">
        <v>71</v>
      </c>
      <c r="D169" s="16">
        <v>488.12</v>
      </c>
      <c r="E169" s="20">
        <f t="shared" si="3"/>
        <v>10250.52</v>
      </c>
      <c r="F169" s="21"/>
      <c r="G169" s="21">
        <f>3+7+2+2+1+3+1+2</f>
        <v>21</v>
      </c>
    </row>
    <row r="170" spans="2:7" x14ac:dyDescent="0.25">
      <c r="B170" s="21">
        <f>1+1</f>
        <v>2</v>
      </c>
      <c r="C170" s="9" t="s">
        <v>57</v>
      </c>
      <c r="D170" s="16">
        <v>446</v>
      </c>
      <c r="E170" s="20">
        <f t="shared" si="3"/>
        <v>892</v>
      </c>
      <c r="F170" s="21">
        <f>1+1</f>
        <v>2</v>
      </c>
      <c r="G170" s="21"/>
    </row>
    <row r="171" spans="2:7" x14ac:dyDescent="0.25">
      <c r="B171" s="21">
        <f>2+14+1+2+4</f>
        <v>23</v>
      </c>
      <c r="C171" s="19" t="s">
        <v>34</v>
      </c>
      <c r="D171" s="16">
        <v>431.55</v>
      </c>
      <c r="E171" s="20">
        <f t="shared" si="3"/>
        <v>9925.65</v>
      </c>
      <c r="F171" s="21">
        <f>2+14+1+2+4</f>
        <v>23</v>
      </c>
      <c r="G171" s="21"/>
    </row>
    <row r="172" spans="2:7" x14ac:dyDescent="0.25">
      <c r="B172" s="21">
        <f>7+1</f>
        <v>8</v>
      </c>
      <c r="C172" s="19" t="s">
        <v>84</v>
      </c>
      <c r="D172" s="16">
        <v>431.55</v>
      </c>
      <c r="E172" s="20">
        <f t="shared" si="3"/>
        <v>3452.4</v>
      </c>
      <c r="F172" s="21">
        <f>7+1</f>
        <v>8</v>
      </c>
      <c r="G172" s="21"/>
    </row>
    <row r="173" spans="2:7" x14ac:dyDescent="0.25">
      <c r="B173" s="21">
        <f>2+2+2+1+1</f>
        <v>8</v>
      </c>
      <c r="C173" s="19" t="s">
        <v>33</v>
      </c>
      <c r="D173" s="16">
        <v>431.55</v>
      </c>
      <c r="E173" s="20">
        <f t="shared" si="3"/>
        <v>3452.4</v>
      </c>
      <c r="F173" s="21">
        <f>2+2+2+1+1</f>
        <v>8</v>
      </c>
      <c r="G173" s="21"/>
    </row>
    <row r="174" spans="2:7" x14ac:dyDescent="0.25">
      <c r="B174" s="21">
        <v>1</v>
      </c>
      <c r="C174" s="19" t="s">
        <v>124</v>
      </c>
      <c r="D174" s="16">
        <v>417.72</v>
      </c>
      <c r="E174" s="20">
        <f t="shared" si="3"/>
        <v>417.72</v>
      </c>
      <c r="F174" s="21">
        <v>1</v>
      </c>
      <c r="G174" s="21"/>
    </row>
    <row r="175" spans="2:7" x14ac:dyDescent="0.25">
      <c r="B175" s="21">
        <f>3+12+10+3+1+4+3+5+1</f>
        <v>42</v>
      </c>
      <c r="C175" s="19" t="s">
        <v>35</v>
      </c>
      <c r="D175" s="16">
        <f>403.27</f>
        <v>403.27</v>
      </c>
      <c r="E175" s="20">
        <f t="shared" si="3"/>
        <v>16937.34</v>
      </c>
      <c r="F175" s="21">
        <f>2+11+9+2+1+3+3+5+1</f>
        <v>37</v>
      </c>
      <c r="G175" s="21">
        <f>1+1+1+1+1</f>
        <v>5</v>
      </c>
    </row>
    <row r="176" spans="2:7" ht="15.75" x14ac:dyDescent="0.25">
      <c r="B176" s="12">
        <f>SUM(B90:B175)</f>
        <v>320</v>
      </c>
      <c r="C176" s="1"/>
      <c r="D176" s="1"/>
      <c r="E176" s="18">
        <f>SUM(E90:E175)</f>
        <v>193238.59999999998</v>
      </c>
      <c r="F176" s="14">
        <f>SUM(F90:F175)</f>
        <v>190</v>
      </c>
      <c r="G176" s="14">
        <f>SUM(G90:G175)</f>
        <v>130</v>
      </c>
    </row>
  </sheetData>
  <mergeCells count="2">
    <mergeCell ref="F3:G3"/>
    <mergeCell ref="F88:G88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8"/>
  <sheetViews>
    <sheetView view="pageBreakPreview" topLeftCell="A155" zoomScale="60" zoomScaleNormal="100" workbookViewId="0">
      <selection activeCell="B142" sqref="B142:G148"/>
    </sheetView>
  </sheetViews>
  <sheetFormatPr baseColWidth="10" defaultRowHeight="15" x14ac:dyDescent="0.25"/>
  <cols>
    <col min="1" max="1" width="4.8554687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135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5</v>
      </c>
      <c r="D5" s="31">
        <v>2600</v>
      </c>
      <c r="E5" s="10">
        <f t="shared" ref="E5:E73" si="0">D5*B5</f>
        <v>2600</v>
      </c>
      <c r="F5" s="7"/>
      <c r="G5" s="7">
        <v>1</v>
      </c>
    </row>
    <row r="6" spans="2:7" x14ac:dyDescent="0.25">
      <c r="B6" s="21">
        <v>1</v>
      </c>
      <c r="C6" s="9" t="s">
        <v>129</v>
      </c>
      <c r="D6" s="31">
        <v>2600</v>
      </c>
      <c r="E6" s="10">
        <f t="shared" si="0"/>
        <v>2600</v>
      </c>
      <c r="F6" s="7">
        <v>1</v>
      </c>
      <c r="G6" s="7"/>
    </row>
    <row r="7" spans="2:7" x14ac:dyDescent="0.25">
      <c r="B7" s="21">
        <v>1</v>
      </c>
      <c r="C7" s="9" t="s">
        <v>5</v>
      </c>
      <c r="D7" s="11">
        <v>2183.02</v>
      </c>
      <c r="E7" s="10">
        <f t="shared" si="0"/>
        <v>2183.02</v>
      </c>
      <c r="F7" s="7"/>
      <c r="G7" s="7">
        <v>1</v>
      </c>
    </row>
    <row r="8" spans="2:7" x14ac:dyDescent="0.25">
      <c r="B8" s="21">
        <v>1</v>
      </c>
      <c r="C8" s="9" t="s">
        <v>18</v>
      </c>
      <c r="D8" s="15">
        <v>2183.02</v>
      </c>
      <c r="E8" s="10">
        <f t="shared" si="0"/>
        <v>2183.02</v>
      </c>
      <c r="F8" s="21"/>
      <c r="G8" s="21">
        <v>1</v>
      </c>
    </row>
    <row r="9" spans="2:7" x14ac:dyDescent="0.25">
      <c r="B9" s="21">
        <v>1</v>
      </c>
      <c r="C9" s="9" t="s">
        <v>58</v>
      </c>
      <c r="D9" s="15">
        <v>2183.02</v>
      </c>
      <c r="E9" s="10">
        <f t="shared" si="0"/>
        <v>2183.02</v>
      </c>
      <c r="F9" s="21"/>
      <c r="G9" s="21">
        <v>1</v>
      </c>
    </row>
    <row r="10" spans="2:7" x14ac:dyDescent="0.25">
      <c r="B10" s="21">
        <v>1</v>
      </c>
      <c r="C10" s="9" t="s">
        <v>61</v>
      </c>
      <c r="D10" s="15">
        <v>2183.02</v>
      </c>
      <c r="E10" s="10">
        <f t="shared" si="0"/>
        <v>2183.02</v>
      </c>
      <c r="F10" s="21">
        <v>1</v>
      </c>
      <c r="G10" s="21"/>
    </row>
    <row r="11" spans="2:7" x14ac:dyDescent="0.25">
      <c r="B11" s="21">
        <v>1</v>
      </c>
      <c r="C11" s="9" t="s">
        <v>67</v>
      </c>
      <c r="D11" s="31">
        <v>2183.0100000000002</v>
      </c>
      <c r="E11" s="10">
        <f t="shared" si="0"/>
        <v>2183.0100000000002</v>
      </c>
      <c r="F11" s="21">
        <v>1</v>
      </c>
      <c r="G11" s="21"/>
    </row>
    <row r="12" spans="2:7" x14ac:dyDescent="0.25">
      <c r="B12" s="21">
        <v>1</v>
      </c>
      <c r="C12" s="9" t="s">
        <v>73</v>
      </c>
      <c r="D12" s="31">
        <v>2183.02</v>
      </c>
      <c r="E12" s="10">
        <f t="shared" si="0"/>
        <v>2183.02</v>
      </c>
      <c r="F12" s="21">
        <v>1</v>
      </c>
      <c r="G12" s="21"/>
    </row>
    <row r="13" spans="2:7" x14ac:dyDescent="0.25">
      <c r="B13" s="21">
        <v>2</v>
      </c>
      <c r="C13" s="9" t="s">
        <v>7</v>
      </c>
      <c r="D13" s="15">
        <v>2060</v>
      </c>
      <c r="E13" s="10">
        <f t="shared" si="0"/>
        <v>4120</v>
      </c>
      <c r="F13" s="21">
        <v>1</v>
      </c>
      <c r="G13" s="21">
        <v>1</v>
      </c>
    </row>
    <row r="14" spans="2:7" x14ac:dyDescent="0.25">
      <c r="B14" s="21">
        <v>1</v>
      </c>
      <c r="C14" s="9" t="s">
        <v>8</v>
      </c>
      <c r="D14" s="15">
        <v>2060</v>
      </c>
      <c r="E14" s="10">
        <f t="shared" si="0"/>
        <v>2060</v>
      </c>
      <c r="F14" s="21">
        <v>1</v>
      </c>
      <c r="G14" s="21"/>
    </row>
    <row r="15" spans="2:7" x14ac:dyDescent="0.25">
      <c r="B15" s="21">
        <v>1</v>
      </c>
      <c r="C15" s="9" t="s">
        <v>130</v>
      </c>
      <c r="D15" s="15">
        <v>2000</v>
      </c>
      <c r="E15" s="10">
        <f t="shared" si="0"/>
        <v>2000</v>
      </c>
      <c r="F15" s="21">
        <v>1</v>
      </c>
      <c r="G15" s="21"/>
    </row>
    <row r="16" spans="2:7" x14ac:dyDescent="0.25">
      <c r="B16" s="21">
        <v>1</v>
      </c>
      <c r="C16" s="9" t="s">
        <v>136</v>
      </c>
      <c r="D16" s="15">
        <v>1800</v>
      </c>
      <c r="E16" s="10">
        <f t="shared" si="0"/>
        <v>1800</v>
      </c>
      <c r="F16" s="21">
        <v>1</v>
      </c>
      <c r="G16" s="21"/>
    </row>
    <row r="17" spans="2:7" x14ac:dyDescent="0.25">
      <c r="B17" s="21">
        <v>1</v>
      </c>
      <c r="C17" s="9" t="s">
        <v>13</v>
      </c>
      <c r="D17" s="10">
        <v>1623.25</v>
      </c>
      <c r="E17" s="10">
        <f>D17*B17</f>
        <v>1623.25</v>
      </c>
      <c r="F17" s="21">
        <v>1</v>
      </c>
      <c r="G17" s="21"/>
    </row>
    <row r="18" spans="2:7" x14ac:dyDescent="0.25">
      <c r="B18" s="21">
        <v>1</v>
      </c>
      <c r="C18" s="3" t="s">
        <v>13</v>
      </c>
      <c r="D18" s="10">
        <v>1623.25</v>
      </c>
      <c r="E18" s="10">
        <f>D18*B18</f>
        <v>1623.25</v>
      </c>
      <c r="F18" s="21">
        <v>1</v>
      </c>
      <c r="G18" s="21"/>
    </row>
    <row r="19" spans="2:7" x14ac:dyDescent="0.25">
      <c r="B19" s="21">
        <v>1</v>
      </c>
      <c r="C19" s="9" t="s">
        <v>10</v>
      </c>
      <c r="D19" s="15">
        <v>1580.29</v>
      </c>
      <c r="E19" s="10">
        <f t="shared" si="0"/>
        <v>1580.29</v>
      </c>
      <c r="F19" s="21">
        <v>1</v>
      </c>
      <c r="G19" s="21"/>
    </row>
    <row r="20" spans="2:7" x14ac:dyDescent="0.25">
      <c r="B20" s="21">
        <v>1</v>
      </c>
      <c r="C20" s="9" t="s">
        <v>11</v>
      </c>
      <c r="D20" s="15">
        <v>1462.57</v>
      </c>
      <c r="E20" s="10">
        <f t="shared" si="0"/>
        <v>1462.57</v>
      </c>
      <c r="F20" s="21"/>
      <c r="G20" s="21">
        <v>1</v>
      </c>
    </row>
    <row r="21" spans="2:7" x14ac:dyDescent="0.25">
      <c r="B21" s="21">
        <v>1</v>
      </c>
      <c r="C21" s="9" t="s">
        <v>137</v>
      </c>
      <c r="D21" s="15">
        <v>1400</v>
      </c>
      <c r="E21" s="10">
        <f t="shared" si="0"/>
        <v>1400</v>
      </c>
      <c r="F21" s="21"/>
      <c r="G21" s="21">
        <v>1</v>
      </c>
    </row>
    <row r="22" spans="2:7" x14ac:dyDescent="0.25">
      <c r="B22" s="21">
        <v>1</v>
      </c>
      <c r="C22" s="9" t="s">
        <v>59</v>
      </c>
      <c r="D22" s="10">
        <v>1373.12</v>
      </c>
      <c r="E22" s="10">
        <f t="shared" si="0"/>
        <v>1373.12</v>
      </c>
      <c r="F22" s="21"/>
      <c r="G22" s="21">
        <v>1</v>
      </c>
    </row>
    <row r="23" spans="2:7" x14ac:dyDescent="0.25">
      <c r="B23" s="21">
        <v>1</v>
      </c>
      <c r="C23" s="9" t="s">
        <v>64</v>
      </c>
      <c r="D23" s="10">
        <v>1373.12</v>
      </c>
      <c r="E23" s="10">
        <f t="shared" si="0"/>
        <v>1373.12</v>
      </c>
      <c r="F23" s="21"/>
      <c r="G23" s="21">
        <v>1</v>
      </c>
    </row>
    <row r="24" spans="2:7" x14ac:dyDescent="0.25">
      <c r="B24" s="21">
        <v>1</v>
      </c>
      <c r="C24" s="9" t="s">
        <v>74</v>
      </c>
      <c r="D24" s="10">
        <v>1373.12</v>
      </c>
      <c r="E24" s="10">
        <f t="shared" si="0"/>
        <v>1373.12</v>
      </c>
      <c r="F24" s="21"/>
      <c r="G24" s="21">
        <v>1</v>
      </c>
    </row>
    <row r="25" spans="2:7" x14ac:dyDescent="0.25">
      <c r="B25" s="21">
        <v>1</v>
      </c>
      <c r="C25" s="9" t="s">
        <v>15</v>
      </c>
      <c r="D25" s="10">
        <v>1373.12</v>
      </c>
      <c r="E25" s="10">
        <f t="shared" si="0"/>
        <v>1373.12</v>
      </c>
      <c r="F25" s="21"/>
      <c r="G25" s="21">
        <v>1</v>
      </c>
    </row>
    <row r="26" spans="2:7" x14ac:dyDescent="0.25">
      <c r="B26" s="21">
        <v>1</v>
      </c>
      <c r="C26" s="9" t="s">
        <v>17</v>
      </c>
      <c r="D26" s="10">
        <v>1373.12</v>
      </c>
      <c r="E26" s="10">
        <f t="shared" si="0"/>
        <v>1373.12</v>
      </c>
      <c r="F26" s="21"/>
      <c r="G26" s="21">
        <v>1</v>
      </c>
    </row>
    <row r="27" spans="2:7" x14ac:dyDescent="0.25">
      <c r="B27" s="21">
        <v>1</v>
      </c>
      <c r="C27" s="9" t="s">
        <v>16</v>
      </c>
      <c r="D27" s="10">
        <v>1373.12</v>
      </c>
      <c r="E27" s="10">
        <f t="shared" si="0"/>
        <v>1373.12</v>
      </c>
      <c r="F27" s="21">
        <v>1</v>
      </c>
      <c r="G27" s="21"/>
    </row>
    <row r="28" spans="2:7" x14ac:dyDescent="0.25">
      <c r="B28" s="21">
        <v>1</v>
      </c>
      <c r="C28" s="9" t="s">
        <v>68</v>
      </c>
      <c r="D28" s="10">
        <v>1373.12</v>
      </c>
      <c r="E28" s="10">
        <f t="shared" si="0"/>
        <v>1373.12</v>
      </c>
      <c r="F28" s="21">
        <v>1</v>
      </c>
      <c r="G28" s="21"/>
    </row>
    <row r="29" spans="2:7" x14ac:dyDescent="0.25">
      <c r="B29" s="21">
        <v>1</v>
      </c>
      <c r="C29" s="9" t="s">
        <v>138</v>
      </c>
      <c r="D29" s="10">
        <v>1373.12</v>
      </c>
      <c r="E29" s="10">
        <f t="shared" si="0"/>
        <v>1373.12</v>
      </c>
      <c r="F29" s="21"/>
      <c r="G29" s="21">
        <v>1</v>
      </c>
    </row>
    <row r="30" spans="2:7" x14ac:dyDescent="0.25">
      <c r="B30" s="21">
        <v>1</v>
      </c>
      <c r="C30" s="9" t="s">
        <v>20</v>
      </c>
      <c r="D30" s="10">
        <v>1108.3</v>
      </c>
      <c r="E30" s="10">
        <f t="shared" si="0"/>
        <v>1108.3</v>
      </c>
      <c r="F30" s="21"/>
      <c r="G30" s="21">
        <v>1</v>
      </c>
    </row>
    <row r="31" spans="2:7" x14ac:dyDescent="0.25">
      <c r="B31" s="21">
        <v>1</v>
      </c>
      <c r="C31" s="9" t="s">
        <v>21</v>
      </c>
      <c r="D31" s="10">
        <v>1108.25</v>
      </c>
      <c r="E31" s="10">
        <f t="shared" si="0"/>
        <v>1108.25</v>
      </c>
      <c r="F31" s="21"/>
      <c r="G31" s="21">
        <v>1</v>
      </c>
    </row>
    <row r="32" spans="2:7" x14ac:dyDescent="0.25">
      <c r="B32" s="21">
        <v>1</v>
      </c>
      <c r="C32" s="9" t="s">
        <v>22</v>
      </c>
      <c r="D32" s="10">
        <v>1108.25</v>
      </c>
      <c r="E32" s="10">
        <f t="shared" si="0"/>
        <v>1108.25</v>
      </c>
      <c r="F32" s="21"/>
      <c r="G32" s="21">
        <v>1</v>
      </c>
    </row>
    <row r="33" spans="2:7" x14ac:dyDescent="0.25">
      <c r="B33" s="21">
        <v>1</v>
      </c>
      <c r="C33" s="9" t="s">
        <v>60</v>
      </c>
      <c r="D33" s="10">
        <v>1108.25</v>
      </c>
      <c r="E33" s="10">
        <f t="shared" si="0"/>
        <v>1108.25</v>
      </c>
      <c r="F33" s="21"/>
      <c r="G33" s="21">
        <v>1</v>
      </c>
    </row>
    <row r="34" spans="2:7" x14ac:dyDescent="0.25">
      <c r="B34" s="21">
        <v>1</v>
      </c>
      <c r="C34" s="9" t="s">
        <v>75</v>
      </c>
      <c r="D34" s="10">
        <v>1108.25</v>
      </c>
      <c r="E34" s="10">
        <f t="shared" si="0"/>
        <v>1108.25</v>
      </c>
      <c r="F34" s="21">
        <v>1</v>
      </c>
      <c r="G34" s="21"/>
    </row>
    <row r="35" spans="2:7" x14ac:dyDescent="0.25">
      <c r="B35" s="21">
        <v>1</v>
      </c>
      <c r="C35" s="3" t="s">
        <v>83</v>
      </c>
      <c r="D35" s="10">
        <v>1108.25</v>
      </c>
      <c r="E35" s="10">
        <f t="shared" si="0"/>
        <v>1108.25</v>
      </c>
      <c r="F35" s="21">
        <v>1</v>
      </c>
      <c r="G35" s="21"/>
    </row>
    <row r="36" spans="2:7" x14ac:dyDescent="0.25">
      <c r="B36" s="21">
        <v>1</v>
      </c>
      <c r="C36" s="9" t="s">
        <v>65</v>
      </c>
      <c r="D36" s="10">
        <v>1108.25</v>
      </c>
      <c r="E36" s="10">
        <f t="shared" si="0"/>
        <v>1108.25</v>
      </c>
      <c r="F36" s="21">
        <v>1</v>
      </c>
      <c r="G36" s="21"/>
    </row>
    <row r="37" spans="2:7" x14ac:dyDescent="0.25">
      <c r="B37" s="21">
        <v>2</v>
      </c>
      <c r="C37" s="9" t="s">
        <v>132</v>
      </c>
      <c r="D37" s="10">
        <v>1060</v>
      </c>
      <c r="E37" s="10">
        <f t="shared" si="0"/>
        <v>2120</v>
      </c>
      <c r="F37" s="21">
        <v>2</v>
      </c>
      <c r="G37" s="21"/>
    </row>
    <row r="38" spans="2:7" x14ac:dyDescent="0.25">
      <c r="B38" s="21">
        <v>1</v>
      </c>
      <c r="C38" s="9" t="s">
        <v>133</v>
      </c>
      <c r="D38" s="10">
        <v>1007</v>
      </c>
      <c r="E38" s="10">
        <f t="shared" si="0"/>
        <v>1007</v>
      </c>
      <c r="F38" s="21">
        <v>1</v>
      </c>
      <c r="G38" s="21"/>
    </row>
    <row r="39" spans="2:7" x14ac:dyDescent="0.25">
      <c r="B39" s="21">
        <v>1</v>
      </c>
      <c r="C39" s="9" t="s">
        <v>23</v>
      </c>
      <c r="D39" s="10">
        <v>989.45</v>
      </c>
      <c r="E39" s="10">
        <f t="shared" si="0"/>
        <v>989.45</v>
      </c>
      <c r="F39" s="21"/>
      <c r="G39" s="21">
        <v>1</v>
      </c>
    </row>
    <row r="40" spans="2:7" x14ac:dyDescent="0.25">
      <c r="B40" s="21">
        <v>3</v>
      </c>
      <c r="C40" s="9" t="s">
        <v>24</v>
      </c>
      <c r="D40" s="10">
        <v>846.59</v>
      </c>
      <c r="E40" s="10">
        <f t="shared" si="0"/>
        <v>2539.77</v>
      </c>
      <c r="F40" s="21">
        <v>2</v>
      </c>
      <c r="G40" s="21">
        <v>1</v>
      </c>
    </row>
    <row r="41" spans="2:7" x14ac:dyDescent="0.25">
      <c r="B41" s="21">
        <v>1</v>
      </c>
      <c r="C41" s="9" t="s">
        <v>25</v>
      </c>
      <c r="D41" s="10">
        <v>846.59</v>
      </c>
      <c r="E41" s="10">
        <f t="shared" si="0"/>
        <v>846.59</v>
      </c>
      <c r="F41" s="21"/>
      <c r="G41" s="21">
        <v>1</v>
      </c>
    </row>
    <row r="42" spans="2:7" x14ac:dyDescent="0.25">
      <c r="B42" s="21">
        <v>1</v>
      </c>
      <c r="C42" s="9" t="s">
        <v>26</v>
      </c>
      <c r="D42" s="10">
        <v>846.59</v>
      </c>
      <c r="E42" s="10">
        <f t="shared" si="0"/>
        <v>846.59</v>
      </c>
      <c r="F42" s="21">
        <v>1</v>
      </c>
      <c r="G42" s="21"/>
    </row>
    <row r="43" spans="2:7" x14ac:dyDescent="0.25">
      <c r="B43" s="21">
        <v>1</v>
      </c>
      <c r="C43" s="9" t="s">
        <v>62</v>
      </c>
      <c r="D43" s="10">
        <v>846.59</v>
      </c>
      <c r="E43" s="10">
        <f t="shared" si="0"/>
        <v>846.59</v>
      </c>
      <c r="F43" s="21">
        <v>1</v>
      </c>
      <c r="G43" s="21"/>
    </row>
    <row r="44" spans="2:7" x14ac:dyDescent="0.25">
      <c r="B44" s="21">
        <f>1+1</f>
        <v>2</v>
      </c>
      <c r="C44" s="9" t="s">
        <v>17</v>
      </c>
      <c r="D44" s="10">
        <v>846.59</v>
      </c>
      <c r="E44" s="10">
        <f t="shared" si="0"/>
        <v>1693.18</v>
      </c>
      <c r="F44" s="21">
        <f>1+1</f>
        <v>2</v>
      </c>
      <c r="G44" s="21"/>
    </row>
    <row r="45" spans="2:7" x14ac:dyDescent="0.25">
      <c r="B45" s="21">
        <v>1</v>
      </c>
      <c r="C45" s="9" t="s">
        <v>66</v>
      </c>
      <c r="D45" s="16">
        <v>846.59</v>
      </c>
      <c r="E45" s="10">
        <f t="shared" si="0"/>
        <v>846.59</v>
      </c>
      <c r="F45" s="21">
        <v>1</v>
      </c>
      <c r="G45" s="21"/>
    </row>
    <row r="46" spans="2:7" x14ac:dyDescent="0.25">
      <c r="B46" s="21">
        <v>1</v>
      </c>
      <c r="C46" s="9" t="s">
        <v>72</v>
      </c>
      <c r="D46" s="16">
        <v>846.59</v>
      </c>
      <c r="E46" s="10">
        <f t="shared" si="0"/>
        <v>846.59</v>
      </c>
      <c r="F46" s="21">
        <v>1</v>
      </c>
      <c r="G46" s="21"/>
    </row>
    <row r="47" spans="2:7" x14ac:dyDescent="0.25">
      <c r="B47" s="21">
        <v>1</v>
      </c>
      <c r="C47" s="9" t="s">
        <v>81</v>
      </c>
      <c r="D47" s="16">
        <v>846.59</v>
      </c>
      <c r="E47" s="10">
        <f t="shared" si="0"/>
        <v>846.59</v>
      </c>
      <c r="F47" s="21"/>
      <c r="G47" s="21">
        <v>1</v>
      </c>
    </row>
    <row r="48" spans="2:7" x14ac:dyDescent="0.25">
      <c r="B48" s="21">
        <v>1</v>
      </c>
      <c r="C48" s="9" t="s">
        <v>88</v>
      </c>
      <c r="D48" s="16">
        <v>846.59</v>
      </c>
      <c r="E48" s="10">
        <f t="shared" si="0"/>
        <v>846.59</v>
      </c>
      <c r="F48" s="21">
        <v>1</v>
      </c>
      <c r="G48" s="21"/>
    </row>
    <row r="49" spans="2:7" x14ac:dyDescent="0.25">
      <c r="B49" s="21">
        <v>1</v>
      </c>
      <c r="C49" s="3" t="s">
        <v>76</v>
      </c>
      <c r="D49" s="11">
        <v>846.59</v>
      </c>
      <c r="E49" s="10">
        <f t="shared" si="0"/>
        <v>846.59</v>
      </c>
      <c r="F49" s="21">
        <v>1</v>
      </c>
      <c r="G49" s="21"/>
    </row>
    <row r="50" spans="2:7" x14ac:dyDescent="0.25">
      <c r="B50" s="21">
        <v>2</v>
      </c>
      <c r="C50" s="9" t="s">
        <v>77</v>
      </c>
      <c r="D50" s="16">
        <v>788.29</v>
      </c>
      <c r="E50" s="10">
        <f t="shared" si="0"/>
        <v>1576.58</v>
      </c>
      <c r="F50" s="21">
        <v>2</v>
      </c>
      <c r="G50" s="21"/>
    </row>
    <row r="51" spans="2:7" x14ac:dyDescent="0.25">
      <c r="B51" s="21">
        <f>3+1</f>
        <v>4</v>
      </c>
      <c r="C51" s="9" t="s">
        <v>27</v>
      </c>
      <c r="D51" s="10">
        <v>788.29</v>
      </c>
      <c r="E51" s="10">
        <f t="shared" si="0"/>
        <v>3153.16</v>
      </c>
      <c r="F51" s="21">
        <f>3+1</f>
        <v>4</v>
      </c>
      <c r="G51" s="21"/>
    </row>
    <row r="52" spans="2:7" x14ac:dyDescent="0.25">
      <c r="B52" s="21">
        <v>1</v>
      </c>
      <c r="C52" s="9" t="s">
        <v>28</v>
      </c>
      <c r="D52" s="10">
        <v>788.29</v>
      </c>
      <c r="E52" s="10">
        <f t="shared" si="0"/>
        <v>788.29</v>
      </c>
      <c r="F52" s="21"/>
      <c r="G52" s="21">
        <v>1</v>
      </c>
    </row>
    <row r="53" spans="2:7" x14ac:dyDescent="0.25">
      <c r="B53" s="21">
        <v>1</v>
      </c>
      <c r="C53" s="9" t="s">
        <v>36</v>
      </c>
      <c r="D53" s="10">
        <v>739.88</v>
      </c>
      <c r="E53" s="10">
        <f>D53*B53</f>
        <v>739.88</v>
      </c>
      <c r="F53" s="21"/>
      <c r="G53" s="21">
        <v>1</v>
      </c>
    </row>
    <row r="54" spans="2:7" x14ac:dyDescent="0.25">
      <c r="B54" s="21">
        <v>1</v>
      </c>
      <c r="C54" s="9" t="s">
        <v>134</v>
      </c>
      <c r="D54" s="10">
        <v>734.25</v>
      </c>
      <c r="E54" s="10">
        <f t="shared" si="0"/>
        <v>734.25</v>
      </c>
      <c r="F54" s="21">
        <v>1</v>
      </c>
      <c r="G54" s="21"/>
    </row>
    <row r="55" spans="2:7" x14ac:dyDescent="0.25">
      <c r="B55" s="21">
        <v>1</v>
      </c>
      <c r="C55" s="9" t="s">
        <v>63</v>
      </c>
      <c r="D55" s="10">
        <v>720.91</v>
      </c>
      <c r="E55" s="10">
        <f t="shared" si="0"/>
        <v>720.91</v>
      </c>
      <c r="F55" s="21">
        <v>1</v>
      </c>
      <c r="G55" s="21"/>
    </row>
    <row r="56" spans="2:7" x14ac:dyDescent="0.25">
      <c r="B56" s="21">
        <f>35+7+7+3+6+6</f>
        <v>64</v>
      </c>
      <c r="C56" s="9" t="s">
        <v>63</v>
      </c>
      <c r="D56" s="10">
        <v>715.02</v>
      </c>
      <c r="E56" s="10">
        <f t="shared" si="0"/>
        <v>45761.279999999999</v>
      </c>
      <c r="F56" s="21">
        <f>8+4+5+2+3+3</f>
        <v>25</v>
      </c>
      <c r="G56" s="21">
        <f>27+3+2+1+3+3</f>
        <v>39</v>
      </c>
    </row>
    <row r="57" spans="2:7" x14ac:dyDescent="0.25">
      <c r="B57" s="21">
        <v>1</v>
      </c>
      <c r="C57" s="9" t="s">
        <v>29</v>
      </c>
      <c r="D57" s="10">
        <v>715.02</v>
      </c>
      <c r="E57" s="10">
        <f t="shared" si="0"/>
        <v>715.02</v>
      </c>
      <c r="F57" s="21">
        <v>1</v>
      </c>
      <c r="G57" s="21"/>
    </row>
    <row r="58" spans="2:7" x14ac:dyDescent="0.25">
      <c r="B58" s="21">
        <v>1</v>
      </c>
      <c r="C58" s="9" t="s">
        <v>30</v>
      </c>
      <c r="D58" s="10">
        <v>715.02</v>
      </c>
      <c r="E58" s="10">
        <f t="shared" si="0"/>
        <v>715.02</v>
      </c>
      <c r="F58" s="21">
        <v>1</v>
      </c>
      <c r="G58" s="21"/>
    </row>
    <row r="59" spans="2:7" x14ac:dyDescent="0.25">
      <c r="B59" s="21">
        <v>1</v>
      </c>
      <c r="C59" s="9" t="s">
        <v>31</v>
      </c>
      <c r="D59" s="10">
        <v>715.02</v>
      </c>
      <c r="E59" s="10">
        <f t="shared" si="0"/>
        <v>715.02</v>
      </c>
      <c r="F59" s="21">
        <v>1</v>
      </c>
      <c r="G59" s="21"/>
    </row>
    <row r="60" spans="2:7" x14ac:dyDescent="0.25">
      <c r="B60" s="21">
        <v>1</v>
      </c>
      <c r="C60" s="9" t="s">
        <v>32</v>
      </c>
      <c r="D60" s="10">
        <v>715.02</v>
      </c>
      <c r="E60" s="10">
        <f t="shared" si="0"/>
        <v>715.02</v>
      </c>
      <c r="F60" s="21"/>
      <c r="G60" s="21">
        <v>1</v>
      </c>
    </row>
    <row r="61" spans="2:7" x14ac:dyDescent="0.25">
      <c r="B61" s="21">
        <f>96+18+6+17+10+17</f>
        <v>164</v>
      </c>
      <c r="C61" s="9" t="s">
        <v>70</v>
      </c>
      <c r="D61" s="10">
        <v>715.02</v>
      </c>
      <c r="E61" s="10">
        <f t="shared" si="0"/>
        <v>117263.28</v>
      </c>
      <c r="F61" s="21">
        <f>44+9+3+8+6+12</f>
        <v>82</v>
      </c>
      <c r="G61" s="21">
        <f>52+9+3+9+4+5</f>
        <v>82</v>
      </c>
    </row>
    <row r="62" spans="2:7" x14ac:dyDescent="0.25">
      <c r="B62" s="21">
        <f>62+7+4+8+4+15</f>
        <v>100</v>
      </c>
      <c r="C62" s="9" t="s">
        <v>78</v>
      </c>
      <c r="D62" s="10">
        <v>715.02</v>
      </c>
      <c r="E62" s="10">
        <f t="shared" si="0"/>
        <v>71502</v>
      </c>
      <c r="F62" s="21">
        <f>34+5+1+6+2+7+8</f>
        <v>63</v>
      </c>
      <c r="G62" s="21">
        <f>28+2+3+2+2</f>
        <v>37</v>
      </c>
    </row>
    <row r="63" spans="2:7" x14ac:dyDescent="0.25">
      <c r="B63" s="23">
        <f>7+9+3+4</f>
        <v>23</v>
      </c>
      <c r="C63" s="9" t="s">
        <v>79</v>
      </c>
      <c r="D63" s="10">
        <v>715.02</v>
      </c>
      <c r="E63" s="10">
        <f t="shared" si="0"/>
        <v>16445.46</v>
      </c>
      <c r="F63" s="23">
        <f>4+5+2+4</f>
        <v>15</v>
      </c>
      <c r="G63" s="23">
        <f>3+4+1</f>
        <v>8</v>
      </c>
    </row>
    <row r="64" spans="2:7" x14ac:dyDescent="0.25">
      <c r="B64" s="23">
        <f>10+17+4+6</f>
        <v>37</v>
      </c>
      <c r="C64" s="9" t="s">
        <v>80</v>
      </c>
      <c r="D64" s="10">
        <v>715.02</v>
      </c>
      <c r="E64" s="10">
        <f t="shared" si="0"/>
        <v>26455.739999999998</v>
      </c>
      <c r="F64" s="23">
        <f>8+9+2+3</f>
        <v>22</v>
      </c>
      <c r="G64" s="23">
        <f>2+8+2+3</f>
        <v>15</v>
      </c>
    </row>
    <row r="65" spans="2:7" x14ac:dyDescent="0.25">
      <c r="B65" s="23">
        <v>1</v>
      </c>
      <c r="C65" s="9" t="s">
        <v>86</v>
      </c>
      <c r="D65" s="10">
        <v>715.02</v>
      </c>
      <c r="E65" s="10">
        <f t="shared" si="0"/>
        <v>715.02</v>
      </c>
      <c r="F65" s="23"/>
      <c r="G65" s="23">
        <v>1</v>
      </c>
    </row>
    <row r="66" spans="2:7" x14ac:dyDescent="0.25">
      <c r="B66" s="23">
        <f>1+1</f>
        <v>2</v>
      </c>
      <c r="C66" s="9" t="s">
        <v>87</v>
      </c>
      <c r="D66" s="10">
        <v>715.02</v>
      </c>
      <c r="E66" s="10">
        <f t="shared" si="0"/>
        <v>1430.04</v>
      </c>
      <c r="F66" s="23">
        <f>1+1</f>
        <v>2</v>
      </c>
      <c r="G66" s="23"/>
    </row>
    <row r="67" spans="2:7" s="13" customFormat="1" x14ac:dyDescent="0.25">
      <c r="B67" s="48"/>
      <c r="C67" s="49"/>
      <c r="D67" s="27"/>
      <c r="E67" s="27"/>
      <c r="F67" s="48"/>
      <c r="G67" s="48"/>
    </row>
    <row r="68" spans="2:7" s="13" customFormat="1" x14ac:dyDescent="0.25">
      <c r="B68" s="48"/>
      <c r="C68" s="49"/>
      <c r="D68" s="27"/>
      <c r="E68" s="27"/>
      <c r="F68" s="48"/>
      <c r="G68" s="48"/>
    </row>
    <row r="69" spans="2:7" s="13" customFormat="1" x14ac:dyDescent="0.25">
      <c r="B69" s="48"/>
      <c r="C69" s="49"/>
      <c r="D69" s="27"/>
      <c r="E69" s="27"/>
      <c r="F69" s="48"/>
      <c r="G69" s="48"/>
    </row>
    <row r="70" spans="2:7" s="13" customFormat="1" x14ac:dyDescent="0.25">
      <c r="B70" s="48"/>
      <c r="C70" s="49"/>
      <c r="D70" s="27"/>
      <c r="E70" s="27"/>
      <c r="F70" s="48"/>
      <c r="G70" s="48"/>
    </row>
    <row r="71" spans="2:7" s="13" customFormat="1" x14ac:dyDescent="0.25">
      <c r="B71" s="48"/>
      <c r="C71" s="49"/>
      <c r="D71" s="27"/>
      <c r="E71" s="27"/>
      <c r="F71" s="48"/>
      <c r="G71" s="48"/>
    </row>
    <row r="72" spans="2:7" x14ac:dyDescent="0.25">
      <c r="B72" s="23">
        <f>4+1+1</f>
        <v>6</v>
      </c>
      <c r="C72" s="9" t="s">
        <v>78</v>
      </c>
      <c r="D72" s="10">
        <v>634.74</v>
      </c>
      <c r="E72" s="10">
        <f t="shared" si="0"/>
        <v>3808.44</v>
      </c>
      <c r="F72" s="23">
        <f>2+1</f>
        <v>3</v>
      </c>
      <c r="G72" s="23">
        <f>2+1</f>
        <v>3</v>
      </c>
    </row>
    <row r="73" spans="2:7" x14ac:dyDescent="0.25">
      <c r="B73" s="23">
        <f>2+1</f>
        <v>3</v>
      </c>
      <c r="C73" s="9" t="s">
        <v>79</v>
      </c>
      <c r="D73" s="10">
        <v>634.74</v>
      </c>
      <c r="E73" s="10">
        <f t="shared" si="0"/>
        <v>1904.22</v>
      </c>
      <c r="F73" s="23">
        <f>1+1</f>
        <v>2</v>
      </c>
      <c r="G73" s="23">
        <v>1</v>
      </c>
    </row>
    <row r="74" spans="2:7" x14ac:dyDescent="0.25">
      <c r="B74" s="23">
        <v>4</v>
      </c>
      <c r="C74" s="9" t="s">
        <v>80</v>
      </c>
      <c r="D74" s="10">
        <v>634.74</v>
      </c>
      <c r="E74" s="10">
        <f t="shared" ref="E74:E84" si="1">D74*B74</f>
        <v>2538.96</v>
      </c>
      <c r="F74" s="23">
        <v>4</v>
      </c>
      <c r="G74" s="23"/>
    </row>
    <row r="75" spans="2:7" x14ac:dyDescent="0.25">
      <c r="B75" s="23">
        <v>1</v>
      </c>
      <c r="C75" s="9" t="s">
        <v>85</v>
      </c>
      <c r="D75" s="10">
        <v>634.74</v>
      </c>
      <c r="E75" s="10">
        <f t="shared" si="1"/>
        <v>634.74</v>
      </c>
      <c r="F75" s="23">
        <v>1</v>
      </c>
      <c r="G75" s="23"/>
    </row>
    <row r="76" spans="2:7" x14ac:dyDescent="0.25">
      <c r="B76" s="23">
        <v>1</v>
      </c>
      <c r="C76" s="9" t="s">
        <v>28</v>
      </c>
      <c r="D76" s="10">
        <v>715.02</v>
      </c>
      <c r="E76" s="10">
        <f t="shared" si="1"/>
        <v>715.02</v>
      </c>
      <c r="F76" s="23"/>
      <c r="G76" s="23">
        <v>1</v>
      </c>
    </row>
    <row r="77" spans="2:7" x14ac:dyDescent="0.25">
      <c r="B77" s="23">
        <v>1</v>
      </c>
      <c r="C77" s="9" t="s">
        <v>28</v>
      </c>
      <c r="D77" s="10">
        <v>634.74</v>
      </c>
      <c r="E77" s="10">
        <f t="shared" si="1"/>
        <v>634.74</v>
      </c>
      <c r="F77" s="23"/>
      <c r="G77" s="23">
        <v>1</v>
      </c>
    </row>
    <row r="78" spans="2:7" x14ac:dyDescent="0.25">
      <c r="B78" s="23">
        <v>1</v>
      </c>
      <c r="C78" s="9" t="s">
        <v>28</v>
      </c>
      <c r="D78" s="10">
        <v>619.80999999999995</v>
      </c>
      <c r="E78" s="10">
        <f t="shared" si="1"/>
        <v>619.80999999999995</v>
      </c>
      <c r="F78" s="23"/>
      <c r="G78" s="23">
        <v>1</v>
      </c>
    </row>
    <row r="79" spans="2:7" x14ac:dyDescent="0.25">
      <c r="B79" s="23">
        <v>1</v>
      </c>
      <c r="C79" s="9" t="s">
        <v>28</v>
      </c>
      <c r="D79" s="10">
        <v>558.71</v>
      </c>
      <c r="E79" s="10">
        <f t="shared" si="1"/>
        <v>558.71</v>
      </c>
      <c r="F79" s="23"/>
      <c r="G79" s="23">
        <v>1</v>
      </c>
    </row>
    <row r="80" spans="2:7" x14ac:dyDescent="0.25">
      <c r="B80" s="21">
        <f>1+1</f>
        <v>2</v>
      </c>
      <c r="C80" s="9" t="s">
        <v>71</v>
      </c>
      <c r="D80" s="10">
        <v>536.92999999999995</v>
      </c>
      <c r="E80" s="10">
        <f t="shared" si="1"/>
        <v>1073.8599999999999</v>
      </c>
      <c r="F80" s="21"/>
      <c r="G80" s="21">
        <f>1+1</f>
        <v>2</v>
      </c>
    </row>
    <row r="81" spans="2:7" x14ac:dyDescent="0.25">
      <c r="B81" s="21">
        <v>1</v>
      </c>
      <c r="C81" s="9" t="s">
        <v>57</v>
      </c>
      <c r="D81" s="10">
        <v>536.92999999999995</v>
      </c>
      <c r="E81" s="10">
        <f t="shared" si="1"/>
        <v>536.92999999999995</v>
      </c>
      <c r="F81" s="21">
        <v>1</v>
      </c>
      <c r="G81" s="21"/>
    </row>
    <row r="82" spans="2:7" x14ac:dyDescent="0.25">
      <c r="B82" s="21">
        <f>1+3+1</f>
        <v>5</v>
      </c>
      <c r="C82" s="9" t="s">
        <v>33</v>
      </c>
      <c r="D82" s="10">
        <v>474.71</v>
      </c>
      <c r="E82" s="10">
        <f t="shared" si="1"/>
        <v>2373.5499999999997</v>
      </c>
      <c r="F82" s="21">
        <f>1+3+1</f>
        <v>5</v>
      </c>
      <c r="G82" s="21"/>
    </row>
    <row r="83" spans="2:7" x14ac:dyDescent="0.25">
      <c r="B83" s="21">
        <f>1+10+1+2+1</f>
        <v>15</v>
      </c>
      <c r="C83" s="9" t="s">
        <v>34</v>
      </c>
      <c r="D83" s="10">
        <v>474.71</v>
      </c>
      <c r="E83" s="10">
        <f t="shared" si="1"/>
        <v>7120.65</v>
      </c>
      <c r="F83" s="21">
        <f>1+10+1+2+1</f>
        <v>15</v>
      </c>
      <c r="G83" s="21"/>
    </row>
    <row r="84" spans="2:7" x14ac:dyDescent="0.25">
      <c r="B84" s="21">
        <f>1+1</f>
        <v>2</v>
      </c>
      <c r="C84" s="9" t="s">
        <v>84</v>
      </c>
      <c r="D84" s="10">
        <v>474.71</v>
      </c>
      <c r="E84" s="10">
        <f t="shared" si="1"/>
        <v>949.42</v>
      </c>
      <c r="F84" s="21">
        <f>1+1</f>
        <v>2</v>
      </c>
      <c r="G84" s="21"/>
    </row>
    <row r="85" spans="2:7" ht="15.75" x14ac:dyDescent="0.25">
      <c r="B85" s="12">
        <f>SUM(B5:B84)</f>
        <v>498</v>
      </c>
      <c r="C85" s="1"/>
      <c r="D85" s="15"/>
      <c r="E85" s="17">
        <f>SUM(E8:E84)</f>
        <v>376064.35</v>
      </c>
      <c r="F85" s="14">
        <f>SUM(F5:F84)</f>
        <v>282</v>
      </c>
      <c r="G85" s="14">
        <f>SUM(G5:G84)</f>
        <v>216</v>
      </c>
    </row>
    <row r="88" spans="2:7" x14ac:dyDescent="0.25">
      <c r="B88" s="29" t="s">
        <v>37</v>
      </c>
      <c r="C88" s="30"/>
    </row>
    <row r="89" spans="2:7" x14ac:dyDescent="0.25">
      <c r="B89" s="2"/>
      <c r="D89" s="4"/>
      <c r="E89" s="4"/>
      <c r="F89" s="45" t="s">
        <v>3</v>
      </c>
      <c r="G89" s="45"/>
    </row>
    <row r="90" spans="2:7" ht="30" x14ac:dyDescent="0.25">
      <c r="B90" s="6" t="s">
        <v>6</v>
      </c>
      <c r="C90" s="7" t="s">
        <v>4</v>
      </c>
      <c r="D90" s="6" t="s">
        <v>2</v>
      </c>
      <c r="E90" s="6" t="s">
        <v>9</v>
      </c>
      <c r="F90" s="7" t="s">
        <v>0</v>
      </c>
      <c r="G90" s="7" t="s">
        <v>1</v>
      </c>
    </row>
    <row r="91" spans="2:7" x14ac:dyDescent="0.25">
      <c r="B91" s="21">
        <v>1</v>
      </c>
      <c r="C91" s="19" t="s">
        <v>38</v>
      </c>
      <c r="D91" s="16">
        <v>2773.72</v>
      </c>
      <c r="E91" s="20">
        <f>D91*B91</f>
        <v>2773.72</v>
      </c>
      <c r="F91" s="21"/>
      <c r="G91" s="21">
        <v>1</v>
      </c>
    </row>
    <row r="92" spans="2:7" x14ac:dyDescent="0.25">
      <c r="B92" s="21">
        <v>1</v>
      </c>
      <c r="C92" s="19" t="s">
        <v>39</v>
      </c>
      <c r="D92" s="16">
        <v>2080.58</v>
      </c>
      <c r="E92" s="20">
        <f t="shared" ref="E92:E169" si="2">D92*B92</f>
        <v>2080.58</v>
      </c>
      <c r="F92" s="21">
        <v>1</v>
      </c>
      <c r="G92" s="21"/>
    </row>
    <row r="93" spans="2:7" x14ac:dyDescent="0.25">
      <c r="B93" s="21">
        <v>1</v>
      </c>
      <c r="C93" s="19" t="s">
        <v>40</v>
      </c>
      <c r="D93" s="16">
        <v>1373.12</v>
      </c>
      <c r="E93" s="20">
        <f t="shared" si="2"/>
        <v>1373.12</v>
      </c>
      <c r="F93" s="21">
        <v>1</v>
      </c>
      <c r="G93" s="21"/>
    </row>
    <row r="94" spans="2:7" x14ac:dyDescent="0.25">
      <c r="B94" s="21">
        <v>1</v>
      </c>
      <c r="C94" s="19" t="s">
        <v>41</v>
      </c>
      <c r="D94" s="16">
        <v>1108.25</v>
      </c>
      <c r="E94" s="20">
        <f t="shared" si="2"/>
        <v>1108.25</v>
      </c>
      <c r="F94" s="21">
        <v>1</v>
      </c>
      <c r="G94" s="21"/>
    </row>
    <row r="95" spans="2:7" x14ac:dyDescent="0.25">
      <c r="B95" s="21">
        <v>1</v>
      </c>
      <c r="C95" s="19" t="s">
        <v>42</v>
      </c>
      <c r="D95" s="16">
        <v>1108.25</v>
      </c>
      <c r="E95" s="20">
        <f t="shared" si="2"/>
        <v>1108.25</v>
      </c>
      <c r="F95" s="21">
        <v>1</v>
      </c>
      <c r="G95" s="21"/>
    </row>
    <row r="96" spans="2:7" x14ac:dyDescent="0.25">
      <c r="B96" s="21">
        <v>1</v>
      </c>
      <c r="C96" s="9" t="s">
        <v>43</v>
      </c>
      <c r="D96" s="16">
        <v>1108.25</v>
      </c>
      <c r="E96" s="20">
        <f t="shared" si="2"/>
        <v>1108.25</v>
      </c>
      <c r="F96" s="21">
        <v>1</v>
      </c>
      <c r="G96" s="21"/>
    </row>
    <row r="97" spans="2:7" x14ac:dyDescent="0.25">
      <c r="B97" s="21">
        <v>1</v>
      </c>
      <c r="C97" s="19" t="s">
        <v>44</v>
      </c>
      <c r="D97" s="16">
        <v>1108.25</v>
      </c>
      <c r="E97" s="20">
        <f t="shared" si="2"/>
        <v>1108.25</v>
      </c>
      <c r="F97" s="21">
        <v>1</v>
      </c>
      <c r="G97" s="21"/>
    </row>
    <row r="98" spans="2:7" x14ac:dyDescent="0.25">
      <c r="B98" s="21">
        <v>1</v>
      </c>
      <c r="C98" s="19" t="s">
        <v>90</v>
      </c>
      <c r="D98" s="16">
        <v>1108.25</v>
      </c>
      <c r="E98" s="20">
        <f t="shared" si="2"/>
        <v>1108.25</v>
      </c>
      <c r="F98" s="21">
        <v>1</v>
      </c>
      <c r="G98" s="21"/>
    </row>
    <row r="99" spans="2:7" x14ac:dyDescent="0.25">
      <c r="B99" s="21">
        <v>1</v>
      </c>
      <c r="C99" s="19" t="s">
        <v>91</v>
      </c>
      <c r="D99" s="16">
        <v>1108.25</v>
      </c>
      <c r="E99" s="20">
        <f t="shared" si="2"/>
        <v>1108.25</v>
      </c>
      <c r="F99" s="21">
        <v>1</v>
      </c>
      <c r="G99" s="21"/>
    </row>
    <row r="100" spans="2:7" x14ac:dyDescent="0.25">
      <c r="B100" s="21">
        <v>1</v>
      </c>
      <c r="C100" s="19" t="s">
        <v>102</v>
      </c>
      <c r="D100" s="16">
        <v>1108.25</v>
      </c>
      <c r="E100" s="20">
        <f t="shared" si="2"/>
        <v>1108.25</v>
      </c>
      <c r="F100" s="21"/>
      <c r="G100" s="21">
        <v>1</v>
      </c>
    </row>
    <row r="101" spans="2:7" x14ac:dyDescent="0.25">
      <c r="B101" s="21">
        <v>1</v>
      </c>
      <c r="C101" s="19" t="s">
        <v>103</v>
      </c>
      <c r="D101" s="16">
        <v>1108.25</v>
      </c>
      <c r="E101" s="20">
        <f t="shared" si="2"/>
        <v>1108.25</v>
      </c>
      <c r="F101" s="21">
        <v>1</v>
      </c>
      <c r="G101" s="21"/>
    </row>
    <row r="102" spans="2:7" x14ac:dyDescent="0.25">
      <c r="B102" s="21">
        <v>1</v>
      </c>
      <c r="C102" s="19" t="s">
        <v>108</v>
      </c>
      <c r="D102" s="16">
        <v>1108.25</v>
      </c>
      <c r="E102" s="20">
        <f t="shared" si="2"/>
        <v>1108.25</v>
      </c>
      <c r="F102" s="21"/>
      <c r="G102" s="21">
        <v>1</v>
      </c>
    </row>
    <row r="103" spans="2:7" x14ac:dyDescent="0.25">
      <c r="B103" s="21">
        <v>1</v>
      </c>
      <c r="C103" s="9" t="s">
        <v>111</v>
      </c>
      <c r="D103" s="16">
        <v>1108.25</v>
      </c>
      <c r="E103" s="20">
        <f t="shared" si="2"/>
        <v>1108.25</v>
      </c>
      <c r="F103" s="21">
        <v>1</v>
      </c>
      <c r="G103" s="21"/>
    </row>
    <row r="104" spans="2:7" x14ac:dyDescent="0.25">
      <c r="B104" s="21">
        <v>1</v>
      </c>
      <c r="C104" s="19" t="s">
        <v>112</v>
      </c>
      <c r="D104" s="16">
        <v>1108.25</v>
      </c>
      <c r="E104" s="20">
        <f t="shared" si="2"/>
        <v>1108.25</v>
      </c>
      <c r="F104" s="21">
        <v>1</v>
      </c>
      <c r="G104" s="21"/>
    </row>
    <row r="105" spans="2:7" x14ac:dyDescent="0.25">
      <c r="B105" s="21">
        <f>1+1</f>
        <v>2</v>
      </c>
      <c r="C105" s="19" t="s">
        <v>83</v>
      </c>
      <c r="D105" s="16">
        <v>1108.25</v>
      </c>
      <c r="E105" s="20">
        <f t="shared" si="2"/>
        <v>2216.5</v>
      </c>
      <c r="F105" s="21">
        <f>1+1</f>
        <v>2</v>
      </c>
      <c r="G105" s="21"/>
    </row>
    <row r="106" spans="2:7" x14ac:dyDescent="0.25">
      <c r="B106" s="21">
        <v>3</v>
      </c>
      <c r="C106" s="9" t="s">
        <v>45</v>
      </c>
      <c r="D106" s="16">
        <v>1108.25</v>
      </c>
      <c r="E106" s="20">
        <f t="shared" si="2"/>
        <v>3324.75</v>
      </c>
      <c r="F106" s="21">
        <v>1</v>
      </c>
      <c r="G106" s="21">
        <v>2</v>
      </c>
    </row>
    <row r="107" spans="2:7" x14ac:dyDescent="0.25">
      <c r="B107" s="21">
        <v>1</v>
      </c>
      <c r="C107" s="19" t="s">
        <v>46</v>
      </c>
      <c r="D107" s="16">
        <v>846.59</v>
      </c>
      <c r="E107" s="20">
        <f t="shared" si="2"/>
        <v>846.59</v>
      </c>
      <c r="F107" s="21">
        <v>1</v>
      </c>
      <c r="G107" s="21"/>
    </row>
    <row r="108" spans="2:7" x14ac:dyDescent="0.25">
      <c r="B108" s="21">
        <v>1</v>
      </c>
      <c r="C108" s="9" t="s">
        <v>47</v>
      </c>
      <c r="D108" s="16">
        <v>846.59</v>
      </c>
      <c r="E108" s="20">
        <f t="shared" si="2"/>
        <v>846.59</v>
      </c>
      <c r="F108" s="21">
        <v>1</v>
      </c>
      <c r="G108" s="21"/>
    </row>
    <row r="109" spans="2:7" x14ac:dyDescent="0.25">
      <c r="B109" s="21">
        <v>1</v>
      </c>
      <c r="C109" s="19" t="s">
        <v>48</v>
      </c>
      <c r="D109" s="16">
        <v>846.59</v>
      </c>
      <c r="E109" s="20">
        <f t="shared" si="2"/>
        <v>846.59</v>
      </c>
      <c r="F109" s="21"/>
      <c r="G109" s="21">
        <v>1</v>
      </c>
    </row>
    <row r="110" spans="2:7" x14ac:dyDescent="0.25">
      <c r="B110" s="21">
        <v>1</v>
      </c>
      <c r="C110" s="19" t="s">
        <v>92</v>
      </c>
      <c r="D110" s="16">
        <v>846.59</v>
      </c>
      <c r="E110" s="20">
        <f t="shared" si="2"/>
        <v>846.59</v>
      </c>
      <c r="F110" s="21">
        <v>1</v>
      </c>
      <c r="G110" s="21"/>
    </row>
    <row r="111" spans="2:7" x14ac:dyDescent="0.25">
      <c r="B111" s="21">
        <v>1</v>
      </c>
      <c r="C111" s="19" t="s">
        <v>93</v>
      </c>
      <c r="D111" s="16">
        <v>846.59</v>
      </c>
      <c r="E111" s="20">
        <f t="shared" si="2"/>
        <v>846.59</v>
      </c>
      <c r="F111" s="21">
        <v>1</v>
      </c>
      <c r="G111" s="21"/>
    </row>
    <row r="112" spans="2:7" x14ac:dyDescent="0.25">
      <c r="B112" s="21">
        <v>1</v>
      </c>
      <c r="C112" s="19" t="s">
        <v>94</v>
      </c>
      <c r="D112" s="16">
        <v>846.59</v>
      </c>
      <c r="E112" s="20">
        <f t="shared" si="2"/>
        <v>846.59</v>
      </c>
      <c r="F112" s="21">
        <v>1</v>
      </c>
      <c r="G112" s="21"/>
    </row>
    <row r="113" spans="2:7" x14ac:dyDescent="0.25">
      <c r="B113" s="21">
        <v>1</v>
      </c>
      <c r="C113" s="19" t="s">
        <v>95</v>
      </c>
      <c r="D113" s="16">
        <v>846.59</v>
      </c>
      <c r="E113" s="20">
        <f t="shared" si="2"/>
        <v>846.59</v>
      </c>
      <c r="F113" s="21">
        <v>1</v>
      </c>
      <c r="G113" s="21"/>
    </row>
    <row r="114" spans="2:7" x14ac:dyDescent="0.25">
      <c r="B114" s="21">
        <v>1</v>
      </c>
      <c r="C114" s="9" t="s">
        <v>96</v>
      </c>
      <c r="D114" s="16">
        <v>846.59</v>
      </c>
      <c r="E114" s="20">
        <f t="shared" si="2"/>
        <v>846.59</v>
      </c>
      <c r="F114" s="21"/>
      <c r="G114" s="21">
        <v>1</v>
      </c>
    </row>
    <row r="115" spans="2:7" x14ac:dyDescent="0.25">
      <c r="B115" s="21">
        <v>1</v>
      </c>
      <c r="C115" s="19" t="s">
        <v>104</v>
      </c>
      <c r="D115" s="16">
        <v>846.59</v>
      </c>
      <c r="E115" s="20">
        <f t="shared" si="2"/>
        <v>846.59</v>
      </c>
      <c r="F115" s="21"/>
      <c r="G115" s="21">
        <v>1</v>
      </c>
    </row>
    <row r="116" spans="2:7" x14ac:dyDescent="0.25">
      <c r="B116" s="21">
        <v>1</v>
      </c>
      <c r="C116" s="19" t="s">
        <v>105</v>
      </c>
      <c r="D116" s="16">
        <v>846.59</v>
      </c>
      <c r="E116" s="20">
        <f t="shared" si="2"/>
        <v>846.59</v>
      </c>
      <c r="F116" s="21">
        <v>1</v>
      </c>
      <c r="G116" s="21"/>
    </row>
    <row r="117" spans="2:7" x14ac:dyDescent="0.25">
      <c r="B117" s="21">
        <v>1</v>
      </c>
      <c r="C117" s="19" t="s">
        <v>106</v>
      </c>
      <c r="D117" s="16">
        <v>846.59</v>
      </c>
      <c r="E117" s="20">
        <f t="shared" si="2"/>
        <v>846.59</v>
      </c>
      <c r="F117" s="21">
        <v>1</v>
      </c>
      <c r="G117" s="21"/>
    </row>
    <row r="118" spans="2:7" x14ac:dyDescent="0.25">
      <c r="B118" s="21">
        <v>1</v>
      </c>
      <c r="C118" s="19" t="s">
        <v>109</v>
      </c>
      <c r="D118" s="16">
        <v>846.59</v>
      </c>
      <c r="E118" s="20">
        <f t="shared" si="2"/>
        <v>846.59</v>
      </c>
      <c r="F118" s="21">
        <v>1</v>
      </c>
      <c r="G118" s="21"/>
    </row>
    <row r="119" spans="2:7" x14ac:dyDescent="0.25">
      <c r="B119" s="21">
        <v>1</v>
      </c>
      <c r="C119" s="19" t="s">
        <v>113</v>
      </c>
      <c r="D119" s="16">
        <v>846.59</v>
      </c>
      <c r="E119" s="20">
        <f t="shared" si="2"/>
        <v>846.59</v>
      </c>
      <c r="F119" s="21">
        <v>1</v>
      </c>
      <c r="G119" s="21"/>
    </row>
    <row r="120" spans="2:7" x14ac:dyDescent="0.25">
      <c r="B120" s="21">
        <v>1</v>
      </c>
      <c r="C120" s="19" t="s">
        <v>114</v>
      </c>
      <c r="D120" s="16">
        <v>846.59</v>
      </c>
      <c r="E120" s="20">
        <f t="shared" si="2"/>
        <v>846.59</v>
      </c>
      <c r="F120" s="21"/>
      <c r="G120" s="21">
        <v>1</v>
      </c>
    </row>
    <row r="121" spans="2:7" x14ac:dyDescent="0.25">
      <c r="B121" s="21">
        <v>1</v>
      </c>
      <c r="C121" s="19" t="s">
        <v>115</v>
      </c>
      <c r="D121" s="16">
        <v>846.59</v>
      </c>
      <c r="E121" s="20">
        <f t="shared" si="2"/>
        <v>846.59</v>
      </c>
      <c r="F121" s="21"/>
      <c r="G121" s="21">
        <v>1</v>
      </c>
    </row>
    <row r="122" spans="2:7" x14ac:dyDescent="0.25">
      <c r="B122" s="21">
        <v>1</v>
      </c>
      <c r="C122" s="19" t="s">
        <v>116</v>
      </c>
      <c r="D122" s="16">
        <v>846.59</v>
      </c>
      <c r="E122" s="20">
        <f t="shared" si="2"/>
        <v>846.59</v>
      </c>
      <c r="F122" s="21">
        <v>1</v>
      </c>
      <c r="G122" s="21"/>
    </row>
    <row r="123" spans="2:7" x14ac:dyDescent="0.25">
      <c r="B123" s="21">
        <v>1</v>
      </c>
      <c r="C123" s="19" t="s">
        <v>117</v>
      </c>
      <c r="D123" s="16">
        <v>846.59</v>
      </c>
      <c r="E123" s="20">
        <f t="shared" si="2"/>
        <v>846.59</v>
      </c>
      <c r="F123" s="21">
        <v>1</v>
      </c>
      <c r="G123" s="21"/>
    </row>
    <row r="124" spans="2:7" x14ac:dyDescent="0.25">
      <c r="B124" s="21">
        <v>1</v>
      </c>
      <c r="C124" s="19" t="s">
        <v>118</v>
      </c>
      <c r="D124" s="16">
        <v>846.59</v>
      </c>
      <c r="E124" s="20">
        <f t="shared" si="2"/>
        <v>846.59</v>
      </c>
      <c r="F124" s="21"/>
      <c r="G124" s="21">
        <v>1</v>
      </c>
    </row>
    <row r="125" spans="2:7" x14ac:dyDescent="0.25">
      <c r="B125" s="21">
        <v>1</v>
      </c>
      <c r="C125" s="19" t="s">
        <v>125</v>
      </c>
      <c r="D125" s="16">
        <v>846.59</v>
      </c>
      <c r="E125" s="20">
        <f t="shared" si="2"/>
        <v>846.59</v>
      </c>
      <c r="F125" s="21">
        <v>1</v>
      </c>
      <c r="G125" s="21"/>
    </row>
    <row r="126" spans="2:7" x14ac:dyDescent="0.25">
      <c r="B126" s="21">
        <v>1</v>
      </c>
      <c r="C126" s="19" t="s">
        <v>126</v>
      </c>
      <c r="D126" s="16">
        <v>846.59</v>
      </c>
      <c r="E126" s="20">
        <f t="shared" si="2"/>
        <v>846.59</v>
      </c>
      <c r="F126" s="21">
        <v>1</v>
      </c>
      <c r="G126" s="21"/>
    </row>
    <row r="127" spans="2:7" x14ac:dyDescent="0.25">
      <c r="B127" s="21">
        <v>1</v>
      </c>
      <c r="C127" s="19" t="s">
        <v>77</v>
      </c>
      <c r="D127" s="16">
        <v>788.29</v>
      </c>
      <c r="E127" s="20">
        <f t="shared" si="2"/>
        <v>788.29</v>
      </c>
      <c r="F127" s="21">
        <v>1</v>
      </c>
      <c r="G127" s="21"/>
    </row>
    <row r="128" spans="2:7" x14ac:dyDescent="0.25">
      <c r="B128" s="21">
        <v>1</v>
      </c>
      <c r="C128" s="19" t="s">
        <v>28</v>
      </c>
      <c r="D128" s="16">
        <v>788.29</v>
      </c>
      <c r="E128" s="20">
        <f t="shared" si="2"/>
        <v>788.29</v>
      </c>
      <c r="F128" s="21"/>
      <c r="G128" s="21">
        <v>1</v>
      </c>
    </row>
    <row r="129" spans="2:7" x14ac:dyDescent="0.25">
      <c r="B129" s="23">
        <f>3+1</f>
        <v>4</v>
      </c>
      <c r="C129" s="19" t="s">
        <v>110</v>
      </c>
      <c r="D129" s="16">
        <v>758.86</v>
      </c>
      <c r="E129" s="20">
        <f t="shared" si="2"/>
        <v>3035.44</v>
      </c>
      <c r="F129" s="23">
        <f>2+1</f>
        <v>3</v>
      </c>
      <c r="G129" s="23">
        <v>1</v>
      </c>
    </row>
    <row r="130" spans="2:7" x14ac:dyDescent="0.25">
      <c r="B130" s="23">
        <v>3</v>
      </c>
      <c r="C130" s="9" t="s">
        <v>49</v>
      </c>
      <c r="D130" s="16">
        <v>715.02</v>
      </c>
      <c r="E130" s="20">
        <f t="shared" si="2"/>
        <v>2145.06</v>
      </c>
      <c r="F130" s="23">
        <v>1</v>
      </c>
      <c r="G130" s="23">
        <v>2</v>
      </c>
    </row>
    <row r="131" spans="2:7" x14ac:dyDescent="0.25">
      <c r="B131" s="23">
        <v>5</v>
      </c>
      <c r="C131" s="9" t="s">
        <v>29</v>
      </c>
      <c r="D131" s="16">
        <v>715.02</v>
      </c>
      <c r="E131" s="20">
        <f t="shared" si="2"/>
        <v>3575.1</v>
      </c>
      <c r="F131" s="23">
        <v>2</v>
      </c>
      <c r="G131" s="23">
        <v>3</v>
      </c>
    </row>
    <row r="132" spans="2:7" x14ac:dyDescent="0.25">
      <c r="B132" s="23">
        <v>3</v>
      </c>
      <c r="C132" s="9" t="s">
        <v>31</v>
      </c>
      <c r="D132" s="16">
        <v>715.02</v>
      </c>
      <c r="E132" s="20">
        <f t="shared" si="2"/>
        <v>2145.06</v>
      </c>
      <c r="F132" s="23">
        <v>3</v>
      </c>
      <c r="G132" s="23"/>
    </row>
    <row r="133" spans="2:7" x14ac:dyDescent="0.25">
      <c r="B133" s="23">
        <v>1</v>
      </c>
      <c r="C133" s="9" t="s">
        <v>50</v>
      </c>
      <c r="D133" s="16">
        <v>715.02</v>
      </c>
      <c r="E133" s="20">
        <f t="shared" si="2"/>
        <v>715.02</v>
      </c>
      <c r="F133" s="23"/>
      <c r="G133" s="23">
        <v>1</v>
      </c>
    </row>
    <row r="134" spans="2:7" x14ac:dyDescent="0.25">
      <c r="B134" s="23">
        <v>1</v>
      </c>
      <c r="C134" s="9" t="s">
        <v>51</v>
      </c>
      <c r="D134" s="16">
        <v>674.55</v>
      </c>
      <c r="E134" s="20">
        <f t="shared" si="2"/>
        <v>674.55</v>
      </c>
      <c r="F134" s="23"/>
      <c r="G134" s="23">
        <v>1</v>
      </c>
    </row>
    <row r="135" spans="2:7" s="13" customFormat="1" x14ac:dyDescent="0.25">
      <c r="B135" s="48"/>
      <c r="C135" s="49"/>
      <c r="D135" s="56"/>
      <c r="E135" s="57"/>
      <c r="F135" s="48"/>
      <c r="G135" s="48"/>
    </row>
    <row r="136" spans="2:7" s="13" customFormat="1" x14ac:dyDescent="0.25">
      <c r="B136" s="48"/>
      <c r="C136" s="49"/>
      <c r="D136" s="56"/>
      <c r="E136" s="57"/>
      <c r="F136" s="48"/>
      <c r="G136" s="48"/>
    </row>
    <row r="137" spans="2:7" s="13" customFormat="1" x14ac:dyDescent="0.25">
      <c r="B137" s="48"/>
      <c r="C137" s="49"/>
      <c r="D137" s="56"/>
      <c r="E137" s="57"/>
      <c r="F137" s="48"/>
      <c r="G137" s="48"/>
    </row>
    <row r="138" spans="2:7" s="13" customFormat="1" x14ac:dyDescent="0.25">
      <c r="B138" s="48"/>
      <c r="C138" s="49"/>
      <c r="D138" s="56"/>
      <c r="E138" s="57"/>
      <c r="F138" s="48"/>
      <c r="G138" s="48"/>
    </row>
    <row r="139" spans="2:7" s="13" customFormat="1" x14ac:dyDescent="0.25">
      <c r="B139" s="48"/>
      <c r="C139" s="49"/>
      <c r="D139" s="56"/>
      <c r="E139" s="57"/>
      <c r="F139" s="48"/>
      <c r="G139" s="48"/>
    </row>
    <row r="140" spans="2:7" s="13" customFormat="1" x14ac:dyDescent="0.25">
      <c r="B140" s="48"/>
      <c r="C140" s="49"/>
      <c r="D140" s="56"/>
      <c r="E140" s="57"/>
      <c r="F140" s="48"/>
      <c r="G140" s="48"/>
    </row>
    <row r="141" spans="2:7" s="13" customFormat="1" x14ac:dyDescent="0.25">
      <c r="B141" s="48"/>
      <c r="C141" s="49"/>
      <c r="D141" s="56"/>
      <c r="E141" s="57"/>
      <c r="F141" s="48"/>
      <c r="G141" s="48"/>
    </row>
    <row r="142" spans="2:7" x14ac:dyDescent="0.25">
      <c r="B142" s="23">
        <v>2</v>
      </c>
      <c r="C142" s="9" t="s">
        <v>52</v>
      </c>
      <c r="D142" s="16">
        <v>674.55</v>
      </c>
      <c r="E142" s="20">
        <f t="shared" si="2"/>
        <v>1349.1</v>
      </c>
      <c r="F142" s="23"/>
      <c r="G142" s="23">
        <v>2</v>
      </c>
    </row>
    <row r="143" spans="2:7" x14ac:dyDescent="0.25">
      <c r="B143" s="23">
        <v>5</v>
      </c>
      <c r="C143" s="9" t="s">
        <v>89</v>
      </c>
      <c r="D143" s="16">
        <v>674.55</v>
      </c>
      <c r="E143" s="20">
        <f t="shared" si="2"/>
        <v>3372.75</v>
      </c>
      <c r="F143" s="23">
        <v>2</v>
      </c>
      <c r="G143" s="23">
        <v>3</v>
      </c>
    </row>
    <row r="144" spans="2:7" x14ac:dyDescent="0.25">
      <c r="B144" s="23">
        <v>2</v>
      </c>
      <c r="C144" s="19" t="s">
        <v>97</v>
      </c>
      <c r="D144" s="16">
        <v>715.02</v>
      </c>
      <c r="E144" s="20">
        <f t="shared" si="2"/>
        <v>1430.04</v>
      </c>
      <c r="F144" s="23">
        <v>1</v>
      </c>
      <c r="G144" s="23">
        <v>1</v>
      </c>
    </row>
    <row r="145" spans="2:7" x14ac:dyDescent="0.25">
      <c r="B145" s="23">
        <v>3</v>
      </c>
      <c r="C145" s="19" t="s">
        <v>98</v>
      </c>
      <c r="D145" s="16">
        <v>715.02</v>
      </c>
      <c r="E145" s="20">
        <f t="shared" si="2"/>
        <v>2145.06</v>
      </c>
      <c r="F145" s="23">
        <v>1</v>
      </c>
      <c r="G145" s="23">
        <v>2</v>
      </c>
    </row>
    <row r="146" spans="2:7" x14ac:dyDescent="0.25">
      <c r="B146" s="23">
        <v>4</v>
      </c>
      <c r="C146" s="19" t="s">
        <v>99</v>
      </c>
      <c r="D146" s="16">
        <v>715.02</v>
      </c>
      <c r="E146" s="20">
        <f t="shared" si="2"/>
        <v>2860.08</v>
      </c>
      <c r="F146" s="23">
        <v>2</v>
      </c>
      <c r="G146" s="23">
        <v>2</v>
      </c>
    </row>
    <row r="147" spans="2:7" x14ac:dyDescent="0.25">
      <c r="B147" s="23">
        <v>1</v>
      </c>
      <c r="C147" s="19" t="s">
        <v>107</v>
      </c>
      <c r="D147" s="16">
        <v>715.02</v>
      </c>
      <c r="E147" s="20">
        <f t="shared" si="2"/>
        <v>715.02</v>
      </c>
      <c r="F147" s="23"/>
      <c r="G147" s="23">
        <v>1</v>
      </c>
    </row>
    <row r="148" spans="2:7" x14ac:dyDescent="0.25">
      <c r="B148" s="23">
        <v>1</v>
      </c>
      <c r="C148" s="9" t="s">
        <v>50</v>
      </c>
      <c r="D148" s="16">
        <v>715.02</v>
      </c>
      <c r="E148" s="20">
        <f t="shared" si="2"/>
        <v>715.02</v>
      </c>
      <c r="F148" s="23"/>
      <c r="G148" s="23">
        <v>1</v>
      </c>
    </row>
    <row r="149" spans="2:7" x14ac:dyDescent="0.25">
      <c r="B149" s="21">
        <f>3+1+1+1</f>
        <v>6</v>
      </c>
      <c r="C149" s="9" t="s">
        <v>28</v>
      </c>
      <c r="D149" s="16">
        <v>715.02</v>
      </c>
      <c r="E149" s="20">
        <f t="shared" si="2"/>
        <v>4290.12</v>
      </c>
      <c r="F149" s="21"/>
      <c r="G149" s="21">
        <f>3+1+1+1</f>
        <v>6</v>
      </c>
    </row>
    <row r="150" spans="2:7" x14ac:dyDescent="0.25">
      <c r="B150" s="21">
        <v>1</v>
      </c>
      <c r="C150" s="9" t="s">
        <v>53</v>
      </c>
      <c r="D150" s="16">
        <v>715.02</v>
      </c>
      <c r="E150" s="20">
        <f t="shared" si="2"/>
        <v>715.02</v>
      </c>
      <c r="F150" s="21">
        <v>1</v>
      </c>
      <c r="G150" s="21"/>
    </row>
    <row r="151" spans="2:7" x14ac:dyDescent="0.25">
      <c r="B151" s="21">
        <v>2</v>
      </c>
      <c r="C151" s="9" t="s">
        <v>54</v>
      </c>
      <c r="D151" s="16">
        <v>715.02</v>
      </c>
      <c r="E151" s="20">
        <f t="shared" si="2"/>
        <v>1430.04</v>
      </c>
      <c r="F151" s="21">
        <v>1</v>
      </c>
      <c r="G151" s="21">
        <v>1</v>
      </c>
    </row>
    <row r="152" spans="2:7" x14ac:dyDescent="0.25">
      <c r="B152" s="21">
        <v>4</v>
      </c>
      <c r="C152" s="9" t="s">
        <v>63</v>
      </c>
      <c r="D152" s="16">
        <v>715.02</v>
      </c>
      <c r="E152" s="20">
        <f t="shared" si="2"/>
        <v>2860.08</v>
      </c>
      <c r="F152" s="21"/>
      <c r="G152" s="21">
        <v>4</v>
      </c>
    </row>
    <row r="153" spans="2:7" x14ac:dyDescent="0.25">
      <c r="B153" s="21">
        <f>28+1+2+6+2+3</f>
        <v>42</v>
      </c>
      <c r="C153" s="19" t="s">
        <v>70</v>
      </c>
      <c r="D153" s="16">
        <v>715.02</v>
      </c>
      <c r="E153" s="20">
        <f t="shared" si="2"/>
        <v>30030.84</v>
      </c>
      <c r="F153" s="21">
        <f>14+1+2+3+2+2</f>
        <v>24</v>
      </c>
      <c r="G153" s="21">
        <f>14+3+1</f>
        <v>18</v>
      </c>
    </row>
    <row r="154" spans="2:7" x14ac:dyDescent="0.25">
      <c r="B154" s="21">
        <v>1</v>
      </c>
      <c r="C154" s="19" t="s">
        <v>119</v>
      </c>
      <c r="D154" s="16">
        <v>641.11</v>
      </c>
      <c r="E154" s="20">
        <f t="shared" si="2"/>
        <v>641.11</v>
      </c>
      <c r="F154" s="21"/>
      <c r="G154" s="21">
        <v>1</v>
      </c>
    </row>
    <row r="155" spans="2:7" x14ac:dyDescent="0.25">
      <c r="B155" s="21">
        <v>1</v>
      </c>
      <c r="C155" s="19" t="s">
        <v>55</v>
      </c>
      <c r="D155" s="16">
        <v>634.74</v>
      </c>
      <c r="E155" s="20">
        <f t="shared" si="2"/>
        <v>634.74</v>
      </c>
      <c r="F155" s="21"/>
      <c r="G155" s="21">
        <v>1</v>
      </c>
    </row>
    <row r="156" spans="2:7" x14ac:dyDescent="0.25">
      <c r="B156" s="21">
        <v>1</v>
      </c>
      <c r="C156" s="19" t="s">
        <v>100</v>
      </c>
      <c r="D156" s="16">
        <v>634.74</v>
      </c>
      <c r="E156" s="20">
        <f t="shared" si="2"/>
        <v>634.74</v>
      </c>
      <c r="F156" s="21">
        <v>1</v>
      </c>
      <c r="G156" s="21"/>
    </row>
    <row r="157" spans="2:7" x14ac:dyDescent="0.25">
      <c r="B157" s="21">
        <v>4</v>
      </c>
      <c r="C157" s="19" t="s">
        <v>85</v>
      </c>
      <c r="D157" s="16">
        <v>634.74</v>
      </c>
      <c r="E157" s="20">
        <f t="shared" si="2"/>
        <v>2538.96</v>
      </c>
      <c r="F157" s="21">
        <v>4</v>
      </c>
      <c r="G157" s="21"/>
    </row>
    <row r="158" spans="2:7" x14ac:dyDescent="0.25">
      <c r="B158" s="21">
        <f>1+1</f>
        <v>2</v>
      </c>
      <c r="C158" s="19" t="s">
        <v>71</v>
      </c>
      <c r="D158" s="16">
        <v>634.74</v>
      </c>
      <c r="E158" s="20">
        <f t="shared" si="2"/>
        <v>1269.48</v>
      </c>
      <c r="F158" s="21"/>
      <c r="G158" s="21">
        <f>1+1</f>
        <v>2</v>
      </c>
    </row>
    <row r="159" spans="2:7" x14ac:dyDescent="0.25">
      <c r="B159" s="21">
        <f>6+1+1+1+2</f>
        <v>11</v>
      </c>
      <c r="C159" s="19" t="s">
        <v>78</v>
      </c>
      <c r="D159" s="16">
        <v>634.74</v>
      </c>
      <c r="E159" s="20">
        <f t="shared" si="2"/>
        <v>6982.14</v>
      </c>
      <c r="F159" s="21">
        <f>5+1+1</f>
        <v>7</v>
      </c>
      <c r="G159" s="21">
        <f>1+1+1+1</f>
        <v>4</v>
      </c>
    </row>
    <row r="160" spans="2:7" x14ac:dyDescent="0.25">
      <c r="B160" s="21">
        <v>1</v>
      </c>
      <c r="C160" s="9" t="s">
        <v>120</v>
      </c>
      <c r="D160" s="16">
        <v>634.74</v>
      </c>
      <c r="E160" s="20">
        <f t="shared" si="2"/>
        <v>634.74</v>
      </c>
      <c r="F160" s="21">
        <v>1</v>
      </c>
      <c r="G160" s="21"/>
    </row>
    <row r="161" spans="2:7" x14ac:dyDescent="0.25">
      <c r="B161" s="21">
        <f>1+1</f>
        <v>2</v>
      </c>
      <c r="C161" s="19" t="s">
        <v>121</v>
      </c>
      <c r="D161" s="16">
        <v>634.74</v>
      </c>
      <c r="E161" s="20">
        <f t="shared" si="2"/>
        <v>1269.48</v>
      </c>
      <c r="F161" s="21">
        <f>1+1</f>
        <v>2</v>
      </c>
      <c r="G161" s="21"/>
    </row>
    <row r="162" spans="2:7" x14ac:dyDescent="0.25">
      <c r="B162" s="21">
        <v>3</v>
      </c>
      <c r="C162" s="19" t="s">
        <v>122</v>
      </c>
      <c r="D162" s="16">
        <v>634.74</v>
      </c>
      <c r="E162" s="20">
        <f t="shared" si="2"/>
        <v>1904.22</v>
      </c>
      <c r="F162" s="21">
        <v>2</v>
      </c>
      <c r="G162" s="21">
        <v>1</v>
      </c>
    </row>
    <row r="163" spans="2:7" x14ac:dyDescent="0.25">
      <c r="B163" s="21">
        <f>3+1</f>
        <v>4</v>
      </c>
      <c r="C163" s="19" t="s">
        <v>79</v>
      </c>
      <c r="D163" s="16">
        <v>634.74</v>
      </c>
      <c r="E163" s="20">
        <f t="shared" si="2"/>
        <v>2538.96</v>
      </c>
      <c r="F163" s="21">
        <f>3+1</f>
        <v>4</v>
      </c>
      <c r="G163" s="21"/>
    </row>
    <row r="164" spans="2:7" x14ac:dyDescent="0.25">
      <c r="B164" s="21">
        <v>1</v>
      </c>
      <c r="C164" s="19" t="s">
        <v>123</v>
      </c>
      <c r="D164" s="16">
        <v>634.74</v>
      </c>
      <c r="E164" s="20">
        <f t="shared" si="2"/>
        <v>634.74</v>
      </c>
      <c r="F164" s="21">
        <v>1</v>
      </c>
      <c r="G164" s="21"/>
    </row>
    <row r="165" spans="2:7" x14ac:dyDescent="0.25">
      <c r="B165" s="21">
        <v>2</v>
      </c>
      <c r="C165" s="19" t="s">
        <v>80</v>
      </c>
      <c r="D165" s="16">
        <v>634.74</v>
      </c>
      <c r="E165" s="20">
        <f t="shared" si="2"/>
        <v>1269.48</v>
      </c>
      <c r="F165" s="21">
        <v>1</v>
      </c>
      <c r="G165" s="21">
        <v>1</v>
      </c>
    </row>
    <row r="166" spans="2:7" x14ac:dyDescent="0.25">
      <c r="B166" s="21">
        <v>1</v>
      </c>
      <c r="C166" s="19" t="s">
        <v>56</v>
      </c>
      <c r="D166" s="16">
        <v>619.80999999999995</v>
      </c>
      <c r="E166" s="20">
        <f t="shared" si="2"/>
        <v>619.80999999999995</v>
      </c>
      <c r="F166" s="21"/>
      <c r="G166" s="21">
        <v>1</v>
      </c>
    </row>
    <row r="167" spans="2:7" x14ac:dyDescent="0.25">
      <c r="B167" s="21">
        <f>6+7+1+3+1+1</f>
        <v>19</v>
      </c>
      <c r="C167" s="19" t="s">
        <v>28</v>
      </c>
      <c r="D167" s="16">
        <v>619.80999999999995</v>
      </c>
      <c r="E167" s="20">
        <f t="shared" si="2"/>
        <v>11776.39</v>
      </c>
      <c r="F167" s="21"/>
      <c r="G167" s="21">
        <f>6+7+1+3+1+1</f>
        <v>19</v>
      </c>
    </row>
    <row r="168" spans="2:7" x14ac:dyDescent="0.25">
      <c r="B168" s="21">
        <f>1+1+4+1+1+1</f>
        <v>9</v>
      </c>
      <c r="C168" s="19" t="s">
        <v>28</v>
      </c>
      <c r="D168" s="16">
        <v>558.71</v>
      </c>
      <c r="E168" s="20">
        <f t="shared" si="2"/>
        <v>5028.3900000000003</v>
      </c>
      <c r="F168" s="21"/>
      <c r="G168" s="21">
        <f>1+1+4+1+1+1</f>
        <v>9</v>
      </c>
    </row>
    <row r="169" spans="2:7" x14ac:dyDescent="0.25">
      <c r="B169" s="21">
        <f>1+1+1</f>
        <v>3</v>
      </c>
      <c r="C169" s="19" t="s">
        <v>57</v>
      </c>
      <c r="D169" s="16">
        <v>549.9</v>
      </c>
      <c r="E169" s="20">
        <f t="shared" si="2"/>
        <v>1649.6999999999998</v>
      </c>
      <c r="F169" s="21">
        <f>1+1+1</f>
        <v>3</v>
      </c>
      <c r="G169" s="21"/>
    </row>
    <row r="170" spans="2:7" x14ac:dyDescent="0.25">
      <c r="B170" s="21">
        <f>10+5+2+2</f>
        <v>19</v>
      </c>
      <c r="C170" s="19" t="s">
        <v>57</v>
      </c>
      <c r="D170" s="16">
        <v>536.92999999999995</v>
      </c>
      <c r="E170" s="20">
        <f t="shared" ref="E170:E177" si="3">D170*B170</f>
        <v>10201.669999999998</v>
      </c>
      <c r="F170" s="21">
        <f>10+5+2+2</f>
        <v>19</v>
      </c>
      <c r="G170" s="21"/>
    </row>
    <row r="171" spans="2:7" x14ac:dyDescent="0.25">
      <c r="B171" s="21">
        <f>3+7+2+2+1+3+1+2</f>
        <v>21</v>
      </c>
      <c r="C171" s="9" t="s">
        <v>71</v>
      </c>
      <c r="D171" s="16">
        <v>536.92999999999995</v>
      </c>
      <c r="E171" s="20">
        <f t="shared" si="3"/>
        <v>11275.529999999999</v>
      </c>
      <c r="F171" s="21"/>
      <c r="G171" s="21">
        <f>3+7+2+2+1+3+1+2</f>
        <v>21</v>
      </c>
    </row>
    <row r="172" spans="2:7" x14ac:dyDescent="0.25">
      <c r="B172" s="21">
        <f>1+1</f>
        <v>2</v>
      </c>
      <c r="C172" s="9" t="s">
        <v>57</v>
      </c>
      <c r="D172" s="16">
        <v>490.6</v>
      </c>
      <c r="E172" s="20">
        <f t="shared" si="3"/>
        <v>981.2</v>
      </c>
      <c r="F172" s="21">
        <f>1+1</f>
        <v>2</v>
      </c>
      <c r="G172" s="21"/>
    </row>
    <row r="173" spans="2:7" x14ac:dyDescent="0.25">
      <c r="B173" s="21">
        <f>2+13+1+2+1+4</f>
        <v>23</v>
      </c>
      <c r="C173" s="19" t="s">
        <v>34</v>
      </c>
      <c r="D173" s="16">
        <v>474.71</v>
      </c>
      <c r="E173" s="20">
        <f t="shared" si="3"/>
        <v>10918.33</v>
      </c>
      <c r="F173" s="21">
        <f>2+13+1+2+1+4</f>
        <v>23</v>
      </c>
      <c r="G173" s="21"/>
    </row>
    <row r="174" spans="2:7" x14ac:dyDescent="0.25">
      <c r="B174" s="21">
        <f>7+1</f>
        <v>8</v>
      </c>
      <c r="C174" s="19" t="s">
        <v>84</v>
      </c>
      <c r="D174" s="16">
        <v>474.71</v>
      </c>
      <c r="E174" s="20">
        <f t="shared" si="3"/>
        <v>3797.68</v>
      </c>
      <c r="F174" s="21">
        <f>7+1</f>
        <v>8</v>
      </c>
      <c r="G174" s="21"/>
    </row>
    <row r="175" spans="2:7" x14ac:dyDescent="0.25">
      <c r="B175" s="21">
        <f>2+2+2+1+1</f>
        <v>8</v>
      </c>
      <c r="C175" s="19" t="s">
        <v>33</v>
      </c>
      <c r="D175" s="16">
        <v>474.71</v>
      </c>
      <c r="E175" s="20">
        <f t="shared" si="3"/>
        <v>3797.68</v>
      </c>
      <c r="F175" s="21">
        <f>2+2+2+1+1</f>
        <v>8</v>
      </c>
      <c r="G175" s="21"/>
    </row>
    <row r="176" spans="2:7" x14ac:dyDescent="0.25">
      <c r="B176" s="21">
        <v>1</v>
      </c>
      <c r="C176" s="19" t="s">
        <v>124</v>
      </c>
      <c r="D176" s="16">
        <v>459.49</v>
      </c>
      <c r="E176" s="20">
        <f t="shared" si="3"/>
        <v>459.49</v>
      </c>
      <c r="F176" s="21">
        <v>1</v>
      </c>
      <c r="G176" s="21"/>
    </row>
    <row r="177" spans="2:7" x14ac:dyDescent="0.25">
      <c r="B177" s="21">
        <f>3+12+11+3+1+4+3+5+1</f>
        <v>43</v>
      </c>
      <c r="C177" s="19" t="s">
        <v>35</v>
      </c>
      <c r="D177" s="16">
        <v>443.6</v>
      </c>
      <c r="E177" s="20">
        <f t="shared" si="3"/>
        <v>19074.8</v>
      </c>
      <c r="F177" s="21">
        <f>3+12+11+2+1+3+3+5+1</f>
        <v>41</v>
      </c>
      <c r="G177" s="21">
        <f>1+1</f>
        <v>2</v>
      </c>
    </row>
    <row r="178" spans="2:7" ht="15.75" x14ac:dyDescent="0.25">
      <c r="B178" s="12">
        <f>SUM(B91:B177)</f>
        <v>321</v>
      </c>
      <c r="C178" s="1"/>
      <c r="D178" s="1"/>
      <c r="E178" s="18">
        <f>SUM(E91:E177)</f>
        <v>207204.65999999997</v>
      </c>
      <c r="F178" s="14">
        <f>SUM(F91:F177)</f>
        <v>198</v>
      </c>
      <c r="G178" s="14">
        <f>SUM(G91:G177)</f>
        <v>123</v>
      </c>
    </row>
  </sheetData>
  <mergeCells count="2">
    <mergeCell ref="F3:G3"/>
    <mergeCell ref="F89:G89"/>
  </mergeCells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0"/>
  <sheetViews>
    <sheetView view="pageBreakPreview" topLeftCell="A130" zoomScale="60" zoomScaleNormal="100" workbookViewId="0">
      <selection activeCell="B147" sqref="B147:G154"/>
    </sheetView>
  </sheetViews>
  <sheetFormatPr baseColWidth="10" defaultRowHeight="15" x14ac:dyDescent="0.25"/>
  <cols>
    <col min="1" max="1" width="6" customWidth="1"/>
    <col min="3" max="3" width="60.7109375" bestFit="1" customWidth="1"/>
    <col min="5" max="5" width="13.85546875" bestFit="1" customWidth="1"/>
  </cols>
  <sheetData>
    <row r="2" spans="2:7" x14ac:dyDescent="0.25">
      <c r="B2" s="29" t="s">
        <v>139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140</v>
      </c>
      <c r="D5" s="31">
        <v>2600</v>
      </c>
      <c r="E5" s="10">
        <f t="shared" ref="E5:E51" si="0">D5*B5</f>
        <v>2600</v>
      </c>
      <c r="F5" s="7">
        <v>1</v>
      </c>
      <c r="G5" s="7"/>
    </row>
    <row r="6" spans="2:7" x14ac:dyDescent="0.25">
      <c r="B6" s="21">
        <v>1</v>
      </c>
      <c r="C6" s="9" t="s">
        <v>141</v>
      </c>
      <c r="D6" s="31">
        <v>2600</v>
      </c>
      <c r="E6" s="10">
        <f t="shared" si="0"/>
        <v>2600</v>
      </c>
      <c r="F6" s="7">
        <v>1</v>
      </c>
      <c r="G6" s="7"/>
    </row>
    <row r="7" spans="2:7" x14ac:dyDescent="0.25">
      <c r="B7" s="21">
        <v>1</v>
      </c>
      <c r="C7" s="9" t="s">
        <v>5</v>
      </c>
      <c r="D7" s="11">
        <v>2600</v>
      </c>
      <c r="E7" s="10">
        <f t="shared" si="0"/>
        <v>2600</v>
      </c>
      <c r="F7" s="7">
        <v>1</v>
      </c>
      <c r="G7" s="7"/>
    </row>
    <row r="8" spans="2:7" x14ac:dyDescent="0.25">
      <c r="B8" s="21">
        <v>1</v>
      </c>
      <c r="C8" s="9" t="s">
        <v>18</v>
      </c>
      <c r="D8" s="15">
        <v>2183.02</v>
      </c>
      <c r="E8" s="10">
        <f t="shared" si="0"/>
        <v>2183.02</v>
      </c>
      <c r="F8" s="21">
        <v>1</v>
      </c>
      <c r="G8" s="21"/>
    </row>
    <row r="9" spans="2:7" x14ac:dyDescent="0.25">
      <c r="B9" s="21">
        <v>1</v>
      </c>
      <c r="C9" s="9" t="s">
        <v>58</v>
      </c>
      <c r="D9" s="15">
        <v>2183.02</v>
      </c>
      <c r="E9" s="10">
        <f t="shared" si="0"/>
        <v>2183.02</v>
      </c>
      <c r="F9" s="21"/>
      <c r="G9" s="21">
        <v>1</v>
      </c>
    </row>
    <row r="10" spans="2:7" x14ac:dyDescent="0.25">
      <c r="B10" s="21">
        <v>1</v>
      </c>
      <c r="C10" s="9" t="s">
        <v>61</v>
      </c>
      <c r="D10" s="15">
        <v>2183.02</v>
      </c>
      <c r="E10" s="10">
        <f t="shared" si="0"/>
        <v>2183.02</v>
      </c>
      <c r="F10" s="21"/>
      <c r="G10" s="21">
        <v>1</v>
      </c>
    </row>
    <row r="11" spans="2:7" x14ac:dyDescent="0.25">
      <c r="B11" s="21">
        <v>1</v>
      </c>
      <c r="C11" s="9" t="s">
        <v>67</v>
      </c>
      <c r="D11" s="15">
        <v>2183.0100000000002</v>
      </c>
      <c r="E11" s="10">
        <f t="shared" si="0"/>
        <v>2183.0100000000002</v>
      </c>
      <c r="F11" s="21">
        <v>1</v>
      </c>
      <c r="G11" s="21"/>
    </row>
    <row r="12" spans="2:7" x14ac:dyDescent="0.25">
      <c r="B12" s="21">
        <v>1</v>
      </c>
      <c r="C12" s="9" t="s">
        <v>73</v>
      </c>
      <c r="D12" s="15">
        <v>2183.02</v>
      </c>
      <c r="E12" s="10">
        <f t="shared" si="0"/>
        <v>2183.02</v>
      </c>
      <c r="F12" s="21">
        <v>1</v>
      </c>
      <c r="G12" s="21"/>
    </row>
    <row r="13" spans="2:7" x14ac:dyDescent="0.25">
      <c r="B13" s="21">
        <v>1</v>
      </c>
      <c r="C13" s="9" t="s">
        <v>102</v>
      </c>
      <c r="D13" s="15">
        <v>2183.02</v>
      </c>
      <c r="E13" s="10">
        <f t="shared" si="0"/>
        <v>2183.02</v>
      </c>
      <c r="F13" s="21">
        <v>1</v>
      </c>
      <c r="G13" s="21"/>
    </row>
    <row r="14" spans="2:7" x14ac:dyDescent="0.25">
      <c r="B14" s="21">
        <v>1</v>
      </c>
      <c r="C14" s="9" t="s">
        <v>142</v>
      </c>
      <c r="D14" s="15">
        <v>2060</v>
      </c>
      <c r="E14" s="10">
        <f t="shared" si="0"/>
        <v>2060</v>
      </c>
      <c r="F14" s="21">
        <v>1</v>
      </c>
      <c r="G14" s="21"/>
    </row>
    <row r="15" spans="2:7" x14ac:dyDescent="0.25">
      <c r="B15" s="21">
        <v>1</v>
      </c>
      <c r="C15" s="9" t="s">
        <v>90</v>
      </c>
      <c r="D15" s="15">
        <f>2060</f>
        <v>2060</v>
      </c>
      <c r="E15" s="10">
        <f t="shared" si="0"/>
        <v>2060</v>
      </c>
      <c r="F15" s="21"/>
      <c r="G15" s="21">
        <v>1</v>
      </c>
    </row>
    <row r="16" spans="2:7" x14ac:dyDescent="0.25">
      <c r="B16" s="21">
        <v>1</v>
      </c>
      <c r="C16" s="9" t="s">
        <v>143</v>
      </c>
      <c r="D16" s="15">
        <v>1800</v>
      </c>
      <c r="E16" s="15">
        <f t="shared" si="0"/>
        <v>1800</v>
      </c>
      <c r="F16" s="21">
        <v>1</v>
      </c>
      <c r="G16" s="21"/>
    </row>
    <row r="17" spans="2:7" x14ac:dyDescent="0.25">
      <c r="B17" s="21">
        <v>1</v>
      </c>
      <c r="C17" s="9" t="s">
        <v>144</v>
      </c>
      <c r="D17" s="15">
        <v>1800</v>
      </c>
      <c r="E17" s="15">
        <f>D17*B17</f>
        <v>1800</v>
      </c>
      <c r="F17" s="21">
        <v>1</v>
      </c>
      <c r="G17" s="21"/>
    </row>
    <row r="18" spans="2:7" x14ac:dyDescent="0.25">
      <c r="B18" s="21">
        <v>1</v>
      </c>
      <c r="C18" s="9" t="s">
        <v>145</v>
      </c>
      <c r="D18" s="15">
        <v>1623.25</v>
      </c>
      <c r="E18" s="10">
        <f>D18*B18</f>
        <v>1623.25</v>
      </c>
      <c r="F18" s="21">
        <v>1</v>
      </c>
      <c r="G18" s="21"/>
    </row>
    <row r="19" spans="2:7" x14ac:dyDescent="0.25">
      <c r="B19" s="21">
        <v>1</v>
      </c>
      <c r="C19" s="3" t="s">
        <v>146</v>
      </c>
      <c r="D19" s="15">
        <v>1462.57</v>
      </c>
      <c r="E19" s="10">
        <f t="shared" si="0"/>
        <v>1462.57</v>
      </c>
      <c r="F19" s="21"/>
      <c r="G19" s="21">
        <v>1</v>
      </c>
    </row>
    <row r="20" spans="2:7" x14ac:dyDescent="0.25">
      <c r="B20" s="21">
        <v>1</v>
      </c>
      <c r="C20" s="9" t="s">
        <v>137</v>
      </c>
      <c r="D20" s="15">
        <v>1400</v>
      </c>
      <c r="E20" s="10">
        <f t="shared" si="0"/>
        <v>1400</v>
      </c>
      <c r="F20" s="21"/>
      <c r="G20" s="21">
        <v>1</v>
      </c>
    </row>
    <row r="21" spans="2:7" x14ac:dyDescent="0.25">
      <c r="B21" s="21">
        <v>1</v>
      </c>
      <c r="C21" s="9" t="s">
        <v>147</v>
      </c>
      <c r="D21" s="15">
        <v>1373.12</v>
      </c>
      <c r="E21" s="10">
        <f t="shared" si="0"/>
        <v>1373.12</v>
      </c>
      <c r="F21" s="21">
        <v>1</v>
      </c>
      <c r="G21" s="21"/>
    </row>
    <row r="22" spans="2:7" x14ac:dyDescent="0.25">
      <c r="B22" s="21">
        <v>1</v>
      </c>
      <c r="C22" s="9" t="s">
        <v>64</v>
      </c>
      <c r="D22" s="15">
        <v>1373.12</v>
      </c>
      <c r="E22" s="10">
        <f t="shared" si="0"/>
        <v>1373.12</v>
      </c>
      <c r="F22" s="21">
        <v>1</v>
      </c>
      <c r="G22" s="21"/>
    </row>
    <row r="23" spans="2:7" x14ac:dyDescent="0.25">
      <c r="B23" s="21">
        <v>1</v>
      </c>
      <c r="C23" s="9" t="s">
        <v>69</v>
      </c>
      <c r="D23" s="15">
        <v>1373.12</v>
      </c>
      <c r="E23" s="10">
        <f t="shared" si="0"/>
        <v>1373.12</v>
      </c>
      <c r="F23" s="21">
        <v>1</v>
      </c>
      <c r="G23" s="21"/>
    </row>
    <row r="24" spans="2:7" x14ac:dyDescent="0.25">
      <c r="B24" s="21">
        <v>1</v>
      </c>
      <c r="C24" s="9" t="s">
        <v>74</v>
      </c>
      <c r="D24" s="15">
        <v>1373.12</v>
      </c>
      <c r="E24" s="10">
        <f t="shared" si="0"/>
        <v>1373.12</v>
      </c>
      <c r="F24" s="21">
        <v>1</v>
      </c>
      <c r="G24" s="21"/>
    </row>
    <row r="25" spans="2:7" x14ac:dyDescent="0.25">
      <c r="B25" s="21">
        <v>1</v>
      </c>
      <c r="C25" s="9" t="s">
        <v>17</v>
      </c>
      <c r="D25" s="10">
        <v>1373.12</v>
      </c>
      <c r="E25" s="10">
        <f t="shared" si="0"/>
        <v>1373.12</v>
      </c>
      <c r="F25" s="21"/>
      <c r="G25" s="21">
        <v>1</v>
      </c>
    </row>
    <row r="26" spans="2:7" x14ac:dyDescent="0.25">
      <c r="B26" s="21">
        <v>1</v>
      </c>
      <c r="C26" s="9" t="s">
        <v>16</v>
      </c>
      <c r="D26" s="10">
        <v>1373.12</v>
      </c>
      <c r="E26" s="10">
        <f t="shared" si="0"/>
        <v>1373.12</v>
      </c>
      <c r="F26" s="21">
        <v>1</v>
      </c>
      <c r="G26" s="21"/>
    </row>
    <row r="27" spans="2:7" x14ac:dyDescent="0.25">
      <c r="B27" s="21">
        <v>1</v>
      </c>
      <c r="C27" s="9" t="s">
        <v>68</v>
      </c>
      <c r="D27" s="10">
        <v>1373.12</v>
      </c>
      <c r="E27" s="10">
        <f t="shared" si="0"/>
        <v>1373.12</v>
      </c>
      <c r="F27" s="21">
        <v>1</v>
      </c>
      <c r="G27" s="21"/>
    </row>
    <row r="28" spans="2:7" x14ac:dyDescent="0.25">
      <c r="B28" s="21">
        <v>1</v>
      </c>
      <c r="C28" s="9" t="s">
        <v>138</v>
      </c>
      <c r="D28" s="10">
        <v>1373.12</v>
      </c>
      <c r="E28" s="10">
        <f t="shared" si="0"/>
        <v>1373.12</v>
      </c>
      <c r="F28" s="21"/>
      <c r="G28" s="21">
        <v>1</v>
      </c>
    </row>
    <row r="29" spans="2:7" x14ac:dyDescent="0.25">
      <c r="B29" s="21">
        <v>1</v>
      </c>
      <c r="C29" s="3" t="s">
        <v>148</v>
      </c>
      <c r="D29" s="10">
        <v>1108.3</v>
      </c>
      <c r="E29" s="10">
        <f t="shared" si="0"/>
        <v>1108.3</v>
      </c>
      <c r="F29" s="21"/>
      <c r="G29" s="21">
        <v>1</v>
      </c>
    </row>
    <row r="30" spans="2:7" x14ac:dyDescent="0.25">
      <c r="B30" s="21">
        <v>1</v>
      </c>
      <c r="C30" s="9" t="s">
        <v>21</v>
      </c>
      <c r="D30" s="10">
        <v>1108.25</v>
      </c>
      <c r="E30" s="10">
        <f t="shared" si="0"/>
        <v>1108.25</v>
      </c>
      <c r="F30" s="21"/>
      <c r="G30" s="21">
        <v>1</v>
      </c>
    </row>
    <row r="31" spans="2:7" x14ac:dyDescent="0.25">
      <c r="B31" s="21">
        <v>1</v>
      </c>
      <c r="C31" s="9" t="s">
        <v>22</v>
      </c>
      <c r="D31" s="10">
        <v>1108.25</v>
      </c>
      <c r="E31" s="10">
        <f t="shared" si="0"/>
        <v>1108.25</v>
      </c>
      <c r="F31" s="21"/>
      <c r="G31" s="21">
        <v>1</v>
      </c>
    </row>
    <row r="32" spans="2:7" x14ac:dyDescent="0.25">
      <c r="B32" s="21">
        <v>1</v>
      </c>
      <c r="C32" s="9" t="s">
        <v>60</v>
      </c>
      <c r="D32" s="10">
        <v>1108.25</v>
      </c>
      <c r="E32" s="10">
        <f t="shared" si="0"/>
        <v>1108.25</v>
      </c>
      <c r="F32" s="21"/>
      <c r="G32" s="21">
        <v>1</v>
      </c>
    </row>
    <row r="33" spans="2:7" x14ac:dyDescent="0.25">
      <c r="B33" s="21">
        <v>1</v>
      </c>
      <c r="C33" s="9" t="s">
        <v>149</v>
      </c>
      <c r="D33" s="11">
        <v>1108.25</v>
      </c>
      <c r="E33" s="10">
        <f t="shared" si="0"/>
        <v>1108.25</v>
      </c>
      <c r="F33" s="21">
        <v>1</v>
      </c>
      <c r="G33" s="21"/>
    </row>
    <row r="34" spans="2:7" x14ac:dyDescent="0.25">
      <c r="B34" s="21">
        <v>1</v>
      </c>
      <c r="C34" s="9" t="s">
        <v>83</v>
      </c>
      <c r="D34" s="10">
        <v>1108.25</v>
      </c>
      <c r="E34" s="10">
        <f t="shared" si="0"/>
        <v>1108.25</v>
      </c>
      <c r="F34" s="21">
        <v>1</v>
      </c>
      <c r="G34" s="21"/>
    </row>
    <row r="35" spans="2:7" x14ac:dyDescent="0.25">
      <c r="B35" s="21">
        <v>1</v>
      </c>
      <c r="C35" s="9" t="s">
        <v>150</v>
      </c>
      <c r="D35" s="10">
        <v>1108.25</v>
      </c>
      <c r="E35" s="10">
        <f t="shared" si="0"/>
        <v>1108.25</v>
      </c>
      <c r="F35" s="21">
        <v>1</v>
      </c>
      <c r="G35" s="21"/>
    </row>
    <row r="36" spans="2:7" x14ac:dyDescent="0.25">
      <c r="B36" s="21">
        <v>1</v>
      </c>
      <c r="C36" s="9" t="s">
        <v>151</v>
      </c>
      <c r="D36" s="10">
        <v>1108.25</v>
      </c>
      <c r="E36" s="10">
        <f t="shared" si="0"/>
        <v>1108.25</v>
      </c>
      <c r="F36" s="21">
        <v>1</v>
      </c>
      <c r="G36" s="21"/>
    </row>
    <row r="37" spans="2:7" x14ac:dyDescent="0.25">
      <c r="B37" s="21">
        <v>1</v>
      </c>
      <c r="C37" s="9" t="s">
        <v>88</v>
      </c>
      <c r="D37" s="10">
        <v>1108.25</v>
      </c>
      <c r="E37" s="10">
        <f t="shared" si="0"/>
        <v>1108.25</v>
      </c>
      <c r="F37" s="21">
        <v>1</v>
      </c>
      <c r="G37" s="21"/>
    </row>
    <row r="38" spans="2:7" x14ac:dyDescent="0.25">
      <c r="B38" s="21">
        <v>1</v>
      </c>
      <c r="C38" s="9" t="s">
        <v>133</v>
      </c>
      <c r="D38" s="10">
        <v>1007</v>
      </c>
      <c r="E38" s="10">
        <f t="shared" si="0"/>
        <v>1007</v>
      </c>
      <c r="F38" s="21"/>
      <c r="G38" s="21">
        <v>1</v>
      </c>
    </row>
    <row r="39" spans="2:7" x14ac:dyDescent="0.25">
      <c r="B39" s="21">
        <v>1</v>
      </c>
      <c r="C39" s="9" t="s">
        <v>152</v>
      </c>
      <c r="D39" s="10">
        <v>1060</v>
      </c>
      <c r="E39" s="10">
        <f t="shared" si="0"/>
        <v>1060</v>
      </c>
      <c r="F39" s="21">
        <v>1</v>
      </c>
      <c r="G39" s="21"/>
    </row>
    <row r="40" spans="2:7" x14ac:dyDescent="0.25">
      <c r="B40" s="21">
        <v>3</v>
      </c>
      <c r="C40" s="9" t="s">
        <v>24</v>
      </c>
      <c r="D40" s="10">
        <v>846.59</v>
      </c>
      <c r="E40" s="10">
        <f t="shared" si="0"/>
        <v>2539.77</v>
      </c>
      <c r="F40" s="21">
        <v>2</v>
      </c>
      <c r="G40" s="21">
        <v>1</v>
      </c>
    </row>
    <row r="41" spans="2:7" x14ac:dyDescent="0.25">
      <c r="B41" s="21">
        <v>1</v>
      </c>
      <c r="C41" s="9" t="s">
        <v>26</v>
      </c>
      <c r="D41" s="10">
        <v>846.59</v>
      </c>
      <c r="E41" s="10">
        <f t="shared" si="0"/>
        <v>846.59</v>
      </c>
      <c r="F41" s="21">
        <v>1</v>
      </c>
      <c r="G41" s="21"/>
    </row>
    <row r="42" spans="2:7" x14ac:dyDescent="0.25">
      <c r="B42" s="21">
        <v>1</v>
      </c>
      <c r="C42" s="9" t="s">
        <v>62</v>
      </c>
      <c r="D42" s="10">
        <v>846.59</v>
      </c>
      <c r="E42" s="10">
        <f t="shared" si="0"/>
        <v>846.59</v>
      </c>
      <c r="F42" s="21">
        <v>1</v>
      </c>
      <c r="G42" s="21"/>
    </row>
    <row r="43" spans="2:7" x14ac:dyDescent="0.25">
      <c r="B43" s="21">
        <v>1</v>
      </c>
      <c r="C43" s="9" t="s">
        <v>66</v>
      </c>
      <c r="D43" s="16">
        <v>846.59</v>
      </c>
      <c r="E43" s="10">
        <f t="shared" si="0"/>
        <v>846.59</v>
      </c>
      <c r="F43" s="21">
        <v>1</v>
      </c>
      <c r="G43" s="21"/>
    </row>
    <row r="44" spans="2:7" x14ac:dyDescent="0.25">
      <c r="B44" s="21">
        <v>1</v>
      </c>
      <c r="C44" s="9" t="s">
        <v>72</v>
      </c>
      <c r="D44" s="16">
        <v>846.59</v>
      </c>
      <c r="E44" s="10">
        <f t="shared" si="0"/>
        <v>846.59</v>
      </c>
      <c r="F44" s="21">
        <v>1</v>
      </c>
      <c r="G44" s="21"/>
    </row>
    <row r="45" spans="2:7" x14ac:dyDescent="0.25">
      <c r="B45" s="21">
        <v>2</v>
      </c>
      <c r="C45" s="9" t="s">
        <v>153</v>
      </c>
      <c r="D45" s="16">
        <v>846.59</v>
      </c>
      <c r="E45" s="10">
        <f t="shared" si="0"/>
        <v>1693.18</v>
      </c>
      <c r="F45" s="21"/>
      <c r="G45" s="21">
        <v>2</v>
      </c>
    </row>
    <row r="46" spans="2:7" x14ac:dyDescent="0.25">
      <c r="B46" s="21">
        <v>1</v>
      </c>
      <c r="C46" s="9" t="s">
        <v>154</v>
      </c>
      <c r="D46" s="16">
        <v>846.59</v>
      </c>
      <c r="E46" s="10">
        <f t="shared" si="0"/>
        <v>846.59</v>
      </c>
      <c r="F46" s="21">
        <v>1</v>
      </c>
      <c r="G46" s="21"/>
    </row>
    <row r="47" spans="2:7" x14ac:dyDescent="0.25">
      <c r="B47" s="21">
        <v>1</v>
      </c>
      <c r="C47" s="9" t="s">
        <v>81</v>
      </c>
      <c r="D47" s="16">
        <v>846.59</v>
      </c>
      <c r="E47" s="10">
        <f t="shared" si="0"/>
        <v>846.59</v>
      </c>
      <c r="F47" s="21"/>
      <c r="G47" s="21">
        <v>1</v>
      </c>
    </row>
    <row r="48" spans="2:7" x14ac:dyDescent="0.25">
      <c r="B48" s="21">
        <v>1</v>
      </c>
      <c r="C48" s="9" t="s">
        <v>77</v>
      </c>
      <c r="D48" s="16">
        <v>788.29</v>
      </c>
      <c r="E48" s="10">
        <f t="shared" si="0"/>
        <v>788.29</v>
      </c>
      <c r="F48" s="21">
        <v>1</v>
      </c>
      <c r="G48" s="21"/>
    </row>
    <row r="49" spans="2:7" x14ac:dyDescent="0.25">
      <c r="B49" s="21">
        <v>1</v>
      </c>
      <c r="C49" s="9" t="s">
        <v>57</v>
      </c>
      <c r="D49" s="10">
        <v>660</v>
      </c>
      <c r="E49" s="10">
        <f>D49*B49</f>
        <v>660</v>
      </c>
      <c r="F49" s="21"/>
      <c r="G49" s="21">
        <v>1</v>
      </c>
    </row>
    <row r="50" spans="2:7" x14ac:dyDescent="0.25">
      <c r="B50" s="21">
        <v>2</v>
      </c>
      <c r="C50" s="9" t="s">
        <v>85</v>
      </c>
      <c r="D50" s="10">
        <v>634.74</v>
      </c>
      <c r="E50" s="10">
        <f t="shared" si="0"/>
        <v>1269.48</v>
      </c>
      <c r="F50" s="21">
        <v>2</v>
      </c>
      <c r="G50" s="21"/>
    </row>
    <row r="51" spans="2:7" x14ac:dyDescent="0.25">
      <c r="B51" s="21">
        <f>20+6+8</f>
        <v>34</v>
      </c>
      <c r="C51" s="9" t="s">
        <v>84</v>
      </c>
      <c r="D51" s="10">
        <v>474.71</v>
      </c>
      <c r="E51" s="10">
        <f t="shared" si="0"/>
        <v>16140.14</v>
      </c>
      <c r="F51" s="21">
        <f>20+6+8</f>
        <v>34</v>
      </c>
      <c r="G51" s="21"/>
    </row>
    <row r="52" spans="2:7" x14ac:dyDescent="0.25">
      <c r="B52" s="21">
        <v>2</v>
      </c>
      <c r="C52" s="9" t="s">
        <v>35</v>
      </c>
      <c r="D52" s="10">
        <v>443.6</v>
      </c>
      <c r="E52" s="10">
        <f>D52*B52</f>
        <v>887.2</v>
      </c>
      <c r="F52" s="21">
        <v>2</v>
      </c>
      <c r="G52" s="21"/>
    </row>
    <row r="53" spans="2:7" ht="15.75" x14ac:dyDescent="0.25">
      <c r="B53" s="12">
        <f>SUM(B5:B52)</f>
        <v>86</v>
      </c>
      <c r="C53" s="1"/>
      <c r="D53" s="15"/>
      <c r="E53" s="17">
        <f>SUM(E8:E52)</f>
        <v>77387.789999999979</v>
      </c>
      <c r="F53" s="14">
        <f>SUM(F5:F52)</f>
        <v>69</v>
      </c>
      <c r="G53" s="14">
        <f>SUM(G5:G52)</f>
        <v>17</v>
      </c>
    </row>
    <row r="56" spans="2:7" x14ac:dyDescent="0.25">
      <c r="B56" s="29" t="s">
        <v>37</v>
      </c>
      <c r="C56" s="30"/>
    </row>
    <row r="57" spans="2:7" x14ac:dyDescent="0.25">
      <c r="B57" s="2"/>
      <c r="D57" s="4"/>
      <c r="E57" s="4"/>
      <c r="F57" s="45" t="s">
        <v>3</v>
      </c>
      <c r="G57" s="45"/>
    </row>
    <row r="58" spans="2:7" ht="30" x14ac:dyDescent="0.25">
      <c r="B58" s="6" t="s">
        <v>6</v>
      </c>
      <c r="C58" s="7" t="s">
        <v>4</v>
      </c>
      <c r="D58" s="6" t="s">
        <v>2</v>
      </c>
      <c r="E58" s="6" t="s">
        <v>9</v>
      </c>
      <c r="F58" s="7" t="s">
        <v>0</v>
      </c>
      <c r="G58" s="7" t="s">
        <v>1</v>
      </c>
    </row>
    <row r="59" spans="2:7" x14ac:dyDescent="0.25">
      <c r="B59" s="21">
        <v>1</v>
      </c>
      <c r="C59" s="19" t="s">
        <v>38</v>
      </c>
      <c r="D59" s="16">
        <v>2773.72</v>
      </c>
      <c r="E59" s="20">
        <f>D59*B59</f>
        <v>2773.72</v>
      </c>
      <c r="F59" s="21">
        <v>1</v>
      </c>
      <c r="G59" s="21"/>
    </row>
    <row r="60" spans="2:7" x14ac:dyDescent="0.25">
      <c r="B60" s="21">
        <v>1</v>
      </c>
      <c r="C60" s="19" t="s">
        <v>39</v>
      </c>
      <c r="D60" s="16">
        <v>2080.58</v>
      </c>
      <c r="E60" s="20">
        <f t="shared" ref="E60:E138" si="1">D60*B60</f>
        <v>2080.58</v>
      </c>
      <c r="F60" s="21">
        <v>1</v>
      </c>
      <c r="G60" s="21"/>
    </row>
    <row r="61" spans="2:7" x14ac:dyDescent="0.25">
      <c r="B61" s="21">
        <v>1</v>
      </c>
      <c r="C61" s="9" t="s">
        <v>155</v>
      </c>
      <c r="D61" s="16">
        <v>1775.02</v>
      </c>
      <c r="E61" s="20">
        <f t="shared" si="1"/>
        <v>1775.02</v>
      </c>
      <c r="F61" s="21"/>
      <c r="G61" s="21">
        <v>1</v>
      </c>
    </row>
    <row r="62" spans="2:7" x14ac:dyDescent="0.25">
      <c r="B62" s="21">
        <v>1</v>
      </c>
      <c r="C62" s="19" t="s">
        <v>40</v>
      </c>
      <c r="D62" s="16">
        <v>1373.12</v>
      </c>
      <c r="E62" s="20">
        <f t="shared" si="1"/>
        <v>1373.12</v>
      </c>
      <c r="F62" s="21">
        <v>1</v>
      </c>
      <c r="G62" s="21"/>
    </row>
    <row r="63" spans="2:7" x14ac:dyDescent="0.25">
      <c r="B63" s="21">
        <v>1</v>
      </c>
      <c r="C63" s="9" t="s">
        <v>149</v>
      </c>
      <c r="D63" s="16">
        <v>1108.25</v>
      </c>
      <c r="E63" s="20">
        <f t="shared" si="1"/>
        <v>1108.25</v>
      </c>
      <c r="F63" s="21">
        <v>1</v>
      </c>
      <c r="G63" s="21"/>
    </row>
    <row r="64" spans="2:7" x14ac:dyDescent="0.25">
      <c r="B64" s="21">
        <v>1</v>
      </c>
      <c r="C64" s="19" t="s">
        <v>41</v>
      </c>
      <c r="D64" s="16">
        <v>1108.25</v>
      </c>
      <c r="E64" s="20">
        <f t="shared" si="1"/>
        <v>1108.25</v>
      </c>
      <c r="F64" s="21"/>
      <c r="G64" s="21">
        <v>1</v>
      </c>
    </row>
    <row r="65" spans="2:7" x14ac:dyDescent="0.25">
      <c r="B65" s="21">
        <v>1</v>
      </c>
      <c r="C65" s="19" t="s">
        <v>156</v>
      </c>
      <c r="D65" s="16">
        <v>1108.25</v>
      </c>
      <c r="E65" s="20">
        <f t="shared" si="1"/>
        <v>1108.25</v>
      </c>
      <c r="F65" s="21">
        <v>1</v>
      </c>
      <c r="G65" s="21"/>
    </row>
    <row r="66" spans="2:7" x14ac:dyDescent="0.25">
      <c r="B66" s="23">
        <v>1</v>
      </c>
      <c r="C66" s="9" t="s">
        <v>157</v>
      </c>
      <c r="D66" s="16">
        <v>1108.25</v>
      </c>
      <c r="E66" s="20">
        <f t="shared" si="1"/>
        <v>1108.25</v>
      </c>
      <c r="F66" s="23">
        <v>1</v>
      </c>
      <c r="G66" s="23"/>
    </row>
    <row r="67" spans="2:7" x14ac:dyDescent="0.25">
      <c r="B67" s="23">
        <v>1</v>
      </c>
      <c r="C67" s="19" t="s">
        <v>44</v>
      </c>
      <c r="D67" s="16">
        <v>1108.25</v>
      </c>
      <c r="E67" s="20">
        <f t="shared" si="1"/>
        <v>1108.25</v>
      </c>
      <c r="F67" s="23">
        <v>1</v>
      </c>
      <c r="G67" s="23"/>
    </row>
    <row r="68" spans="2:7" x14ac:dyDescent="0.25">
      <c r="B68" s="23">
        <v>1</v>
      </c>
      <c r="C68" s="19" t="s">
        <v>91</v>
      </c>
      <c r="D68" s="16">
        <v>1108.25</v>
      </c>
      <c r="E68" s="20">
        <f t="shared" si="1"/>
        <v>1108.25</v>
      </c>
      <c r="F68" s="23">
        <v>1</v>
      </c>
      <c r="G68" s="23"/>
    </row>
    <row r="69" spans="2:7" s="13" customFormat="1" x14ac:dyDescent="0.25">
      <c r="B69" s="48"/>
      <c r="C69" s="55"/>
      <c r="D69" s="56"/>
      <c r="E69" s="57"/>
      <c r="F69" s="48"/>
      <c r="G69" s="48"/>
    </row>
    <row r="70" spans="2:7" s="13" customFormat="1" x14ac:dyDescent="0.25">
      <c r="B70" s="48"/>
      <c r="C70" s="55"/>
      <c r="D70" s="56"/>
      <c r="E70" s="57"/>
      <c r="F70" s="48"/>
      <c r="G70" s="48"/>
    </row>
    <row r="71" spans="2:7" s="13" customFormat="1" x14ac:dyDescent="0.25">
      <c r="B71" s="48"/>
      <c r="C71" s="55"/>
      <c r="D71" s="56"/>
      <c r="E71" s="57"/>
      <c r="F71" s="48"/>
      <c r="G71" s="48"/>
    </row>
    <row r="72" spans="2:7" s="13" customFormat="1" x14ac:dyDescent="0.25">
      <c r="B72" s="48"/>
      <c r="C72" s="55"/>
      <c r="D72" s="56"/>
      <c r="E72" s="57"/>
      <c r="F72" s="48"/>
      <c r="G72" s="48"/>
    </row>
    <row r="73" spans="2:7" s="13" customFormat="1" x14ac:dyDescent="0.25">
      <c r="B73" s="48"/>
      <c r="C73" s="55"/>
      <c r="D73" s="56"/>
      <c r="E73" s="57"/>
      <c r="F73" s="48"/>
      <c r="G73" s="48"/>
    </row>
    <row r="74" spans="2:7" x14ac:dyDescent="0.25">
      <c r="B74" s="23">
        <v>1</v>
      </c>
      <c r="C74" s="19" t="s">
        <v>148</v>
      </c>
      <c r="D74" s="16">
        <v>1108.25</v>
      </c>
      <c r="E74" s="20">
        <f t="shared" si="1"/>
        <v>1108.25</v>
      </c>
      <c r="F74" s="23"/>
      <c r="G74" s="23">
        <v>1</v>
      </c>
    </row>
    <row r="75" spans="2:7" x14ac:dyDescent="0.25">
      <c r="B75" s="23">
        <v>1</v>
      </c>
      <c r="C75" s="19" t="s">
        <v>103</v>
      </c>
      <c r="D75" s="16">
        <v>1108.25</v>
      </c>
      <c r="E75" s="20">
        <f t="shared" si="1"/>
        <v>1108.25</v>
      </c>
      <c r="F75" s="23">
        <v>1</v>
      </c>
      <c r="G75" s="23"/>
    </row>
    <row r="76" spans="2:7" x14ac:dyDescent="0.25">
      <c r="B76" s="23">
        <v>1</v>
      </c>
      <c r="C76" s="19" t="s">
        <v>108</v>
      </c>
      <c r="D76" s="16">
        <v>1108.25</v>
      </c>
      <c r="E76" s="20">
        <f t="shared" si="1"/>
        <v>1108.25</v>
      </c>
      <c r="F76" s="23"/>
      <c r="G76" s="23">
        <v>1</v>
      </c>
    </row>
    <row r="77" spans="2:7" x14ac:dyDescent="0.25">
      <c r="B77" s="23">
        <v>1</v>
      </c>
      <c r="C77" s="9" t="s">
        <v>111</v>
      </c>
      <c r="D77" s="16">
        <v>1108.25</v>
      </c>
      <c r="E77" s="20">
        <f t="shared" si="1"/>
        <v>1108.25</v>
      </c>
      <c r="F77" s="23"/>
      <c r="G77" s="23">
        <v>1</v>
      </c>
    </row>
    <row r="78" spans="2:7" x14ac:dyDescent="0.25">
      <c r="B78" s="23">
        <v>1</v>
      </c>
      <c r="C78" s="19" t="s">
        <v>112</v>
      </c>
      <c r="D78" s="16">
        <v>1108.25</v>
      </c>
      <c r="E78" s="20">
        <f t="shared" si="1"/>
        <v>1108.25</v>
      </c>
      <c r="F78" s="23">
        <v>1</v>
      </c>
      <c r="G78" s="23"/>
    </row>
    <row r="79" spans="2:7" x14ac:dyDescent="0.25">
      <c r="B79" s="23">
        <f>1+1</f>
        <v>2</v>
      </c>
      <c r="C79" s="19" t="s">
        <v>83</v>
      </c>
      <c r="D79" s="16">
        <v>1108.25</v>
      </c>
      <c r="E79" s="20">
        <f t="shared" si="1"/>
        <v>2216.5</v>
      </c>
      <c r="F79" s="23">
        <f>1+1</f>
        <v>2</v>
      </c>
      <c r="G79" s="23"/>
    </row>
    <row r="80" spans="2:7" x14ac:dyDescent="0.25">
      <c r="B80" s="23">
        <v>3</v>
      </c>
      <c r="C80" s="9" t="s">
        <v>45</v>
      </c>
      <c r="D80" s="16">
        <v>1108.25</v>
      </c>
      <c r="E80" s="20">
        <f t="shared" si="1"/>
        <v>3324.75</v>
      </c>
      <c r="F80" s="23">
        <v>1</v>
      </c>
      <c r="G80" s="23">
        <v>2</v>
      </c>
    </row>
    <row r="81" spans="2:7" x14ac:dyDescent="0.25">
      <c r="B81" s="23">
        <v>1</v>
      </c>
      <c r="C81" s="9" t="s">
        <v>23</v>
      </c>
      <c r="D81" s="16">
        <f>933.44*6%+933.44</f>
        <v>989.44640000000004</v>
      </c>
      <c r="E81" s="20">
        <f t="shared" si="1"/>
        <v>989.44640000000004</v>
      </c>
      <c r="F81" s="23"/>
      <c r="G81" s="23">
        <v>1</v>
      </c>
    </row>
    <row r="82" spans="2:7" x14ac:dyDescent="0.25">
      <c r="B82" s="23">
        <v>1</v>
      </c>
      <c r="C82" s="19" t="s">
        <v>46</v>
      </c>
      <c r="D82" s="16">
        <v>846.59</v>
      </c>
      <c r="E82" s="20">
        <f t="shared" si="1"/>
        <v>846.59</v>
      </c>
      <c r="F82" s="23">
        <v>1</v>
      </c>
      <c r="G82" s="23"/>
    </row>
    <row r="83" spans="2:7" x14ac:dyDescent="0.25">
      <c r="B83" s="23">
        <v>1</v>
      </c>
      <c r="C83" s="9" t="s">
        <v>47</v>
      </c>
      <c r="D83" s="16">
        <v>846.59</v>
      </c>
      <c r="E83" s="20">
        <f t="shared" si="1"/>
        <v>846.59</v>
      </c>
      <c r="F83" s="23">
        <v>1</v>
      </c>
      <c r="G83" s="23"/>
    </row>
    <row r="84" spans="2:7" x14ac:dyDescent="0.25">
      <c r="B84" s="21">
        <v>1</v>
      </c>
      <c r="C84" s="19" t="s">
        <v>48</v>
      </c>
      <c r="D84" s="16">
        <v>846.59</v>
      </c>
      <c r="E84" s="20">
        <f t="shared" si="1"/>
        <v>846.59</v>
      </c>
      <c r="F84" s="21"/>
      <c r="G84" s="21">
        <v>1</v>
      </c>
    </row>
    <row r="85" spans="2:7" x14ac:dyDescent="0.25">
      <c r="B85" s="21">
        <v>1</v>
      </c>
      <c r="C85" s="19" t="s">
        <v>92</v>
      </c>
      <c r="D85" s="16">
        <v>846.59</v>
      </c>
      <c r="E85" s="20">
        <f t="shared" si="1"/>
        <v>846.59</v>
      </c>
      <c r="F85" s="21">
        <v>1</v>
      </c>
      <c r="G85" s="21"/>
    </row>
    <row r="86" spans="2:7" x14ac:dyDescent="0.25">
      <c r="B86" s="21">
        <v>1</v>
      </c>
      <c r="C86" s="19" t="s">
        <v>93</v>
      </c>
      <c r="D86" s="16">
        <v>846.59</v>
      </c>
      <c r="E86" s="20">
        <f t="shared" si="1"/>
        <v>846.59</v>
      </c>
      <c r="F86" s="21">
        <v>1</v>
      </c>
      <c r="G86" s="21"/>
    </row>
    <row r="87" spans="2:7" x14ac:dyDescent="0.25">
      <c r="B87" s="21">
        <v>1</v>
      </c>
      <c r="C87" s="19" t="s">
        <v>94</v>
      </c>
      <c r="D87" s="16">
        <v>846.59</v>
      </c>
      <c r="E87" s="20">
        <f t="shared" si="1"/>
        <v>846.59</v>
      </c>
      <c r="F87" s="21">
        <v>1</v>
      </c>
      <c r="G87" s="21"/>
    </row>
    <row r="88" spans="2:7" x14ac:dyDescent="0.25">
      <c r="B88" s="21">
        <v>1</v>
      </c>
      <c r="C88" s="19" t="s">
        <v>95</v>
      </c>
      <c r="D88" s="16">
        <v>846.59</v>
      </c>
      <c r="E88" s="20">
        <f t="shared" si="1"/>
        <v>846.59</v>
      </c>
      <c r="F88" s="21">
        <v>1</v>
      </c>
      <c r="G88" s="21"/>
    </row>
    <row r="89" spans="2:7" x14ac:dyDescent="0.25">
      <c r="B89" s="21">
        <v>1</v>
      </c>
      <c r="C89" s="9" t="s">
        <v>96</v>
      </c>
      <c r="D89" s="16">
        <v>846.59</v>
      </c>
      <c r="E89" s="20">
        <f t="shared" si="1"/>
        <v>846.59</v>
      </c>
      <c r="F89" s="21">
        <v>1</v>
      </c>
      <c r="G89" s="21"/>
    </row>
    <row r="90" spans="2:7" x14ac:dyDescent="0.25">
      <c r="B90" s="21">
        <v>1</v>
      </c>
      <c r="C90" s="19" t="s">
        <v>104</v>
      </c>
      <c r="D90" s="16">
        <v>846.59</v>
      </c>
      <c r="E90" s="20">
        <f t="shared" si="1"/>
        <v>846.59</v>
      </c>
      <c r="F90" s="21"/>
      <c r="G90" s="21">
        <v>1</v>
      </c>
    </row>
    <row r="91" spans="2:7" x14ac:dyDescent="0.25">
      <c r="B91" s="21">
        <v>1</v>
      </c>
      <c r="C91" s="19" t="s">
        <v>105</v>
      </c>
      <c r="D91" s="16">
        <v>846.59</v>
      </c>
      <c r="E91" s="20">
        <f t="shared" si="1"/>
        <v>846.59</v>
      </c>
      <c r="F91" s="21">
        <v>1</v>
      </c>
      <c r="G91" s="21"/>
    </row>
    <row r="92" spans="2:7" x14ac:dyDescent="0.25">
      <c r="B92" s="21">
        <v>1</v>
      </c>
      <c r="C92" s="19" t="s">
        <v>106</v>
      </c>
      <c r="D92" s="16">
        <v>846.59</v>
      </c>
      <c r="E92" s="20">
        <f t="shared" si="1"/>
        <v>846.59</v>
      </c>
      <c r="F92" s="21">
        <v>1</v>
      </c>
      <c r="G92" s="21"/>
    </row>
    <row r="93" spans="2:7" x14ac:dyDescent="0.25">
      <c r="B93" s="21">
        <v>1</v>
      </c>
      <c r="C93" s="19" t="s">
        <v>109</v>
      </c>
      <c r="D93" s="16">
        <v>846.59</v>
      </c>
      <c r="E93" s="20">
        <f t="shared" si="1"/>
        <v>846.59</v>
      </c>
      <c r="F93" s="21">
        <v>1</v>
      </c>
      <c r="G93" s="21"/>
    </row>
    <row r="94" spans="2:7" x14ac:dyDescent="0.25">
      <c r="B94" s="21">
        <v>1</v>
      </c>
      <c r="C94" s="19" t="s">
        <v>114</v>
      </c>
      <c r="D94" s="16">
        <v>846.59</v>
      </c>
      <c r="E94" s="20">
        <f t="shared" si="1"/>
        <v>846.59</v>
      </c>
      <c r="F94" s="21"/>
      <c r="G94" s="21">
        <v>1</v>
      </c>
    </row>
    <row r="95" spans="2:7" x14ac:dyDescent="0.25">
      <c r="B95" s="21">
        <v>1</v>
      </c>
      <c r="C95" s="19" t="s">
        <v>115</v>
      </c>
      <c r="D95" s="16">
        <v>846.59</v>
      </c>
      <c r="E95" s="20">
        <f t="shared" si="1"/>
        <v>846.59</v>
      </c>
      <c r="F95" s="21"/>
      <c r="G95" s="21">
        <v>1</v>
      </c>
    </row>
    <row r="96" spans="2:7" x14ac:dyDescent="0.25">
      <c r="B96" s="21">
        <v>1</v>
      </c>
      <c r="C96" s="19" t="s">
        <v>116</v>
      </c>
      <c r="D96" s="16">
        <v>846.59</v>
      </c>
      <c r="E96" s="20">
        <f t="shared" si="1"/>
        <v>846.59</v>
      </c>
      <c r="F96" s="21">
        <v>1</v>
      </c>
      <c r="G96" s="21"/>
    </row>
    <row r="97" spans="2:7" x14ac:dyDescent="0.25">
      <c r="B97" s="21">
        <v>1</v>
      </c>
      <c r="C97" s="19" t="s">
        <v>117</v>
      </c>
      <c r="D97" s="16">
        <v>846.59</v>
      </c>
      <c r="E97" s="20">
        <f t="shared" si="1"/>
        <v>846.59</v>
      </c>
      <c r="F97" s="21">
        <v>1</v>
      </c>
      <c r="G97" s="21"/>
    </row>
    <row r="98" spans="2:7" x14ac:dyDescent="0.25">
      <c r="B98" s="21">
        <v>1</v>
      </c>
      <c r="C98" s="19" t="s">
        <v>118</v>
      </c>
      <c r="D98" s="16">
        <v>846.59</v>
      </c>
      <c r="E98" s="20">
        <f t="shared" si="1"/>
        <v>846.59</v>
      </c>
      <c r="F98" s="21"/>
      <c r="G98" s="21">
        <v>1</v>
      </c>
    </row>
    <row r="99" spans="2:7" x14ac:dyDescent="0.25">
      <c r="B99" s="21">
        <v>1</v>
      </c>
      <c r="C99" s="32" t="s">
        <v>76</v>
      </c>
      <c r="D99" s="11">
        <v>846.59</v>
      </c>
      <c r="E99" s="20">
        <f t="shared" si="1"/>
        <v>846.59</v>
      </c>
      <c r="F99" s="21">
        <v>1</v>
      </c>
      <c r="G99" s="21"/>
    </row>
    <row r="100" spans="2:7" x14ac:dyDescent="0.25">
      <c r="B100" s="21">
        <v>1</v>
      </c>
      <c r="C100" s="19" t="s">
        <v>125</v>
      </c>
      <c r="D100" s="16">
        <v>846.59</v>
      </c>
      <c r="E100" s="20">
        <f t="shared" si="1"/>
        <v>846.59</v>
      </c>
      <c r="F100" s="21">
        <v>1</v>
      </c>
      <c r="G100" s="21"/>
    </row>
    <row r="101" spans="2:7" x14ac:dyDescent="0.25">
      <c r="B101" s="21">
        <v>1</v>
      </c>
      <c r="C101" s="19" t="s">
        <v>126</v>
      </c>
      <c r="D101" s="16">
        <v>846.59</v>
      </c>
      <c r="E101" s="20">
        <f t="shared" si="1"/>
        <v>846.59</v>
      </c>
      <c r="F101" s="21">
        <v>1</v>
      </c>
      <c r="G101" s="21"/>
    </row>
    <row r="102" spans="2:7" x14ac:dyDescent="0.25">
      <c r="B102" s="21">
        <f>1+1</f>
        <v>2</v>
      </c>
      <c r="C102" s="19" t="s">
        <v>17</v>
      </c>
      <c r="D102" s="16">
        <v>846.59</v>
      </c>
      <c r="E102" s="20">
        <f t="shared" si="1"/>
        <v>1693.18</v>
      </c>
      <c r="F102" s="21">
        <f>1+1</f>
        <v>2</v>
      </c>
      <c r="G102" s="21"/>
    </row>
    <row r="103" spans="2:7" x14ac:dyDescent="0.25">
      <c r="B103" s="21">
        <v>1</v>
      </c>
      <c r="C103" s="19" t="s">
        <v>25</v>
      </c>
      <c r="D103" s="16">
        <f>798.67*6%+798.67</f>
        <v>846.59019999999998</v>
      </c>
      <c r="E103" s="20">
        <f t="shared" si="1"/>
        <v>846.59019999999998</v>
      </c>
      <c r="F103" s="21"/>
      <c r="G103" s="21">
        <v>1</v>
      </c>
    </row>
    <row r="104" spans="2:7" x14ac:dyDescent="0.25">
      <c r="B104" s="21">
        <v>3</v>
      </c>
      <c r="C104" s="19" t="s">
        <v>158</v>
      </c>
      <c r="D104" s="16">
        <f>743.67*6%+743.67</f>
        <v>788.29019999999991</v>
      </c>
      <c r="E104" s="20">
        <f t="shared" si="1"/>
        <v>2364.8705999999997</v>
      </c>
      <c r="F104" s="21">
        <v>3</v>
      </c>
      <c r="G104" s="21"/>
    </row>
    <row r="105" spans="2:7" x14ac:dyDescent="0.25">
      <c r="B105" s="21">
        <v>1</v>
      </c>
      <c r="C105" s="19" t="s">
        <v>159</v>
      </c>
      <c r="D105" s="16">
        <f>743.67*6%+743.67</f>
        <v>788.29019999999991</v>
      </c>
      <c r="E105" s="20">
        <f t="shared" si="1"/>
        <v>788.29019999999991</v>
      </c>
      <c r="F105" s="21">
        <v>1</v>
      </c>
      <c r="G105" s="21"/>
    </row>
    <row r="106" spans="2:7" x14ac:dyDescent="0.25">
      <c r="B106" s="21">
        <v>1</v>
      </c>
      <c r="C106" s="19" t="s">
        <v>160</v>
      </c>
      <c r="D106" s="16">
        <f>743.67*6%+743.67</f>
        <v>788.29019999999991</v>
      </c>
      <c r="E106" s="20">
        <f t="shared" si="1"/>
        <v>788.29019999999991</v>
      </c>
      <c r="F106" s="21"/>
      <c r="G106" s="21">
        <v>1</v>
      </c>
    </row>
    <row r="107" spans="2:7" x14ac:dyDescent="0.25">
      <c r="B107" s="21">
        <v>1</v>
      </c>
      <c r="C107" s="19" t="s">
        <v>77</v>
      </c>
      <c r="D107" s="16">
        <v>788.29</v>
      </c>
      <c r="E107" s="20">
        <f t="shared" si="1"/>
        <v>788.29</v>
      </c>
      <c r="F107" s="21">
        <v>1</v>
      </c>
      <c r="G107" s="21"/>
    </row>
    <row r="108" spans="2:7" x14ac:dyDescent="0.25">
      <c r="B108" s="21">
        <v>1</v>
      </c>
      <c r="C108" s="19" t="s">
        <v>28</v>
      </c>
      <c r="D108" s="16">
        <v>788.29</v>
      </c>
      <c r="E108" s="20">
        <f t="shared" si="1"/>
        <v>788.29</v>
      </c>
      <c r="F108" s="21"/>
      <c r="G108" s="21">
        <v>1</v>
      </c>
    </row>
    <row r="109" spans="2:7" x14ac:dyDescent="0.25">
      <c r="B109" s="21">
        <f>2+1+1</f>
        <v>4</v>
      </c>
      <c r="C109" s="19" t="s">
        <v>110</v>
      </c>
      <c r="D109" s="16">
        <v>758.86</v>
      </c>
      <c r="E109" s="20">
        <f t="shared" si="1"/>
        <v>3035.44</v>
      </c>
      <c r="F109" s="21">
        <f>2+1+1</f>
        <v>4</v>
      </c>
      <c r="G109" s="21"/>
    </row>
    <row r="110" spans="2:7" x14ac:dyDescent="0.25">
      <c r="B110" s="21">
        <v>3</v>
      </c>
      <c r="C110" s="9" t="s">
        <v>49</v>
      </c>
      <c r="D110" s="16">
        <v>715.02</v>
      </c>
      <c r="E110" s="20">
        <f t="shared" si="1"/>
        <v>2145.06</v>
      </c>
      <c r="F110" s="21">
        <v>2</v>
      </c>
      <c r="G110" s="21">
        <v>1</v>
      </c>
    </row>
    <row r="111" spans="2:7" x14ac:dyDescent="0.25">
      <c r="B111" s="21">
        <v>7</v>
      </c>
      <c r="C111" s="9" t="s">
        <v>29</v>
      </c>
      <c r="D111" s="16">
        <v>715.02</v>
      </c>
      <c r="E111" s="20">
        <f t="shared" si="1"/>
        <v>5005.1399999999994</v>
      </c>
      <c r="F111" s="21">
        <v>4</v>
      </c>
      <c r="G111" s="21">
        <v>3</v>
      </c>
    </row>
    <row r="112" spans="2:7" x14ac:dyDescent="0.25">
      <c r="B112" s="21">
        <v>3</v>
      </c>
      <c r="C112" s="9" t="s">
        <v>31</v>
      </c>
      <c r="D112" s="16">
        <v>715.02</v>
      </c>
      <c r="E112" s="20">
        <f t="shared" si="1"/>
        <v>2145.06</v>
      </c>
      <c r="F112" s="21">
        <v>3</v>
      </c>
      <c r="G112" s="21"/>
    </row>
    <row r="113" spans="2:7" x14ac:dyDescent="0.25">
      <c r="B113" s="21">
        <v>1</v>
      </c>
      <c r="C113" s="9" t="s">
        <v>50</v>
      </c>
      <c r="D113" s="16">
        <v>715.02</v>
      </c>
      <c r="E113" s="20">
        <f t="shared" si="1"/>
        <v>715.02</v>
      </c>
      <c r="F113" s="21"/>
      <c r="G113" s="21">
        <v>1</v>
      </c>
    </row>
    <row r="114" spans="2:7" x14ac:dyDescent="0.25">
      <c r="B114" s="21">
        <v>1</v>
      </c>
      <c r="C114" s="9" t="s">
        <v>51</v>
      </c>
      <c r="D114" s="16">
        <v>715.02</v>
      </c>
      <c r="E114" s="20">
        <f t="shared" si="1"/>
        <v>715.02</v>
      </c>
      <c r="F114" s="21"/>
      <c r="G114" s="21">
        <v>1</v>
      </c>
    </row>
    <row r="115" spans="2:7" x14ac:dyDescent="0.25">
      <c r="B115" s="21">
        <v>1</v>
      </c>
      <c r="C115" s="9" t="s">
        <v>52</v>
      </c>
      <c r="D115" s="16">
        <v>715.02</v>
      </c>
      <c r="E115" s="20">
        <f t="shared" si="1"/>
        <v>715.02</v>
      </c>
      <c r="F115" s="21"/>
      <c r="G115" s="21">
        <v>1</v>
      </c>
    </row>
    <row r="116" spans="2:7" x14ac:dyDescent="0.25">
      <c r="B116" s="21">
        <v>5</v>
      </c>
      <c r="C116" s="9" t="s">
        <v>89</v>
      </c>
      <c r="D116" s="16">
        <v>715.02</v>
      </c>
      <c r="E116" s="20">
        <f t="shared" si="1"/>
        <v>3575.1</v>
      </c>
      <c r="F116" s="21">
        <v>4</v>
      </c>
      <c r="G116" s="21">
        <v>1</v>
      </c>
    </row>
    <row r="117" spans="2:7" x14ac:dyDescent="0.25">
      <c r="B117" s="21">
        <v>2</v>
      </c>
      <c r="C117" s="9" t="s">
        <v>97</v>
      </c>
      <c r="D117" s="16">
        <v>715.02</v>
      </c>
      <c r="E117" s="20">
        <f t="shared" si="1"/>
        <v>1430.04</v>
      </c>
      <c r="F117" s="21">
        <v>1</v>
      </c>
      <c r="G117" s="21">
        <v>1</v>
      </c>
    </row>
    <row r="118" spans="2:7" x14ac:dyDescent="0.25">
      <c r="B118" s="21">
        <v>3</v>
      </c>
      <c r="C118" s="9" t="s">
        <v>98</v>
      </c>
      <c r="D118" s="16">
        <v>715.02</v>
      </c>
      <c r="E118" s="20">
        <f t="shared" si="1"/>
        <v>2145.06</v>
      </c>
      <c r="F118" s="21"/>
      <c r="G118" s="21">
        <v>3</v>
      </c>
    </row>
    <row r="119" spans="2:7" x14ac:dyDescent="0.25">
      <c r="B119" s="21">
        <v>4</v>
      </c>
      <c r="C119" s="19" t="s">
        <v>99</v>
      </c>
      <c r="D119" s="16">
        <v>715.02</v>
      </c>
      <c r="E119" s="20">
        <f t="shared" si="1"/>
        <v>2860.08</v>
      </c>
      <c r="F119" s="21">
        <v>2</v>
      </c>
      <c r="G119" s="21">
        <v>2</v>
      </c>
    </row>
    <row r="120" spans="2:7" x14ac:dyDescent="0.25">
      <c r="B120" s="21">
        <v>2</v>
      </c>
      <c r="C120" s="9" t="s">
        <v>161</v>
      </c>
      <c r="D120" s="16">
        <f>674.55*6%+674.55</f>
        <v>715.02299999999991</v>
      </c>
      <c r="E120" s="20">
        <f t="shared" si="1"/>
        <v>1430.0459999999998</v>
      </c>
      <c r="F120" s="21"/>
      <c r="G120" s="21">
        <v>2</v>
      </c>
    </row>
    <row r="121" spans="2:7" x14ac:dyDescent="0.25">
      <c r="B121" s="21">
        <v>1</v>
      </c>
      <c r="C121" s="9" t="s">
        <v>53</v>
      </c>
      <c r="D121" s="16">
        <v>715.02</v>
      </c>
      <c r="E121" s="20">
        <f t="shared" si="1"/>
        <v>715.02</v>
      </c>
      <c r="F121" s="21">
        <v>1</v>
      </c>
      <c r="G121" s="21"/>
    </row>
    <row r="122" spans="2:7" x14ac:dyDescent="0.25">
      <c r="B122" s="21">
        <v>1</v>
      </c>
      <c r="C122" s="9" t="s">
        <v>162</v>
      </c>
      <c r="D122" s="16">
        <v>715.02</v>
      </c>
      <c r="E122" s="20">
        <f t="shared" si="1"/>
        <v>715.02</v>
      </c>
      <c r="F122" s="21">
        <v>1</v>
      </c>
      <c r="G122" s="21"/>
    </row>
    <row r="123" spans="2:7" x14ac:dyDescent="0.25">
      <c r="B123" s="21">
        <v>2</v>
      </c>
      <c r="C123" s="9" t="s">
        <v>163</v>
      </c>
      <c r="D123" s="16">
        <v>715.02</v>
      </c>
      <c r="E123" s="20">
        <f t="shared" si="1"/>
        <v>1430.04</v>
      </c>
      <c r="F123" s="21">
        <v>2</v>
      </c>
      <c r="G123" s="21"/>
    </row>
    <row r="124" spans="2:7" x14ac:dyDescent="0.25">
      <c r="B124" s="21">
        <v>1</v>
      </c>
      <c r="C124" s="9" t="s">
        <v>107</v>
      </c>
      <c r="D124" s="31">
        <v>715.02</v>
      </c>
      <c r="E124" s="20">
        <f t="shared" si="1"/>
        <v>715.02</v>
      </c>
      <c r="F124" s="21"/>
      <c r="G124" s="21">
        <v>1</v>
      </c>
    </row>
    <row r="125" spans="2:7" x14ac:dyDescent="0.25">
      <c r="B125" s="21">
        <f>41+7+7+3+6+6</f>
        <v>70</v>
      </c>
      <c r="C125" s="9" t="s">
        <v>63</v>
      </c>
      <c r="D125" s="31">
        <v>715.02</v>
      </c>
      <c r="E125" s="20">
        <f t="shared" si="1"/>
        <v>50051.4</v>
      </c>
      <c r="F125" s="21">
        <f>9+1+6+2+3+3</f>
        <v>24</v>
      </c>
      <c r="G125" s="21">
        <f>32+6+1+1+3+3</f>
        <v>46</v>
      </c>
    </row>
    <row r="126" spans="2:7" x14ac:dyDescent="0.25">
      <c r="B126" s="21">
        <f>113+18+8+22+12+19</f>
        <v>192</v>
      </c>
      <c r="C126" s="19" t="s">
        <v>70</v>
      </c>
      <c r="D126" s="31">
        <v>715.02</v>
      </c>
      <c r="E126" s="20">
        <f t="shared" si="1"/>
        <v>137283.84</v>
      </c>
      <c r="F126" s="21">
        <f>51+9+5+9+7+13</f>
        <v>94</v>
      </c>
      <c r="G126" s="21">
        <f>62+9+3+13+5+6</f>
        <v>98</v>
      </c>
    </row>
    <row r="127" spans="2:7" x14ac:dyDescent="0.25">
      <c r="B127" s="21">
        <f>62+4+4+8+4+15</f>
        <v>97</v>
      </c>
      <c r="C127" s="19" t="s">
        <v>78</v>
      </c>
      <c r="D127" s="16">
        <v>715.02</v>
      </c>
      <c r="E127" s="20">
        <f t="shared" si="1"/>
        <v>69356.94</v>
      </c>
      <c r="F127" s="21">
        <f>34+4+1+5+3+8</f>
        <v>55</v>
      </c>
      <c r="G127" s="21">
        <f>28+3+3+1+7</f>
        <v>42</v>
      </c>
    </row>
    <row r="128" spans="2:7" x14ac:dyDescent="0.25">
      <c r="B128" s="21">
        <f>7+9+3+4</f>
        <v>23</v>
      </c>
      <c r="C128" s="9" t="s">
        <v>79</v>
      </c>
      <c r="D128" s="16">
        <v>715.02</v>
      </c>
      <c r="E128" s="20">
        <f t="shared" si="1"/>
        <v>16445.46</v>
      </c>
      <c r="F128" s="21">
        <f>4+6+2+4</f>
        <v>16</v>
      </c>
      <c r="G128" s="21">
        <f>3+3+1</f>
        <v>7</v>
      </c>
    </row>
    <row r="129" spans="2:7" x14ac:dyDescent="0.25">
      <c r="B129" s="24">
        <f>10+16+5+6</f>
        <v>37</v>
      </c>
      <c r="C129" s="9" t="s">
        <v>80</v>
      </c>
      <c r="D129" s="16">
        <v>715.02</v>
      </c>
      <c r="E129" s="20">
        <f t="shared" si="1"/>
        <v>26455.739999999998</v>
      </c>
      <c r="F129" s="24">
        <f>7+8+3+2</f>
        <v>20</v>
      </c>
      <c r="G129" s="24">
        <f>3+8+2+4</f>
        <v>17</v>
      </c>
    </row>
    <row r="130" spans="2:7" x14ac:dyDescent="0.25">
      <c r="B130" s="21">
        <v>1</v>
      </c>
      <c r="C130" s="9" t="s">
        <v>86</v>
      </c>
      <c r="D130" s="16">
        <v>715.02</v>
      </c>
      <c r="E130" s="20">
        <f t="shared" si="1"/>
        <v>715.02</v>
      </c>
      <c r="F130" s="21">
        <v>1</v>
      </c>
      <c r="G130" s="21"/>
    </row>
    <row r="131" spans="2:7" x14ac:dyDescent="0.25">
      <c r="B131" s="21">
        <f>1+1</f>
        <v>2</v>
      </c>
      <c r="C131" s="9" t="s">
        <v>87</v>
      </c>
      <c r="D131" s="16">
        <v>715.02</v>
      </c>
      <c r="E131" s="20">
        <f t="shared" si="1"/>
        <v>1430.04</v>
      </c>
      <c r="F131" s="21">
        <f>1+1</f>
        <v>2</v>
      </c>
      <c r="G131" s="21"/>
    </row>
    <row r="132" spans="2:7" x14ac:dyDescent="0.25">
      <c r="B132" s="21">
        <f>4+1+1+1+1</f>
        <v>8</v>
      </c>
      <c r="C132" s="19" t="s">
        <v>28</v>
      </c>
      <c r="D132" s="16">
        <v>715.02</v>
      </c>
      <c r="E132" s="20">
        <f t="shared" si="1"/>
        <v>5720.16</v>
      </c>
      <c r="F132" s="21"/>
      <c r="G132" s="21">
        <f>4+1+1+1+1</f>
        <v>8</v>
      </c>
    </row>
    <row r="133" spans="2:7" x14ac:dyDescent="0.25">
      <c r="B133" s="21">
        <v>1</v>
      </c>
      <c r="C133" s="3" t="s">
        <v>50</v>
      </c>
      <c r="D133" s="11">
        <v>715.02</v>
      </c>
      <c r="E133" s="20">
        <f t="shared" si="1"/>
        <v>715.02</v>
      </c>
      <c r="F133" s="21"/>
      <c r="G133" s="21">
        <v>1</v>
      </c>
    </row>
    <row r="134" spans="2:7" x14ac:dyDescent="0.25">
      <c r="B134" s="21">
        <v>1</v>
      </c>
      <c r="C134" s="19" t="s">
        <v>100</v>
      </c>
      <c r="D134" s="16">
        <v>634.74</v>
      </c>
      <c r="E134" s="20">
        <f t="shared" si="1"/>
        <v>634.74</v>
      </c>
      <c r="F134" s="21">
        <v>1</v>
      </c>
      <c r="G134" s="21"/>
    </row>
    <row r="135" spans="2:7" x14ac:dyDescent="0.25">
      <c r="B135" s="21">
        <v>4</v>
      </c>
      <c r="C135" s="19" t="s">
        <v>85</v>
      </c>
      <c r="D135" s="16">
        <v>634.74</v>
      </c>
      <c r="E135" s="20">
        <f t="shared" si="1"/>
        <v>2538.96</v>
      </c>
      <c r="F135" s="21">
        <v>4</v>
      </c>
      <c r="G135" s="21"/>
    </row>
    <row r="136" spans="2:7" x14ac:dyDescent="0.25">
      <c r="B136" s="21">
        <f>1+1+1</f>
        <v>3</v>
      </c>
      <c r="C136" s="19" t="s">
        <v>28</v>
      </c>
      <c r="D136" s="16">
        <v>634.74</v>
      </c>
      <c r="E136" s="20">
        <f t="shared" si="1"/>
        <v>1904.22</v>
      </c>
      <c r="F136" s="21"/>
      <c r="G136" s="21">
        <f>1+1+1</f>
        <v>3</v>
      </c>
    </row>
    <row r="137" spans="2:7" x14ac:dyDescent="0.25">
      <c r="B137" s="21">
        <f>9+1+1+1+1+1+2</f>
        <v>16</v>
      </c>
      <c r="C137" s="19" t="s">
        <v>78</v>
      </c>
      <c r="D137" s="16">
        <v>634.74</v>
      </c>
      <c r="E137" s="20">
        <f t="shared" si="1"/>
        <v>10155.84</v>
      </c>
      <c r="F137" s="21">
        <f>5+1+1+1</f>
        <v>8</v>
      </c>
      <c r="G137" s="21">
        <f>4+1+1+1+1</f>
        <v>8</v>
      </c>
    </row>
    <row r="138" spans="2:7" x14ac:dyDescent="0.25">
      <c r="B138" s="21">
        <v>1</v>
      </c>
      <c r="C138" s="9" t="s">
        <v>120</v>
      </c>
      <c r="D138" s="16">
        <v>634.74</v>
      </c>
      <c r="E138" s="20">
        <f t="shared" si="1"/>
        <v>634.74</v>
      </c>
      <c r="F138" s="21">
        <v>1</v>
      </c>
      <c r="G138" s="21"/>
    </row>
    <row r="139" spans="2:7" x14ac:dyDescent="0.25">
      <c r="B139" s="21">
        <v>1</v>
      </c>
      <c r="C139" s="19" t="s">
        <v>121</v>
      </c>
      <c r="D139" s="16">
        <v>634.74</v>
      </c>
      <c r="E139" s="20">
        <f t="shared" ref="E139:E159" si="2">D139*B139</f>
        <v>634.74</v>
      </c>
      <c r="F139" s="21">
        <v>1</v>
      </c>
      <c r="G139" s="21"/>
    </row>
    <row r="140" spans="2:7" x14ac:dyDescent="0.25">
      <c r="B140" s="23">
        <v>12</v>
      </c>
      <c r="C140" s="19" t="s">
        <v>122</v>
      </c>
      <c r="D140" s="16">
        <v>634.74</v>
      </c>
      <c r="E140" s="20">
        <f t="shared" si="2"/>
        <v>7616.88</v>
      </c>
      <c r="F140" s="23">
        <v>6</v>
      </c>
      <c r="G140" s="23">
        <v>6</v>
      </c>
    </row>
    <row r="141" spans="2:7" x14ac:dyDescent="0.25">
      <c r="B141" s="23">
        <f>6+1</f>
        <v>7</v>
      </c>
      <c r="C141" s="19" t="s">
        <v>79</v>
      </c>
      <c r="D141" s="16">
        <v>634.74</v>
      </c>
      <c r="E141" s="20">
        <f t="shared" si="2"/>
        <v>4443.18</v>
      </c>
      <c r="F141" s="23">
        <f>5+1</f>
        <v>6</v>
      </c>
      <c r="G141" s="23">
        <v>1</v>
      </c>
    </row>
    <row r="142" spans="2:7" x14ac:dyDescent="0.25">
      <c r="B142" s="23">
        <v>1</v>
      </c>
      <c r="C142" s="19" t="s">
        <v>123</v>
      </c>
      <c r="D142" s="16">
        <v>634.74</v>
      </c>
      <c r="E142" s="20">
        <f t="shared" si="2"/>
        <v>634.74</v>
      </c>
      <c r="F142" s="23">
        <v>1</v>
      </c>
      <c r="G142" s="23"/>
    </row>
    <row r="143" spans="2:7" s="13" customFormat="1" x14ac:dyDescent="0.25">
      <c r="B143" s="48"/>
      <c r="C143" s="55"/>
      <c r="D143" s="56"/>
      <c r="E143" s="57"/>
      <c r="F143" s="48"/>
      <c r="G143" s="48"/>
    </row>
    <row r="144" spans="2:7" s="13" customFormat="1" x14ac:dyDescent="0.25">
      <c r="B144" s="48"/>
      <c r="C144" s="55"/>
      <c r="D144" s="56"/>
      <c r="E144" s="57"/>
      <c r="F144" s="48"/>
      <c r="G144" s="48"/>
    </row>
    <row r="145" spans="2:7" s="13" customFormat="1" x14ac:dyDescent="0.25">
      <c r="B145" s="48"/>
      <c r="C145" s="55"/>
      <c r="D145" s="56"/>
      <c r="E145" s="57"/>
      <c r="F145" s="48"/>
      <c r="G145" s="48"/>
    </row>
    <row r="146" spans="2:7" s="13" customFormat="1" x14ac:dyDescent="0.25">
      <c r="B146" s="48"/>
      <c r="C146" s="55"/>
      <c r="D146" s="56"/>
      <c r="E146" s="57"/>
      <c r="F146" s="48"/>
      <c r="G146" s="48"/>
    </row>
    <row r="147" spans="2:7" x14ac:dyDescent="0.25">
      <c r="B147" s="23">
        <v>3</v>
      </c>
      <c r="C147" s="19" t="s">
        <v>80</v>
      </c>
      <c r="D147" s="16">
        <v>634.74</v>
      </c>
      <c r="E147" s="20">
        <f t="shared" si="2"/>
        <v>1904.22</v>
      </c>
      <c r="F147" s="23">
        <v>3</v>
      </c>
      <c r="G147" s="23"/>
    </row>
    <row r="148" spans="2:7" x14ac:dyDescent="0.25">
      <c r="B148" s="23">
        <v>1</v>
      </c>
      <c r="C148" s="19" t="s">
        <v>56</v>
      </c>
      <c r="D148" s="16">
        <v>619.80999999999995</v>
      </c>
      <c r="E148" s="20">
        <f t="shared" si="2"/>
        <v>619.80999999999995</v>
      </c>
      <c r="F148" s="23"/>
      <c r="G148" s="23">
        <v>1</v>
      </c>
    </row>
    <row r="149" spans="2:7" x14ac:dyDescent="0.25">
      <c r="B149" s="23">
        <f>6+7+2+2+1+1</f>
        <v>19</v>
      </c>
      <c r="C149" s="19" t="s">
        <v>28</v>
      </c>
      <c r="D149" s="16">
        <v>619.80999999999995</v>
      </c>
      <c r="E149" s="20">
        <f t="shared" si="2"/>
        <v>11776.39</v>
      </c>
      <c r="F149" s="23"/>
      <c r="G149" s="23">
        <f>6+7+2+2+1+1</f>
        <v>19</v>
      </c>
    </row>
    <row r="150" spans="2:7" x14ac:dyDescent="0.25">
      <c r="B150" s="23">
        <f>1+1+1+4+1+1+1</f>
        <v>10</v>
      </c>
      <c r="C150" s="19" t="s">
        <v>28</v>
      </c>
      <c r="D150" s="16">
        <v>558.71</v>
      </c>
      <c r="E150" s="20">
        <f t="shared" si="2"/>
        <v>5587.1</v>
      </c>
      <c r="F150" s="23"/>
      <c r="G150" s="23">
        <f>1+1+1+4+1+1+1</f>
        <v>10</v>
      </c>
    </row>
    <row r="151" spans="2:7" x14ac:dyDescent="0.25">
      <c r="B151" s="23">
        <f>1+1+1</f>
        <v>3</v>
      </c>
      <c r="C151" s="19" t="s">
        <v>57</v>
      </c>
      <c r="D151" s="16">
        <v>549.9</v>
      </c>
      <c r="E151" s="20">
        <f t="shared" si="2"/>
        <v>1649.6999999999998</v>
      </c>
      <c r="F151" s="23">
        <f>1+1+1</f>
        <v>3</v>
      </c>
      <c r="G151" s="23"/>
    </row>
    <row r="152" spans="2:7" x14ac:dyDescent="0.25">
      <c r="B152" s="23">
        <f>10+6+2+2</f>
        <v>20</v>
      </c>
      <c r="C152" s="19" t="s">
        <v>57</v>
      </c>
      <c r="D152" s="16">
        <v>536.92999999999995</v>
      </c>
      <c r="E152" s="20">
        <f t="shared" si="2"/>
        <v>10738.599999999999</v>
      </c>
      <c r="F152" s="23">
        <f>10+6+2+1</f>
        <v>19</v>
      </c>
      <c r="G152" s="23">
        <v>1</v>
      </c>
    </row>
    <row r="153" spans="2:7" x14ac:dyDescent="0.25">
      <c r="B153" s="23">
        <f>1+3+7+1+4+1+3+1+2</f>
        <v>23</v>
      </c>
      <c r="C153" s="9" t="s">
        <v>71</v>
      </c>
      <c r="D153" s="16">
        <v>536.92999999999995</v>
      </c>
      <c r="E153" s="20">
        <f t="shared" si="2"/>
        <v>12349.39</v>
      </c>
      <c r="F153" s="23"/>
      <c r="G153" s="23">
        <f>1+3+7+1+4+1+3+1+2</f>
        <v>23</v>
      </c>
    </row>
    <row r="154" spans="2:7" x14ac:dyDescent="0.25">
      <c r="B154" s="23">
        <f>1+1</f>
        <v>2</v>
      </c>
      <c r="C154" s="9" t="s">
        <v>57</v>
      </c>
      <c r="D154" s="16">
        <v>490.6</v>
      </c>
      <c r="E154" s="20">
        <f t="shared" si="2"/>
        <v>981.2</v>
      </c>
      <c r="F154" s="23">
        <f>1+1</f>
        <v>2</v>
      </c>
      <c r="G154" s="23"/>
    </row>
    <row r="155" spans="2:7" x14ac:dyDescent="0.25">
      <c r="B155" s="21">
        <f>3+23+2+2+2+2+4</f>
        <v>38</v>
      </c>
      <c r="C155" s="19" t="s">
        <v>34</v>
      </c>
      <c r="D155" s="16">
        <v>474.71</v>
      </c>
      <c r="E155" s="20">
        <f t="shared" si="2"/>
        <v>18038.98</v>
      </c>
      <c r="F155" s="21">
        <f>3+23+2+2+2+2+4</f>
        <v>38</v>
      </c>
      <c r="G155" s="21"/>
    </row>
    <row r="156" spans="2:7" x14ac:dyDescent="0.25">
      <c r="B156" s="21">
        <f>7+1+2</f>
        <v>10</v>
      </c>
      <c r="C156" s="19" t="s">
        <v>84</v>
      </c>
      <c r="D156" s="16">
        <v>474.71</v>
      </c>
      <c r="E156" s="20">
        <f t="shared" si="2"/>
        <v>4747.0999999999995</v>
      </c>
      <c r="F156" s="21">
        <f>7+1+2</f>
        <v>10</v>
      </c>
      <c r="G156" s="21"/>
    </row>
    <row r="157" spans="2:7" x14ac:dyDescent="0.25">
      <c r="B157" s="21">
        <f>1+6+2+2+1+1</f>
        <v>13</v>
      </c>
      <c r="C157" s="19" t="s">
        <v>33</v>
      </c>
      <c r="D157" s="16">
        <v>474.71</v>
      </c>
      <c r="E157" s="20">
        <f t="shared" si="2"/>
        <v>6171.23</v>
      </c>
      <c r="F157" s="21">
        <f>1+6+2+2+1+1</f>
        <v>13</v>
      </c>
      <c r="G157" s="21"/>
    </row>
    <row r="158" spans="2:7" x14ac:dyDescent="0.25">
      <c r="B158" s="21">
        <v>1</v>
      </c>
      <c r="C158" s="19" t="s">
        <v>124</v>
      </c>
      <c r="D158" s="16">
        <v>459.49</v>
      </c>
      <c r="E158" s="20">
        <f t="shared" si="2"/>
        <v>459.49</v>
      </c>
      <c r="F158" s="21">
        <v>1</v>
      </c>
      <c r="G158" s="21"/>
    </row>
    <row r="159" spans="2:7" x14ac:dyDescent="0.25">
      <c r="B159" s="21">
        <f>4+12+11+3+1+3+3+6+1</f>
        <v>44</v>
      </c>
      <c r="C159" s="19" t="s">
        <v>35</v>
      </c>
      <c r="D159" s="16">
        <v>443.6</v>
      </c>
      <c r="E159" s="20">
        <f t="shared" si="2"/>
        <v>19518.400000000001</v>
      </c>
      <c r="F159" s="21">
        <f>2+11+9+2+1+2+3+6+1</f>
        <v>37</v>
      </c>
      <c r="G159" s="21">
        <f>2+1+2+1+1</f>
        <v>7</v>
      </c>
    </row>
    <row r="160" spans="2:7" ht="15.75" x14ac:dyDescent="0.25">
      <c r="B160" s="12">
        <f>SUM(B59:B159)</f>
        <v>756</v>
      </c>
      <c r="C160" s="1"/>
      <c r="D160" s="1"/>
      <c r="E160" s="18">
        <f>SUM(E59:E159)</f>
        <v>513117.94359999988</v>
      </c>
      <c r="F160" s="14">
        <f>SUM(F59:F159)</f>
        <v>425</v>
      </c>
      <c r="G160" s="14">
        <f>SUM(G59:G159)</f>
        <v>331</v>
      </c>
    </row>
  </sheetData>
  <mergeCells count="2">
    <mergeCell ref="F3:G3"/>
    <mergeCell ref="F57:G57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2"/>
  <sheetViews>
    <sheetView view="pageBreakPreview" topLeftCell="A154" zoomScale="60" zoomScaleNormal="100" workbookViewId="0">
      <selection activeCell="C149" sqref="C149"/>
    </sheetView>
  </sheetViews>
  <sheetFormatPr baseColWidth="10" defaultRowHeight="15" x14ac:dyDescent="0.25"/>
  <cols>
    <col min="1" max="1" width="6.42578125" customWidth="1"/>
    <col min="3" max="3" width="56.85546875" bestFit="1" customWidth="1"/>
    <col min="5" max="5" width="13.85546875" bestFit="1" customWidth="1"/>
  </cols>
  <sheetData>
    <row r="2" spans="2:7" x14ac:dyDescent="0.25">
      <c r="B2" s="29" t="s">
        <v>164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2">
        <v>1</v>
      </c>
      <c r="C5" s="9" t="s">
        <v>140</v>
      </c>
      <c r="D5" s="16">
        <v>2600</v>
      </c>
      <c r="E5" s="33">
        <f t="shared" ref="E5:E36" si="0">D5*B5</f>
        <v>2600</v>
      </c>
      <c r="F5" s="7">
        <v>1</v>
      </c>
      <c r="G5" s="7"/>
    </row>
    <row r="6" spans="2:7" x14ac:dyDescent="0.25">
      <c r="B6" s="22">
        <v>1</v>
      </c>
      <c r="C6" s="9" t="s">
        <v>141</v>
      </c>
      <c r="D6" s="16">
        <v>2600</v>
      </c>
      <c r="E6" s="33">
        <f t="shared" si="0"/>
        <v>2600</v>
      </c>
      <c r="F6" s="7">
        <v>1</v>
      </c>
      <c r="G6" s="7"/>
    </row>
    <row r="7" spans="2:7" x14ac:dyDescent="0.25">
      <c r="B7" s="22">
        <v>1</v>
      </c>
      <c r="C7" s="9" t="s">
        <v>18</v>
      </c>
      <c r="D7" s="33">
        <v>2183.02</v>
      </c>
      <c r="E7" s="33">
        <f t="shared" si="0"/>
        <v>2183.02</v>
      </c>
      <c r="F7" s="21">
        <v>1</v>
      </c>
      <c r="G7" s="21"/>
    </row>
    <row r="8" spans="2:7" x14ac:dyDescent="0.25">
      <c r="B8" s="22">
        <v>1</v>
      </c>
      <c r="C8" s="9" t="s">
        <v>58</v>
      </c>
      <c r="D8" s="33">
        <v>2183.02</v>
      </c>
      <c r="E8" s="33">
        <f t="shared" si="0"/>
        <v>2183.02</v>
      </c>
      <c r="F8" s="21"/>
      <c r="G8" s="21">
        <v>1</v>
      </c>
    </row>
    <row r="9" spans="2:7" x14ac:dyDescent="0.25">
      <c r="B9" s="22">
        <v>1</v>
      </c>
      <c r="C9" s="9" t="s">
        <v>61</v>
      </c>
      <c r="D9" s="33">
        <v>2183.02</v>
      </c>
      <c r="E9" s="33">
        <f t="shared" si="0"/>
        <v>2183.02</v>
      </c>
      <c r="F9" s="21"/>
      <c r="G9" s="21">
        <v>1</v>
      </c>
    </row>
    <row r="10" spans="2:7" x14ac:dyDescent="0.25">
      <c r="B10" s="22">
        <v>1</v>
      </c>
      <c r="C10" s="9" t="s">
        <v>67</v>
      </c>
      <c r="D10" s="33">
        <v>2183.0100000000002</v>
      </c>
      <c r="E10" s="33">
        <f t="shared" si="0"/>
        <v>2183.0100000000002</v>
      </c>
      <c r="F10" s="21">
        <v>1</v>
      </c>
      <c r="G10" s="21"/>
    </row>
    <row r="11" spans="2:7" x14ac:dyDescent="0.25">
      <c r="B11" s="22">
        <v>1</v>
      </c>
      <c r="C11" s="9" t="s">
        <v>73</v>
      </c>
      <c r="D11" s="33">
        <v>2183.02</v>
      </c>
      <c r="E11" s="33">
        <f t="shared" si="0"/>
        <v>2183.02</v>
      </c>
      <c r="F11" s="21"/>
      <c r="G11" s="21">
        <v>1</v>
      </c>
    </row>
    <row r="12" spans="2:7" x14ac:dyDescent="0.25">
      <c r="B12" s="22">
        <v>1</v>
      </c>
      <c r="C12" s="9" t="s">
        <v>102</v>
      </c>
      <c r="D12" s="33">
        <v>2183.02</v>
      </c>
      <c r="E12" s="33">
        <f t="shared" si="0"/>
        <v>2183.02</v>
      </c>
      <c r="F12" s="21"/>
      <c r="G12" s="21">
        <v>1</v>
      </c>
    </row>
    <row r="13" spans="2:7" x14ac:dyDescent="0.25">
      <c r="B13" s="22">
        <v>1</v>
      </c>
      <c r="C13" s="9" t="s">
        <v>165</v>
      </c>
      <c r="D13" s="33">
        <v>2060</v>
      </c>
      <c r="E13" s="33">
        <f t="shared" si="0"/>
        <v>2060</v>
      </c>
      <c r="F13" s="21">
        <v>1</v>
      </c>
      <c r="G13" s="21"/>
    </row>
    <row r="14" spans="2:7" x14ac:dyDescent="0.25">
      <c r="B14" s="22">
        <v>1</v>
      </c>
      <c r="C14" s="9" t="s">
        <v>90</v>
      </c>
      <c r="D14" s="33">
        <f>2060</f>
        <v>2060</v>
      </c>
      <c r="E14" s="33">
        <f t="shared" si="0"/>
        <v>2060</v>
      </c>
      <c r="F14" s="21"/>
      <c r="G14" s="21">
        <v>1</v>
      </c>
    </row>
    <row r="15" spans="2:7" x14ac:dyDescent="0.25">
      <c r="B15" s="22">
        <v>1</v>
      </c>
      <c r="C15" s="9" t="s">
        <v>166</v>
      </c>
      <c r="D15" s="33">
        <v>1580.29</v>
      </c>
      <c r="E15" s="33">
        <f>D15*B15</f>
        <v>1580.29</v>
      </c>
      <c r="F15" s="21">
        <v>1</v>
      </c>
      <c r="G15" s="21"/>
    </row>
    <row r="16" spans="2:7" x14ac:dyDescent="0.25">
      <c r="B16" s="22">
        <v>1</v>
      </c>
      <c r="C16" s="9" t="s">
        <v>60</v>
      </c>
      <c r="D16" s="33">
        <v>1623.25</v>
      </c>
      <c r="E16" s="33">
        <f>D16*B16</f>
        <v>1623.25</v>
      </c>
      <c r="F16" s="21"/>
      <c r="G16" s="21">
        <v>1</v>
      </c>
    </row>
    <row r="17" spans="2:7" x14ac:dyDescent="0.25">
      <c r="B17" s="22">
        <v>1</v>
      </c>
      <c r="C17" s="9" t="s">
        <v>167</v>
      </c>
      <c r="D17" s="33">
        <v>1623.25</v>
      </c>
      <c r="E17" s="33">
        <f>D17*B17</f>
        <v>1623.25</v>
      </c>
      <c r="F17" s="21">
        <v>1</v>
      </c>
      <c r="G17" s="21"/>
    </row>
    <row r="18" spans="2:7" x14ac:dyDescent="0.25">
      <c r="B18" s="22">
        <v>1</v>
      </c>
      <c r="C18" s="9" t="s">
        <v>168</v>
      </c>
      <c r="D18" s="33">
        <v>1462.57</v>
      </c>
      <c r="E18" s="33">
        <f t="shared" si="0"/>
        <v>1462.57</v>
      </c>
      <c r="F18" s="21">
        <v>1</v>
      </c>
      <c r="G18" s="21"/>
    </row>
    <row r="19" spans="2:7" x14ac:dyDescent="0.25">
      <c r="B19" s="22">
        <v>1</v>
      </c>
      <c r="C19" s="9" t="s">
        <v>147</v>
      </c>
      <c r="D19" s="33">
        <v>1373.12</v>
      </c>
      <c r="E19" s="33">
        <f t="shared" si="0"/>
        <v>1373.12</v>
      </c>
      <c r="F19" s="21">
        <v>1</v>
      </c>
      <c r="G19" s="21"/>
    </row>
    <row r="20" spans="2:7" x14ac:dyDescent="0.25">
      <c r="B20" s="22">
        <v>1</v>
      </c>
      <c r="C20" s="9" t="s">
        <v>64</v>
      </c>
      <c r="D20" s="33">
        <v>1373.12</v>
      </c>
      <c r="E20" s="33">
        <f t="shared" si="0"/>
        <v>1373.12</v>
      </c>
      <c r="F20" s="21">
        <v>1</v>
      </c>
      <c r="G20" s="21"/>
    </row>
    <row r="21" spans="2:7" x14ac:dyDescent="0.25">
      <c r="B21" s="22">
        <v>1</v>
      </c>
      <c r="C21" s="9" t="s">
        <v>69</v>
      </c>
      <c r="D21" s="33">
        <v>1373.12</v>
      </c>
      <c r="E21" s="33">
        <f t="shared" si="0"/>
        <v>1373.12</v>
      </c>
      <c r="F21" s="21">
        <v>1</v>
      </c>
      <c r="G21" s="21"/>
    </row>
    <row r="22" spans="2:7" x14ac:dyDescent="0.25">
      <c r="B22" s="22">
        <v>1</v>
      </c>
      <c r="C22" s="9" t="s">
        <v>74</v>
      </c>
      <c r="D22" s="33">
        <v>1373.12</v>
      </c>
      <c r="E22" s="33">
        <f t="shared" si="0"/>
        <v>1373.12</v>
      </c>
      <c r="F22" s="21">
        <v>1</v>
      </c>
      <c r="G22" s="21"/>
    </row>
    <row r="23" spans="2:7" x14ac:dyDescent="0.25">
      <c r="B23" s="22">
        <v>1</v>
      </c>
      <c r="C23" s="9" t="s">
        <v>17</v>
      </c>
      <c r="D23" s="33">
        <v>1373.12</v>
      </c>
      <c r="E23" s="33">
        <f t="shared" si="0"/>
        <v>1373.12</v>
      </c>
      <c r="F23" s="21">
        <v>1</v>
      </c>
      <c r="G23" s="21"/>
    </row>
    <row r="24" spans="2:7" x14ac:dyDescent="0.25">
      <c r="B24" s="22">
        <v>1</v>
      </c>
      <c r="C24" s="9" t="s">
        <v>169</v>
      </c>
      <c r="D24" s="33">
        <v>1373.12</v>
      </c>
      <c r="E24" s="33">
        <f>D24*B24</f>
        <v>1373.12</v>
      </c>
      <c r="F24" s="21">
        <v>1</v>
      </c>
      <c r="G24" s="21"/>
    </row>
    <row r="25" spans="2:7" ht="24.75" x14ac:dyDescent="0.25">
      <c r="B25" s="22">
        <v>1</v>
      </c>
      <c r="C25" s="34" t="s">
        <v>170</v>
      </c>
      <c r="D25" s="16">
        <v>1373.12</v>
      </c>
      <c r="E25" s="33">
        <f>D25*B25</f>
        <v>1373.12</v>
      </c>
      <c r="F25" s="21"/>
      <c r="G25" s="21">
        <v>1</v>
      </c>
    </row>
    <row r="26" spans="2:7" x14ac:dyDescent="0.25">
      <c r="B26" s="22">
        <v>1</v>
      </c>
      <c r="C26" s="9" t="s">
        <v>171</v>
      </c>
      <c r="D26" s="33">
        <v>1373.12</v>
      </c>
      <c r="E26" s="33">
        <f t="shared" si="0"/>
        <v>1373.12</v>
      </c>
      <c r="F26" s="21"/>
      <c r="G26" s="21">
        <v>1</v>
      </c>
    </row>
    <row r="27" spans="2:7" x14ac:dyDescent="0.25">
      <c r="B27" s="22">
        <v>1</v>
      </c>
      <c r="C27" s="9" t="s">
        <v>172</v>
      </c>
      <c r="D27" s="33">
        <v>1373.12</v>
      </c>
      <c r="E27" s="33">
        <f t="shared" si="0"/>
        <v>1373.12</v>
      </c>
      <c r="F27" s="21"/>
      <c r="G27" s="21">
        <v>1</v>
      </c>
    </row>
    <row r="28" spans="2:7" x14ac:dyDescent="0.25">
      <c r="B28" s="22">
        <v>1</v>
      </c>
      <c r="C28" s="9" t="s">
        <v>173</v>
      </c>
      <c r="D28" s="33">
        <v>1108.25</v>
      </c>
      <c r="E28" s="33">
        <f t="shared" si="0"/>
        <v>1108.25</v>
      </c>
      <c r="F28" s="21"/>
      <c r="G28" s="21">
        <v>1</v>
      </c>
    </row>
    <row r="29" spans="2:7" x14ac:dyDescent="0.25">
      <c r="B29" s="22">
        <v>3</v>
      </c>
      <c r="C29" s="9" t="s">
        <v>24</v>
      </c>
      <c r="D29" s="33">
        <v>846.59</v>
      </c>
      <c r="E29" s="33">
        <f t="shared" si="0"/>
        <v>2539.77</v>
      </c>
      <c r="F29" s="21">
        <v>3</v>
      </c>
      <c r="G29" s="21"/>
    </row>
    <row r="30" spans="2:7" x14ac:dyDescent="0.25">
      <c r="B30" s="22">
        <v>1</v>
      </c>
      <c r="C30" s="9" t="s">
        <v>26</v>
      </c>
      <c r="D30" s="33">
        <v>846.59</v>
      </c>
      <c r="E30" s="33">
        <f t="shared" si="0"/>
        <v>846.59</v>
      </c>
      <c r="F30" s="21">
        <v>1</v>
      </c>
      <c r="G30" s="21"/>
    </row>
    <row r="31" spans="2:7" x14ac:dyDescent="0.25">
      <c r="B31" s="22">
        <f>1+1</f>
        <v>2</v>
      </c>
      <c r="C31" s="9" t="s">
        <v>153</v>
      </c>
      <c r="D31" s="33">
        <v>846.59</v>
      </c>
      <c r="E31" s="33">
        <f t="shared" si="0"/>
        <v>1693.18</v>
      </c>
      <c r="F31" s="21">
        <v>1</v>
      </c>
      <c r="G31" s="21">
        <v>1</v>
      </c>
    </row>
    <row r="32" spans="2:7" x14ac:dyDescent="0.25">
      <c r="B32" s="22">
        <v>1</v>
      </c>
      <c r="C32" s="9" t="s">
        <v>174</v>
      </c>
      <c r="D32" s="33">
        <v>758.86</v>
      </c>
      <c r="E32" s="33">
        <f t="shared" si="0"/>
        <v>758.86</v>
      </c>
      <c r="F32" s="21">
        <v>1</v>
      </c>
      <c r="G32" s="21"/>
    </row>
    <row r="33" spans="2:7" x14ac:dyDescent="0.25">
      <c r="B33" s="22">
        <v>1</v>
      </c>
      <c r="C33" s="9" t="s">
        <v>175</v>
      </c>
      <c r="D33" s="33">
        <v>758.86</v>
      </c>
      <c r="E33" s="33">
        <f t="shared" si="0"/>
        <v>758.86</v>
      </c>
      <c r="F33" s="21"/>
      <c r="G33" s="21">
        <v>1</v>
      </c>
    </row>
    <row r="34" spans="2:7" x14ac:dyDescent="0.25">
      <c r="B34" s="22">
        <v>1</v>
      </c>
      <c r="C34" s="9" t="s">
        <v>176</v>
      </c>
      <c r="D34" s="33">
        <v>758.86</v>
      </c>
      <c r="E34" s="33">
        <f t="shared" si="0"/>
        <v>758.86</v>
      </c>
      <c r="F34" s="21">
        <v>1</v>
      </c>
      <c r="G34" s="21"/>
    </row>
    <row r="35" spans="2:7" x14ac:dyDescent="0.25">
      <c r="B35" s="22">
        <v>2</v>
      </c>
      <c r="C35" s="9" t="s">
        <v>110</v>
      </c>
      <c r="D35" s="33">
        <v>758.86</v>
      </c>
      <c r="E35" s="33">
        <f t="shared" si="0"/>
        <v>1517.72</v>
      </c>
      <c r="F35" s="21">
        <v>2</v>
      </c>
      <c r="G35" s="21"/>
    </row>
    <row r="36" spans="2:7" x14ac:dyDescent="0.25">
      <c r="B36" s="22">
        <f>19+6+10</f>
        <v>35</v>
      </c>
      <c r="C36" s="9" t="s">
        <v>84</v>
      </c>
      <c r="D36" s="33">
        <v>474.71</v>
      </c>
      <c r="E36" s="33">
        <f t="shared" si="0"/>
        <v>16614.849999999999</v>
      </c>
      <c r="F36" s="21">
        <f>18+6+10</f>
        <v>34</v>
      </c>
      <c r="G36" s="21"/>
    </row>
    <row r="37" spans="2:7" ht="15.75" x14ac:dyDescent="0.25">
      <c r="B37" s="12">
        <f>SUM(B5:B36)</f>
        <v>70</v>
      </c>
      <c r="C37" s="1"/>
      <c r="D37" s="15"/>
      <c r="E37" s="17">
        <f>SUM(E7:E36)</f>
        <v>62462.49</v>
      </c>
      <c r="F37" s="14">
        <f>SUM(F5:F36)</f>
        <v>57</v>
      </c>
      <c r="G37" s="14">
        <f>SUM(G5:G36)</f>
        <v>12</v>
      </c>
    </row>
    <row r="40" spans="2:7" x14ac:dyDescent="0.25">
      <c r="B40" s="29" t="s">
        <v>37</v>
      </c>
      <c r="C40" s="30"/>
    </row>
    <row r="41" spans="2:7" x14ac:dyDescent="0.25">
      <c r="B41" s="2"/>
      <c r="D41" s="4"/>
      <c r="E41" s="4"/>
      <c r="F41" s="45" t="s">
        <v>3</v>
      </c>
      <c r="G41" s="45"/>
    </row>
    <row r="42" spans="2:7" ht="30" x14ac:dyDescent="0.25">
      <c r="B42" s="6" t="s">
        <v>6</v>
      </c>
      <c r="C42" s="7" t="s">
        <v>4</v>
      </c>
      <c r="D42" s="6" t="s">
        <v>2</v>
      </c>
      <c r="E42" s="6" t="s">
        <v>9</v>
      </c>
      <c r="F42" s="7" t="s">
        <v>0</v>
      </c>
      <c r="G42" s="7" t="s">
        <v>1</v>
      </c>
    </row>
    <row r="43" spans="2:7" x14ac:dyDescent="0.25">
      <c r="B43" s="21">
        <v>1</v>
      </c>
      <c r="C43" s="19" t="s">
        <v>38</v>
      </c>
      <c r="D43" s="16">
        <v>2773.72</v>
      </c>
      <c r="E43" s="20">
        <f>D43*B43</f>
        <v>2773.72</v>
      </c>
      <c r="F43" s="21">
        <v>1</v>
      </c>
      <c r="G43" s="21"/>
    </row>
    <row r="44" spans="2:7" x14ac:dyDescent="0.25">
      <c r="B44" s="21">
        <v>1</v>
      </c>
      <c r="C44" s="19" t="s">
        <v>39</v>
      </c>
      <c r="D44" s="16">
        <v>2080.58</v>
      </c>
      <c r="E44" s="20">
        <f t="shared" ref="E44:E112" si="1">D44*B44</f>
        <v>2080.58</v>
      </c>
      <c r="F44" s="21">
        <v>1</v>
      </c>
      <c r="G44" s="21"/>
    </row>
    <row r="45" spans="2:7" x14ac:dyDescent="0.25">
      <c r="B45" s="21">
        <v>1</v>
      </c>
      <c r="C45" s="9" t="s">
        <v>155</v>
      </c>
      <c r="D45" s="16">
        <v>1775.02</v>
      </c>
      <c r="E45" s="20">
        <f t="shared" si="1"/>
        <v>1775.02</v>
      </c>
      <c r="F45" s="21"/>
      <c r="G45" s="21">
        <v>1</v>
      </c>
    </row>
    <row r="46" spans="2:7" x14ac:dyDescent="0.25">
      <c r="B46" s="21">
        <v>1</v>
      </c>
      <c r="C46" s="9" t="s">
        <v>177</v>
      </c>
      <c r="D46" s="16">
        <v>1400</v>
      </c>
      <c r="E46" s="20">
        <f t="shared" si="1"/>
        <v>1400</v>
      </c>
      <c r="F46" s="21"/>
      <c r="G46" s="21">
        <v>1</v>
      </c>
    </row>
    <row r="47" spans="2:7" x14ac:dyDescent="0.25">
      <c r="B47" s="21">
        <v>1</v>
      </c>
      <c r="C47" s="19" t="s">
        <v>40</v>
      </c>
      <c r="D47" s="16">
        <v>1373.12</v>
      </c>
      <c r="E47" s="20">
        <f t="shared" si="1"/>
        <v>1373.12</v>
      </c>
      <c r="F47" s="21">
        <v>1</v>
      </c>
      <c r="G47" s="21"/>
    </row>
    <row r="48" spans="2:7" x14ac:dyDescent="0.25">
      <c r="B48" s="21">
        <v>1</v>
      </c>
      <c r="C48" s="19" t="s">
        <v>178</v>
      </c>
      <c r="D48" s="16">
        <v>1108.3</v>
      </c>
      <c r="E48" s="20">
        <f t="shared" si="1"/>
        <v>1108.3</v>
      </c>
      <c r="F48" s="21"/>
      <c r="G48" s="21">
        <v>1</v>
      </c>
    </row>
    <row r="49" spans="2:7" x14ac:dyDescent="0.25">
      <c r="B49" s="21">
        <v>1</v>
      </c>
      <c r="C49" s="19" t="s">
        <v>179</v>
      </c>
      <c r="D49" s="16">
        <v>1108.25</v>
      </c>
      <c r="E49" s="20">
        <f t="shared" si="1"/>
        <v>1108.25</v>
      </c>
      <c r="F49" s="21">
        <v>1</v>
      </c>
      <c r="G49" s="21"/>
    </row>
    <row r="50" spans="2:7" x14ac:dyDescent="0.25">
      <c r="B50" s="21">
        <v>1</v>
      </c>
      <c r="C50" s="19" t="s">
        <v>41</v>
      </c>
      <c r="D50" s="16">
        <v>1108.25</v>
      </c>
      <c r="E50" s="20">
        <f t="shared" si="1"/>
        <v>1108.25</v>
      </c>
      <c r="F50" s="21">
        <v>1</v>
      </c>
      <c r="G50" s="21"/>
    </row>
    <row r="51" spans="2:7" x14ac:dyDescent="0.25">
      <c r="B51" s="21">
        <v>1</v>
      </c>
      <c r="C51" s="19" t="s">
        <v>180</v>
      </c>
      <c r="D51" s="16">
        <v>1108.25</v>
      </c>
      <c r="E51" s="20">
        <f t="shared" si="1"/>
        <v>1108.25</v>
      </c>
      <c r="F51" s="21">
        <v>1</v>
      </c>
      <c r="G51" s="21"/>
    </row>
    <row r="52" spans="2:7" x14ac:dyDescent="0.25">
      <c r="B52" s="21">
        <v>1</v>
      </c>
      <c r="C52" s="3" t="s">
        <v>157</v>
      </c>
      <c r="D52" s="16">
        <v>1108.25</v>
      </c>
      <c r="E52" s="20">
        <f t="shared" si="1"/>
        <v>1108.25</v>
      </c>
      <c r="F52" s="21">
        <v>1</v>
      </c>
      <c r="G52" s="21"/>
    </row>
    <row r="53" spans="2:7" x14ac:dyDescent="0.25">
      <c r="B53" s="21">
        <v>1</v>
      </c>
      <c r="C53" s="19" t="s">
        <v>44</v>
      </c>
      <c r="D53" s="31">
        <v>1108.25</v>
      </c>
      <c r="E53" s="20">
        <f t="shared" si="1"/>
        <v>1108.25</v>
      </c>
      <c r="F53" s="21">
        <v>1</v>
      </c>
      <c r="G53" s="21"/>
    </row>
    <row r="54" spans="2:7" x14ac:dyDescent="0.25">
      <c r="B54" s="21">
        <v>1</v>
      </c>
      <c r="C54" s="9" t="s">
        <v>22</v>
      </c>
      <c r="D54" s="31">
        <v>1108.25</v>
      </c>
      <c r="E54" s="20">
        <f t="shared" si="1"/>
        <v>1108.25</v>
      </c>
      <c r="F54" s="21"/>
      <c r="G54" s="21">
        <v>1</v>
      </c>
    </row>
    <row r="55" spans="2:7" x14ac:dyDescent="0.25">
      <c r="B55" s="21">
        <v>1</v>
      </c>
      <c r="C55" s="9" t="s">
        <v>181</v>
      </c>
      <c r="D55" s="16">
        <v>1108.25</v>
      </c>
      <c r="E55" s="20">
        <f t="shared" si="1"/>
        <v>1108.25</v>
      </c>
      <c r="F55" s="21"/>
      <c r="G55" s="21">
        <v>1</v>
      </c>
    </row>
    <row r="56" spans="2:7" x14ac:dyDescent="0.25">
      <c r="B56" s="21">
        <v>1</v>
      </c>
      <c r="C56" s="9" t="s">
        <v>182</v>
      </c>
      <c r="D56" s="31">
        <v>1108.25</v>
      </c>
      <c r="E56" s="20">
        <f t="shared" si="1"/>
        <v>1108.25</v>
      </c>
      <c r="F56" s="21"/>
      <c r="G56" s="21">
        <v>1</v>
      </c>
    </row>
    <row r="57" spans="2:7" x14ac:dyDescent="0.25">
      <c r="B57" s="21">
        <v>1</v>
      </c>
      <c r="C57" s="9" t="s">
        <v>183</v>
      </c>
      <c r="D57" s="31">
        <v>1108.25</v>
      </c>
      <c r="E57" s="20">
        <f t="shared" si="1"/>
        <v>1108.25</v>
      </c>
      <c r="F57" s="21">
        <v>1</v>
      </c>
      <c r="G57" s="21"/>
    </row>
    <row r="58" spans="2:7" x14ac:dyDescent="0.25">
      <c r="B58" s="21">
        <v>1</v>
      </c>
      <c r="C58" s="9" t="s">
        <v>184</v>
      </c>
      <c r="D58" s="11">
        <v>1108.25</v>
      </c>
      <c r="E58" s="20">
        <f t="shared" si="1"/>
        <v>1108.25</v>
      </c>
      <c r="F58" s="21"/>
      <c r="G58" s="21">
        <v>1</v>
      </c>
    </row>
    <row r="59" spans="2:7" x14ac:dyDescent="0.25">
      <c r="B59" s="21">
        <v>1</v>
      </c>
      <c r="C59" s="19" t="s">
        <v>91</v>
      </c>
      <c r="D59" s="31">
        <v>1108.25</v>
      </c>
      <c r="E59" s="20">
        <f t="shared" si="1"/>
        <v>1108.25</v>
      </c>
      <c r="F59" s="21">
        <v>1</v>
      </c>
      <c r="G59" s="21"/>
    </row>
    <row r="60" spans="2:7" x14ac:dyDescent="0.25">
      <c r="B60" s="21">
        <f>1+1</f>
        <v>2</v>
      </c>
      <c r="C60" s="19" t="s">
        <v>148</v>
      </c>
      <c r="D60" s="16">
        <v>1108.25</v>
      </c>
      <c r="E60" s="20">
        <f t="shared" si="1"/>
        <v>2216.5</v>
      </c>
      <c r="F60" s="21">
        <v>1</v>
      </c>
      <c r="G60" s="21">
        <v>1</v>
      </c>
    </row>
    <row r="61" spans="2:7" x14ac:dyDescent="0.25">
      <c r="B61" s="21">
        <v>1</v>
      </c>
      <c r="C61" s="19" t="s">
        <v>103</v>
      </c>
      <c r="D61" s="16">
        <v>1108.25</v>
      </c>
      <c r="E61" s="20">
        <f t="shared" si="1"/>
        <v>1108.25</v>
      </c>
      <c r="F61" s="21">
        <v>1</v>
      </c>
      <c r="G61" s="21"/>
    </row>
    <row r="62" spans="2:7" x14ac:dyDescent="0.25">
      <c r="B62" s="21">
        <v>1</v>
      </c>
      <c r="C62" s="19" t="s">
        <v>108</v>
      </c>
      <c r="D62" s="16">
        <v>1108.25</v>
      </c>
      <c r="E62" s="20">
        <f t="shared" si="1"/>
        <v>1108.25</v>
      </c>
      <c r="F62" s="21"/>
      <c r="G62" s="21">
        <v>1</v>
      </c>
    </row>
    <row r="63" spans="2:7" x14ac:dyDescent="0.25">
      <c r="B63" s="23">
        <v>1</v>
      </c>
      <c r="C63" s="9" t="s">
        <v>111</v>
      </c>
      <c r="D63" s="16">
        <v>1108.25</v>
      </c>
      <c r="E63" s="20">
        <f t="shared" si="1"/>
        <v>1108.25</v>
      </c>
      <c r="F63" s="23"/>
      <c r="G63" s="23">
        <v>1</v>
      </c>
    </row>
    <row r="64" spans="2:7" x14ac:dyDescent="0.25">
      <c r="B64" s="23">
        <v>1</v>
      </c>
      <c r="C64" s="19" t="s">
        <v>112</v>
      </c>
      <c r="D64" s="16">
        <v>1108.25</v>
      </c>
      <c r="E64" s="20">
        <f t="shared" si="1"/>
        <v>1108.25</v>
      </c>
      <c r="F64" s="23">
        <v>1</v>
      </c>
      <c r="G64" s="23"/>
    </row>
    <row r="65" spans="2:7" x14ac:dyDescent="0.25">
      <c r="B65" s="23">
        <f>2+1</f>
        <v>3</v>
      </c>
      <c r="C65" s="19" t="s">
        <v>83</v>
      </c>
      <c r="D65" s="16">
        <v>1108.25</v>
      </c>
      <c r="E65" s="20">
        <f t="shared" si="1"/>
        <v>3324.75</v>
      </c>
      <c r="F65" s="23">
        <f>1+1</f>
        <v>2</v>
      </c>
      <c r="G65" s="23">
        <v>1</v>
      </c>
    </row>
    <row r="66" spans="2:7" s="13" customFormat="1" x14ac:dyDescent="0.25">
      <c r="B66" s="48"/>
      <c r="C66" s="55"/>
      <c r="D66" s="56"/>
      <c r="E66" s="57"/>
      <c r="F66" s="48"/>
      <c r="G66" s="48"/>
    </row>
    <row r="67" spans="2:7" s="13" customFormat="1" x14ac:dyDescent="0.25">
      <c r="B67" s="48"/>
      <c r="C67" s="55"/>
      <c r="D67" s="56"/>
      <c r="E67" s="57"/>
      <c r="F67" s="48"/>
      <c r="G67" s="48"/>
    </row>
    <row r="68" spans="2:7" s="13" customFormat="1" x14ac:dyDescent="0.25">
      <c r="B68" s="48"/>
      <c r="C68" s="55"/>
      <c r="D68" s="56"/>
      <c r="E68" s="57"/>
      <c r="F68" s="48"/>
      <c r="G68" s="48"/>
    </row>
    <row r="69" spans="2:7" s="13" customFormat="1" x14ac:dyDescent="0.25">
      <c r="B69" s="48"/>
      <c r="C69" s="55"/>
      <c r="D69" s="56"/>
      <c r="E69" s="57"/>
      <c r="F69" s="48"/>
      <c r="G69" s="48"/>
    </row>
    <row r="70" spans="2:7" s="13" customFormat="1" x14ac:dyDescent="0.25">
      <c r="B70" s="48"/>
      <c r="C70" s="55"/>
      <c r="D70" s="56"/>
      <c r="E70" s="57"/>
      <c r="F70" s="48"/>
      <c r="G70" s="48"/>
    </row>
    <row r="71" spans="2:7" x14ac:dyDescent="0.25">
      <c r="B71" s="23">
        <v>2</v>
      </c>
      <c r="C71" s="9" t="s">
        <v>185</v>
      </c>
      <c r="D71" s="16">
        <v>1108.25</v>
      </c>
      <c r="E71" s="20">
        <f t="shared" si="1"/>
        <v>2216.5</v>
      </c>
      <c r="F71" s="23">
        <v>1</v>
      </c>
      <c r="G71" s="23">
        <v>1</v>
      </c>
    </row>
    <row r="72" spans="2:7" x14ac:dyDescent="0.25">
      <c r="B72" s="23">
        <v>1</v>
      </c>
      <c r="C72" s="9" t="s">
        <v>131</v>
      </c>
      <c r="D72" s="16">
        <v>1060</v>
      </c>
      <c r="E72" s="20">
        <f t="shared" si="1"/>
        <v>1060</v>
      </c>
      <c r="F72" s="23">
        <v>1</v>
      </c>
      <c r="G72" s="23"/>
    </row>
    <row r="73" spans="2:7" x14ac:dyDescent="0.25">
      <c r="B73" s="23">
        <v>1</v>
      </c>
      <c r="C73" s="9" t="s">
        <v>133</v>
      </c>
      <c r="D73" s="16">
        <v>1007</v>
      </c>
      <c r="E73" s="20">
        <f t="shared" si="1"/>
        <v>1007</v>
      </c>
      <c r="F73" s="23">
        <v>1</v>
      </c>
      <c r="G73" s="23"/>
    </row>
    <row r="74" spans="2:7" x14ac:dyDescent="0.25">
      <c r="B74" s="23">
        <v>1</v>
      </c>
      <c r="C74" s="19" t="s">
        <v>46</v>
      </c>
      <c r="D74" s="16">
        <v>846.59</v>
      </c>
      <c r="E74" s="20">
        <f t="shared" si="1"/>
        <v>846.59</v>
      </c>
      <c r="F74" s="23">
        <v>1</v>
      </c>
      <c r="G74" s="23"/>
    </row>
    <row r="75" spans="2:7" x14ac:dyDescent="0.25">
      <c r="B75" s="23">
        <v>1</v>
      </c>
      <c r="C75" s="9" t="s">
        <v>47</v>
      </c>
      <c r="D75" s="16">
        <v>846.59</v>
      </c>
      <c r="E75" s="20">
        <f t="shared" si="1"/>
        <v>846.59</v>
      </c>
      <c r="F75" s="23">
        <v>1</v>
      </c>
      <c r="G75" s="23"/>
    </row>
    <row r="76" spans="2:7" x14ac:dyDescent="0.25">
      <c r="B76" s="23">
        <v>1</v>
      </c>
      <c r="C76" s="19" t="s">
        <v>48</v>
      </c>
      <c r="D76" s="16">
        <v>846.59</v>
      </c>
      <c r="E76" s="20">
        <f t="shared" si="1"/>
        <v>846.59</v>
      </c>
      <c r="F76" s="23"/>
      <c r="G76" s="23">
        <v>1</v>
      </c>
    </row>
    <row r="77" spans="2:7" x14ac:dyDescent="0.25">
      <c r="B77" s="23">
        <v>1</v>
      </c>
      <c r="C77" s="19" t="s">
        <v>92</v>
      </c>
      <c r="D77" s="16">
        <v>846.59</v>
      </c>
      <c r="E77" s="20">
        <f t="shared" si="1"/>
        <v>846.59</v>
      </c>
      <c r="F77" s="23">
        <v>1</v>
      </c>
      <c r="G77" s="23"/>
    </row>
    <row r="78" spans="2:7" x14ac:dyDescent="0.25">
      <c r="B78" s="23">
        <v>1</v>
      </c>
      <c r="C78" s="19" t="s">
        <v>93</v>
      </c>
      <c r="D78" s="16">
        <v>846.59</v>
      </c>
      <c r="E78" s="20">
        <f t="shared" si="1"/>
        <v>846.59</v>
      </c>
      <c r="F78" s="23">
        <v>1</v>
      </c>
      <c r="G78" s="23"/>
    </row>
    <row r="79" spans="2:7" x14ac:dyDescent="0.25">
      <c r="B79" s="23">
        <v>1</v>
      </c>
      <c r="C79" s="19" t="s">
        <v>186</v>
      </c>
      <c r="D79" s="16">
        <v>846.59</v>
      </c>
      <c r="E79" s="20">
        <f t="shared" si="1"/>
        <v>846.59</v>
      </c>
      <c r="F79" s="23">
        <v>1</v>
      </c>
      <c r="G79" s="23"/>
    </row>
    <row r="80" spans="2:7" x14ac:dyDescent="0.25">
      <c r="B80" s="21">
        <v>1</v>
      </c>
      <c r="C80" s="9" t="s">
        <v>187</v>
      </c>
      <c r="D80" s="16">
        <v>846.59</v>
      </c>
      <c r="E80" s="20">
        <f t="shared" si="1"/>
        <v>846.59</v>
      </c>
      <c r="F80" s="21"/>
      <c r="G80" s="21">
        <v>1</v>
      </c>
    </row>
    <row r="81" spans="2:7" ht="24.75" x14ac:dyDescent="0.25">
      <c r="B81" s="21">
        <v>1</v>
      </c>
      <c r="C81" s="35" t="s">
        <v>154</v>
      </c>
      <c r="D81" s="16">
        <v>846.59</v>
      </c>
      <c r="E81" s="20">
        <f t="shared" si="1"/>
        <v>846.59</v>
      </c>
      <c r="F81" s="21">
        <v>1</v>
      </c>
      <c r="G81" s="21"/>
    </row>
    <row r="82" spans="2:7" x14ac:dyDescent="0.25">
      <c r="B82" s="21">
        <v>1</v>
      </c>
      <c r="C82" s="19" t="s">
        <v>94</v>
      </c>
      <c r="D82" s="16">
        <v>846.59</v>
      </c>
      <c r="E82" s="20">
        <f t="shared" si="1"/>
        <v>846.59</v>
      </c>
      <c r="F82" s="21">
        <v>1</v>
      </c>
      <c r="G82" s="21"/>
    </row>
    <row r="83" spans="2:7" x14ac:dyDescent="0.25">
      <c r="B83" s="21">
        <v>1</v>
      </c>
      <c r="C83" s="9" t="s">
        <v>96</v>
      </c>
      <c r="D83" s="16">
        <v>846.59</v>
      </c>
      <c r="E83" s="20">
        <f t="shared" si="1"/>
        <v>846.59</v>
      </c>
      <c r="F83" s="21">
        <v>1</v>
      </c>
      <c r="G83" s="21"/>
    </row>
    <row r="84" spans="2:7" x14ac:dyDescent="0.25">
      <c r="B84" s="21">
        <v>1</v>
      </c>
      <c r="C84" s="19" t="s">
        <v>104</v>
      </c>
      <c r="D84" s="16">
        <v>846.59</v>
      </c>
      <c r="E84" s="20">
        <f t="shared" si="1"/>
        <v>846.59</v>
      </c>
      <c r="F84" s="21"/>
      <c r="G84" s="21">
        <v>1</v>
      </c>
    </row>
    <row r="85" spans="2:7" x14ac:dyDescent="0.25">
      <c r="B85" s="21">
        <v>1</v>
      </c>
      <c r="C85" s="19" t="s">
        <v>105</v>
      </c>
      <c r="D85" s="16">
        <v>846.59</v>
      </c>
      <c r="E85" s="20">
        <f t="shared" si="1"/>
        <v>846.59</v>
      </c>
      <c r="F85" s="21">
        <v>1</v>
      </c>
      <c r="G85" s="21"/>
    </row>
    <row r="86" spans="2:7" x14ac:dyDescent="0.25">
      <c r="B86" s="21">
        <v>1</v>
      </c>
      <c r="C86" s="19" t="s">
        <v>66</v>
      </c>
      <c r="D86" s="16">
        <v>846.59</v>
      </c>
      <c r="E86" s="20">
        <f t="shared" si="1"/>
        <v>846.59</v>
      </c>
      <c r="F86" s="21">
        <v>1</v>
      </c>
      <c r="G86" s="21"/>
    </row>
    <row r="87" spans="2:7" x14ac:dyDescent="0.25">
      <c r="B87" s="21">
        <v>1</v>
      </c>
      <c r="C87" s="19" t="s">
        <v>109</v>
      </c>
      <c r="D87" s="16">
        <v>846.59</v>
      </c>
      <c r="E87" s="20">
        <f t="shared" si="1"/>
        <v>846.59</v>
      </c>
      <c r="F87" s="21">
        <v>1</v>
      </c>
      <c r="G87" s="21"/>
    </row>
    <row r="88" spans="2:7" x14ac:dyDescent="0.25">
      <c r="B88" s="21">
        <v>1</v>
      </c>
      <c r="C88" s="19" t="s">
        <v>115</v>
      </c>
      <c r="D88" s="16">
        <v>846.59</v>
      </c>
      <c r="E88" s="20">
        <f t="shared" si="1"/>
        <v>846.59</v>
      </c>
      <c r="F88" s="21"/>
      <c r="G88" s="21">
        <v>1</v>
      </c>
    </row>
    <row r="89" spans="2:7" x14ac:dyDescent="0.25">
      <c r="B89" s="21">
        <v>1</v>
      </c>
      <c r="C89" s="19" t="s">
        <v>116</v>
      </c>
      <c r="D89" s="16">
        <v>846.59</v>
      </c>
      <c r="E89" s="20">
        <f t="shared" si="1"/>
        <v>846.59</v>
      </c>
      <c r="F89" s="21">
        <v>1</v>
      </c>
      <c r="G89" s="21"/>
    </row>
    <row r="90" spans="2:7" x14ac:dyDescent="0.25">
      <c r="B90" s="21">
        <v>1</v>
      </c>
      <c r="C90" s="19" t="s">
        <v>117</v>
      </c>
      <c r="D90" s="16">
        <v>846.59</v>
      </c>
      <c r="E90" s="20">
        <f t="shared" si="1"/>
        <v>846.59</v>
      </c>
      <c r="F90" s="21">
        <v>1</v>
      </c>
      <c r="G90" s="21"/>
    </row>
    <row r="91" spans="2:7" x14ac:dyDescent="0.25">
      <c r="B91" s="21">
        <v>1</v>
      </c>
      <c r="C91" s="19" t="s">
        <v>118</v>
      </c>
      <c r="D91" s="16">
        <v>846.59</v>
      </c>
      <c r="E91" s="20">
        <f t="shared" si="1"/>
        <v>846.59</v>
      </c>
      <c r="F91" s="21"/>
      <c r="G91" s="21">
        <v>1</v>
      </c>
    </row>
    <row r="92" spans="2:7" x14ac:dyDescent="0.25">
      <c r="B92" s="21">
        <v>1</v>
      </c>
      <c r="C92" s="32" t="s">
        <v>81</v>
      </c>
      <c r="D92" s="11">
        <v>846.59</v>
      </c>
      <c r="E92" s="20">
        <f t="shared" si="1"/>
        <v>846.59</v>
      </c>
      <c r="F92" s="21">
        <v>1</v>
      </c>
      <c r="G92" s="21"/>
    </row>
    <row r="93" spans="2:7" x14ac:dyDescent="0.25">
      <c r="B93" s="21">
        <f>2+1+1</f>
        <v>4</v>
      </c>
      <c r="C93" s="19" t="s">
        <v>188</v>
      </c>
      <c r="D93" s="16">
        <v>846.59</v>
      </c>
      <c r="E93" s="20">
        <f t="shared" si="1"/>
        <v>3386.36</v>
      </c>
      <c r="F93" s="21">
        <f>1+1+1</f>
        <v>3</v>
      </c>
      <c r="G93" s="21">
        <v>1</v>
      </c>
    </row>
    <row r="94" spans="2:7" x14ac:dyDescent="0.25">
      <c r="B94" s="21">
        <v>2</v>
      </c>
      <c r="C94" s="19" t="s">
        <v>153</v>
      </c>
      <c r="D94" s="16">
        <v>846.59</v>
      </c>
      <c r="E94" s="20">
        <f t="shared" si="1"/>
        <v>1693.18</v>
      </c>
      <c r="F94" s="21">
        <v>2</v>
      </c>
      <c r="G94" s="21"/>
    </row>
    <row r="95" spans="2:7" x14ac:dyDescent="0.25">
      <c r="B95" s="21">
        <v>1</v>
      </c>
      <c r="C95" s="19" t="s">
        <v>17</v>
      </c>
      <c r="D95" s="16">
        <v>846.59</v>
      </c>
      <c r="E95" s="20">
        <f t="shared" si="1"/>
        <v>846.59</v>
      </c>
      <c r="F95" s="21">
        <v>1</v>
      </c>
      <c r="G95" s="21"/>
    </row>
    <row r="96" spans="2:7" x14ac:dyDescent="0.25">
      <c r="B96" s="21">
        <v>1</v>
      </c>
      <c r="C96" s="19" t="s">
        <v>189</v>
      </c>
      <c r="D96" s="16">
        <v>846.59</v>
      </c>
      <c r="E96" s="20">
        <f t="shared" si="1"/>
        <v>846.59</v>
      </c>
      <c r="F96" s="21">
        <v>1</v>
      </c>
      <c r="G96" s="21"/>
    </row>
    <row r="97" spans="2:7" x14ac:dyDescent="0.25">
      <c r="B97" s="21">
        <v>1</v>
      </c>
      <c r="C97" s="19" t="s">
        <v>190</v>
      </c>
      <c r="D97" s="16">
        <f>798.67*6%+798.67</f>
        <v>846.59019999999998</v>
      </c>
      <c r="E97" s="20">
        <f t="shared" si="1"/>
        <v>846.59019999999998</v>
      </c>
      <c r="F97" s="21"/>
      <c r="G97" s="21">
        <v>1</v>
      </c>
    </row>
    <row r="98" spans="2:7" x14ac:dyDescent="0.25">
      <c r="B98" s="21">
        <v>1</v>
      </c>
      <c r="C98" s="19" t="s">
        <v>191</v>
      </c>
      <c r="D98" s="16">
        <v>846.59</v>
      </c>
      <c r="E98" s="20">
        <f t="shared" si="1"/>
        <v>846.59</v>
      </c>
      <c r="F98" s="21"/>
      <c r="G98" s="21">
        <v>1</v>
      </c>
    </row>
    <row r="99" spans="2:7" x14ac:dyDescent="0.25">
      <c r="B99" s="21">
        <f>3+1</f>
        <v>4</v>
      </c>
      <c r="C99" s="19" t="s">
        <v>149</v>
      </c>
      <c r="D99" s="16">
        <f>743.67*6%+743.67</f>
        <v>788.29019999999991</v>
      </c>
      <c r="E99" s="20">
        <f t="shared" si="1"/>
        <v>3153.1607999999997</v>
      </c>
      <c r="F99" s="21">
        <f>3+1</f>
        <v>4</v>
      </c>
      <c r="G99" s="21"/>
    </row>
    <row r="100" spans="2:7" x14ac:dyDescent="0.25">
      <c r="B100" s="21">
        <v>1</v>
      </c>
      <c r="C100" s="19" t="s">
        <v>160</v>
      </c>
      <c r="D100" s="16">
        <f>743.67*6%+743.67</f>
        <v>788.29019999999991</v>
      </c>
      <c r="E100" s="20">
        <f t="shared" si="1"/>
        <v>788.29019999999991</v>
      </c>
      <c r="F100" s="21"/>
      <c r="G100" s="21">
        <v>1</v>
      </c>
    </row>
    <row r="101" spans="2:7" x14ac:dyDescent="0.25">
      <c r="B101" s="21">
        <f>2+1+1</f>
        <v>4</v>
      </c>
      <c r="C101" s="19" t="s">
        <v>192</v>
      </c>
      <c r="D101" s="16">
        <v>788.29</v>
      </c>
      <c r="E101" s="20">
        <f t="shared" si="1"/>
        <v>3153.16</v>
      </c>
      <c r="F101" s="21">
        <f>2+1</f>
        <v>3</v>
      </c>
      <c r="G101" s="21">
        <v>1</v>
      </c>
    </row>
    <row r="102" spans="2:7" x14ac:dyDescent="0.25">
      <c r="B102" s="21">
        <f>2+1+1</f>
        <v>4</v>
      </c>
      <c r="C102" s="19" t="s">
        <v>110</v>
      </c>
      <c r="D102" s="16">
        <v>758.86</v>
      </c>
      <c r="E102" s="20">
        <f t="shared" si="1"/>
        <v>3035.44</v>
      </c>
      <c r="F102" s="21">
        <f>2+1+1</f>
        <v>4</v>
      </c>
      <c r="G102" s="21"/>
    </row>
    <row r="103" spans="2:7" x14ac:dyDescent="0.25">
      <c r="B103" s="21">
        <v>1</v>
      </c>
      <c r="C103" s="19" t="s">
        <v>193</v>
      </c>
      <c r="D103" s="16">
        <v>739.88</v>
      </c>
      <c r="E103" s="20">
        <f t="shared" si="1"/>
        <v>739.88</v>
      </c>
      <c r="F103" s="21">
        <v>1</v>
      </c>
      <c r="G103" s="21"/>
    </row>
    <row r="104" spans="2:7" x14ac:dyDescent="0.25">
      <c r="B104" s="21">
        <v>1</v>
      </c>
      <c r="C104" s="9" t="s">
        <v>161</v>
      </c>
      <c r="D104" s="16">
        <v>734.25</v>
      </c>
      <c r="E104" s="20">
        <f t="shared" si="1"/>
        <v>734.25</v>
      </c>
      <c r="F104" s="21">
        <v>1</v>
      </c>
      <c r="G104" s="21"/>
    </row>
    <row r="105" spans="2:7" x14ac:dyDescent="0.25">
      <c r="B105" s="21">
        <v>1</v>
      </c>
      <c r="C105" s="9" t="s">
        <v>194</v>
      </c>
      <c r="D105" s="16">
        <v>720.91</v>
      </c>
      <c r="E105" s="20">
        <f t="shared" si="1"/>
        <v>720.91</v>
      </c>
      <c r="F105" s="21">
        <v>1</v>
      </c>
      <c r="G105" s="21"/>
    </row>
    <row r="106" spans="2:7" x14ac:dyDescent="0.25">
      <c r="B106" s="21">
        <f>2+2+1</f>
        <v>5</v>
      </c>
      <c r="C106" s="9" t="s">
        <v>161</v>
      </c>
      <c r="D106" s="16">
        <f>674.55*6%+674.55</f>
        <v>715.02299999999991</v>
      </c>
      <c r="E106" s="20">
        <f t="shared" si="1"/>
        <v>3575.1149999999998</v>
      </c>
      <c r="F106" s="21">
        <f>1+2+1</f>
        <v>4</v>
      </c>
      <c r="G106" s="21">
        <v>1</v>
      </c>
    </row>
    <row r="107" spans="2:7" x14ac:dyDescent="0.25">
      <c r="B107" s="21">
        <v>4</v>
      </c>
      <c r="C107" s="9" t="s">
        <v>49</v>
      </c>
      <c r="D107" s="16">
        <v>715.02</v>
      </c>
      <c r="E107" s="20">
        <f t="shared" si="1"/>
        <v>2860.08</v>
      </c>
      <c r="F107" s="21">
        <v>1</v>
      </c>
      <c r="G107" s="21">
        <v>3</v>
      </c>
    </row>
    <row r="108" spans="2:7" x14ac:dyDescent="0.25">
      <c r="B108" s="21">
        <v>3</v>
      </c>
      <c r="C108" s="9" t="s">
        <v>195</v>
      </c>
      <c r="D108" s="16">
        <v>715.02</v>
      </c>
      <c r="E108" s="20">
        <f t="shared" si="1"/>
        <v>2145.06</v>
      </c>
      <c r="F108" s="21">
        <v>1</v>
      </c>
      <c r="G108" s="21">
        <v>2</v>
      </c>
    </row>
    <row r="109" spans="2:7" x14ac:dyDescent="0.25">
      <c r="B109" s="21">
        <v>1</v>
      </c>
      <c r="C109" s="9" t="s">
        <v>134</v>
      </c>
      <c r="D109" s="16">
        <v>715.02</v>
      </c>
      <c r="E109" s="20">
        <f t="shared" si="1"/>
        <v>715.02</v>
      </c>
      <c r="F109" s="21">
        <v>1</v>
      </c>
      <c r="G109" s="21"/>
    </row>
    <row r="110" spans="2:7" x14ac:dyDescent="0.25">
      <c r="B110" s="21">
        <v>8</v>
      </c>
      <c r="C110" s="9" t="s">
        <v>196</v>
      </c>
      <c r="D110" s="11">
        <v>715.02</v>
      </c>
      <c r="E110" s="20">
        <f t="shared" si="1"/>
        <v>5720.16</v>
      </c>
      <c r="F110" s="21">
        <v>4</v>
      </c>
      <c r="G110" s="21">
        <v>4</v>
      </c>
    </row>
    <row r="111" spans="2:7" x14ac:dyDescent="0.25">
      <c r="B111" s="21">
        <v>6</v>
      </c>
      <c r="C111" s="9" t="s">
        <v>31</v>
      </c>
      <c r="D111" s="16">
        <v>715.02</v>
      </c>
      <c r="E111" s="20">
        <f t="shared" si="1"/>
        <v>4290.12</v>
      </c>
      <c r="F111" s="21">
        <v>4</v>
      </c>
      <c r="G111" s="21">
        <v>2</v>
      </c>
    </row>
    <row r="112" spans="2:7" x14ac:dyDescent="0.25">
      <c r="B112" s="21">
        <v>3</v>
      </c>
      <c r="C112" s="9" t="s">
        <v>197</v>
      </c>
      <c r="D112" s="16">
        <v>715.02</v>
      </c>
      <c r="E112" s="20">
        <f t="shared" si="1"/>
        <v>2145.06</v>
      </c>
      <c r="F112" s="21">
        <v>1</v>
      </c>
      <c r="G112" s="21">
        <v>2</v>
      </c>
    </row>
    <row r="113" spans="2:7" x14ac:dyDescent="0.25">
      <c r="B113" s="21">
        <v>2</v>
      </c>
      <c r="C113" s="9" t="s">
        <v>52</v>
      </c>
      <c r="D113" s="16">
        <v>715.02</v>
      </c>
      <c r="E113" s="20">
        <f t="shared" ref="E113:E171" si="2">D113*B113</f>
        <v>1430.04</v>
      </c>
      <c r="F113" s="21"/>
      <c r="G113" s="21">
        <v>2</v>
      </c>
    </row>
    <row r="114" spans="2:7" x14ac:dyDescent="0.25">
      <c r="B114" s="21">
        <v>8</v>
      </c>
      <c r="C114" s="9" t="s">
        <v>89</v>
      </c>
      <c r="D114" s="16">
        <v>715.02</v>
      </c>
      <c r="E114" s="20">
        <f t="shared" si="2"/>
        <v>5720.16</v>
      </c>
      <c r="F114" s="21">
        <v>4</v>
      </c>
      <c r="G114" s="21">
        <v>4</v>
      </c>
    </row>
    <row r="115" spans="2:7" x14ac:dyDescent="0.25">
      <c r="B115" s="21">
        <v>1</v>
      </c>
      <c r="C115" s="9" t="s">
        <v>198</v>
      </c>
      <c r="D115" s="16">
        <v>715.02</v>
      </c>
      <c r="E115" s="20">
        <f t="shared" si="2"/>
        <v>715.02</v>
      </c>
      <c r="F115" s="21">
        <v>1</v>
      </c>
      <c r="G115" s="21"/>
    </row>
    <row r="116" spans="2:7" x14ac:dyDescent="0.25">
      <c r="B116" s="21">
        <v>1</v>
      </c>
      <c r="C116" s="9" t="s">
        <v>199</v>
      </c>
      <c r="D116" s="16">
        <v>715.02</v>
      </c>
      <c r="E116" s="20">
        <f t="shared" si="2"/>
        <v>715.02</v>
      </c>
      <c r="F116" s="21">
        <v>1</v>
      </c>
      <c r="G116" s="21"/>
    </row>
    <row r="117" spans="2:7" x14ac:dyDescent="0.25">
      <c r="B117" s="21">
        <v>2</v>
      </c>
      <c r="C117" s="9" t="s">
        <v>97</v>
      </c>
      <c r="D117" s="16">
        <v>715.02</v>
      </c>
      <c r="E117" s="20">
        <f t="shared" si="2"/>
        <v>1430.04</v>
      </c>
      <c r="F117" s="21">
        <v>2</v>
      </c>
      <c r="G117" s="21"/>
    </row>
    <row r="118" spans="2:7" x14ac:dyDescent="0.25">
      <c r="B118" s="21">
        <v>3</v>
      </c>
      <c r="C118" s="9" t="s">
        <v>98</v>
      </c>
      <c r="D118" s="16">
        <v>715.02</v>
      </c>
      <c r="E118" s="20">
        <f t="shared" si="2"/>
        <v>2145.06</v>
      </c>
      <c r="F118" s="21">
        <v>1</v>
      </c>
      <c r="G118" s="21">
        <v>2</v>
      </c>
    </row>
    <row r="119" spans="2:7" x14ac:dyDescent="0.25">
      <c r="B119" s="21">
        <v>4</v>
      </c>
      <c r="C119" s="19" t="s">
        <v>99</v>
      </c>
      <c r="D119" s="16">
        <v>715.02</v>
      </c>
      <c r="E119" s="20">
        <f t="shared" si="2"/>
        <v>2860.08</v>
      </c>
      <c r="F119" s="21">
        <v>2</v>
      </c>
      <c r="G119" s="21">
        <v>2</v>
      </c>
    </row>
    <row r="120" spans="2:7" x14ac:dyDescent="0.25">
      <c r="B120" s="21">
        <v>2</v>
      </c>
      <c r="C120" s="19" t="s">
        <v>200</v>
      </c>
      <c r="D120" s="16">
        <v>715.02</v>
      </c>
      <c r="E120" s="20">
        <f t="shared" si="2"/>
        <v>1430.04</v>
      </c>
      <c r="F120" s="21">
        <v>1</v>
      </c>
      <c r="G120" s="21">
        <v>1</v>
      </c>
    </row>
    <row r="121" spans="2:7" x14ac:dyDescent="0.25">
      <c r="B121" s="21">
        <v>1</v>
      </c>
      <c r="C121" s="9" t="s">
        <v>162</v>
      </c>
      <c r="D121" s="16">
        <v>715.02</v>
      </c>
      <c r="E121" s="20">
        <f t="shared" si="2"/>
        <v>715.02</v>
      </c>
      <c r="F121" s="21">
        <v>1</v>
      </c>
      <c r="G121" s="21"/>
    </row>
    <row r="122" spans="2:7" x14ac:dyDescent="0.25">
      <c r="B122" s="21">
        <v>5</v>
      </c>
      <c r="C122" s="9" t="s">
        <v>201</v>
      </c>
      <c r="D122" s="16">
        <v>715.02</v>
      </c>
      <c r="E122" s="20">
        <f t="shared" si="2"/>
        <v>3575.1</v>
      </c>
      <c r="F122" s="21">
        <v>4</v>
      </c>
      <c r="G122" s="21">
        <v>1</v>
      </c>
    </row>
    <row r="123" spans="2:7" x14ac:dyDescent="0.25">
      <c r="B123" s="21">
        <v>1</v>
      </c>
      <c r="C123" s="9" t="s">
        <v>202</v>
      </c>
      <c r="D123" s="16">
        <v>715.02</v>
      </c>
      <c r="E123" s="20">
        <f t="shared" si="2"/>
        <v>715.02</v>
      </c>
      <c r="F123" s="21"/>
      <c r="G123" s="21">
        <v>1</v>
      </c>
    </row>
    <row r="124" spans="2:7" x14ac:dyDescent="0.25">
      <c r="B124" s="21">
        <f>20+9+1+1+1+1</f>
        <v>33</v>
      </c>
      <c r="C124" s="9" t="s">
        <v>143</v>
      </c>
      <c r="D124" s="31">
        <v>715.02</v>
      </c>
      <c r="E124" s="20">
        <f t="shared" si="2"/>
        <v>23595.66</v>
      </c>
      <c r="F124" s="21">
        <f>5+4+1+1</f>
        <v>11</v>
      </c>
      <c r="G124" s="21">
        <f>15+5+1+1</f>
        <v>22</v>
      </c>
    </row>
    <row r="125" spans="2:7" x14ac:dyDescent="0.25">
      <c r="B125" s="21">
        <f>15+4+2+2+3+6</f>
        <v>32</v>
      </c>
      <c r="C125" s="9" t="s">
        <v>203</v>
      </c>
      <c r="D125" s="31">
        <v>715.02</v>
      </c>
      <c r="E125" s="20">
        <f t="shared" si="2"/>
        <v>22880.639999999999</v>
      </c>
      <c r="F125" s="21">
        <f>5+1+2+1+3</f>
        <v>12</v>
      </c>
      <c r="G125" s="21">
        <f>10+3+1+3+3</f>
        <v>20</v>
      </c>
    </row>
    <row r="126" spans="2:7" x14ac:dyDescent="0.25">
      <c r="B126" s="21">
        <f>104+18+12+24+13+22</f>
        <v>193</v>
      </c>
      <c r="C126" s="19" t="s">
        <v>70</v>
      </c>
      <c r="D126" s="31">
        <v>715.02</v>
      </c>
      <c r="E126" s="20">
        <f t="shared" si="2"/>
        <v>137998.85999999999</v>
      </c>
      <c r="F126" s="21">
        <f>46+9+9+12+8+14</f>
        <v>98</v>
      </c>
      <c r="G126" s="21">
        <f>58+9+3+12+5+8</f>
        <v>95</v>
      </c>
    </row>
    <row r="127" spans="2:7" x14ac:dyDescent="0.25">
      <c r="B127" s="24">
        <f>48+4+4+8+5+11</f>
        <v>80</v>
      </c>
      <c r="C127" s="19" t="s">
        <v>204</v>
      </c>
      <c r="D127" s="16">
        <v>715.02</v>
      </c>
      <c r="E127" s="20">
        <f t="shared" si="2"/>
        <v>57201.599999999999</v>
      </c>
      <c r="F127" s="21">
        <f>23+2+1+5+3+5</f>
        <v>39</v>
      </c>
      <c r="G127" s="21">
        <f>25+2+3+3+2+6</f>
        <v>41</v>
      </c>
    </row>
    <row r="128" spans="2:7" x14ac:dyDescent="0.25">
      <c r="B128" s="24">
        <f>8+1</f>
        <v>9</v>
      </c>
      <c r="C128" s="19" t="s">
        <v>205</v>
      </c>
      <c r="D128" s="16">
        <v>715.02</v>
      </c>
      <c r="E128" s="20">
        <f t="shared" si="2"/>
        <v>6435.18</v>
      </c>
      <c r="F128" s="21">
        <f>2</f>
        <v>2</v>
      </c>
      <c r="G128" s="21">
        <f>6+1</f>
        <v>7</v>
      </c>
    </row>
    <row r="129" spans="2:7" x14ac:dyDescent="0.25">
      <c r="B129" s="21">
        <f>6+5+3+3</f>
        <v>17</v>
      </c>
      <c r="C129" s="9" t="s">
        <v>79</v>
      </c>
      <c r="D129" s="16">
        <v>715.02</v>
      </c>
      <c r="E129" s="20">
        <f t="shared" si="2"/>
        <v>12155.34</v>
      </c>
      <c r="F129" s="21">
        <f>4+4+2+3</f>
        <v>13</v>
      </c>
      <c r="G129" s="21">
        <f>2+1+1</f>
        <v>4</v>
      </c>
    </row>
    <row r="130" spans="2:7" x14ac:dyDescent="0.25">
      <c r="B130" s="23">
        <f>9+13+5+6</f>
        <v>33</v>
      </c>
      <c r="C130" s="9" t="s">
        <v>80</v>
      </c>
      <c r="D130" s="16">
        <v>715.02</v>
      </c>
      <c r="E130" s="20">
        <f t="shared" si="2"/>
        <v>23595.66</v>
      </c>
      <c r="F130" s="23">
        <f>6+7+2+4</f>
        <v>19</v>
      </c>
      <c r="G130" s="23">
        <f>3+6+3+2</f>
        <v>14</v>
      </c>
    </row>
    <row r="131" spans="2:7" x14ac:dyDescent="0.25">
      <c r="B131" s="23">
        <f>4+1+2</f>
        <v>7</v>
      </c>
      <c r="C131" s="9" t="s">
        <v>206</v>
      </c>
      <c r="D131" s="16">
        <v>715.02</v>
      </c>
      <c r="E131" s="20">
        <f t="shared" si="2"/>
        <v>5005.1399999999994</v>
      </c>
      <c r="F131" s="23">
        <f>2+2</f>
        <v>4</v>
      </c>
      <c r="G131" s="23">
        <f>2+1</f>
        <v>3</v>
      </c>
    </row>
    <row r="132" spans="2:7" x14ac:dyDescent="0.25">
      <c r="B132" s="23">
        <f>2+1</f>
        <v>3</v>
      </c>
      <c r="C132" s="9" t="s">
        <v>86</v>
      </c>
      <c r="D132" s="16">
        <v>715.02</v>
      </c>
      <c r="E132" s="20">
        <f t="shared" si="2"/>
        <v>2145.06</v>
      </c>
      <c r="F132" s="23">
        <f>1+1</f>
        <v>2</v>
      </c>
      <c r="G132" s="23">
        <v>1</v>
      </c>
    </row>
    <row r="133" spans="2:7" x14ac:dyDescent="0.25">
      <c r="B133" s="23">
        <f>2+2+1+1+1+1</f>
        <v>8</v>
      </c>
      <c r="C133" s="19" t="s">
        <v>207</v>
      </c>
      <c r="D133" s="16">
        <v>715.02</v>
      </c>
      <c r="E133" s="20">
        <f t="shared" si="2"/>
        <v>5720.16</v>
      </c>
      <c r="F133" s="23"/>
      <c r="G133" s="23">
        <f>2+2+1+1+1+1</f>
        <v>8</v>
      </c>
    </row>
    <row r="134" spans="2:7" x14ac:dyDescent="0.25">
      <c r="B134" s="23">
        <v>1</v>
      </c>
      <c r="C134" s="9" t="s">
        <v>208</v>
      </c>
      <c r="D134" s="16">
        <v>715.02</v>
      </c>
      <c r="E134" s="20">
        <f t="shared" si="2"/>
        <v>715.02</v>
      </c>
      <c r="F134" s="23">
        <v>1</v>
      </c>
      <c r="G134" s="23"/>
    </row>
    <row r="135" spans="2:7" x14ac:dyDescent="0.25">
      <c r="B135" s="23">
        <v>1</v>
      </c>
      <c r="C135" s="9" t="s">
        <v>57</v>
      </c>
      <c r="D135" s="16">
        <v>660</v>
      </c>
      <c r="E135" s="20">
        <f t="shared" si="2"/>
        <v>660</v>
      </c>
      <c r="F135" s="23"/>
      <c r="G135" s="23">
        <v>1</v>
      </c>
    </row>
    <row r="136" spans="2:7" s="13" customFormat="1" x14ac:dyDescent="0.25">
      <c r="B136" s="48"/>
      <c r="C136" s="49"/>
      <c r="D136" s="56"/>
      <c r="E136" s="57"/>
      <c r="F136" s="48"/>
      <c r="G136" s="48"/>
    </row>
    <row r="137" spans="2:7" s="13" customFormat="1" x14ac:dyDescent="0.25">
      <c r="B137" s="48"/>
      <c r="C137" s="49"/>
      <c r="D137" s="56"/>
      <c r="E137" s="57"/>
      <c r="F137" s="48"/>
      <c r="G137" s="48"/>
    </row>
    <row r="138" spans="2:7" s="13" customFormat="1" x14ac:dyDescent="0.25">
      <c r="B138" s="48"/>
      <c r="C138" s="49"/>
      <c r="D138" s="56"/>
      <c r="E138" s="57"/>
      <c r="F138" s="48"/>
      <c r="G138" s="48"/>
    </row>
    <row r="139" spans="2:7" s="13" customFormat="1" x14ac:dyDescent="0.25">
      <c r="B139" s="48"/>
      <c r="C139" s="49"/>
      <c r="D139" s="56"/>
      <c r="E139" s="57"/>
      <c r="F139" s="48"/>
      <c r="G139" s="48"/>
    </row>
    <row r="140" spans="2:7" s="13" customFormat="1" x14ac:dyDescent="0.25">
      <c r="B140" s="48"/>
      <c r="C140" s="49"/>
      <c r="D140" s="56"/>
      <c r="E140" s="57"/>
      <c r="F140" s="48"/>
      <c r="G140" s="48"/>
    </row>
    <row r="141" spans="2:7" s="13" customFormat="1" x14ac:dyDescent="0.25">
      <c r="B141" s="48"/>
      <c r="C141" s="49"/>
      <c r="D141" s="56"/>
      <c r="E141" s="57"/>
      <c r="F141" s="48"/>
      <c r="G141" s="48"/>
    </row>
    <row r="142" spans="2:7" x14ac:dyDescent="0.25">
      <c r="B142" s="23">
        <v>1</v>
      </c>
      <c r="C142" s="19" t="s">
        <v>209</v>
      </c>
      <c r="D142" s="16">
        <v>641.11</v>
      </c>
      <c r="E142" s="20">
        <f t="shared" si="2"/>
        <v>641.11</v>
      </c>
      <c r="F142" s="23">
        <v>1</v>
      </c>
      <c r="G142" s="23"/>
    </row>
    <row r="143" spans="2:7" x14ac:dyDescent="0.25">
      <c r="B143" s="23">
        <v>11</v>
      </c>
      <c r="C143" s="19" t="s">
        <v>210</v>
      </c>
      <c r="D143" s="16">
        <v>634.74</v>
      </c>
      <c r="E143" s="20">
        <f t="shared" si="2"/>
        <v>6982.14</v>
      </c>
      <c r="F143" s="23">
        <v>11</v>
      </c>
      <c r="G143" s="23"/>
    </row>
    <row r="144" spans="2:7" x14ac:dyDescent="0.25">
      <c r="B144" s="23">
        <f>1+1+4</f>
        <v>6</v>
      </c>
      <c r="C144" s="19" t="s">
        <v>211</v>
      </c>
      <c r="D144" s="16">
        <v>634.74</v>
      </c>
      <c r="E144" s="20">
        <f t="shared" si="2"/>
        <v>3808.44</v>
      </c>
      <c r="F144" s="23"/>
      <c r="G144" s="23">
        <f>1+1+4</f>
        <v>6</v>
      </c>
    </row>
    <row r="145" spans="2:7" x14ac:dyDescent="0.25">
      <c r="B145" s="23">
        <f>10+1+2+1+1+1</f>
        <v>16</v>
      </c>
      <c r="C145" s="19" t="s">
        <v>212</v>
      </c>
      <c r="D145" s="16">
        <v>634.74</v>
      </c>
      <c r="E145" s="20">
        <f t="shared" si="2"/>
        <v>10155.84</v>
      </c>
      <c r="F145" s="23">
        <f>5+2+1</f>
        <v>8</v>
      </c>
      <c r="G145" s="23">
        <f>5+1+1+1</f>
        <v>8</v>
      </c>
    </row>
    <row r="146" spans="2:7" x14ac:dyDescent="0.25">
      <c r="B146" s="23">
        <v>1</v>
      </c>
      <c r="C146" s="9" t="s">
        <v>213</v>
      </c>
      <c r="D146" s="16">
        <v>634.74</v>
      </c>
      <c r="E146" s="20">
        <f t="shared" si="2"/>
        <v>634.74</v>
      </c>
      <c r="F146" s="23">
        <v>1</v>
      </c>
      <c r="G146" s="23"/>
    </row>
    <row r="147" spans="2:7" x14ac:dyDescent="0.25">
      <c r="B147" s="23">
        <f>10+1</f>
        <v>11</v>
      </c>
      <c r="C147" s="19" t="s">
        <v>122</v>
      </c>
      <c r="D147" s="16">
        <v>634.74</v>
      </c>
      <c r="E147" s="20">
        <f t="shared" si="2"/>
        <v>6982.14</v>
      </c>
      <c r="F147" s="23">
        <f>5+1</f>
        <v>6</v>
      </c>
      <c r="G147" s="23">
        <v>5</v>
      </c>
    </row>
    <row r="148" spans="2:7" x14ac:dyDescent="0.25">
      <c r="B148" s="23">
        <v>6</v>
      </c>
      <c r="C148" s="19" t="s">
        <v>79</v>
      </c>
      <c r="D148" s="16">
        <v>634.74</v>
      </c>
      <c r="E148" s="20">
        <f t="shared" si="2"/>
        <v>3808.44</v>
      </c>
      <c r="F148" s="23">
        <v>4</v>
      </c>
      <c r="G148" s="23">
        <v>2</v>
      </c>
    </row>
    <row r="149" spans="2:7" x14ac:dyDescent="0.25">
      <c r="B149" s="23">
        <v>1</v>
      </c>
      <c r="C149" s="19" t="s">
        <v>123</v>
      </c>
      <c r="D149" s="16">
        <v>634.74</v>
      </c>
      <c r="E149" s="20">
        <f t="shared" si="2"/>
        <v>634.74</v>
      </c>
      <c r="F149" s="23">
        <v>1</v>
      </c>
      <c r="G149" s="23"/>
    </row>
    <row r="150" spans="2:7" x14ac:dyDescent="0.25">
      <c r="B150" s="21">
        <v>5</v>
      </c>
      <c r="C150" s="19" t="s">
        <v>80</v>
      </c>
      <c r="D150" s="16">
        <v>634.74</v>
      </c>
      <c r="E150" s="20">
        <f t="shared" si="2"/>
        <v>3173.7</v>
      </c>
      <c r="F150" s="21">
        <v>5</v>
      </c>
      <c r="G150" s="21"/>
    </row>
    <row r="151" spans="2:7" x14ac:dyDescent="0.25">
      <c r="B151" s="21">
        <f>1+1</f>
        <v>2</v>
      </c>
      <c r="C151" s="19" t="s">
        <v>214</v>
      </c>
      <c r="D151" s="16">
        <v>634.74</v>
      </c>
      <c r="E151" s="20">
        <f t="shared" si="2"/>
        <v>1269.48</v>
      </c>
      <c r="F151" s="21">
        <f>1</f>
        <v>1</v>
      </c>
      <c r="G151" s="21">
        <v>1</v>
      </c>
    </row>
    <row r="152" spans="2:7" x14ac:dyDescent="0.25">
      <c r="B152" s="21">
        <v>5</v>
      </c>
      <c r="C152" s="19" t="s">
        <v>215</v>
      </c>
      <c r="D152" s="16">
        <v>634.74</v>
      </c>
      <c r="E152" s="20">
        <f t="shared" si="2"/>
        <v>3173.7</v>
      </c>
      <c r="F152" s="21">
        <v>4</v>
      </c>
      <c r="G152" s="21">
        <v>1</v>
      </c>
    </row>
    <row r="153" spans="2:7" x14ac:dyDescent="0.25">
      <c r="B153" s="21">
        <f>4+6+1+3+1+1</f>
        <v>16</v>
      </c>
      <c r="C153" s="19" t="s">
        <v>216</v>
      </c>
      <c r="D153" s="16">
        <v>619.80999999999995</v>
      </c>
      <c r="E153" s="20">
        <f t="shared" si="2"/>
        <v>9916.9599999999991</v>
      </c>
      <c r="F153" s="21"/>
      <c r="G153" s="21">
        <f>4+6+1+3+1+1</f>
        <v>16</v>
      </c>
    </row>
    <row r="154" spans="2:7" x14ac:dyDescent="0.25">
      <c r="B154" s="21">
        <f>2+1</f>
        <v>3</v>
      </c>
      <c r="C154" s="19" t="s">
        <v>214</v>
      </c>
      <c r="D154" s="16">
        <v>619.80999999999995</v>
      </c>
      <c r="E154" s="20">
        <f t="shared" si="2"/>
        <v>1859.4299999999998</v>
      </c>
      <c r="F154" s="21"/>
      <c r="G154" s="21">
        <f>2+1</f>
        <v>3</v>
      </c>
    </row>
    <row r="155" spans="2:7" x14ac:dyDescent="0.25">
      <c r="B155" s="21">
        <f>1+1+1+3+1+1+1</f>
        <v>9</v>
      </c>
      <c r="C155" s="19" t="s">
        <v>217</v>
      </c>
      <c r="D155" s="16">
        <v>558.71</v>
      </c>
      <c r="E155" s="20">
        <f t="shared" si="2"/>
        <v>5028.3900000000003</v>
      </c>
      <c r="F155" s="21"/>
      <c r="G155" s="21">
        <f>1+1+1+3+1+1+1</f>
        <v>9</v>
      </c>
    </row>
    <row r="156" spans="2:7" x14ac:dyDescent="0.25">
      <c r="B156" s="21">
        <v>1</v>
      </c>
      <c r="C156" s="19" t="s">
        <v>218</v>
      </c>
      <c r="D156" s="16">
        <v>558.71</v>
      </c>
      <c r="E156" s="20">
        <f t="shared" si="2"/>
        <v>558.71</v>
      </c>
      <c r="F156" s="21">
        <v>1</v>
      </c>
      <c r="G156" s="21"/>
    </row>
    <row r="157" spans="2:7" x14ac:dyDescent="0.25">
      <c r="B157" s="21">
        <f>1+1+1</f>
        <v>3</v>
      </c>
      <c r="C157" s="19" t="s">
        <v>219</v>
      </c>
      <c r="D157" s="16">
        <v>549.9</v>
      </c>
      <c r="E157" s="20">
        <f t="shared" si="2"/>
        <v>1649.6999999999998</v>
      </c>
      <c r="F157" s="21">
        <f>1+1+1</f>
        <v>3</v>
      </c>
      <c r="G157" s="21"/>
    </row>
    <row r="158" spans="2:7" x14ac:dyDescent="0.25">
      <c r="B158" s="21">
        <f>1+1+1</f>
        <v>3</v>
      </c>
      <c r="C158" s="19" t="s">
        <v>57</v>
      </c>
      <c r="D158" s="16">
        <v>536.92999999999995</v>
      </c>
      <c r="E158" s="20">
        <f t="shared" si="2"/>
        <v>1610.79</v>
      </c>
      <c r="F158" s="21"/>
      <c r="G158" s="21">
        <f>1+1+1</f>
        <v>3</v>
      </c>
    </row>
    <row r="159" spans="2:7" x14ac:dyDescent="0.25">
      <c r="B159" s="21">
        <f>10+6+2+2</f>
        <v>20</v>
      </c>
      <c r="C159" s="19" t="s">
        <v>215</v>
      </c>
      <c r="D159" s="16">
        <v>536.92999999999995</v>
      </c>
      <c r="E159" s="20">
        <f t="shared" si="2"/>
        <v>10738.599999999999</v>
      </c>
      <c r="F159" s="21">
        <f>10+6+1+1</f>
        <v>18</v>
      </c>
      <c r="G159" s="21">
        <f>1+1</f>
        <v>2</v>
      </c>
    </row>
    <row r="160" spans="2:7" x14ac:dyDescent="0.25">
      <c r="B160" s="21">
        <f>1+3+6+1+2+1+3+1+2</f>
        <v>20</v>
      </c>
      <c r="C160" s="9" t="s">
        <v>220</v>
      </c>
      <c r="D160" s="16">
        <v>536.92999999999995</v>
      </c>
      <c r="E160" s="20">
        <f t="shared" si="2"/>
        <v>10738.599999999999</v>
      </c>
      <c r="F160" s="21"/>
      <c r="G160" s="21">
        <f>1+3+6+1+2+1+3+1+2</f>
        <v>20</v>
      </c>
    </row>
    <row r="161" spans="2:7" x14ac:dyDescent="0.25">
      <c r="B161" s="21">
        <v>1</v>
      </c>
      <c r="C161" s="9" t="s">
        <v>221</v>
      </c>
      <c r="D161" s="16">
        <v>536.92999999999995</v>
      </c>
      <c r="E161" s="20">
        <f t="shared" si="2"/>
        <v>536.92999999999995</v>
      </c>
      <c r="F161" s="21">
        <v>1</v>
      </c>
      <c r="G161" s="21"/>
    </row>
    <row r="162" spans="2:7" x14ac:dyDescent="0.25">
      <c r="B162" s="21">
        <v>1</v>
      </c>
      <c r="C162" s="9" t="s">
        <v>222</v>
      </c>
      <c r="D162" s="16">
        <v>536.92999999999995</v>
      </c>
      <c r="E162" s="20">
        <f t="shared" si="2"/>
        <v>536.92999999999995</v>
      </c>
      <c r="F162" s="21"/>
      <c r="G162" s="21">
        <v>1</v>
      </c>
    </row>
    <row r="163" spans="2:7" x14ac:dyDescent="0.25">
      <c r="B163" s="21">
        <f>1+1</f>
        <v>2</v>
      </c>
      <c r="C163" s="9" t="s">
        <v>223</v>
      </c>
      <c r="D163" s="16">
        <v>490.6</v>
      </c>
      <c r="E163" s="20">
        <f t="shared" si="2"/>
        <v>981.2</v>
      </c>
      <c r="F163" s="21">
        <f>1+1</f>
        <v>2</v>
      </c>
      <c r="G163" s="21"/>
    </row>
    <row r="164" spans="2:7" x14ac:dyDescent="0.25">
      <c r="B164" s="21">
        <f>3+25+2+2+2+2+4</f>
        <v>40</v>
      </c>
      <c r="C164" s="19" t="s">
        <v>224</v>
      </c>
      <c r="D164" s="16">
        <v>474.71</v>
      </c>
      <c r="E164" s="20">
        <f t="shared" si="2"/>
        <v>18988.399999999998</v>
      </c>
      <c r="F164" s="21">
        <f>3+25+2+2+2+2+4</f>
        <v>40</v>
      </c>
      <c r="G164" s="21"/>
    </row>
    <row r="165" spans="2:7" x14ac:dyDescent="0.25">
      <c r="B165" s="21">
        <f>5+2</f>
        <v>7</v>
      </c>
      <c r="C165" s="19" t="s">
        <v>84</v>
      </c>
      <c r="D165" s="16">
        <v>474.71</v>
      </c>
      <c r="E165" s="20">
        <f t="shared" si="2"/>
        <v>3322.97</v>
      </c>
      <c r="F165" s="21">
        <f>5+2</f>
        <v>7</v>
      </c>
      <c r="G165" s="21"/>
    </row>
    <row r="166" spans="2:7" x14ac:dyDescent="0.25">
      <c r="B166" s="21">
        <f>1+1+6+2+2+1+1</f>
        <v>14</v>
      </c>
      <c r="C166" s="19" t="s">
        <v>33</v>
      </c>
      <c r="D166" s="16">
        <v>474.71</v>
      </c>
      <c r="E166" s="20">
        <f t="shared" si="2"/>
        <v>6645.94</v>
      </c>
      <c r="F166" s="21">
        <f>1+1+6+2+2+1+1</f>
        <v>14</v>
      </c>
      <c r="G166" s="21"/>
    </row>
    <row r="167" spans="2:7" x14ac:dyDescent="0.25">
      <c r="B167" s="21">
        <v>1</v>
      </c>
      <c r="C167" s="19" t="s">
        <v>225</v>
      </c>
      <c r="D167" s="16">
        <v>474.71</v>
      </c>
      <c r="E167" s="20">
        <f t="shared" si="2"/>
        <v>474.71</v>
      </c>
      <c r="F167" s="21"/>
      <c r="G167" s="21">
        <v>1</v>
      </c>
    </row>
    <row r="168" spans="2:7" x14ac:dyDescent="0.25">
      <c r="B168" s="21">
        <v>1</v>
      </c>
      <c r="C168" s="19" t="s">
        <v>226</v>
      </c>
      <c r="D168" s="16">
        <v>459.49</v>
      </c>
      <c r="E168" s="20">
        <f t="shared" si="2"/>
        <v>459.49</v>
      </c>
      <c r="F168" s="21">
        <v>1</v>
      </c>
      <c r="G168" s="21"/>
    </row>
    <row r="169" spans="2:7" x14ac:dyDescent="0.25">
      <c r="B169" s="21">
        <v>1</v>
      </c>
      <c r="C169" s="19" t="s">
        <v>227</v>
      </c>
      <c r="D169" s="16">
        <v>443.6</v>
      </c>
      <c r="E169" s="20">
        <f t="shared" si="2"/>
        <v>443.6</v>
      </c>
      <c r="F169" s="21">
        <v>1</v>
      </c>
      <c r="G169" s="21"/>
    </row>
    <row r="170" spans="2:7" x14ac:dyDescent="0.25">
      <c r="B170" s="21">
        <f>3+13+11+3+2+3+3+6+1</f>
        <v>45</v>
      </c>
      <c r="C170" s="19" t="s">
        <v>228</v>
      </c>
      <c r="D170" s="16">
        <v>443.6</v>
      </c>
      <c r="E170" s="20">
        <f t="shared" si="2"/>
        <v>19962</v>
      </c>
      <c r="F170" s="21">
        <f>1+10+9+2+2+2+3+6+1</f>
        <v>36</v>
      </c>
      <c r="G170" s="21">
        <f>2+3+2+1+1</f>
        <v>9</v>
      </c>
    </row>
    <row r="171" spans="2:7" x14ac:dyDescent="0.25">
      <c r="B171" s="21">
        <v>1</v>
      </c>
      <c r="C171" s="3" t="s">
        <v>229</v>
      </c>
      <c r="D171" s="11">
        <v>336.04</v>
      </c>
      <c r="E171" s="20">
        <f t="shared" si="2"/>
        <v>336.04</v>
      </c>
      <c r="F171" s="21"/>
      <c r="G171" s="21">
        <v>1</v>
      </c>
    </row>
    <row r="172" spans="2:7" ht="15.75" x14ac:dyDescent="0.25">
      <c r="B172" s="12">
        <f>SUM(B43:B171)</f>
        <v>806</v>
      </c>
      <c r="C172" s="1"/>
      <c r="D172" s="1"/>
      <c r="E172" s="18">
        <f>SUM(E43:E171)</f>
        <v>550898.8361999999</v>
      </c>
      <c r="F172" s="14">
        <f>SUM(F43:F171)</f>
        <v>453</v>
      </c>
      <c r="G172" s="14">
        <f>SUM(G43:G171)</f>
        <v>353</v>
      </c>
    </row>
  </sheetData>
  <mergeCells count="2">
    <mergeCell ref="F3:G3"/>
    <mergeCell ref="F41:G41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4"/>
  <sheetViews>
    <sheetView view="pageBreakPreview" topLeftCell="A137" zoomScale="60" zoomScaleNormal="100" workbookViewId="0">
      <selection activeCell="B140" sqref="B140:G150"/>
    </sheetView>
  </sheetViews>
  <sheetFormatPr baseColWidth="10" defaultRowHeight="15" x14ac:dyDescent="0.25"/>
  <cols>
    <col min="1" max="1" width="6.4257812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230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3" t="s">
        <v>5</v>
      </c>
      <c r="D5" s="11">
        <v>2183.02</v>
      </c>
      <c r="E5" s="10">
        <f>D5*B5</f>
        <v>2183.02</v>
      </c>
      <c r="F5" s="7"/>
      <c r="G5" s="7">
        <v>1</v>
      </c>
    </row>
    <row r="6" spans="2:7" x14ac:dyDescent="0.25">
      <c r="B6" s="21">
        <v>1</v>
      </c>
      <c r="C6" s="9" t="s">
        <v>167</v>
      </c>
      <c r="D6" s="15">
        <v>1623.25</v>
      </c>
      <c r="E6" s="10">
        <f>D6*B6</f>
        <v>1623.25</v>
      </c>
      <c r="F6" s="21">
        <v>1</v>
      </c>
      <c r="G6" s="21"/>
    </row>
    <row r="7" spans="2:7" x14ac:dyDescent="0.25">
      <c r="B7" s="21">
        <v>1</v>
      </c>
      <c r="C7" s="9" t="s">
        <v>180</v>
      </c>
      <c r="D7" s="15">
        <v>1108.25</v>
      </c>
      <c r="E7" s="10">
        <f>D7*B7</f>
        <v>1108.25</v>
      </c>
      <c r="F7" s="21"/>
      <c r="G7" s="21">
        <v>1</v>
      </c>
    </row>
    <row r="8" spans="2:7" x14ac:dyDescent="0.25">
      <c r="B8" s="21">
        <v>1</v>
      </c>
      <c r="C8" s="9" t="s">
        <v>137</v>
      </c>
      <c r="D8" s="15">
        <v>1400</v>
      </c>
      <c r="E8" s="10">
        <f>D8*B8</f>
        <v>1400</v>
      </c>
      <c r="F8" s="21"/>
      <c r="G8" s="21">
        <v>1</v>
      </c>
    </row>
    <row r="9" spans="2:7" x14ac:dyDescent="0.25">
      <c r="B9" s="21">
        <v>3</v>
      </c>
      <c r="C9" s="9" t="s">
        <v>24</v>
      </c>
      <c r="D9" s="10">
        <v>846.59</v>
      </c>
      <c r="E9" s="10">
        <f t="shared" ref="E9" si="0">D9*B9</f>
        <v>2539.77</v>
      </c>
      <c r="F9" s="21">
        <v>3</v>
      </c>
      <c r="G9" s="21"/>
    </row>
    <row r="10" spans="2:7" x14ac:dyDescent="0.25">
      <c r="B10" s="21"/>
      <c r="C10" s="9"/>
      <c r="D10" s="10"/>
      <c r="E10" s="10"/>
      <c r="F10" s="21"/>
      <c r="G10" s="21"/>
    </row>
    <row r="11" spans="2:7" ht="15.75" x14ac:dyDescent="0.25">
      <c r="B11" s="12">
        <f>SUM(B5:B10)</f>
        <v>7</v>
      </c>
      <c r="C11" s="1"/>
      <c r="D11" s="15"/>
      <c r="E11" s="17">
        <f>SUM(E6:E10)</f>
        <v>6671.27</v>
      </c>
      <c r="F11" s="14">
        <f>SUM(F5:F10)</f>
        <v>4</v>
      </c>
      <c r="G11" s="14">
        <f>SUM(G5:G10)</f>
        <v>3</v>
      </c>
    </row>
    <row r="14" spans="2:7" x14ac:dyDescent="0.25">
      <c r="B14" s="29" t="s">
        <v>37</v>
      </c>
      <c r="C14" s="30"/>
    </row>
    <row r="15" spans="2:7" x14ac:dyDescent="0.25">
      <c r="B15" s="2"/>
      <c r="D15" s="4"/>
      <c r="E15" s="4"/>
      <c r="F15" s="45" t="s">
        <v>3</v>
      </c>
      <c r="G15" s="45"/>
    </row>
    <row r="16" spans="2:7" ht="30" x14ac:dyDescent="0.25">
      <c r="B16" s="6" t="s">
        <v>6</v>
      </c>
      <c r="C16" s="7" t="s">
        <v>4</v>
      </c>
      <c r="D16" s="6" t="s">
        <v>2</v>
      </c>
      <c r="E16" s="6" t="s">
        <v>9</v>
      </c>
      <c r="F16" s="7" t="s">
        <v>0</v>
      </c>
      <c r="G16" s="7" t="s">
        <v>1</v>
      </c>
    </row>
    <row r="17" spans="2:7" x14ac:dyDescent="0.25">
      <c r="B17" s="21">
        <v>1</v>
      </c>
      <c r="C17" s="19" t="s">
        <v>38</v>
      </c>
      <c r="D17" s="16">
        <v>2773.72</v>
      </c>
      <c r="E17" s="20">
        <f>D17*B17</f>
        <v>2773.72</v>
      </c>
      <c r="F17" s="21">
        <v>1</v>
      </c>
      <c r="G17" s="21"/>
    </row>
    <row r="18" spans="2:7" x14ac:dyDescent="0.25">
      <c r="B18" s="21">
        <v>1</v>
      </c>
      <c r="C18" s="19" t="s">
        <v>39</v>
      </c>
      <c r="D18" s="16">
        <v>2080.58</v>
      </c>
      <c r="E18" s="20">
        <f t="shared" ref="E18:E112" si="1">D18*B18</f>
        <v>2080.58</v>
      </c>
      <c r="F18" s="21">
        <v>1</v>
      </c>
      <c r="G18" s="21"/>
    </row>
    <row r="19" spans="2:7" x14ac:dyDescent="0.25">
      <c r="B19" s="21">
        <v>1</v>
      </c>
      <c r="C19" s="3" t="s">
        <v>140</v>
      </c>
      <c r="D19" s="16">
        <v>2600</v>
      </c>
      <c r="E19" s="20">
        <f t="shared" si="1"/>
        <v>2600</v>
      </c>
      <c r="F19" s="21">
        <v>1</v>
      </c>
      <c r="G19" s="21"/>
    </row>
    <row r="20" spans="2:7" x14ac:dyDescent="0.25">
      <c r="B20" s="21">
        <v>1</v>
      </c>
      <c r="C20" s="19" t="s">
        <v>231</v>
      </c>
      <c r="D20" s="16">
        <v>2600</v>
      </c>
      <c r="E20" s="20">
        <f t="shared" si="1"/>
        <v>2600</v>
      </c>
      <c r="F20" s="21">
        <v>1</v>
      </c>
      <c r="G20" s="21"/>
    </row>
    <row r="21" spans="2:7" x14ac:dyDescent="0.25">
      <c r="B21" s="21">
        <v>1</v>
      </c>
      <c r="C21" s="9" t="s">
        <v>18</v>
      </c>
      <c r="D21" s="16">
        <v>2183.02</v>
      </c>
      <c r="E21" s="20">
        <f t="shared" si="1"/>
        <v>2183.02</v>
      </c>
      <c r="F21" s="21"/>
      <c r="G21" s="21">
        <v>1</v>
      </c>
    </row>
    <row r="22" spans="2:7" x14ac:dyDescent="0.25">
      <c r="B22" s="21">
        <v>1</v>
      </c>
      <c r="C22" s="9" t="s">
        <v>232</v>
      </c>
      <c r="D22" s="16">
        <v>2183.02</v>
      </c>
      <c r="E22" s="20">
        <f t="shared" si="1"/>
        <v>2183.02</v>
      </c>
      <c r="F22" s="21"/>
      <c r="G22" s="21">
        <v>1</v>
      </c>
    </row>
    <row r="23" spans="2:7" x14ac:dyDescent="0.25">
      <c r="B23" s="21">
        <v>1</v>
      </c>
      <c r="C23" s="9" t="s">
        <v>61</v>
      </c>
      <c r="D23" s="16">
        <v>2183.02</v>
      </c>
      <c r="E23" s="20">
        <f t="shared" si="1"/>
        <v>2183.02</v>
      </c>
      <c r="F23" s="21"/>
      <c r="G23" s="21">
        <v>1</v>
      </c>
    </row>
    <row r="24" spans="2:7" x14ac:dyDescent="0.25">
      <c r="B24" s="21">
        <v>1</v>
      </c>
      <c r="C24" s="9" t="s">
        <v>67</v>
      </c>
      <c r="D24" s="16">
        <v>2183.0100000000002</v>
      </c>
      <c r="E24" s="20">
        <f>D24*B24</f>
        <v>2183.0100000000002</v>
      </c>
      <c r="F24" s="21">
        <v>1</v>
      </c>
      <c r="G24" s="21"/>
    </row>
    <row r="25" spans="2:7" x14ac:dyDescent="0.25">
      <c r="B25" s="21">
        <v>1</v>
      </c>
      <c r="C25" s="3" t="s">
        <v>73</v>
      </c>
      <c r="D25" s="16">
        <v>2183.02</v>
      </c>
      <c r="E25" s="20">
        <f>D25*B25</f>
        <v>2183.02</v>
      </c>
      <c r="F25" s="21"/>
      <c r="G25" s="21">
        <v>1</v>
      </c>
    </row>
    <row r="26" spans="2:7" x14ac:dyDescent="0.25">
      <c r="B26" s="21">
        <v>1</v>
      </c>
      <c r="C26" s="36" t="s">
        <v>102</v>
      </c>
      <c r="D26" s="37">
        <v>2183.02</v>
      </c>
      <c r="E26" s="20">
        <f t="shared" si="1"/>
        <v>2183.02</v>
      </c>
      <c r="F26" s="21"/>
      <c r="G26" s="21">
        <v>1</v>
      </c>
    </row>
    <row r="27" spans="2:7" x14ac:dyDescent="0.25">
      <c r="B27" s="21">
        <v>1</v>
      </c>
      <c r="C27" s="9" t="s">
        <v>90</v>
      </c>
      <c r="D27" s="16">
        <f>2060</f>
        <v>2060</v>
      </c>
      <c r="E27" s="20">
        <f t="shared" si="1"/>
        <v>2060</v>
      </c>
      <c r="F27" s="21"/>
      <c r="G27" s="21">
        <v>1</v>
      </c>
    </row>
    <row r="28" spans="2:7" x14ac:dyDescent="0.25">
      <c r="B28" s="21">
        <v>1</v>
      </c>
      <c r="C28" s="9" t="s">
        <v>60</v>
      </c>
      <c r="D28" s="16">
        <v>1623.25</v>
      </c>
      <c r="E28" s="20">
        <f t="shared" si="1"/>
        <v>1623.25</v>
      </c>
      <c r="F28" s="21"/>
      <c r="G28" s="21">
        <v>1</v>
      </c>
    </row>
    <row r="29" spans="2:7" x14ac:dyDescent="0.25">
      <c r="B29" s="21">
        <v>1</v>
      </c>
      <c r="C29" s="9" t="s">
        <v>233</v>
      </c>
      <c r="D29" s="16">
        <v>2060</v>
      </c>
      <c r="E29" s="20">
        <f t="shared" si="1"/>
        <v>2060</v>
      </c>
      <c r="F29" s="21">
        <v>1</v>
      </c>
      <c r="G29" s="21"/>
    </row>
    <row r="30" spans="2:7" x14ac:dyDescent="0.25">
      <c r="B30" s="21">
        <v>1</v>
      </c>
      <c r="C30" s="9" t="s">
        <v>155</v>
      </c>
      <c r="D30" s="16">
        <v>1775.02</v>
      </c>
      <c r="E30" s="20">
        <f>D30*B30</f>
        <v>1775.02</v>
      </c>
      <c r="F30" s="21"/>
      <c r="G30" s="21">
        <v>1</v>
      </c>
    </row>
    <row r="31" spans="2:7" x14ac:dyDescent="0.25">
      <c r="B31" s="21">
        <v>1</v>
      </c>
      <c r="C31" s="9" t="s">
        <v>234</v>
      </c>
      <c r="D31" s="16">
        <v>1580.29</v>
      </c>
      <c r="E31" s="38">
        <f>D31*B31</f>
        <v>1580.29</v>
      </c>
      <c r="F31" s="21">
        <v>1</v>
      </c>
      <c r="G31" s="21"/>
    </row>
    <row r="32" spans="2:7" x14ac:dyDescent="0.25">
      <c r="B32" s="21">
        <v>1</v>
      </c>
      <c r="C32" s="9" t="s">
        <v>168</v>
      </c>
      <c r="D32" s="16">
        <v>1462.57</v>
      </c>
      <c r="E32" s="38">
        <f>D32*B32</f>
        <v>1462.57</v>
      </c>
      <c r="F32" s="21">
        <v>1</v>
      </c>
      <c r="G32" s="21"/>
    </row>
    <row r="33" spans="2:7" x14ac:dyDescent="0.25">
      <c r="B33" s="21">
        <v>1</v>
      </c>
      <c r="C33" s="9" t="s">
        <v>177</v>
      </c>
      <c r="D33" s="16">
        <v>1400</v>
      </c>
      <c r="E33" s="38">
        <f>D33*B33</f>
        <v>1400</v>
      </c>
      <c r="F33" s="21"/>
      <c r="G33" s="21">
        <v>1</v>
      </c>
    </row>
    <row r="34" spans="2:7" x14ac:dyDescent="0.25">
      <c r="B34" s="21">
        <v>1</v>
      </c>
      <c r="C34" s="9" t="s">
        <v>169</v>
      </c>
      <c r="D34" s="16">
        <v>1373.12</v>
      </c>
      <c r="E34" s="38">
        <f>D34*B34</f>
        <v>1373.12</v>
      </c>
      <c r="F34" s="21">
        <v>1</v>
      </c>
      <c r="G34" s="21"/>
    </row>
    <row r="35" spans="2:7" x14ac:dyDescent="0.25">
      <c r="B35" s="21">
        <v>1</v>
      </c>
      <c r="C35" s="19" t="s">
        <v>40</v>
      </c>
      <c r="D35" s="16">
        <v>1373.12</v>
      </c>
      <c r="E35" s="20">
        <f t="shared" si="1"/>
        <v>1373.12</v>
      </c>
      <c r="F35" s="21">
        <v>1</v>
      </c>
      <c r="G35" s="21"/>
    </row>
    <row r="36" spans="2:7" x14ac:dyDescent="0.25">
      <c r="B36" s="21">
        <v>1</v>
      </c>
      <c r="C36" s="9" t="s">
        <v>172</v>
      </c>
      <c r="D36" s="16">
        <v>1373.12</v>
      </c>
      <c r="E36" s="20">
        <f t="shared" si="1"/>
        <v>1373.12</v>
      </c>
      <c r="F36" s="21"/>
      <c r="G36" s="21">
        <v>1</v>
      </c>
    </row>
    <row r="37" spans="2:7" x14ac:dyDescent="0.25">
      <c r="B37" s="21">
        <v>1</v>
      </c>
      <c r="C37" s="9" t="s">
        <v>147</v>
      </c>
      <c r="D37" s="16">
        <v>1373.12</v>
      </c>
      <c r="E37" s="20">
        <f t="shared" si="1"/>
        <v>1373.12</v>
      </c>
      <c r="F37" s="21">
        <v>1</v>
      </c>
      <c r="G37" s="21"/>
    </row>
    <row r="38" spans="2:7" x14ac:dyDescent="0.25">
      <c r="B38" s="24">
        <v>1</v>
      </c>
      <c r="C38" s="3" t="s">
        <v>64</v>
      </c>
      <c r="D38" s="11">
        <v>1373.12</v>
      </c>
      <c r="E38" s="28">
        <f t="shared" si="1"/>
        <v>1373.12</v>
      </c>
      <c r="F38" s="24">
        <v>1</v>
      </c>
      <c r="G38" s="24"/>
    </row>
    <row r="39" spans="2:7" x14ac:dyDescent="0.25">
      <c r="B39" s="21">
        <v>1</v>
      </c>
      <c r="C39" s="9" t="s">
        <v>69</v>
      </c>
      <c r="D39" s="16">
        <v>1373.12</v>
      </c>
      <c r="E39" s="20">
        <f>D39*B39</f>
        <v>1373.12</v>
      </c>
      <c r="F39" s="21">
        <v>1</v>
      </c>
      <c r="G39" s="21"/>
    </row>
    <row r="40" spans="2:7" x14ac:dyDescent="0.25">
      <c r="B40" s="21">
        <v>1</v>
      </c>
      <c r="C40" s="3" t="s">
        <v>235</v>
      </c>
      <c r="D40" s="11">
        <v>1373.12</v>
      </c>
      <c r="E40" s="20">
        <f>D40*B40</f>
        <v>1373.12</v>
      </c>
      <c r="F40" s="21">
        <v>1</v>
      </c>
      <c r="G40" s="21"/>
    </row>
    <row r="41" spans="2:7" ht="24.75" x14ac:dyDescent="0.25">
      <c r="B41" s="21">
        <v>1</v>
      </c>
      <c r="C41" s="34" t="s">
        <v>170</v>
      </c>
      <c r="D41" s="16">
        <v>1373.12</v>
      </c>
      <c r="E41" s="20">
        <f t="shared" si="1"/>
        <v>1373.12</v>
      </c>
      <c r="F41" s="21"/>
      <c r="G41" s="21">
        <v>1</v>
      </c>
    </row>
    <row r="42" spans="2:7" ht="24.75" x14ac:dyDescent="0.25">
      <c r="B42" s="21">
        <v>1</v>
      </c>
      <c r="C42" s="34" t="s">
        <v>171</v>
      </c>
      <c r="D42" s="16">
        <v>1373.12</v>
      </c>
      <c r="E42" s="20">
        <f t="shared" si="1"/>
        <v>1373.12</v>
      </c>
      <c r="F42" s="21"/>
      <c r="G42" s="21">
        <v>1</v>
      </c>
    </row>
    <row r="43" spans="2:7" x14ac:dyDescent="0.25">
      <c r="B43" s="21">
        <v>1</v>
      </c>
      <c r="C43" s="19" t="s">
        <v>178</v>
      </c>
      <c r="D43" s="16">
        <v>1108.3</v>
      </c>
      <c r="E43" s="20">
        <f t="shared" si="1"/>
        <v>1108.3</v>
      </c>
      <c r="F43" s="21"/>
      <c r="G43" s="21">
        <v>1</v>
      </c>
    </row>
    <row r="44" spans="2:7" x14ac:dyDescent="0.25">
      <c r="B44" s="21">
        <v>1</v>
      </c>
      <c r="C44" s="19" t="s">
        <v>179</v>
      </c>
      <c r="D44" s="16">
        <v>1108.25</v>
      </c>
      <c r="E44" s="20">
        <f t="shared" si="1"/>
        <v>1108.25</v>
      </c>
      <c r="F44" s="21">
        <v>1</v>
      </c>
      <c r="G44" s="21"/>
    </row>
    <row r="45" spans="2:7" x14ac:dyDescent="0.25">
      <c r="B45" s="21">
        <v>1</v>
      </c>
      <c r="C45" s="19" t="s">
        <v>180</v>
      </c>
      <c r="D45" s="16">
        <v>1108.25</v>
      </c>
      <c r="E45" s="20">
        <f>D45*B45</f>
        <v>1108.25</v>
      </c>
      <c r="F45" s="21">
        <v>1</v>
      </c>
      <c r="G45" s="21"/>
    </row>
    <row r="46" spans="2:7" x14ac:dyDescent="0.25">
      <c r="B46" s="21">
        <v>1</v>
      </c>
      <c r="C46" s="19" t="s">
        <v>41</v>
      </c>
      <c r="D46" s="16">
        <v>1108.25</v>
      </c>
      <c r="E46" s="20">
        <f t="shared" si="1"/>
        <v>1108.25</v>
      </c>
      <c r="F46" s="21">
        <v>1</v>
      </c>
      <c r="G46" s="21"/>
    </row>
    <row r="47" spans="2:7" x14ac:dyDescent="0.25">
      <c r="B47" s="21">
        <v>1</v>
      </c>
      <c r="C47" s="3" t="s">
        <v>157</v>
      </c>
      <c r="D47" s="16">
        <v>1108.25</v>
      </c>
      <c r="E47" s="20">
        <f t="shared" si="1"/>
        <v>1108.25</v>
      </c>
      <c r="F47" s="21">
        <v>1</v>
      </c>
      <c r="G47" s="21"/>
    </row>
    <row r="48" spans="2:7" x14ac:dyDescent="0.25">
      <c r="B48" s="21">
        <v>1</v>
      </c>
      <c r="C48" s="19" t="s">
        <v>44</v>
      </c>
      <c r="D48" s="31">
        <v>1108.25</v>
      </c>
      <c r="E48" s="20">
        <f t="shared" si="1"/>
        <v>1108.25</v>
      </c>
      <c r="F48" s="21">
        <v>1</v>
      </c>
      <c r="G48" s="21"/>
    </row>
    <row r="49" spans="2:7" x14ac:dyDescent="0.25">
      <c r="B49" s="21">
        <v>1</v>
      </c>
      <c r="C49" s="9" t="s">
        <v>22</v>
      </c>
      <c r="D49" s="31">
        <v>1108.25</v>
      </c>
      <c r="E49" s="20">
        <f t="shared" si="1"/>
        <v>1108.25</v>
      </c>
      <c r="F49" s="21"/>
      <c r="G49" s="21">
        <v>1</v>
      </c>
    </row>
    <row r="50" spans="2:7" x14ac:dyDescent="0.25">
      <c r="B50" s="21">
        <v>1</v>
      </c>
      <c r="C50" s="9" t="s">
        <v>181</v>
      </c>
      <c r="D50" s="16">
        <v>1108.25</v>
      </c>
      <c r="E50" s="20">
        <f t="shared" si="1"/>
        <v>1108.25</v>
      </c>
      <c r="F50" s="21"/>
      <c r="G50" s="21">
        <v>1</v>
      </c>
    </row>
    <row r="51" spans="2:7" x14ac:dyDescent="0.25">
      <c r="B51" s="21">
        <v>1</v>
      </c>
      <c r="C51" s="9" t="s">
        <v>182</v>
      </c>
      <c r="D51" s="31">
        <v>1108.25</v>
      </c>
      <c r="E51" s="20">
        <f t="shared" si="1"/>
        <v>1108.25</v>
      </c>
      <c r="F51" s="21"/>
      <c r="G51" s="21">
        <v>1</v>
      </c>
    </row>
    <row r="52" spans="2:7" x14ac:dyDescent="0.25">
      <c r="B52" s="21">
        <v>1</v>
      </c>
      <c r="C52" s="9" t="s">
        <v>183</v>
      </c>
      <c r="D52" s="31">
        <v>1108.25</v>
      </c>
      <c r="E52" s="20">
        <f t="shared" si="1"/>
        <v>1108.25</v>
      </c>
      <c r="F52" s="21">
        <v>1</v>
      </c>
      <c r="G52" s="21"/>
    </row>
    <row r="53" spans="2:7" x14ac:dyDescent="0.25">
      <c r="B53" s="21">
        <v>1</v>
      </c>
      <c r="C53" s="9" t="s">
        <v>184</v>
      </c>
      <c r="D53" s="11">
        <v>1108.25</v>
      </c>
      <c r="E53" s="20">
        <f t="shared" si="1"/>
        <v>1108.25</v>
      </c>
      <c r="F53" s="21"/>
      <c r="G53" s="21">
        <v>1</v>
      </c>
    </row>
    <row r="54" spans="2:7" x14ac:dyDescent="0.25">
      <c r="B54" s="21">
        <v>1</v>
      </c>
      <c r="C54" s="19" t="s">
        <v>91</v>
      </c>
      <c r="D54" s="31">
        <v>1108.25</v>
      </c>
      <c r="E54" s="20">
        <f t="shared" si="1"/>
        <v>1108.25</v>
      </c>
      <c r="F54" s="21">
        <v>1</v>
      </c>
      <c r="G54" s="21"/>
    </row>
    <row r="55" spans="2:7" x14ac:dyDescent="0.25">
      <c r="B55" s="21">
        <f>1+1</f>
        <v>2</v>
      </c>
      <c r="C55" s="19" t="s">
        <v>148</v>
      </c>
      <c r="D55" s="16">
        <v>1108.25</v>
      </c>
      <c r="E55" s="20">
        <f t="shared" si="1"/>
        <v>2216.5</v>
      </c>
      <c r="F55" s="21">
        <f>1+1</f>
        <v>2</v>
      </c>
      <c r="G55" s="21"/>
    </row>
    <row r="56" spans="2:7" x14ac:dyDescent="0.25">
      <c r="B56" s="21">
        <v>1</v>
      </c>
      <c r="C56" s="19" t="s">
        <v>103</v>
      </c>
      <c r="D56" s="16">
        <v>1108.25</v>
      </c>
      <c r="E56" s="20">
        <f t="shared" si="1"/>
        <v>1108.25</v>
      </c>
      <c r="F56" s="21">
        <v>1</v>
      </c>
      <c r="G56" s="21"/>
    </row>
    <row r="57" spans="2:7" x14ac:dyDescent="0.25">
      <c r="B57" s="21">
        <v>1</v>
      </c>
      <c r="C57" s="19" t="s">
        <v>173</v>
      </c>
      <c r="D57" s="16">
        <v>1108.25</v>
      </c>
      <c r="E57" s="20">
        <f t="shared" si="1"/>
        <v>1108.25</v>
      </c>
      <c r="F57" s="21"/>
      <c r="G57" s="21">
        <v>1</v>
      </c>
    </row>
    <row r="58" spans="2:7" x14ac:dyDescent="0.25">
      <c r="B58" s="21">
        <v>1</v>
      </c>
      <c r="C58" s="19" t="s">
        <v>108</v>
      </c>
      <c r="D58" s="16">
        <v>1108.25</v>
      </c>
      <c r="E58" s="20">
        <f t="shared" si="1"/>
        <v>1108.25</v>
      </c>
      <c r="F58" s="21"/>
      <c r="G58" s="21">
        <v>1</v>
      </c>
    </row>
    <row r="59" spans="2:7" x14ac:dyDescent="0.25">
      <c r="B59" s="21">
        <v>1</v>
      </c>
      <c r="C59" s="9" t="s">
        <v>111</v>
      </c>
      <c r="D59" s="16">
        <v>1108.25</v>
      </c>
      <c r="E59" s="20">
        <f t="shared" si="1"/>
        <v>1108.25</v>
      </c>
      <c r="F59" s="21"/>
      <c r="G59" s="21">
        <v>1</v>
      </c>
    </row>
    <row r="60" spans="2:7" x14ac:dyDescent="0.25">
      <c r="B60" s="21">
        <v>1</v>
      </c>
      <c r="C60" s="19" t="s">
        <v>112</v>
      </c>
      <c r="D60" s="16">
        <v>1108.25</v>
      </c>
      <c r="E60" s="20">
        <f t="shared" si="1"/>
        <v>1108.25</v>
      </c>
      <c r="F60" s="21">
        <v>1</v>
      </c>
      <c r="G60" s="21"/>
    </row>
    <row r="61" spans="2:7" x14ac:dyDescent="0.25">
      <c r="B61" s="23">
        <f>2+1</f>
        <v>3</v>
      </c>
      <c r="C61" s="19" t="s">
        <v>83</v>
      </c>
      <c r="D61" s="16">
        <v>1108.25</v>
      </c>
      <c r="E61" s="20">
        <f t="shared" si="1"/>
        <v>3324.75</v>
      </c>
      <c r="F61" s="23">
        <f>2+1</f>
        <v>3</v>
      </c>
      <c r="G61" s="23"/>
    </row>
    <row r="62" spans="2:7" x14ac:dyDescent="0.25">
      <c r="B62" s="23">
        <v>2</v>
      </c>
      <c r="C62" s="9" t="s">
        <v>185</v>
      </c>
      <c r="D62" s="16">
        <v>1108.25</v>
      </c>
      <c r="E62" s="20">
        <f t="shared" si="1"/>
        <v>2216.5</v>
      </c>
      <c r="F62" s="23">
        <v>1</v>
      </c>
      <c r="G62" s="23">
        <v>1</v>
      </c>
    </row>
    <row r="63" spans="2:7" x14ac:dyDescent="0.25">
      <c r="B63" s="23">
        <v>1</v>
      </c>
      <c r="C63" s="9" t="s">
        <v>131</v>
      </c>
      <c r="D63" s="16">
        <v>1060</v>
      </c>
      <c r="E63" s="20">
        <f t="shared" si="1"/>
        <v>1060</v>
      </c>
      <c r="F63" s="23">
        <v>1</v>
      </c>
      <c r="G63" s="23"/>
    </row>
    <row r="64" spans="2:7" x14ac:dyDescent="0.25">
      <c r="B64" s="23">
        <v>1</v>
      </c>
      <c r="C64" s="9" t="s">
        <v>133</v>
      </c>
      <c r="D64" s="16">
        <v>1007</v>
      </c>
      <c r="E64" s="20">
        <f t="shared" si="1"/>
        <v>1007</v>
      </c>
      <c r="F64" s="23">
        <v>1</v>
      </c>
      <c r="G64" s="23"/>
    </row>
    <row r="65" spans="2:7" s="13" customFormat="1" x14ac:dyDescent="0.25">
      <c r="B65" s="48"/>
      <c r="C65" s="49"/>
      <c r="D65" s="56"/>
      <c r="E65" s="57"/>
      <c r="F65" s="48"/>
      <c r="G65" s="48"/>
    </row>
    <row r="66" spans="2:7" s="13" customFormat="1" x14ac:dyDescent="0.25">
      <c r="B66" s="48"/>
      <c r="C66" s="49"/>
      <c r="D66" s="56"/>
      <c r="E66" s="57"/>
      <c r="F66" s="48"/>
      <c r="G66" s="48"/>
    </row>
    <row r="67" spans="2:7" s="13" customFormat="1" x14ac:dyDescent="0.25">
      <c r="B67" s="48"/>
      <c r="C67" s="49"/>
      <c r="D67" s="56"/>
      <c r="E67" s="57"/>
      <c r="F67" s="48"/>
      <c r="G67" s="48"/>
    </row>
    <row r="68" spans="2:7" s="13" customFormat="1" x14ac:dyDescent="0.25">
      <c r="B68" s="48"/>
      <c r="C68" s="49"/>
      <c r="D68" s="56"/>
      <c r="E68" s="57"/>
      <c r="F68" s="48"/>
      <c r="G68" s="48"/>
    </row>
    <row r="69" spans="2:7" s="13" customFormat="1" x14ac:dyDescent="0.25">
      <c r="B69" s="48"/>
      <c r="C69" s="49"/>
      <c r="D69" s="56"/>
      <c r="E69" s="57"/>
      <c r="F69" s="48"/>
      <c r="G69" s="48"/>
    </row>
    <row r="70" spans="2:7" x14ac:dyDescent="0.25">
      <c r="B70" s="23">
        <v>1</v>
      </c>
      <c r="C70" s="19" t="s">
        <v>46</v>
      </c>
      <c r="D70" s="16">
        <v>846.59</v>
      </c>
      <c r="E70" s="20">
        <f t="shared" si="1"/>
        <v>846.59</v>
      </c>
      <c r="F70" s="23">
        <v>1</v>
      </c>
      <c r="G70" s="23"/>
    </row>
    <row r="71" spans="2:7" x14ac:dyDescent="0.25">
      <c r="B71" s="23">
        <v>1</v>
      </c>
      <c r="C71" s="9" t="s">
        <v>47</v>
      </c>
      <c r="D71" s="16">
        <v>846.59</v>
      </c>
      <c r="E71" s="20">
        <f t="shared" si="1"/>
        <v>846.59</v>
      </c>
      <c r="F71" s="23">
        <v>1</v>
      </c>
      <c r="G71" s="23"/>
    </row>
    <row r="72" spans="2:7" x14ac:dyDescent="0.25">
      <c r="B72" s="23">
        <v>1</v>
      </c>
      <c r="C72" s="19" t="s">
        <v>48</v>
      </c>
      <c r="D72" s="16">
        <v>846.59</v>
      </c>
      <c r="E72" s="20">
        <f t="shared" si="1"/>
        <v>846.59</v>
      </c>
      <c r="F72" s="23"/>
      <c r="G72" s="23">
        <v>1</v>
      </c>
    </row>
    <row r="73" spans="2:7" x14ac:dyDescent="0.25">
      <c r="B73" s="23">
        <v>1</v>
      </c>
      <c r="C73" s="19" t="s">
        <v>26</v>
      </c>
      <c r="D73" s="16">
        <v>846.59</v>
      </c>
      <c r="E73" s="20">
        <f t="shared" si="1"/>
        <v>846.59</v>
      </c>
      <c r="F73" s="23">
        <v>1</v>
      </c>
      <c r="G73" s="23"/>
    </row>
    <row r="74" spans="2:7" x14ac:dyDescent="0.25">
      <c r="B74" s="23">
        <v>1</v>
      </c>
      <c r="C74" s="19" t="s">
        <v>92</v>
      </c>
      <c r="D74" s="16">
        <v>846.59</v>
      </c>
      <c r="E74" s="20">
        <f t="shared" si="1"/>
        <v>846.59</v>
      </c>
      <c r="F74" s="23">
        <v>1</v>
      </c>
      <c r="G74" s="23"/>
    </row>
    <row r="75" spans="2:7" x14ac:dyDescent="0.25">
      <c r="B75" s="23">
        <v>1</v>
      </c>
      <c r="C75" s="19" t="s">
        <v>93</v>
      </c>
      <c r="D75" s="16">
        <v>846.59</v>
      </c>
      <c r="E75" s="20">
        <f t="shared" si="1"/>
        <v>846.59</v>
      </c>
      <c r="F75" s="23">
        <v>1</v>
      </c>
      <c r="G75" s="23"/>
    </row>
    <row r="76" spans="2:7" x14ac:dyDescent="0.25">
      <c r="B76" s="23">
        <v>1</v>
      </c>
      <c r="C76" s="19" t="s">
        <v>186</v>
      </c>
      <c r="D76" s="16">
        <v>846.59</v>
      </c>
      <c r="E76" s="20">
        <f t="shared" si="1"/>
        <v>846.59</v>
      </c>
      <c r="F76" s="23">
        <v>1</v>
      </c>
      <c r="G76" s="23"/>
    </row>
    <row r="77" spans="2:7" x14ac:dyDescent="0.25">
      <c r="B77" s="23">
        <v>1</v>
      </c>
      <c r="C77" s="9" t="s">
        <v>187</v>
      </c>
      <c r="D77" s="16">
        <v>846.59</v>
      </c>
      <c r="E77" s="20">
        <f t="shared" si="1"/>
        <v>846.59</v>
      </c>
      <c r="F77" s="23"/>
      <c r="G77" s="23">
        <v>1</v>
      </c>
    </row>
    <row r="78" spans="2:7" ht="24.75" x14ac:dyDescent="0.25">
      <c r="B78" s="23">
        <v>1</v>
      </c>
      <c r="C78" s="34" t="s">
        <v>154</v>
      </c>
      <c r="D78" s="16">
        <v>846.59</v>
      </c>
      <c r="E78" s="20">
        <f t="shared" si="1"/>
        <v>846.59</v>
      </c>
      <c r="F78" s="23">
        <v>1</v>
      </c>
      <c r="G78" s="23"/>
    </row>
    <row r="79" spans="2:7" x14ac:dyDescent="0.25">
      <c r="B79" s="21">
        <v>1</v>
      </c>
      <c r="C79" s="19" t="s">
        <v>94</v>
      </c>
      <c r="D79" s="16">
        <v>846.59</v>
      </c>
      <c r="E79" s="20">
        <f t="shared" si="1"/>
        <v>846.59</v>
      </c>
      <c r="F79" s="21">
        <v>1</v>
      </c>
      <c r="G79" s="21"/>
    </row>
    <row r="80" spans="2:7" x14ac:dyDescent="0.25">
      <c r="B80" s="21">
        <v>1</v>
      </c>
      <c r="C80" s="9" t="s">
        <v>96</v>
      </c>
      <c r="D80" s="16">
        <v>846.59</v>
      </c>
      <c r="E80" s="20">
        <f t="shared" si="1"/>
        <v>846.59</v>
      </c>
      <c r="F80" s="21">
        <v>1</v>
      </c>
      <c r="G80" s="21"/>
    </row>
    <row r="81" spans="2:7" x14ac:dyDescent="0.25">
      <c r="B81" s="21">
        <v>1</v>
      </c>
      <c r="C81" s="19" t="s">
        <v>104</v>
      </c>
      <c r="D81" s="16">
        <v>846.59</v>
      </c>
      <c r="E81" s="20">
        <f t="shared" si="1"/>
        <v>846.59</v>
      </c>
      <c r="F81" s="21"/>
      <c r="G81" s="21">
        <v>1</v>
      </c>
    </row>
    <row r="82" spans="2:7" x14ac:dyDescent="0.25">
      <c r="B82" s="21">
        <v>1</v>
      </c>
      <c r="C82" s="19" t="s">
        <v>105</v>
      </c>
      <c r="D82" s="16">
        <v>846.59</v>
      </c>
      <c r="E82" s="20">
        <f t="shared" si="1"/>
        <v>846.59</v>
      </c>
      <c r="F82" s="21">
        <v>1</v>
      </c>
      <c r="G82" s="21"/>
    </row>
    <row r="83" spans="2:7" x14ac:dyDescent="0.25">
      <c r="B83" s="21">
        <v>1</v>
      </c>
      <c r="C83" s="19" t="s">
        <v>66</v>
      </c>
      <c r="D83" s="16">
        <v>846.59</v>
      </c>
      <c r="E83" s="20">
        <f t="shared" si="1"/>
        <v>846.59</v>
      </c>
      <c r="F83" s="21">
        <v>1</v>
      </c>
      <c r="G83" s="21"/>
    </row>
    <row r="84" spans="2:7" x14ac:dyDescent="0.25">
      <c r="B84" s="21">
        <v>1</v>
      </c>
      <c r="C84" s="19" t="s">
        <v>109</v>
      </c>
      <c r="D84" s="16">
        <v>846.59</v>
      </c>
      <c r="E84" s="20">
        <f t="shared" si="1"/>
        <v>846.59</v>
      </c>
      <c r="F84" s="21">
        <v>1</v>
      </c>
      <c r="G84" s="21"/>
    </row>
    <row r="85" spans="2:7" x14ac:dyDescent="0.25">
      <c r="B85" s="21">
        <v>1</v>
      </c>
      <c r="C85" s="19" t="s">
        <v>115</v>
      </c>
      <c r="D85" s="16">
        <v>846.59</v>
      </c>
      <c r="E85" s="20">
        <f t="shared" si="1"/>
        <v>846.59</v>
      </c>
      <c r="F85" s="21"/>
      <c r="G85" s="21">
        <v>1</v>
      </c>
    </row>
    <row r="86" spans="2:7" x14ac:dyDescent="0.25">
      <c r="B86" s="21">
        <v>1</v>
      </c>
      <c r="C86" s="19" t="s">
        <v>116</v>
      </c>
      <c r="D86" s="16">
        <v>846.59</v>
      </c>
      <c r="E86" s="20">
        <f t="shared" si="1"/>
        <v>846.59</v>
      </c>
      <c r="F86" s="21">
        <v>1</v>
      </c>
      <c r="G86" s="21"/>
    </row>
    <row r="87" spans="2:7" x14ac:dyDescent="0.25">
      <c r="B87" s="21">
        <v>1</v>
      </c>
      <c r="C87" s="19" t="s">
        <v>117</v>
      </c>
      <c r="D87" s="16">
        <v>846.59</v>
      </c>
      <c r="E87" s="20">
        <f t="shared" si="1"/>
        <v>846.59</v>
      </c>
      <c r="F87" s="21">
        <v>1</v>
      </c>
      <c r="G87" s="21"/>
    </row>
    <row r="88" spans="2:7" x14ac:dyDescent="0.25">
      <c r="B88" s="21">
        <v>1</v>
      </c>
      <c r="C88" s="19" t="s">
        <v>118</v>
      </c>
      <c r="D88" s="16">
        <v>846.59</v>
      </c>
      <c r="E88" s="20">
        <f t="shared" si="1"/>
        <v>846.59</v>
      </c>
      <c r="F88" s="21"/>
      <c r="G88" s="21">
        <v>1</v>
      </c>
    </row>
    <row r="89" spans="2:7" x14ac:dyDescent="0.25">
      <c r="B89" s="21">
        <v>1</v>
      </c>
      <c r="C89" s="32" t="s">
        <v>81</v>
      </c>
      <c r="D89" s="11">
        <v>846.59</v>
      </c>
      <c r="E89" s="20">
        <f t="shared" si="1"/>
        <v>846.59</v>
      </c>
      <c r="F89" s="21">
        <v>1</v>
      </c>
      <c r="G89" s="21"/>
    </row>
    <row r="90" spans="2:7" x14ac:dyDescent="0.25">
      <c r="B90" s="21">
        <f>2+1+1</f>
        <v>4</v>
      </c>
      <c r="C90" s="19" t="s">
        <v>188</v>
      </c>
      <c r="D90" s="16">
        <v>846.59</v>
      </c>
      <c r="E90" s="20">
        <f t="shared" si="1"/>
        <v>3386.36</v>
      </c>
      <c r="F90" s="21">
        <f>1+1+1</f>
        <v>3</v>
      </c>
      <c r="G90" s="21">
        <v>1</v>
      </c>
    </row>
    <row r="91" spans="2:7" x14ac:dyDescent="0.25">
      <c r="B91" s="21">
        <f>1+3</f>
        <v>4</v>
      </c>
      <c r="C91" s="19" t="s">
        <v>153</v>
      </c>
      <c r="D91" s="16">
        <v>846.59</v>
      </c>
      <c r="E91" s="20">
        <f t="shared" si="1"/>
        <v>3386.36</v>
      </c>
      <c r="F91" s="21">
        <v>3</v>
      </c>
      <c r="G91" s="21">
        <v>1</v>
      </c>
    </row>
    <row r="92" spans="2:7" x14ac:dyDescent="0.25">
      <c r="B92" s="21">
        <v>1</v>
      </c>
      <c r="C92" s="19" t="s">
        <v>17</v>
      </c>
      <c r="D92" s="16">
        <v>846.59</v>
      </c>
      <c r="E92" s="20">
        <f t="shared" si="1"/>
        <v>846.59</v>
      </c>
      <c r="F92" s="21">
        <v>1</v>
      </c>
      <c r="G92" s="21"/>
    </row>
    <row r="93" spans="2:7" x14ac:dyDescent="0.25">
      <c r="B93" s="21">
        <v>1</v>
      </c>
      <c r="C93" s="19" t="s">
        <v>189</v>
      </c>
      <c r="D93" s="16">
        <v>846.59</v>
      </c>
      <c r="E93" s="20">
        <f t="shared" si="1"/>
        <v>846.59</v>
      </c>
      <c r="F93" s="21">
        <v>1</v>
      </c>
      <c r="G93" s="21"/>
    </row>
    <row r="94" spans="2:7" x14ac:dyDescent="0.25">
      <c r="B94" s="21">
        <v>1</v>
      </c>
      <c r="C94" s="19" t="s">
        <v>190</v>
      </c>
      <c r="D94" s="16">
        <f>798.67*6%+798.67</f>
        <v>846.59019999999998</v>
      </c>
      <c r="E94" s="20">
        <f t="shared" si="1"/>
        <v>846.59019999999998</v>
      </c>
      <c r="F94" s="21"/>
      <c r="G94" s="21">
        <v>1</v>
      </c>
    </row>
    <row r="95" spans="2:7" x14ac:dyDescent="0.25">
      <c r="B95" s="21">
        <v>1</v>
      </c>
      <c r="C95" s="19" t="s">
        <v>191</v>
      </c>
      <c r="D95" s="16">
        <v>846.59</v>
      </c>
      <c r="E95" s="20">
        <f t="shared" si="1"/>
        <v>846.59</v>
      </c>
      <c r="F95" s="21"/>
      <c r="G95" s="21">
        <v>1</v>
      </c>
    </row>
    <row r="96" spans="2:7" x14ac:dyDescent="0.25">
      <c r="B96" s="21">
        <f>2+1</f>
        <v>3</v>
      </c>
      <c r="C96" s="19" t="s">
        <v>149</v>
      </c>
      <c r="D96" s="16">
        <f>743.67*6%+743.67</f>
        <v>788.29019999999991</v>
      </c>
      <c r="E96" s="20">
        <f t="shared" si="1"/>
        <v>2364.8705999999997</v>
      </c>
      <c r="F96" s="21">
        <f>2+1</f>
        <v>3</v>
      </c>
      <c r="G96" s="21"/>
    </row>
    <row r="97" spans="2:7" x14ac:dyDescent="0.25">
      <c r="B97" s="21">
        <v>1</v>
      </c>
      <c r="C97" s="19" t="s">
        <v>160</v>
      </c>
      <c r="D97" s="16">
        <f>743.67*6%+743.67</f>
        <v>788.29019999999991</v>
      </c>
      <c r="E97" s="20">
        <f t="shared" si="1"/>
        <v>788.29019999999991</v>
      </c>
      <c r="F97" s="21"/>
      <c r="G97" s="21">
        <v>1</v>
      </c>
    </row>
    <row r="98" spans="2:7" x14ac:dyDescent="0.25">
      <c r="B98" s="21">
        <f>2+1+1</f>
        <v>4</v>
      </c>
      <c r="C98" s="19" t="s">
        <v>192</v>
      </c>
      <c r="D98" s="16">
        <v>788.29</v>
      </c>
      <c r="E98" s="20">
        <f t="shared" si="1"/>
        <v>3153.16</v>
      </c>
      <c r="F98" s="21">
        <f>2+1</f>
        <v>3</v>
      </c>
      <c r="G98" s="21">
        <v>1</v>
      </c>
    </row>
    <row r="99" spans="2:7" x14ac:dyDescent="0.25">
      <c r="B99" s="21">
        <f>1+1</f>
        <v>2</v>
      </c>
      <c r="C99" s="19" t="s">
        <v>236</v>
      </c>
      <c r="D99" s="16">
        <v>758.86</v>
      </c>
      <c r="E99" s="20">
        <f t="shared" si="1"/>
        <v>1517.72</v>
      </c>
      <c r="F99" s="21">
        <v>1</v>
      </c>
      <c r="G99" s="21">
        <v>1</v>
      </c>
    </row>
    <row r="100" spans="2:7" x14ac:dyDescent="0.25">
      <c r="B100" s="21">
        <f>4+1</f>
        <v>5</v>
      </c>
      <c r="C100" s="19" t="s">
        <v>110</v>
      </c>
      <c r="D100" s="16">
        <v>758.86</v>
      </c>
      <c r="E100" s="20">
        <f t="shared" si="1"/>
        <v>3794.3</v>
      </c>
      <c r="F100" s="21">
        <f>2+1</f>
        <v>3</v>
      </c>
      <c r="G100" s="21">
        <v>2</v>
      </c>
    </row>
    <row r="101" spans="2:7" x14ac:dyDescent="0.25">
      <c r="B101" s="21">
        <v>1</v>
      </c>
      <c r="C101" s="19" t="s">
        <v>175</v>
      </c>
      <c r="D101" s="16">
        <v>758.86</v>
      </c>
      <c r="E101" s="20">
        <f t="shared" si="1"/>
        <v>758.86</v>
      </c>
      <c r="F101" s="21"/>
      <c r="G101" s="21">
        <v>1</v>
      </c>
    </row>
    <row r="102" spans="2:7" x14ac:dyDescent="0.25">
      <c r="B102" s="21">
        <v>1</v>
      </c>
      <c r="C102" s="19" t="s">
        <v>176</v>
      </c>
      <c r="D102" s="16">
        <v>758.86</v>
      </c>
      <c r="E102" s="20">
        <f t="shared" si="1"/>
        <v>758.86</v>
      </c>
      <c r="F102" s="21">
        <v>1</v>
      </c>
      <c r="G102" s="21"/>
    </row>
    <row r="103" spans="2:7" x14ac:dyDescent="0.25">
      <c r="B103" s="21">
        <v>1</v>
      </c>
      <c r="C103" s="19" t="s">
        <v>193</v>
      </c>
      <c r="D103" s="16">
        <v>739.88</v>
      </c>
      <c r="E103" s="20">
        <f t="shared" si="1"/>
        <v>739.88</v>
      </c>
      <c r="F103" s="21">
        <v>1</v>
      </c>
      <c r="G103" s="21"/>
    </row>
    <row r="104" spans="2:7" x14ac:dyDescent="0.25">
      <c r="B104" s="21">
        <v>1</v>
      </c>
      <c r="C104" s="9" t="s">
        <v>161</v>
      </c>
      <c r="D104" s="16">
        <v>734.25</v>
      </c>
      <c r="E104" s="20">
        <f t="shared" si="1"/>
        <v>734.25</v>
      </c>
      <c r="F104" s="21">
        <v>1</v>
      </c>
      <c r="G104" s="21"/>
    </row>
    <row r="105" spans="2:7" x14ac:dyDescent="0.25">
      <c r="B105" s="21">
        <v>1</v>
      </c>
      <c r="C105" s="9" t="s">
        <v>194</v>
      </c>
      <c r="D105" s="16">
        <v>720.91</v>
      </c>
      <c r="E105" s="20">
        <f t="shared" si="1"/>
        <v>720.91</v>
      </c>
      <c r="F105" s="21">
        <v>1</v>
      </c>
      <c r="G105" s="21"/>
    </row>
    <row r="106" spans="2:7" x14ac:dyDescent="0.25">
      <c r="B106" s="21">
        <f>2+2+2+1</f>
        <v>7</v>
      </c>
      <c r="C106" s="9" t="s">
        <v>161</v>
      </c>
      <c r="D106" s="16">
        <f>674.55*6%+674.55</f>
        <v>715.02299999999991</v>
      </c>
      <c r="E106" s="20">
        <f t="shared" si="1"/>
        <v>5005.1609999999991</v>
      </c>
      <c r="F106" s="21">
        <f>1+2+1+1</f>
        <v>5</v>
      </c>
      <c r="G106" s="21">
        <f>1+1</f>
        <v>2</v>
      </c>
    </row>
    <row r="107" spans="2:7" x14ac:dyDescent="0.25">
      <c r="B107" s="21">
        <v>4</v>
      </c>
      <c r="C107" s="9" t="s">
        <v>49</v>
      </c>
      <c r="D107" s="16">
        <v>715.02</v>
      </c>
      <c r="E107" s="20">
        <f t="shared" si="1"/>
        <v>2860.08</v>
      </c>
      <c r="F107" s="21">
        <v>1</v>
      </c>
      <c r="G107" s="21">
        <v>3</v>
      </c>
    </row>
    <row r="108" spans="2:7" x14ac:dyDescent="0.25">
      <c r="B108" s="21">
        <v>3</v>
      </c>
      <c r="C108" s="9" t="s">
        <v>195</v>
      </c>
      <c r="D108" s="16">
        <v>715.02</v>
      </c>
      <c r="E108" s="20">
        <f t="shared" si="1"/>
        <v>2145.06</v>
      </c>
      <c r="F108" s="21">
        <v>1</v>
      </c>
      <c r="G108" s="21">
        <v>2</v>
      </c>
    </row>
    <row r="109" spans="2:7" x14ac:dyDescent="0.25">
      <c r="B109" s="21">
        <v>1</v>
      </c>
      <c r="C109" s="9" t="s">
        <v>134</v>
      </c>
      <c r="D109" s="16">
        <v>715.02</v>
      </c>
      <c r="E109" s="20">
        <f t="shared" si="1"/>
        <v>715.02</v>
      </c>
      <c r="F109" s="21">
        <v>1</v>
      </c>
      <c r="G109" s="21"/>
    </row>
    <row r="110" spans="2:7" x14ac:dyDescent="0.25">
      <c r="B110" s="21">
        <f>1+1+6</f>
        <v>8</v>
      </c>
      <c r="C110" s="9" t="s">
        <v>196</v>
      </c>
      <c r="D110" s="11">
        <v>715.02</v>
      </c>
      <c r="E110" s="20">
        <f t="shared" si="1"/>
        <v>5720.16</v>
      </c>
      <c r="F110" s="21">
        <f>1+1+1</f>
        <v>3</v>
      </c>
      <c r="G110" s="21">
        <v>5</v>
      </c>
    </row>
    <row r="111" spans="2:7" x14ac:dyDescent="0.25">
      <c r="B111" s="21">
        <v>6</v>
      </c>
      <c r="C111" s="9" t="s">
        <v>31</v>
      </c>
      <c r="D111" s="16">
        <v>715.02</v>
      </c>
      <c r="E111" s="20">
        <f t="shared" si="1"/>
        <v>4290.12</v>
      </c>
      <c r="F111" s="21">
        <v>4</v>
      </c>
      <c r="G111" s="21">
        <v>2</v>
      </c>
    </row>
    <row r="112" spans="2:7" x14ac:dyDescent="0.25">
      <c r="B112" s="21">
        <f>2+1</f>
        <v>3</v>
      </c>
      <c r="C112" s="9" t="s">
        <v>197</v>
      </c>
      <c r="D112" s="16">
        <v>715.02</v>
      </c>
      <c r="E112" s="20">
        <f t="shared" si="1"/>
        <v>2145.06</v>
      </c>
      <c r="F112" s="21">
        <v>1</v>
      </c>
      <c r="G112" s="21">
        <f>1+1</f>
        <v>2</v>
      </c>
    </row>
    <row r="113" spans="2:7" x14ac:dyDescent="0.25">
      <c r="B113" s="21">
        <v>2</v>
      </c>
      <c r="C113" s="9" t="s">
        <v>52</v>
      </c>
      <c r="D113" s="16">
        <v>715.02</v>
      </c>
      <c r="E113" s="20">
        <f t="shared" ref="E113:E173" si="2">D113*B113</f>
        <v>1430.04</v>
      </c>
      <c r="F113" s="21"/>
      <c r="G113" s="21">
        <v>2</v>
      </c>
    </row>
    <row r="114" spans="2:7" x14ac:dyDescent="0.25">
      <c r="B114" s="21">
        <v>8</v>
      </c>
      <c r="C114" s="9" t="s">
        <v>89</v>
      </c>
      <c r="D114" s="16">
        <v>715.02</v>
      </c>
      <c r="E114" s="20">
        <f t="shared" si="2"/>
        <v>5720.16</v>
      </c>
      <c r="F114" s="21">
        <v>4</v>
      </c>
      <c r="G114" s="21">
        <v>4</v>
      </c>
    </row>
    <row r="115" spans="2:7" x14ac:dyDescent="0.25">
      <c r="B115" s="21">
        <v>1</v>
      </c>
      <c r="C115" s="9" t="s">
        <v>198</v>
      </c>
      <c r="D115" s="16">
        <v>715.02</v>
      </c>
      <c r="E115" s="20">
        <f t="shared" si="2"/>
        <v>715.02</v>
      </c>
      <c r="F115" s="21">
        <v>1</v>
      </c>
      <c r="G115" s="21"/>
    </row>
    <row r="116" spans="2:7" x14ac:dyDescent="0.25">
      <c r="B116" s="21">
        <v>1</v>
      </c>
      <c r="C116" s="9" t="s">
        <v>199</v>
      </c>
      <c r="D116" s="16">
        <v>715.02</v>
      </c>
      <c r="E116" s="20">
        <f t="shared" si="2"/>
        <v>715.02</v>
      </c>
      <c r="F116" s="21">
        <v>1</v>
      </c>
      <c r="G116" s="21"/>
    </row>
    <row r="117" spans="2:7" x14ac:dyDescent="0.25">
      <c r="B117" s="21">
        <v>2</v>
      </c>
      <c r="C117" s="9" t="s">
        <v>97</v>
      </c>
      <c r="D117" s="16">
        <v>715.02</v>
      </c>
      <c r="E117" s="20">
        <f t="shared" si="2"/>
        <v>1430.04</v>
      </c>
      <c r="F117" s="21">
        <v>2</v>
      </c>
      <c r="G117" s="21"/>
    </row>
    <row r="118" spans="2:7" x14ac:dyDescent="0.25">
      <c r="B118" s="21">
        <f>1+2</f>
        <v>3</v>
      </c>
      <c r="C118" s="9" t="s">
        <v>98</v>
      </c>
      <c r="D118" s="16">
        <v>715.02</v>
      </c>
      <c r="E118" s="20">
        <f t="shared" si="2"/>
        <v>2145.06</v>
      </c>
      <c r="F118" s="21">
        <v>1</v>
      </c>
      <c r="G118" s="21">
        <f>1+1</f>
        <v>2</v>
      </c>
    </row>
    <row r="119" spans="2:7" x14ac:dyDescent="0.25">
      <c r="B119" s="21">
        <v>4</v>
      </c>
      <c r="C119" s="19" t="s">
        <v>99</v>
      </c>
      <c r="D119" s="16">
        <v>715.02</v>
      </c>
      <c r="E119" s="20">
        <f t="shared" si="2"/>
        <v>2860.08</v>
      </c>
      <c r="F119" s="21">
        <v>2</v>
      </c>
      <c r="G119" s="21">
        <v>2</v>
      </c>
    </row>
    <row r="120" spans="2:7" x14ac:dyDescent="0.25">
      <c r="B120" s="21">
        <v>2</v>
      </c>
      <c r="C120" s="19" t="s">
        <v>200</v>
      </c>
      <c r="D120" s="16">
        <v>715.02</v>
      </c>
      <c r="E120" s="20">
        <f t="shared" si="2"/>
        <v>1430.04</v>
      </c>
      <c r="F120" s="21">
        <v>1</v>
      </c>
      <c r="G120" s="21">
        <v>1</v>
      </c>
    </row>
    <row r="121" spans="2:7" x14ac:dyDescent="0.25">
      <c r="B121" s="21">
        <v>1</v>
      </c>
      <c r="C121" s="9" t="s">
        <v>162</v>
      </c>
      <c r="D121" s="16">
        <v>715.02</v>
      </c>
      <c r="E121" s="20">
        <f t="shared" si="2"/>
        <v>715.02</v>
      </c>
      <c r="F121" s="21">
        <v>1</v>
      </c>
      <c r="G121" s="21"/>
    </row>
    <row r="122" spans="2:7" x14ac:dyDescent="0.25">
      <c r="B122" s="21">
        <v>5</v>
      </c>
      <c r="C122" s="9" t="s">
        <v>201</v>
      </c>
      <c r="D122" s="16">
        <v>715.02</v>
      </c>
      <c r="E122" s="20">
        <f t="shared" si="2"/>
        <v>3575.1</v>
      </c>
      <c r="F122" s="21">
        <v>4</v>
      </c>
      <c r="G122" s="21">
        <v>1</v>
      </c>
    </row>
    <row r="123" spans="2:7" x14ac:dyDescent="0.25">
      <c r="B123" s="21">
        <v>1</v>
      </c>
      <c r="C123" s="9" t="s">
        <v>202</v>
      </c>
      <c r="D123" s="16">
        <v>715.02</v>
      </c>
      <c r="E123" s="20">
        <f t="shared" si="2"/>
        <v>715.02</v>
      </c>
      <c r="F123" s="21"/>
      <c r="G123" s="21">
        <v>1</v>
      </c>
    </row>
    <row r="124" spans="2:7" x14ac:dyDescent="0.25">
      <c r="B124" s="21">
        <f>19+11+1+1+1+1</f>
        <v>34</v>
      </c>
      <c r="C124" s="9" t="s">
        <v>143</v>
      </c>
      <c r="D124" s="31">
        <v>715.02</v>
      </c>
      <c r="E124" s="20">
        <f t="shared" si="2"/>
        <v>24310.68</v>
      </c>
      <c r="F124" s="21">
        <f>5+4+1</f>
        <v>10</v>
      </c>
      <c r="G124" s="21">
        <f>14+7+1+1+1</f>
        <v>24</v>
      </c>
    </row>
    <row r="125" spans="2:7" x14ac:dyDescent="0.25">
      <c r="B125" s="21">
        <f>15+4+2+2+3+6</f>
        <v>32</v>
      </c>
      <c r="C125" s="9" t="s">
        <v>203</v>
      </c>
      <c r="D125" s="31">
        <v>715.02</v>
      </c>
      <c r="E125" s="20">
        <f t="shared" si="2"/>
        <v>22880.639999999999</v>
      </c>
      <c r="F125" s="21">
        <f>5+1+2+1+3</f>
        <v>12</v>
      </c>
      <c r="G125" s="21">
        <f>10+3+1+3+3</f>
        <v>20</v>
      </c>
    </row>
    <row r="126" spans="2:7" x14ac:dyDescent="0.25">
      <c r="B126" s="21">
        <f>101+17+12+24+13+22</f>
        <v>189</v>
      </c>
      <c r="C126" s="19" t="s">
        <v>70</v>
      </c>
      <c r="D126" s="31">
        <v>715.02</v>
      </c>
      <c r="E126" s="20">
        <f t="shared" si="2"/>
        <v>135138.78</v>
      </c>
      <c r="F126" s="21">
        <f>46+8+9+12+8+14</f>
        <v>97</v>
      </c>
      <c r="G126" s="21">
        <f>55+9+3+12+5+8</f>
        <v>92</v>
      </c>
    </row>
    <row r="127" spans="2:7" x14ac:dyDescent="0.25">
      <c r="B127" s="24">
        <f>47+4+2+4+8+1+1+5+11+3</f>
        <v>86</v>
      </c>
      <c r="C127" s="19" t="s">
        <v>204</v>
      </c>
      <c r="D127" s="16">
        <v>715.02</v>
      </c>
      <c r="E127" s="20">
        <f t="shared" si="2"/>
        <v>61491.72</v>
      </c>
      <c r="F127" s="21">
        <f>22+1+1+5+3+5</f>
        <v>37</v>
      </c>
      <c r="G127" s="21">
        <f>25+3+2+3+3+1+1+2+6+3</f>
        <v>49</v>
      </c>
    </row>
    <row r="128" spans="2:7" x14ac:dyDescent="0.25">
      <c r="B128" s="24">
        <f>8+1</f>
        <v>9</v>
      </c>
      <c r="C128" s="19" t="s">
        <v>205</v>
      </c>
      <c r="D128" s="16">
        <v>715.02</v>
      </c>
      <c r="E128" s="20">
        <f t="shared" si="2"/>
        <v>6435.18</v>
      </c>
      <c r="F128" s="21">
        <f>2+1</f>
        <v>3</v>
      </c>
      <c r="G128" s="21">
        <v>6</v>
      </c>
    </row>
    <row r="129" spans="2:7" x14ac:dyDescent="0.25">
      <c r="B129" s="23">
        <f>6+5+3+3</f>
        <v>17</v>
      </c>
      <c r="C129" s="9" t="s">
        <v>79</v>
      </c>
      <c r="D129" s="16">
        <v>715.02</v>
      </c>
      <c r="E129" s="20">
        <f t="shared" si="2"/>
        <v>12155.34</v>
      </c>
      <c r="F129" s="23">
        <f>4+4+2+3</f>
        <v>13</v>
      </c>
      <c r="G129" s="23">
        <f>2+1+1</f>
        <v>4</v>
      </c>
    </row>
    <row r="130" spans="2:7" x14ac:dyDescent="0.25">
      <c r="B130" s="23">
        <f>9+12+5+6</f>
        <v>32</v>
      </c>
      <c r="C130" s="9" t="s">
        <v>80</v>
      </c>
      <c r="D130" s="16">
        <v>715.02</v>
      </c>
      <c r="E130" s="20">
        <f t="shared" si="2"/>
        <v>22880.639999999999</v>
      </c>
      <c r="F130" s="23">
        <f>6+6+2+2</f>
        <v>16</v>
      </c>
      <c r="G130" s="23">
        <f>3+6+3+4</f>
        <v>16</v>
      </c>
    </row>
    <row r="131" spans="2:7" x14ac:dyDescent="0.25">
      <c r="B131" s="23">
        <f>4+1+2</f>
        <v>7</v>
      </c>
      <c r="C131" s="9" t="s">
        <v>206</v>
      </c>
      <c r="D131" s="16">
        <v>715.02</v>
      </c>
      <c r="E131" s="20">
        <f t="shared" si="2"/>
        <v>5005.1399999999994</v>
      </c>
      <c r="F131" s="23">
        <f>2+1+2</f>
        <v>5</v>
      </c>
      <c r="G131" s="23">
        <v>2</v>
      </c>
    </row>
    <row r="132" spans="2:7" x14ac:dyDescent="0.25">
      <c r="B132" s="23">
        <f>2+1</f>
        <v>3</v>
      </c>
      <c r="C132" s="9" t="s">
        <v>86</v>
      </c>
      <c r="D132" s="16">
        <v>715.02</v>
      </c>
      <c r="E132" s="20">
        <f t="shared" si="2"/>
        <v>2145.06</v>
      </c>
      <c r="F132" s="23">
        <f>1+1</f>
        <v>2</v>
      </c>
      <c r="G132" s="23">
        <v>1</v>
      </c>
    </row>
    <row r="133" spans="2:7" x14ac:dyDescent="0.25">
      <c r="B133" s="23">
        <v>1</v>
      </c>
      <c r="C133" s="9" t="s">
        <v>110</v>
      </c>
      <c r="D133" s="16">
        <v>715.02</v>
      </c>
      <c r="E133" s="20">
        <f t="shared" si="2"/>
        <v>715.02</v>
      </c>
      <c r="F133" s="23">
        <v>1</v>
      </c>
      <c r="G133" s="23"/>
    </row>
    <row r="134" spans="2:7" x14ac:dyDescent="0.25">
      <c r="B134" s="23">
        <v>1</v>
      </c>
      <c r="C134" s="9" t="s">
        <v>28</v>
      </c>
      <c r="D134" s="16">
        <v>715.02</v>
      </c>
      <c r="E134" s="20">
        <f t="shared" si="2"/>
        <v>715.02</v>
      </c>
      <c r="F134" s="23"/>
      <c r="G134" s="23">
        <v>1</v>
      </c>
    </row>
    <row r="135" spans="2:7" s="13" customFormat="1" x14ac:dyDescent="0.25">
      <c r="B135" s="48"/>
      <c r="C135" s="49"/>
      <c r="D135" s="56"/>
      <c r="E135" s="57"/>
      <c r="F135" s="48"/>
      <c r="G135" s="48"/>
    </row>
    <row r="136" spans="2:7" s="13" customFormat="1" x14ac:dyDescent="0.25">
      <c r="B136" s="48"/>
      <c r="C136" s="49"/>
      <c r="D136" s="56"/>
      <c r="E136" s="57"/>
      <c r="F136" s="48"/>
      <c r="G136" s="48"/>
    </row>
    <row r="137" spans="2:7" s="13" customFormat="1" x14ac:dyDescent="0.25">
      <c r="B137" s="48"/>
      <c r="C137" s="49"/>
      <c r="D137" s="56"/>
      <c r="E137" s="57"/>
      <c r="F137" s="48"/>
      <c r="G137" s="48"/>
    </row>
    <row r="138" spans="2:7" s="13" customFormat="1" x14ac:dyDescent="0.25">
      <c r="B138" s="48"/>
      <c r="C138" s="49"/>
      <c r="D138" s="56"/>
      <c r="E138" s="57"/>
      <c r="F138" s="48"/>
      <c r="G138" s="48"/>
    </row>
    <row r="139" spans="2:7" s="13" customFormat="1" x14ac:dyDescent="0.25">
      <c r="B139" s="48"/>
      <c r="C139" s="49"/>
      <c r="D139" s="56"/>
      <c r="E139" s="57"/>
      <c r="F139" s="48"/>
      <c r="G139" s="48"/>
    </row>
    <row r="140" spans="2:7" x14ac:dyDescent="0.25">
      <c r="B140" s="23">
        <f>2+1+1+1+1+1</f>
        <v>7</v>
      </c>
      <c r="C140" s="19" t="s">
        <v>207</v>
      </c>
      <c r="D140" s="16">
        <v>715.02</v>
      </c>
      <c r="E140" s="20">
        <f t="shared" si="2"/>
        <v>5005.1399999999994</v>
      </c>
      <c r="F140" s="23"/>
      <c r="G140" s="23">
        <f>2+1+1+1+1+1</f>
        <v>7</v>
      </c>
    </row>
    <row r="141" spans="2:7" x14ac:dyDescent="0.25">
      <c r="B141" s="23">
        <v>1</v>
      </c>
      <c r="C141" s="9" t="s">
        <v>208</v>
      </c>
      <c r="D141" s="16">
        <v>715.02</v>
      </c>
      <c r="E141" s="20">
        <f t="shared" si="2"/>
        <v>715.02</v>
      </c>
      <c r="F141" s="23">
        <v>1</v>
      </c>
      <c r="G141" s="23"/>
    </row>
    <row r="142" spans="2:7" x14ac:dyDescent="0.25">
      <c r="B142" s="23">
        <v>1</v>
      </c>
      <c r="C142" s="9" t="s">
        <v>57</v>
      </c>
      <c r="D142" s="16">
        <v>660</v>
      </c>
      <c r="E142" s="20">
        <f t="shared" si="2"/>
        <v>660</v>
      </c>
      <c r="F142" s="23"/>
      <c r="G142" s="23">
        <v>1</v>
      </c>
    </row>
    <row r="143" spans="2:7" x14ac:dyDescent="0.25">
      <c r="B143" s="23">
        <v>1</v>
      </c>
      <c r="C143" s="19" t="s">
        <v>209</v>
      </c>
      <c r="D143" s="16">
        <v>641.11</v>
      </c>
      <c r="E143" s="20">
        <f t="shared" si="2"/>
        <v>641.11</v>
      </c>
      <c r="F143" s="23">
        <v>1</v>
      </c>
      <c r="G143" s="23"/>
    </row>
    <row r="144" spans="2:7" x14ac:dyDescent="0.25">
      <c r="B144" s="23">
        <v>11</v>
      </c>
      <c r="C144" s="19" t="s">
        <v>210</v>
      </c>
      <c r="D144" s="16">
        <v>634.74</v>
      </c>
      <c r="E144" s="20">
        <f t="shared" si="2"/>
        <v>6982.14</v>
      </c>
      <c r="F144" s="23">
        <v>11</v>
      </c>
      <c r="G144" s="23"/>
    </row>
    <row r="145" spans="2:7" x14ac:dyDescent="0.25">
      <c r="B145" s="23">
        <f>1+1+4</f>
        <v>6</v>
      </c>
      <c r="C145" s="19" t="s">
        <v>211</v>
      </c>
      <c r="D145" s="16">
        <v>634.74</v>
      </c>
      <c r="E145" s="20">
        <f t="shared" si="2"/>
        <v>3808.44</v>
      </c>
      <c r="F145" s="23"/>
      <c r="G145" s="23">
        <f>1+1+4</f>
        <v>6</v>
      </c>
    </row>
    <row r="146" spans="2:7" x14ac:dyDescent="0.25">
      <c r="B146" s="23">
        <f>10+1+2+1+1+2</f>
        <v>17</v>
      </c>
      <c r="C146" s="19" t="s">
        <v>212</v>
      </c>
      <c r="D146" s="16">
        <v>634.74</v>
      </c>
      <c r="E146" s="20">
        <f t="shared" si="2"/>
        <v>10790.58</v>
      </c>
      <c r="F146" s="23">
        <f>5+2+1</f>
        <v>8</v>
      </c>
      <c r="G146" s="23">
        <f>5+1+1+1+1</f>
        <v>9</v>
      </c>
    </row>
    <row r="147" spans="2:7" x14ac:dyDescent="0.25">
      <c r="B147" s="23">
        <v>1</v>
      </c>
      <c r="C147" s="9" t="s">
        <v>213</v>
      </c>
      <c r="D147" s="16">
        <v>634.74</v>
      </c>
      <c r="E147" s="20">
        <f t="shared" si="2"/>
        <v>634.74</v>
      </c>
      <c r="F147" s="23">
        <v>1</v>
      </c>
      <c r="G147" s="23"/>
    </row>
    <row r="148" spans="2:7" x14ac:dyDescent="0.25">
      <c r="B148" s="23">
        <f>9+1</f>
        <v>10</v>
      </c>
      <c r="C148" s="19" t="s">
        <v>122</v>
      </c>
      <c r="D148" s="16">
        <v>634.74</v>
      </c>
      <c r="E148" s="20">
        <f t="shared" si="2"/>
        <v>6347.4</v>
      </c>
      <c r="F148" s="23">
        <f>4+1</f>
        <v>5</v>
      </c>
      <c r="G148" s="23">
        <v>5</v>
      </c>
    </row>
    <row r="149" spans="2:7" x14ac:dyDescent="0.25">
      <c r="B149" s="23">
        <v>6</v>
      </c>
      <c r="C149" s="19" t="s">
        <v>79</v>
      </c>
      <c r="D149" s="16">
        <v>634.74</v>
      </c>
      <c r="E149" s="20">
        <f t="shared" si="2"/>
        <v>3808.44</v>
      </c>
      <c r="F149" s="23">
        <v>4</v>
      </c>
      <c r="G149" s="23">
        <v>2</v>
      </c>
    </row>
    <row r="150" spans="2:7" x14ac:dyDescent="0.25">
      <c r="B150" s="23">
        <v>1</v>
      </c>
      <c r="C150" s="19" t="s">
        <v>123</v>
      </c>
      <c r="D150" s="16">
        <v>634.74</v>
      </c>
      <c r="E150" s="20">
        <f t="shared" si="2"/>
        <v>634.74</v>
      </c>
      <c r="F150" s="23">
        <v>1</v>
      </c>
      <c r="G150" s="23"/>
    </row>
    <row r="151" spans="2:7" x14ac:dyDescent="0.25">
      <c r="B151" s="21">
        <v>5</v>
      </c>
      <c r="C151" s="19" t="s">
        <v>80</v>
      </c>
      <c r="D151" s="16">
        <v>634.74</v>
      </c>
      <c r="E151" s="20">
        <f t="shared" si="2"/>
        <v>3173.7</v>
      </c>
      <c r="F151" s="21">
        <v>5</v>
      </c>
      <c r="G151" s="21"/>
    </row>
    <row r="152" spans="2:7" x14ac:dyDescent="0.25">
      <c r="B152" s="21">
        <f>1+1</f>
        <v>2</v>
      </c>
      <c r="C152" s="19" t="s">
        <v>214</v>
      </c>
      <c r="D152" s="16">
        <v>634.74</v>
      </c>
      <c r="E152" s="20">
        <f t="shared" si="2"/>
        <v>1269.48</v>
      </c>
      <c r="F152" s="21">
        <v>1</v>
      </c>
      <c r="G152" s="21">
        <v>1</v>
      </c>
    </row>
    <row r="153" spans="2:7" x14ac:dyDescent="0.25">
      <c r="B153" s="21">
        <v>5</v>
      </c>
      <c r="C153" s="19" t="s">
        <v>215</v>
      </c>
      <c r="D153" s="16">
        <v>634.74</v>
      </c>
      <c r="E153" s="20">
        <f t="shared" si="2"/>
        <v>3173.7</v>
      </c>
      <c r="F153" s="21">
        <v>4</v>
      </c>
      <c r="G153" s="21">
        <v>1</v>
      </c>
    </row>
    <row r="154" spans="2:7" x14ac:dyDescent="0.25">
      <c r="B154" s="21">
        <v>1</v>
      </c>
      <c r="C154" s="19" t="s">
        <v>237</v>
      </c>
      <c r="D154" s="16">
        <v>634.74</v>
      </c>
      <c r="E154" s="20">
        <f t="shared" si="2"/>
        <v>634.74</v>
      </c>
      <c r="F154" s="21">
        <v>1</v>
      </c>
      <c r="G154" s="21"/>
    </row>
    <row r="155" spans="2:7" x14ac:dyDescent="0.25">
      <c r="B155" s="21">
        <f>4+5+1+3+1+1</f>
        <v>15</v>
      </c>
      <c r="C155" s="19" t="s">
        <v>216</v>
      </c>
      <c r="D155" s="16">
        <v>619.80999999999995</v>
      </c>
      <c r="E155" s="20">
        <f t="shared" si="2"/>
        <v>9297.15</v>
      </c>
      <c r="F155" s="21"/>
      <c r="G155" s="21">
        <f>4+5+1+3+1+1</f>
        <v>15</v>
      </c>
    </row>
    <row r="156" spans="2:7" x14ac:dyDescent="0.25">
      <c r="B156" s="21">
        <f>2+2</f>
        <v>4</v>
      </c>
      <c r="C156" s="19" t="s">
        <v>214</v>
      </c>
      <c r="D156" s="16">
        <v>619.80999999999995</v>
      </c>
      <c r="E156" s="20">
        <f t="shared" si="2"/>
        <v>2479.2399999999998</v>
      </c>
      <c r="F156" s="21"/>
      <c r="G156" s="21">
        <f>2+2</f>
        <v>4</v>
      </c>
    </row>
    <row r="157" spans="2:7" x14ac:dyDescent="0.25">
      <c r="B157" s="21">
        <f>1+1+1+3+1+1+1</f>
        <v>9</v>
      </c>
      <c r="C157" s="19" t="s">
        <v>217</v>
      </c>
      <c r="D157" s="16">
        <v>558.71</v>
      </c>
      <c r="E157" s="20">
        <f t="shared" si="2"/>
        <v>5028.3900000000003</v>
      </c>
      <c r="F157" s="21"/>
      <c r="G157" s="21">
        <f>1+1+1+3+1+1+1</f>
        <v>9</v>
      </c>
    </row>
    <row r="158" spans="2:7" x14ac:dyDescent="0.25">
      <c r="B158" s="21">
        <v>1</v>
      </c>
      <c r="C158" s="19" t="s">
        <v>218</v>
      </c>
      <c r="D158" s="16">
        <v>558.71</v>
      </c>
      <c r="E158" s="20">
        <f t="shared" si="2"/>
        <v>558.71</v>
      </c>
      <c r="F158" s="21">
        <v>1</v>
      </c>
      <c r="G158" s="21"/>
    </row>
    <row r="159" spans="2:7" x14ac:dyDescent="0.25">
      <c r="B159" s="21">
        <f>1+1</f>
        <v>2</v>
      </c>
      <c r="C159" s="19" t="s">
        <v>219</v>
      </c>
      <c r="D159" s="16">
        <v>549.9</v>
      </c>
      <c r="E159" s="20">
        <f t="shared" si="2"/>
        <v>1099.8</v>
      </c>
      <c r="F159" s="21">
        <f>1+1</f>
        <v>2</v>
      </c>
      <c r="G159" s="21"/>
    </row>
    <row r="160" spans="2:7" x14ac:dyDescent="0.25">
      <c r="B160" s="21">
        <f>1+1+1</f>
        <v>3</v>
      </c>
      <c r="C160" s="19" t="s">
        <v>57</v>
      </c>
      <c r="D160" s="16">
        <v>536.92999999999995</v>
      </c>
      <c r="E160" s="20">
        <f t="shared" si="2"/>
        <v>1610.79</v>
      </c>
      <c r="F160" s="21"/>
      <c r="G160" s="21">
        <f>1+1+1</f>
        <v>3</v>
      </c>
    </row>
    <row r="161" spans="2:7" x14ac:dyDescent="0.25">
      <c r="B161" s="21">
        <f>10+6+2+2</f>
        <v>20</v>
      </c>
      <c r="C161" s="19" t="s">
        <v>215</v>
      </c>
      <c r="D161" s="16">
        <v>536.92999999999995</v>
      </c>
      <c r="E161" s="20">
        <f t="shared" si="2"/>
        <v>10738.599999999999</v>
      </c>
      <c r="F161" s="21">
        <f>10+6+1+1</f>
        <v>18</v>
      </c>
      <c r="G161" s="21">
        <f>1+1</f>
        <v>2</v>
      </c>
    </row>
    <row r="162" spans="2:7" x14ac:dyDescent="0.25">
      <c r="B162" s="21">
        <f>1+3+6+1+2+1+3+1+2</f>
        <v>20</v>
      </c>
      <c r="C162" s="9" t="s">
        <v>220</v>
      </c>
      <c r="D162" s="16">
        <v>536.92999999999995</v>
      </c>
      <c r="E162" s="20">
        <f t="shared" si="2"/>
        <v>10738.599999999999</v>
      </c>
      <c r="F162" s="21"/>
      <c r="G162" s="21">
        <f>1+3+6+1+2+1+3+1+2</f>
        <v>20</v>
      </c>
    </row>
    <row r="163" spans="2:7" x14ac:dyDescent="0.25">
      <c r="B163" s="21">
        <v>1</v>
      </c>
      <c r="C163" s="9" t="s">
        <v>221</v>
      </c>
      <c r="D163" s="16">
        <v>536.92999999999995</v>
      </c>
      <c r="E163" s="20">
        <f t="shared" si="2"/>
        <v>536.92999999999995</v>
      </c>
      <c r="F163" s="21">
        <v>1</v>
      </c>
      <c r="G163" s="21"/>
    </row>
    <row r="164" spans="2:7" x14ac:dyDescent="0.25">
      <c r="B164" s="21">
        <v>1</v>
      </c>
      <c r="C164" s="9" t="s">
        <v>222</v>
      </c>
      <c r="D164" s="16">
        <v>536.92999999999995</v>
      </c>
      <c r="E164" s="20">
        <f t="shared" si="2"/>
        <v>536.92999999999995</v>
      </c>
      <c r="F164" s="21"/>
      <c r="G164" s="21">
        <v>1</v>
      </c>
    </row>
    <row r="165" spans="2:7" x14ac:dyDescent="0.25">
      <c r="B165" s="21">
        <f>1+1</f>
        <v>2</v>
      </c>
      <c r="C165" s="9" t="s">
        <v>223</v>
      </c>
      <c r="D165" s="16">
        <v>490.6</v>
      </c>
      <c r="E165" s="20">
        <f t="shared" si="2"/>
        <v>981.2</v>
      </c>
      <c r="F165" s="21">
        <f>1+1</f>
        <v>2</v>
      </c>
      <c r="G165" s="21"/>
    </row>
    <row r="166" spans="2:7" x14ac:dyDescent="0.25">
      <c r="B166" s="21">
        <f>3+25+2+2+2+2+4</f>
        <v>40</v>
      </c>
      <c r="C166" s="19" t="s">
        <v>224</v>
      </c>
      <c r="D166" s="16">
        <v>474.71</v>
      </c>
      <c r="E166" s="20">
        <f t="shared" si="2"/>
        <v>18988.399999999998</v>
      </c>
      <c r="F166" s="21">
        <f>3+25+2+2+2+2+4</f>
        <v>40</v>
      </c>
      <c r="G166" s="21"/>
    </row>
    <row r="167" spans="2:7" x14ac:dyDescent="0.25">
      <c r="B167" s="21">
        <f>23+6+10+2</f>
        <v>41</v>
      </c>
      <c r="C167" s="19" t="s">
        <v>84</v>
      </c>
      <c r="D167" s="16">
        <v>474.71</v>
      </c>
      <c r="E167" s="20">
        <f t="shared" si="2"/>
        <v>19463.11</v>
      </c>
      <c r="F167" s="21">
        <f>23+6+10+2</f>
        <v>41</v>
      </c>
      <c r="G167" s="21"/>
    </row>
    <row r="168" spans="2:7" x14ac:dyDescent="0.25">
      <c r="B168" s="21">
        <f>1+1+6+2+2+1+1</f>
        <v>14</v>
      </c>
      <c r="C168" s="19" t="s">
        <v>33</v>
      </c>
      <c r="D168" s="16">
        <v>474.71</v>
      </c>
      <c r="E168" s="20">
        <f t="shared" si="2"/>
        <v>6645.94</v>
      </c>
      <c r="F168" s="21">
        <f>1+1+6+2+2+1+1</f>
        <v>14</v>
      </c>
      <c r="G168" s="21"/>
    </row>
    <row r="169" spans="2:7" x14ac:dyDescent="0.25">
      <c r="B169" s="21">
        <v>1</v>
      </c>
      <c r="C169" s="19" t="s">
        <v>225</v>
      </c>
      <c r="D169" s="16">
        <v>474.71</v>
      </c>
      <c r="E169" s="20">
        <f t="shared" si="2"/>
        <v>474.71</v>
      </c>
      <c r="F169" s="21">
        <v>1</v>
      </c>
      <c r="G169" s="21"/>
    </row>
    <row r="170" spans="2:7" x14ac:dyDescent="0.25">
      <c r="B170" s="21">
        <v>1</v>
      </c>
      <c r="C170" s="19" t="s">
        <v>226</v>
      </c>
      <c r="D170" s="16">
        <v>459.49</v>
      </c>
      <c r="E170" s="20">
        <f t="shared" si="2"/>
        <v>459.49</v>
      </c>
      <c r="F170" s="21">
        <v>1</v>
      </c>
      <c r="G170" s="21"/>
    </row>
    <row r="171" spans="2:7" x14ac:dyDescent="0.25">
      <c r="B171" s="21">
        <v>1</v>
      </c>
      <c r="C171" s="19" t="s">
        <v>227</v>
      </c>
      <c r="D171" s="16">
        <v>443.6</v>
      </c>
      <c r="E171" s="20">
        <f t="shared" si="2"/>
        <v>443.6</v>
      </c>
      <c r="F171" s="21">
        <v>1</v>
      </c>
      <c r="G171" s="21"/>
    </row>
    <row r="172" spans="2:7" x14ac:dyDescent="0.25">
      <c r="B172" s="21">
        <f>3+13+11+3+2+3+3+6+1</f>
        <v>45</v>
      </c>
      <c r="C172" s="19" t="s">
        <v>228</v>
      </c>
      <c r="D172" s="16">
        <v>443.6</v>
      </c>
      <c r="E172" s="20">
        <f t="shared" si="2"/>
        <v>19962</v>
      </c>
      <c r="F172" s="21">
        <f>1+10+9+3+2+2+3+6+1</f>
        <v>37</v>
      </c>
      <c r="G172" s="21">
        <f>2+3+2+1</f>
        <v>8</v>
      </c>
    </row>
    <row r="173" spans="2:7" x14ac:dyDescent="0.25">
      <c r="B173" s="21">
        <v>1</v>
      </c>
      <c r="C173" s="3" t="s">
        <v>229</v>
      </c>
      <c r="D173" s="11">
        <v>336.04</v>
      </c>
      <c r="E173" s="20">
        <f t="shared" si="2"/>
        <v>336.04</v>
      </c>
      <c r="F173" s="21">
        <v>1</v>
      </c>
      <c r="G173" s="21"/>
    </row>
    <row r="174" spans="2:7" ht="15.75" x14ac:dyDescent="0.25">
      <c r="B174" s="12">
        <f>SUM(B17:B173)</f>
        <v>874</v>
      </c>
      <c r="C174" s="1"/>
      <c r="D174" s="1"/>
      <c r="E174" s="18">
        <f>SUM(E17:E173)</f>
        <v>615422.1320000001</v>
      </c>
      <c r="F174" s="14">
        <f>SUM(F17:F173)</f>
        <v>500</v>
      </c>
      <c r="G174" s="14">
        <f>SUM(G17:G173)</f>
        <v>374</v>
      </c>
    </row>
  </sheetData>
  <mergeCells count="2">
    <mergeCell ref="F3:G3"/>
    <mergeCell ref="F15:G15"/>
  </mergeCells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80"/>
  <sheetViews>
    <sheetView view="pageBreakPreview" topLeftCell="A61" zoomScale="60" zoomScaleNormal="100" workbookViewId="0">
      <selection activeCell="C76" sqref="C76"/>
    </sheetView>
  </sheetViews>
  <sheetFormatPr baseColWidth="10" defaultRowHeight="15" x14ac:dyDescent="0.25"/>
  <cols>
    <col min="1" max="1" width="6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238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5">
        <v>1</v>
      </c>
      <c r="C5" s="9" t="s">
        <v>241</v>
      </c>
      <c r="D5" s="16">
        <v>2600</v>
      </c>
      <c r="E5" s="26">
        <f t="shared" ref="E5:E15" si="0">D5*B5</f>
        <v>2600</v>
      </c>
      <c r="F5" s="7"/>
      <c r="G5" s="7">
        <v>1</v>
      </c>
    </row>
    <row r="6" spans="2:7" x14ac:dyDescent="0.25">
      <c r="B6" s="25">
        <v>1</v>
      </c>
      <c r="C6" s="9" t="s">
        <v>5</v>
      </c>
      <c r="D6" s="16">
        <v>2183.02</v>
      </c>
      <c r="E6" s="26">
        <f t="shared" si="0"/>
        <v>2183.02</v>
      </c>
      <c r="F6" s="7"/>
      <c r="G6" s="7">
        <v>1</v>
      </c>
    </row>
    <row r="7" spans="2:7" x14ac:dyDescent="0.25">
      <c r="B7" s="21">
        <v>1</v>
      </c>
      <c r="C7" s="9" t="s">
        <v>5</v>
      </c>
      <c r="D7" s="16">
        <v>2060</v>
      </c>
      <c r="E7" s="10">
        <f t="shared" si="0"/>
        <v>2060</v>
      </c>
      <c r="F7" s="7">
        <v>1</v>
      </c>
      <c r="G7" s="7"/>
    </row>
    <row r="8" spans="2:7" x14ac:dyDescent="0.25">
      <c r="B8" s="21">
        <v>1</v>
      </c>
      <c r="C8" s="9" t="s">
        <v>242</v>
      </c>
      <c r="D8" s="16">
        <v>1775</v>
      </c>
      <c r="E8" s="10">
        <f t="shared" si="0"/>
        <v>1775</v>
      </c>
      <c r="F8" s="7"/>
      <c r="G8" s="7">
        <v>1</v>
      </c>
    </row>
    <row r="9" spans="2:7" x14ac:dyDescent="0.25">
      <c r="B9" s="21">
        <v>1</v>
      </c>
      <c r="C9" s="9" t="s">
        <v>167</v>
      </c>
      <c r="D9" s="16">
        <v>1623.25</v>
      </c>
      <c r="E9" s="10">
        <f>D9*B9</f>
        <v>1623.25</v>
      </c>
      <c r="F9" s="21">
        <v>1</v>
      </c>
      <c r="G9" s="21"/>
    </row>
    <row r="10" spans="2:7" x14ac:dyDescent="0.25">
      <c r="B10" s="21">
        <v>1</v>
      </c>
      <c r="C10" s="9" t="s">
        <v>239</v>
      </c>
      <c r="D10" s="16">
        <v>1400</v>
      </c>
      <c r="E10" s="10">
        <f t="shared" si="0"/>
        <v>1400</v>
      </c>
      <c r="F10" s="21"/>
      <c r="G10" s="21">
        <v>1</v>
      </c>
    </row>
    <row r="11" spans="2:7" x14ac:dyDescent="0.25">
      <c r="B11" s="21">
        <v>1</v>
      </c>
      <c r="C11" s="9" t="s">
        <v>243</v>
      </c>
      <c r="D11" s="16">
        <v>1400</v>
      </c>
      <c r="E11" s="10">
        <f t="shared" si="0"/>
        <v>1400</v>
      </c>
      <c r="F11" s="21"/>
      <c r="G11" s="21">
        <v>1</v>
      </c>
    </row>
    <row r="12" spans="2:7" x14ac:dyDescent="0.25">
      <c r="B12" s="21">
        <v>1</v>
      </c>
      <c r="C12" s="9" t="s">
        <v>17</v>
      </c>
      <c r="D12" s="16">
        <v>1373.12</v>
      </c>
      <c r="E12" s="10">
        <f t="shared" si="0"/>
        <v>1373.12</v>
      </c>
      <c r="F12" s="21"/>
      <c r="G12" s="21">
        <v>1</v>
      </c>
    </row>
    <row r="13" spans="2:7" x14ac:dyDescent="0.25">
      <c r="B13" s="21">
        <v>1</v>
      </c>
      <c r="C13" s="39" t="s">
        <v>180</v>
      </c>
      <c r="D13" s="16">
        <v>1108.25</v>
      </c>
      <c r="E13" s="10">
        <f t="shared" si="0"/>
        <v>1108.25</v>
      </c>
      <c r="F13" s="21"/>
      <c r="G13" s="21">
        <v>1</v>
      </c>
    </row>
    <row r="14" spans="2:7" x14ac:dyDescent="0.25">
      <c r="B14" s="21">
        <v>1</v>
      </c>
      <c r="C14" s="39" t="s">
        <v>244</v>
      </c>
      <c r="D14" s="16">
        <v>846.59</v>
      </c>
      <c r="E14" s="10">
        <f t="shared" si="0"/>
        <v>846.59</v>
      </c>
      <c r="F14" s="21"/>
      <c r="G14" s="21">
        <v>1</v>
      </c>
    </row>
    <row r="15" spans="2:7" x14ac:dyDescent="0.25">
      <c r="B15" s="21">
        <v>2</v>
      </c>
      <c r="C15" s="9" t="s">
        <v>24</v>
      </c>
      <c r="D15" s="16">
        <v>846.59</v>
      </c>
      <c r="E15" s="10">
        <f t="shared" si="0"/>
        <v>1693.18</v>
      </c>
      <c r="F15" s="21">
        <v>2</v>
      </c>
      <c r="G15" s="21"/>
    </row>
    <row r="16" spans="2:7" x14ac:dyDescent="0.25">
      <c r="B16" s="21"/>
      <c r="C16" s="9"/>
      <c r="D16" s="16"/>
      <c r="E16" s="10"/>
      <c r="F16" s="21"/>
      <c r="G16" s="21"/>
    </row>
    <row r="17" spans="2:7" ht="15.75" x14ac:dyDescent="0.25">
      <c r="B17" s="40">
        <f>SUM(B6:B16)</f>
        <v>11</v>
      </c>
      <c r="C17" s="13"/>
      <c r="D17" s="27"/>
      <c r="E17" s="41">
        <f>SUM(E9:E16)</f>
        <v>9444.39</v>
      </c>
      <c r="F17" s="42">
        <f>SUM(F6:F16)</f>
        <v>4</v>
      </c>
      <c r="G17" s="42">
        <f>SUM(G6:G16)</f>
        <v>7</v>
      </c>
    </row>
    <row r="18" spans="2:7" ht="15.75" x14ac:dyDescent="0.25">
      <c r="B18" s="40"/>
      <c r="C18" s="13"/>
      <c r="D18" s="27"/>
      <c r="E18" s="41"/>
      <c r="F18" s="42"/>
      <c r="G18" s="42"/>
    </row>
    <row r="19" spans="2:7" x14ac:dyDescent="0.25">
      <c r="B19" s="29" t="s">
        <v>37</v>
      </c>
      <c r="C19" s="30"/>
    </row>
    <row r="20" spans="2:7" x14ac:dyDescent="0.25">
      <c r="B20" s="2"/>
      <c r="D20" s="4"/>
      <c r="E20" s="4"/>
      <c r="F20" s="45" t="s">
        <v>3</v>
      </c>
      <c r="G20" s="45"/>
    </row>
    <row r="21" spans="2:7" ht="30" x14ac:dyDescent="0.25">
      <c r="B21" s="6" t="s">
        <v>6</v>
      </c>
      <c r="C21" s="7" t="s">
        <v>4</v>
      </c>
      <c r="D21" s="6" t="s">
        <v>2</v>
      </c>
      <c r="E21" s="6" t="s">
        <v>9</v>
      </c>
      <c r="F21" s="7" t="s">
        <v>0</v>
      </c>
      <c r="G21" s="7" t="s">
        <v>1</v>
      </c>
    </row>
    <row r="22" spans="2:7" x14ac:dyDescent="0.25">
      <c r="B22" s="21">
        <v>1</v>
      </c>
      <c r="C22" s="19" t="s">
        <v>38</v>
      </c>
      <c r="D22" s="16">
        <v>2773.72</v>
      </c>
      <c r="E22" s="20">
        <f t="shared" ref="E22:E53" si="1">D22*B22</f>
        <v>2773.72</v>
      </c>
      <c r="F22" s="21"/>
      <c r="G22" s="21">
        <v>1</v>
      </c>
    </row>
    <row r="23" spans="2:7" x14ac:dyDescent="0.25">
      <c r="B23" s="21">
        <v>1</v>
      </c>
      <c r="C23" s="19" t="s">
        <v>39</v>
      </c>
      <c r="D23" s="16">
        <v>2080.58</v>
      </c>
      <c r="E23" s="20">
        <f t="shared" si="1"/>
        <v>2080.58</v>
      </c>
      <c r="F23" s="21">
        <v>1</v>
      </c>
      <c r="G23" s="21"/>
    </row>
    <row r="24" spans="2:7" x14ac:dyDescent="0.25">
      <c r="B24" s="21">
        <v>1</v>
      </c>
      <c r="C24" s="3" t="s">
        <v>140</v>
      </c>
      <c r="D24" s="16">
        <v>2600</v>
      </c>
      <c r="E24" s="20">
        <f t="shared" si="1"/>
        <v>2600</v>
      </c>
      <c r="F24" s="21">
        <v>1</v>
      </c>
      <c r="G24" s="21"/>
    </row>
    <row r="25" spans="2:7" x14ac:dyDescent="0.25">
      <c r="B25" s="21">
        <v>1</v>
      </c>
      <c r="C25" s="19" t="s">
        <v>231</v>
      </c>
      <c r="D25" s="16">
        <v>2600</v>
      </c>
      <c r="E25" s="20">
        <f t="shared" si="1"/>
        <v>2600</v>
      </c>
      <c r="F25" s="21">
        <v>1</v>
      </c>
      <c r="G25" s="21"/>
    </row>
    <row r="26" spans="2:7" x14ac:dyDescent="0.25">
      <c r="B26" s="21">
        <v>1</v>
      </c>
      <c r="C26" s="9" t="s">
        <v>18</v>
      </c>
      <c r="D26" s="16">
        <v>2183.02</v>
      </c>
      <c r="E26" s="20">
        <f t="shared" si="1"/>
        <v>2183.02</v>
      </c>
      <c r="F26" s="21"/>
      <c r="G26" s="21">
        <v>1</v>
      </c>
    </row>
    <row r="27" spans="2:7" x14ac:dyDescent="0.25">
      <c r="B27" s="21">
        <v>1</v>
      </c>
      <c r="C27" s="9" t="s">
        <v>232</v>
      </c>
      <c r="D27" s="16">
        <v>2183.02</v>
      </c>
      <c r="E27" s="20">
        <f t="shared" si="1"/>
        <v>2183.02</v>
      </c>
      <c r="F27" s="21"/>
      <c r="G27" s="21">
        <v>1</v>
      </c>
    </row>
    <row r="28" spans="2:7" x14ac:dyDescent="0.25">
      <c r="B28" s="21">
        <v>1</v>
      </c>
      <c r="C28" s="9" t="s">
        <v>61</v>
      </c>
      <c r="D28" s="16">
        <v>2183.02</v>
      </c>
      <c r="E28" s="20">
        <f t="shared" si="1"/>
        <v>2183.02</v>
      </c>
      <c r="F28" s="21"/>
      <c r="G28" s="21">
        <v>1</v>
      </c>
    </row>
    <row r="29" spans="2:7" x14ac:dyDescent="0.25">
      <c r="B29" s="21">
        <v>1</v>
      </c>
      <c r="C29" s="9" t="s">
        <v>67</v>
      </c>
      <c r="D29" s="16">
        <v>2183.0100000000002</v>
      </c>
      <c r="E29" s="20">
        <f t="shared" si="1"/>
        <v>2183.0100000000002</v>
      </c>
      <c r="F29" s="21">
        <v>1</v>
      </c>
      <c r="G29" s="21"/>
    </row>
    <row r="30" spans="2:7" x14ac:dyDescent="0.25">
      <c r="B30" s="21">
        <v>1</v>
      </c>
      <c r="C30" s="3" t="s">
        <v>73</v>
      </c>
      <c r="D30" s="16">
        <v>2183.02</v>
      </c>
      <c r="E30" s="20">
        <f t="shared" si="1"/>
        <v>2183.02</v>
      </c>
      <c r="F30" s="21"/>
      <c r="G30" s="21">
        <v>1</v>
      </c>
    </row>
    <row r="31" spans="2:7" x14ac:dyDescent="0.25">
      <c r="B31" s="21"/>
      <c r="C31" s="36" t="s">
        <v>102</v>
      </c>
      <c r="D31" s="37">
        <v>2183.02</v>
      </c>
      <c r="E31" s="20">
        <f t="shared" si="1"/>
        <v>0</v>
      </c>
      <c r="F31" s="21"/>
      <c r="G31" s="21"/>
    </row>
    <row r="32" spans="2:7" x14ac:dyDescent="0.25">
      <c r="B32" s="21">
        <v>1</v>
      </c>
      <c r="C32" s="9" t="s">
        <v>90</v>
      </c>
      <c r="D32" s="16">
        <f>2060</f>
        <v>2060</v>
      </c>
      <c r="E32" s="20">
        <f t="shared" si="1"/>
        <v>2060</v>
      </c>
      <c r="F32" s="21"/>
      <c r="G32" s="21">
        <v>1</v>
      </c>
    </row>
    <row r="33" spans="2:7" x14ac:dyDescent="0.25">
      <c r="B33" s="21">
        <v>1</v>
      </c>
      <c r="C33" s="9" t="s">
        <v>60</v>
      </c>
      <c r="D33" s="16">
        <v>1623.25</v>
      </c>
      <c r="E33" s="20">
        <f t="shared" si="1"/>
        <v>1623.25</v>
      </c>
      <c r="F33" s="21"/>
      <c r="G33" s="21">
        <v>1</v>
      </c>
    </row>
    <row r="34" spans="2:7" x14ac:dyDescent="0.25">
      <c r="B34" s="21">
        <v>1</v>
      </c>
      <c r="C34" s="9" t="s">
        <v>233</v>
      </c>
      <c r="D34" s="16">
        <v>2060</v>
      </c>
      <c r="E34" s="20">
        <f t="shared" si="1"/>
        <v>2060</v>
      </c>
      <c r="F34" s="21">
        <v>1</v>
      </c>
      <c r="G34" s="21"/>
    </row>
    <row r="35" spans="2:7" x14ac:dyDescent="0.25">
      <c r="B35" s="21">
        <v>1</v>
      </c>
      <c r="C35" s="9" t="s">
        <v>155</v>
      </c>
      <c r="D35" s="16">
        <v>1775.02</v>
      </c>
      <c r="E35" s="20">
        <f t="shared" si="1"/>
        <v>1775.02</v>
      </c>
      <c r="F35" s="21"/>
      <c r="G35" s="21">
        <v>1</v>
      </c>
    </row>
    <row r="36" spans="2:7" x14ac:dyDescent="0.25">
      <c r="B36" s="21">
        <v>1</v>
      </c>
      <c r="C36" s="9" t="s">
        <v>234</v>
      </c>
      <c r="D36" s="16">
        <v>1580.29</v>
      </c>
      <c r="E36" s="38">
        <f t="shared" si="1"/>
        <v>1580.29</v>
      </c>
      <c r="F36" s="21">
        <v>1</v>
      </c>
      <c r="G36" s="21"/>
    </row>
    <row r="37" spans="2:7" x14ac:dyDescent="0.25">
      <c r="B37" s="21">
        <v>1</v>
      </c>
      <c r="C37" s="9" t="s">
        <v>168</v>
      </c>
      <c r="D37" s="16">
        <v>1462.57</v>
      </c>
      <c r="E37" s="38">
        <f t="shared" si="1"/>
        <v>1462.57</v>
      </c>
      <c r="F37" s="21">
        <v>1</v>
      </c>
      <c r="G37" s="21"/>
    </row>
    <row r="38" spans="2:7" x14ac:dyDescent="0.25">
      <c r="B38" s="21">
        <v>1</v>
      </c>
      <c r="C38" s="9" t="s">
        <v>177</v>
      </c>
      <c r="D38" s="16">
        <v>1400</v>
      </c>
      <c r="E38" s="38">
        <f t="shared" si="1"/>
        <v>1400</v>
      </c>
      <c r="F38" s="21"/>
      <c r="G38" s="21">
        <v>1</v>
      </c>
    </row>
    <row r="39" spans="2:7" x14ac:dyDescent="0.25">
      <c r="B39" s="21">
        <v>1</v>
      </c>
      <c r="C39" s="9" t="s">
        <v>169</v>
      </c>
      <c r="D39" s="16">
        <v>1373.12</v>
      </c>
      <c r="E39" s="38">
        <f t="shared" si="1"/>
        <v>1373.12</v>
      </c>
      <c r="F39" s="21">
        <v>1</v>
      </c>
      <c r="G39" s="21"/>
    </row>
    <row r="40" spans="2:7" x14ac:dyDescent="0.25">
      <c r="B40" s="21">
        <v>1</v>
      </c>
      <c r="C40" s="19" t="s">
        <v>40</v>
      </c>
      <c r="D40" s="16">
        <v>1373.12</v>
      </c>
      <c r="E40" s="20">
        <f t="shared" si="1"/>
        <v>1373.12</v>
      </c>
      <c r="F40" s="21">
        <v>1</v>
      </c>
      <c r="G40" s="21"/>
    </row>
    <row r="41" spans="2:7" x14ac:dyDescent="0.25">
      <c r="B41" s="21">
        <v>1</v>
      </c>
      <c r="C41" s="9" t="s">
        <v>172</v>
      </c>
      <c r="D41" s="16">
        <v>1373.12</v>
      </c>
      <c r="E41" s="20">
        <f t="shared" si="1"/>
        <v>1373.12</v>
      </c>
      <c r="F41" s="21"/>
      <c r="G41" s="21">
        <v>1</v>
      </c>
    </row>
    <row r="42" spans="2:7" x14ac:dyDescent="0.25">
      <c r="B42" s="21">
        <v>1</v>
      </c>
      <c r="C42" s="9" t="s">
        <v>147</v>
      </c>
      <c r="D42" s="16">
        <v>1373.12</v>
      </c>
      <c r="E42" s="20">
        <f t="shared" si="1"/>
        <v>1373.12</v>
      </c>
      <c r="F42" s="21">
        <v>1</v>
      </c>
      <c r="G42" s="21"/>
    </row>
    <row r="43" spans="2:7" x14ac:dyDescent="0.25">
      <c r="B43" s="24">
        <v>1</v>
      </c>
      <c r="C43" s="3" t="s">
        <v>64</v>
      </c>
      <c r="D43" s="11">
        <v>1373.12</v>
      </c>
      <c r="E43" s="28">
        <f t="shared" si="1"/>
        <v>1373.12</v>
      </c>
      <c r="F43" s="24">
        <v>1</v>
      </c>
      <c r="G43" s="24"/>
    </row>
    <row r="44" spans="2:7" x14ac:dyDescent="0.25">
      <c r="B44" s="21">
        <v>1</v>
      </c>
      <c r="C44" s="9" t="s">
        <v>69</v>
      </c>
      <c r="D44" s="16">
        <v>1373.12</v>
      </c>
      <c r="E44" s="20">
        <f t="shared" si="1"/>
        <v>1373.12</v>
      </c>
      <c r="F44" s="21">
        <v>1</v>
      </c>
      <c r="G44" s="21"/>
    </row>
    <row r="45" spans="2:7" x14ac:dyDescent="0.25">
      <c r="B45" s="21">
        <v>1</v>
      </c>
      <c r="C45" s="3" t="s">
        <v>235</v>
      </c>
      <c r="D45" s="11">
        <v>1373.12</v>
      </c>
      <c r="E45" s="20">
        <f t="shared" si="1"/>
        <v>1373.12</v>
      </c>
      <c r="F45" s="21">
        <v>1</v>
      </c>
      <c r="G45" s="21"/>
    </row>
    <row r="46" spans="2:7" ht="24.75" x14ac:dyDescent="0.25">
      <c r="B46" s="21">
        <v>1</v>
      </c>
      <c r="C46" s="34" t="s">
        <v>170</v>
      </c>
      <c r="D46" s="16">
        <v>1373.12</v>
      </c>
      <c r="E46" s="20">
        <f t="shared" si="1"/>
        <v>1373.12</v>
      </c>
      <c r="F46" s="21"/>
      <c r="G46" s="21">
        <v>1</v>
      </c>
    </row>
    <row r="47" spans="2:7" ht="24.75" x14ac:dyDescent="0.25">
      <c r="B47" s="21">
        <v>1</v>
      </c>
      <c r="C47" s="34" t="s">
        <v>171</v>
      </c>
      <c r="D47" s="16">
        <v>1373.12</v>
      </c>
      <c r="E47" s="20">
        <f t="shared" si="1"/>
        <v>1373.12</v>
      </c>
      <c r="F47" s="21"/>
      <c r="G47" s="21">
        <v>1</v>
      </c>
    </row>
    <row r="48" spans="2:7" x14ac:dyDescent="0.25">
      <c r="B48" s="21">
        <v>1</v>
      </c>
      <c r="C48" s="19" t="s">
        <v>178</v>
      </c>
      <c r="D48" s="16">
        <v>1108.3</v>
      </c>
      <c r="E48" s="20">
        <f t="shared" si="1"/>
        <v>1108.3</v>
      </c>
      <c r="F48" s="21"/>
      <c r="G48" s="21">
        <v>1</v>
      </c>
    </row>
    <row r="49" spans="2:7" x14ac:dyDescent="0.25">
      <c r="B49" s="21">
        <f>1+1+1</f>
        <v>3</v>
      </c>
      <c r="C49" s="19" t="s">
        <v>179</v>
      </c>
      <c r="D49" s="16">
        <v>1108.25</v>
      </c>
      <c r="E49" s="20">
        <f t="shared" si="1"/>
        <v>3324.75</v>
      </c>
      <c r="F49" s="21">
        <f>1+1</f>
        <v>2</v>
      </c>
      <c r="G49" s="21">
        <v>1</v>
      </c>
    </row>
    <row r="50" spans="2:7" x14ac:dyDescent="0.25">
      <c r="B50" s="21">
        <v>1</v>
      </c>
      <c r="C50" s="19" t="s">
        <v>180</v>
      </c>
      <c r="D50" s="16">
        <v>1108.25</v>
      </c>
      <c r="E50" s="20">
        <f t="shared" si="1"/>
        <v>1108.25</v>
      </c>
      <c r="F50" s="21">
        <v>1</v>
      </c>
      <c r="G50" s="21"/>
    </row>
    <row r="51" spans="2:7" x14ac:dyDescent="0.25">
      <c r="B51" s="21">
        <v>1</v>
      </c>
      <c r="C51" s="19" t="s">
        <v>41</v>
      </c>
      <c r="D51" s="16">
        <v>1108.25</v>
      </c>
      <c r="E51" s="20">
        <f t="shared" si="1"/>
        <v>1108.25</v>
      </c>
      <c r="F51" s="21">
        <v>1</v>
      </c>
      <c r="G51" s="21"/>
    </row>
    <row r="52" spans="2:7" x14ac:dyDescent="0.25">
      <c r="B52" s="21">
        <v>1</v>
      </c>
      <c r="C52" s="3" t="s">
        <v>157</v>
      </c>
      <c r="D52" s="16">
        <v>1108.25</v>
      </c>
      <c r="E52" s="20">
        <f t="shared" si="1"/>
        <v>1108.25</v>
      </c>
      <c r="F52" s="21">
        <v>1</v>
      </c>
      <c r="G52" s="21"/>
    </row>
    <row r="53" spans="2:7" x14ac:dyDescent="0.25">
      <c r="B53" s="21">
        <v>1</v>
      </c>
      <c r="C53" s="19" t="s">
        <v>44</v>
      </c>
      <c r="D53" s="31">
        <v>1108.25</v>
      </c>
      <c r="E53" s="20">
        <f t="shared" si="1"/>
        <v>1108.25</v>
      </c>
      <c r="F53" s="21">
        <v>1</v>
      </c>
      <c r="G53" s="21"/>
    </row>
    <row r="54" spans="2:7" x14ac:dyDescent="0.25">
      <c r="B54" s="21">
        <v>1</v>
      </c>
      <c r="C54" s="9" t="s">
        <v>22</v>
      </c>
      <c r="D54" s="31">
        <v>1108.25</v>
      </c>
      <c r="E54" s="20">
        <f t="shared" ref="E54:E90" si="2">D54*B54</f>
        <v>1108.25</v>
      </c>
      <c r="F54" s="21"/>
      <c r="G54" s="21">
        <v>1</v>
      </c>
    </row>
    <row r="55" spans="2:7" x14ac:dyDescent="0.25">
      <c r="B55" s="21">
        <v>1</v>
      </c>
      <c r="C55" s="9" t="s">
        <v>181</v>
      </c>
      <c r="D55" s="16">
        <v>1108.25</v>
      </c>
      <c r="E55" s="20">
        <f t="shared" si="2"/>
        <v>1108.25</v>
      </c>
      <c r="F55" s="21"/>
      <c r="G55" s="21">
        <v>1</v>
      </c>
    </row>
    <row r="56" spans="2:7" x14ac:dyDescent="0.25">
      <c r="B56" s="21">
        <v>1</v>
      </c>
      <c r="C56" s="9" t="s">
        <v>182</v>
      </c>
      <c r="D56" s="31">
        <v>1108.25</v>
      </c>
      <c r="E56" s="20">
        <f t="shared" si="2"/>
        <v>1108.25</v>
      </c>
      <c r="F56" s="21"/>
      <c r="G56" s="21">
        <v>1</v>
      </c>
    </row>
    <row r="57" spans="2:7" x14ac:dyDescent="0.25">
      <c r="B57" s="21">
        <v>1</v>
      </c>
      <c r="C57" s="9" t="s">
        <v>183</v>
      </c>
      <c r="D57" s="31">
        <v>1108.25</v>
      </c>
      <c r="E57" s="20">
        <f t="shared" si="2"/>
        <v>1108.25</v>
      </c>
      <c r="F57" s="21">
        <v>1</v>
      </c>
      <c r="G57" s="21"/>
    </row>
    <row r="58" spans="2:7" x14ac:dyDescent="0.25">
      <c r="B58" s="21">
        <v>1</v>
      </c>
      <c r="C58" s="9" t="s">
        <v>184</v>
      </c>
      <c r="D58" s="11">
        <v>1108.25</v>
      </c>
      <c r="E58" s="20">
        <f t="shared" si="2"/>
        <v>1108.25</v>
      </c>
      <c r="F58" s="21"/>
      <c r="G58" s="21">
        <v>1</v>
      </c>
    </row>
    <row r="59" spans="2:7" x14ac:dyDescent="0.25">
      <c r="B59" s="21">
        <v>1</v>
      </c>
      <c r="C59" s="19" t="s">
        <v>91</v>
      </c>
      <c r="D59" s="31">
        <v>1108.25</v>
      </c>
      <c r="E59" s="20">
        <f t="shared" si="2"/>
        <v>1108.25</v>
      </c>
      <c r="F59" s="21">
        <v>1</v>
      </c>
      <c r="G59" s="21"/>
    </row>
    <row r="60" spans="2:7" x14ac:dyDescent="0.25">
      <c r="B60" s="21">
        <v>1</v>
      </c>
      <c r="C60" s="19" t="s">
        <v>103</v>
      </c>
      <c r="D60" s="16">
        <v>1108.25</v>
      </c>
      <c r="E60" s="20">
        <f t="shared" si="2"/>
        <v>1108.25</v>
      </c>
      <c r="F60" s="21">
        <v>1</v>
      </c>
      <c r="G60" s="21"/>
    </row>
    <row r="61" spans="2:7" x14ac:dyDescent="0.25">
      <c r="B61" s="21">
        <v>1</v>
      </c>
      <c r="C61" s="19" t="s">
        <v>173</v>
      </c>
      <c r="D61" s="16">
        <v>1108.25</v>
      </c>
      <c r="E61" s="20">
        <f t="shared" si="2"/>
        <v>1108.25</v>
      </c>
      <c r="F61" s="21"/>
      <c r="G61" s="21">
        <v>1</v>
      </c>
    </row>
    <row r="62" spans="2:7" x14ac:dyDescent="0.25">
      <c r="B62" s="21">
        <v>1</v>
      </c>
      <c r="C62" s="19" t="s">
        <v>108</v>
      </c>
      <c r="D62" s="16">
        <v>1108.25</v>
      </c>
      <c r="E62" s="20">
        <f t="shared" si="2"/>
        <v>1108.25</v>
      </c>
      <c r="F62" s="21"/>
      <c r="G62" s="21">
        <v>1</v>
      </c>
    </row>
    <row r="63" spans="2:7" x14ac:dyDescent="0.25">
      <c r="B63" s="21">
        <v>1</v>
      </c>
      <c r="C63" s="9" t="s">
        <v>111</v>
      </c>
      <c r="D63" s="16">
        <v>1108.25</v>
      </c>
      <c r="E63" s="20">
        <f t="shared" si="2"/>
        <v>1108.25</v>
      </c>
      <c r="F63" s="21"/>
      <c r="G63" s="21">
        <v>1</v>
      </c>
    </row>
    <row r="64" spans="2:7" x14ac:dyDescent="0.25">
      <c r="B64" s="24">
        <v>1</v>
      </c>
      <c r="C64" s="50" t="s">
        <v>112</v>
      </c>
      <c r="D64" s="51">
        <v>1108.25</v>
      </c>
      <c r="E64" s="28">
        <f t="shared" si="2"/>
        <v>1108.25</v>
      </c>
      <c r="F64" s="24">
        <v>1</v>
      </c>
      <c r="G64" s="24"/>
    </row>
    <row r="65" spans="2:7" x14ac:dyDescent="0.25">
      <c r="B65" s="62"/>
      <c r="C65" s="63"/>
      <c r="D65" s="64"/>
      <c r="E65" s="65"/>
      <c r="F65" s="62"/>
      <c r="G65" s="62"/>
    </row>
    <row r="66" spans="2:7" x14ac:dyDescent="0.25">
      <c r="B66" s="48"/>
      <c r="C66" s="55"/>
      <c r="D66" s="56"/>
      <c r="E66" s="57"/>
      <c r="F66" s="48"/>
      <c r="G66" s="48"/>
    </row>
    <row r="67" spans="2:7" x14ac:dyDescent="0.25">
      <c r="B67" s="48"/>
      <c r="C67" s="55"/>
      <c r="D67" s="56"/>
      <c r="E67" s="57"/>
      <c r="F67" s="48"/>
      <c r="G67" s="48"/>
    </row>
    <row r="68" spans="2:7" x14ac:dyDescent="0.25">
      <c r="B68" s="48"/>
      <c r="C68" s="55"/>
      <c r="D68" s="56"/>
      <c r="E68" s="57"/>
      <c r="F68" s="48"/>
      <c r="G68" s="48"/>
    </row>
    <row r="69" spans="2:7" x14ac:dyDescent="0.25">
      <c r="B69" s="58"/>
      <c r="C69" s="59"/>
      <c r="D69" s="60"/>
      <c r="E69" s="61"/>
      <c r="F69" s="58"/>
      <c r="G69" s="58"/>
    </row>
    <row r="70" spans="2:7" x14ac:dyDescent="0.25">
      <c r="B70" s="25">
        <f>1+1+1</f>
        <v>3</v>
      </c>
      <c r="C70" s="52" t="s">
        <v>83</v>
      </c>
      <c r="D70" s="53">
        <v>1108.25</v>
      </c>
      <c r="E70" s="54">
        <f t="shared" si="2"/>
        <v>3324.75</v>
      </c>
      <c r="F70" s="25">
        <f>1+1</f>
        <v>2</v>
      </c>
      <c r="G70" s="25">
        <v>1</v>
      </c>
    </row>
    <row r="71" spans="2:7" x14ac:dyDescent="0.25">
      <c r="B71" s="21">
        <v>3</v>
      </c>
      <c r="C71" s="9" t="s">
        <v>185</v>
      </c>
      <c r="D71" s="16">
        <v>1108.25</v>
      </c>
      <c r="E71" s="20">
        <f t="shared" si="2"/>
        <v>3324.75</v>
      </c>
      <c r="F71" s="21">
        <v>1</v>
      </c>
      <c r="G71" s="21">
        <v>2</v>
      </c>
    </row>
    <row r="72" spans="2:7" x14ac:dyDescent="0.25">
      <c r="B72" s="21">
        <v>1</v>
      </c>
      <c r="C72" s="9" t="s">
        <v>131</v>
      </c>
      <c r="D72" s="16">
        <v>1060</v>
      </c>
      <c r="E72" s="20">
        <f t="shared" si="2"/>
        <v>1060</v>
      </c>
      <c r="F72" s="21">
        <v>1</v>
      </c>
      <c r="G72" s="21"/>
    </row>
    <row r="73" spans="2:7" x14ac:dyDescent="0.25">
      <c r="B73" s="21">
        <v>1</v>
      </c>
      <c r="C73" s="9" t="s">
        <v>133</v>
      </c>
      <c r="D73" s="16">
        <v>1007</v>
      </c>
      <c r="E73" s="20">
        <f t="shared" si="2"/>
        <v>1007</v>
      </c>
      <c r="F73" s="21">
        <v>1</v>
      </c>
      <c r="G73" s="21"/>
    </row>
    <row r="74" spans="2:7" x14ac:dyDescent="0.25">
      <c r="B74" s="21">
        <v>1</v>
      </c>
      <c r="C74" s="3" t="s">
        <v>23</v>
      </c>
      <c r="D74" s="11">
        <v>989.45</v>
      </c>
      <c r="E74" s="20">
        <f t="shared" si="2"/>
        <v>989.45</v>
      </c>
      <c r="F74" s="21">
        <v>1</v>
      </c>
      <c r="G74" s="21"/>
    </row>
    <row r="75" spans="2:7" x14ac:dyDescent="0.25">
      <c r="B75" s="21">
        <v>1</v>
      </c>
      <c r="C75" s="19" t="s">
        <v>46</v>
      </c>
      <c r="D75" s="16">
        <v>846.59</v>
      </c>
      <c r="E75" s="20">
        <f t="shared" si="2"/>
        <v>846.59</v>
      </c>
      <c r="F75" s="21">
        <v>1</v>
      </c>
      <c r="G75" s="21"/>
    </row>
    <row r="76" spans="2:7" x14ac:dyDescent="0.25">
      <c r="B76" s="21">
        <v>1</v>
      </c>
      <c r="C76" s="9" t="s">
        <v>47</v>
      </c>
      <c r="D76" s="16">
        <v>846.59</v>
      </c>
      <c r="E76" s="20">
        <f t="shared" si="2"/>
        <v>846.59</v>
      </c>
      <c r="F76" s="21">
        <v>1</v>
      </c>
      <c r="G76" s="21"/>
    </row>
    <row r="77" spans="2:7" x14ac:dyDescent="0.25">
      <c r="B77" s="21">
        <v>1</v>
      </c>
      <c r="C77" s="19" t="s">
        <v>48</v>
      </c>
      <c r="D77" s="16">
        <v>846.59</v>
      </c>
      <c r="E77" s="20">
        <f t="shared" si="2"/>
        <v>846.59</v>
      </c>
      <c r="F77" s="21"/>
      <c r="G77" s="21">
        <v>1</v>
      </c>
    </row>
    <row r="78" spans="2:7" x14ac:dyDescent="0.25">
      <c r="B78" s="21">
        <v>1</v>
      </c>
      <c r="C78" s="19" t="s">
        <v>26</v>
      </c>
      <c r="D78" s="16">
        <v>846.59</v>
      </c>
      <c r="E78" s="20">
        <f t="shared" si="2"/>
        <v>846.59</v>
      </c>
      <c r="F78" s="21">
        <v>1</v>
      </c>
      <c r="G78" s="21"/>
    </row>
    <row r="79" spans="2:7" x14ac:dyDescent="0.25">
      <c r="B79" s="21">
        <v>1</v>
      </c>
      <c r="C79" s="19" t="s">
        <v>92</v>
      </c>
      <c r="D79" s="16">
        <v>846.59</v>
      </c>
      <c r="E79" s="20">
        <f t="shared" si="2"/>
        <v>846.59</v>
      </c>
      <c r="F79" s="21">
        <v>1</v>
      </c>
      <c r="G79" s="21"/>
    </row>
    <row r="80" spans="2:7" x14ac:dyDescent="0.25">
      <c r="B80" s="21">
        <v>1</v>
      </c>
      <c r="C80" s="19" t="s">
        <v>93</v>
      </c>
      <c r="D80" s="16">
        <v>846.59</v>
      </c>
      <c r="E80" s="20">
        <f t="shared" si="2"/>
        <v>846.59</v>
      </c>
      <c r="F80" s="21">
        <v>1</v>
      </c>
      <c r="G80" s="21"/>
    </row>
    <row r="81" spans="2:7" x14ac:dyDescent="0.25">
      <c r="B81" s="21">
        <v>1</v>
      </c>
      <c r="C81" s="19" t="s">
        <v>186</v>
      </c>
      <c r="D81" s="16">
        <v>846.59</v>
      </c>
      <c r="E81" s="20">
        <f t="shared" si="2"/>
        <v>846.59</v>
      </c>
      <c r="F81" s="21">
        <v>1</v>
      </c>
      <c r="G81" s="21"/>
    </row>
    <row r="82" spans="2:7" x14ac:dyDescent="0.25">
      <c r="B82" s="21">
        <v>1</v>
      </c>
      <c r="C82" s="9" t="s">
        <v>187</v>
      </c>
      <c r="D82" s="16">
        <v>846.59</v>
      </c>
      <c r="E82" s="20">
        <f t="shared" si="2"/>
        <v>846.59</v>
      </c>
      <c r="F82" s="21"/>
      <c r="G82" s="21">
        <v>1</v>
      </c>
    </row>
    <row r="83" spans="2:7" ht="24.75" x14ac:dyDescent="0.25">
      <c r="B83" s="21">
        <v>1</v>
      </c>
      <c r="C83" s="35" t="s">
        <v>154</v>
      </c>
      <c r="D83" s="16">
        <v>846.59</v>
      </c>
      <c r="E83" s="20">
        <f t="shared" si="2"/>
        <v>846.59</v>
      </c>
      <c r="F83" s="21">
        <v>1</v>
      </c>
      <c r="G83" s="21"/>
    </row>
    <row r="84" spans="2:7" x14ac:dyDescent="0.25">
      <c r="B84" s="21">
        <v>1</v>
      </c>
      <c r="C84" s="19" t="s">
        <v>94</v>
      </c>
      <c r="D84" s="16">
        <v>846.59</v>
      </c>
      <c r="E84" s="20">
        <f t="shared" si="2"/>
        <v>846.59</v>
      </c>
      <c r="F84" s="21">
        <v>1</v>
      </c>
      <c r="G84" s="21"/>
    </row>
    <row r="85" spans="2:7" x14ac:dyDescent="0.25">
      <c r="B85" s="21">
        <v>1</v>
      </c>
      <c r="C85" s="9" t="s">
        <v>96</v>
      </c>
      <c r="D85" s="16">
        <v>846.59</v>
      </c>
      <c r="E85" s="20">
        <f t="shared" si="2"/>
        <v>846.59</v>
      </c>
      <c r="F85" s="21">
        <v>1</v>
      </c>
      <c r="G85" s="21"/>
    </row>
    <row r="86" spans="2:7" x14ac:dyDescent="0.25">
      <c r="B86" s="21">
        <v>1</v>
      </c>
      <c r="C86" s="19" t="s">
        <v>104</v>
      </c>
      <c r="D86" s="16">
        <v>846.59</v>
      </c>
      <c r="E86" s="20">
        <f t="shared" si="2"/>
        <v>846.59</v>
      </c>
      <c r="F86" s="21"/>
      <c r="G86" s="21">
        <v>1</v>
      </c>
    </row>
    <row r="87" spans="2:7" x14ac:dyDescent="0.25">
      <c r="B87" s="21">
        <v>1</v>
      </c>
      <c r="C87" s="19" t="s">
        <v>105</v>
      </c>
      <c r="D87" s="16">
        <v>846.59</v>
      </c>
      <c r="E87" s="20">
        <f t="shared" si="2"/>
        <v>846.59</v>
      </c>
      <c r="F87" s="21">
        <v>1</v>
      </c>
      <c r="G87" s="21"/>
    </row>
    <row r="88" spans="2:7" x14ac:dyDescent="0.25">
      <c r="B88" s="21">
        <v>1</v>
      </c>
      <c r="C88" s="19" t="s">
        <v>66</v>
      </c>
      <c r="D88" s="16">
        <v>846.59</v>
      </c>
      <c r="E88" s="20">
        <f t="shared" si="2"/>
        <v>846.59</v>
      </c>
      <c r="F88" s="21">
        <v>1</v>
      </c>
      <c r="G88" s="21"/>
    </row>
    <row r="89" spans="2:7" x14ac:dyDescent="0.25">
      <c r="B89" s="21">
        <v>1</v>
      </c>
      <c r="C89" s="19" t="s">
        <v>109</v>
      </c>
      <c r="D89" s="16">
        <v>846.59</v>
      </c>
      <c r="E89" s="20">
        <f t="shared" si="2"/>
        <v>846.59</v>
      </c>
      <c r="F89" s="21">
        <v>1</v>
      </c>
      <c r="G89" s="21"/>
    </row>
    <row r="90" spans="2:7" x14ac:dyDescent="0.25">
      <c r="B90" s="21">
        <v>1</v>
      </c>
      <c r="C90" s="19" t="s">
        <v>115</v>
      </c>
      <c r="D90" s="16">
        <v>846.59</v>
      </c>
      <c r="E90" s="20">
        <f t="shared" si="2"/>
        <v>846.59</v>
      </c>
      <c r="F90" s="21"/>
      <c r="G90" s="21">
        <v>1</v>
      </c>
    </row>
    <row r="91" spans="2:7" x14ac:dyDescent="0.25">
      <c r="B91" s="21"/>
      <c r="C91" s="19" t="s">
        <v>116</v>
      </c>
      <c r="D91" s="16">
        <v>846.59</v>
      </c>
      <c r="E91" s="20">
        <f t="shared" ref="E91:E122" si="3">D91*B91</f>
        <v>0</v>
      </c>
      <c r="F91" s="21"/>
      <c r="G91" s="21"/>
    </row>
    <row r="92" spans="2:7" x14ac:dyDescent="0.25">
      <c r="B92" s="21">
        <v>1</v>
      </c>
      <c r="C92" s="19" t="s">
        <v>117</v>
      </c>
      <c r="D92" s="16">
        <v>846.59</v>
      </c>
      <c r="E92" s="20">
        <f t="shared" si="3"/>
        <v>846.59</v>
      </c>
      <c r="F92" s="21">
        <v>1</v>
      </c>
      <c r="G92" s="21"/>
    </row>
    <row r="93" spans="2:7" x14ac:dyDescent="0.25">
      <c r="B93" s="21">
        <v>1</v>
      </c>
      <c r="C93" s="19" t="s">
        <v>118</v>
      </c>
      <c r="D93" s="16">
        <v>846.59</v>
      </c>
      <c r="E93" s="20">
        <f t="shared" si="3"/>
        <v>846.59</v>
      </c>
      <c r="F93" s="21"/>
      <c r="G93" s="21">
        <v>1</v>
      </c>
    </row>
    <row r="94" spans="2:7" x14ac:dyDescent="0.25">
      <c r="B94" s="21">
        <v>1</v>
      </c>
      <c r="C94" s="32" t="s">
        <v>81</v>
      </c>
      <c r="D94" s="11">
        <v>846.59</v>
      </c>
      <c r="E94" s="20">
        <f t="shared" si="3"/>
        <v>846.59</v>
      </c>
      <c r="F94" s="21">
        <v>1</v>
      </c>
      <c r="G94" s="21"/>
    </row>
    <row r="95" spans="2:7" x14ac:dyDescent="0.25">
      <c r="B95" s="21">
        <f>2+1+1</f>
        <v>4</v>
      </c>
      <c r="C95" s="19" t="s">
        <v>188</v>
      </c>
      <c r="D95" s="16">
        <v>846.59</v>
      </c>
      <c r="E95" s="20">
        <f t="shared" si="3"/>
        <v>3386.36</v>
      </c>
      <c r="F95" s="21">
        <f>1+1+1</f>
        <v>3</v>
      </c>
      <c r="G95" s="21">
        <v>1</v>
      </c>
    </row>
    <row r="96" spans="2:7" x14ac:dyDescent="0.25">
      <c r="B96" s="21">
        <f>1+3</f>
        <v>4</v>
      </c>
      <c r="C96" s="19" t="s">
        <v>153</v>
      </c>
      <c r="D96" s="16">
        <v>846.59</v>
      </c>
      <c r="E96" s="20">
        <f t="shared" si="3"/>
        <v>3386.36</v>
      </c>
      <c r="F96" s="21">
        <v>3</v>
      </c>
      <c r="G96" s="21">
        <v>1</v>
      </c>
    </row>
    <row r="97" spans="2:7" x14ac:dyDescent="0.25">
      <c r="B97" s="21">
        <f>1+1</f>
        <v>2</v>
      </c>
      <c r="C97" s="19" t="s">
        <v>17</v>
      </c>
      <c r="D97" s="16">
        <v>846.59</v>
      </c>
      <c r="E97" s="20">
        <f t="shared" si="3"/>
        <v>1693.18</v>
      </c>
      <c r="F97" s="21">
        <f>1+1</f>
        <v>2</v>
      </c>
      <c r="G97" s="21"/>
    </row>
    <row r="98" spans="2:7" x14ac:dyDescent="0.25">
      <c r="B98" s="21">
        <v>1</v>
      </c>
      <c r="C98" s="19" t="s">
        <v>189</v>
      </c>
      <c r="D98" s="16">
        <v>846.59</v>
      </c>
      <c r="E98" s="20">
        <f t="shared" si="3"/>
        <v>846.59</v>
      </c>
      <c r="F98" s="21">
        <v>1</v>
      </c>
      <c r="G98" s="21"/>
    </row>
    <row r="99" spans="2:7" x14ac:dyDescent="0.25">
      <c r="B99" s="21">
        <v>1</v>
      </c>
      <c r="C99" s="19" t="s">
        <v>190</v>
      </c>
      <c r="D99" s="16">
        <f>798.67*6%+798.67</f>
        <v>846.59019999999998</v>
      </c>
      <c r="E99" s="20">
        <f t="shared" si="3"/>
        <v>846.59019999999998</v>
      </c>
      <c r="F99" s="21"/>
      <c r="G99" s="21">
        <v>1</v>
      </c>
    </row>
    <row r="100" spans="2:7" x14ac:dyDescent="0.25">
      <c r="B100" s="21">
        <v>1</v>
      </c>
      <c r="C100" s="19" t="s">
        <v>191</v>
      </c>
      <c r="D100" s="16">
        <v>846.59</v>
      </c>
      <c r="E100" s="20">
        <f t="shared" si="3"/>
        <v>846.59</v>
      </c>
      <c r="F100" s="21"/>
      <c r="G100" s="21">
        <v>1</v>
      </c>
    </row>
    <row r="101" spans="2:7" x14ac:dyDescent="0.25">
      <c r="B101" s="21">
        <f>3+1</f>
        <v>4</v>
      </c>
      <c r="C101" s="19" t="s">
        <v>149</v>
      </c>
      <c r="D101" s="16">
        <f>743.67*6%+743.67</f>
        <v>788.29019999999991</v>
      </c>
      <c r="E101" s="20">
        <f t="shared" si="3"/>
        <v>3153.1607999999997</v>
      </c>
      <c r="F101" s="21">
        <f>2+1</f>
        <v>3</v>
      </c>
      <c r="G101" s="21">
        <v>1</v>
      </c>
    </row>
    <row r="102" spans="2:7" x14ac:dyDescent="0.25">
      <c r="B102" s="21">
        <v>1</v>
      </c>
      <c r="C102" s="19" t="s">
        <v>160</v>
      </c>
      <c r="D102" s="16">
        <f>743.67*6%+743.67</f>
        <v>788.29019999999991</v>
      </c>
      <c r="E102" s="20">
        <f t="shared" si="3"/>
        <v>788.29019999999991</v>
      </c>
      <c r="F102" s="21"/>
      <c r="G102" s="21">
        <v>1</v>
      </c>
    </row>
    <row r="103" spans="2:7" x14ac:dyDescent="0.25">
      <c r="B103" s="21">
        <f>2+1+1</f>
        <v>4</v>
      </c>
      <c r="C103" s="19" t="s">
        <v>192</v>
      </c>
      <c r="D103" s="16">
        <v>788.29</v>
      </c>
      <c r="E103" s="20">
        <f t="shared" si="3"/>
        <v>3153.16</v>
      </c>
      <c r="F103" s="21">
        <f>2+1</f>
        <v>3</v>
      </c>
      <c r="G103" s="21">
        <v>1</v>
      </c>
    </row>
    <row r="104" spans="2:7" x14ac:dyDescent="0.25">
      <c r="B104" s="21">
        <v>1</v>
      </c>
      <c r="C104" s="19" t="s">
        <v>236</v>
      </c>
      <c r="D104" s="16">
        <v>758.86</v>
      </c>
      <c r="E104" s="20">
        <f t="shared" si="3"/>
        <v>758.86</v>
      </c>
      <c r="F104" s="21">
        <v>1</v>
      </c>
      <c r="G104" s="21"/>
    </row>
    <row r="105" spans="2:7" x14ac:dyDescent="0.25">
      <c r="B105" s="21">
        <f>4+1</f>
        <v>5</v>
      </c>
      <c r="C105" s="19" t="s">
        <v>110</v>
      </c>
      <c r="D105" s="16">
        <v>758.86</v>
      </c>
      <c r="E105" s="20">
        <f t="shared" si="3"/>
        <v>3794.3</v>
      </c>
      <c r="F105" s="21">
        <f>2+1</f>
        <v>3</v>
      </c>
      <c r="G105" s="21">
        <v>2</v>
      </c>
    </row>
    <row r="106" spans="2:7" x14ac:dyDescent="0.25">
      <c r="B106" s="21">
        <v>1</v>
      </c>
      <c r="C106" s="19" t="s">
        <v>175</v>
      </c>
      <c r="D106" s="16">
        <v>758.86</v>
      </c>
      <c r="E106" s="20">
        <f t="shared" si="3"/>
        <v>758.86</v>
      </c>
      <c r="F106" s="21"/>
      <c r="G106" s="21">
        <v>1</v>
      </c>
    </row>
    <row r="107" spans="2:7" x14ac:dyDescent="0.25">
      <c r="B107" s="21">
        <v>1</v>
      </c>
      <c r="C107" s="19" t="s">
        <v>176</v>
      </c>
      <c r="D107" s="16">
        <v>758.86</v>
      </c>
      <c r="E107" s="20">
        <f t="shared" si="3"/>
        <v>758.86</v>
      </c>
      <c r="F107" s="21">
        <v>1</v>
      </c>
      <c r="G107" s="21"/>
    </row>
    <row r="108" spans="2:7" x14ac:dyDescent="0.25">
      <c r="B108" s="21">
        <v>1</v>
      </c>
      <c r="C108" s="9" t="s">
        <v>236</v>
      </c>
      <c r="D108" s="16">
        <v>758.86</v>
      </c>
      <c r="E108" s="20">
        <f t="shared" si="3"/>
        <v>758.86</v>
      </c>
      <c r="F108" s="21"/>
      <c r="G108" s="21">
        <v>1</v>
      </c>
    </row>
    <row r="109" spans="2:7" x14ac:dyDescent="0.25">
      <c r="B109" s="21">
        <v>1</v>
      </c>
      <c r="C109" s="19" t="s">
        <v>193</v>
      </c>
      <c r="D109" s="16">
        <v>739.88</v>
      </c>
      <c r="E109" s="20">
        <f t="shared" si="3"/>
        <v>739.88</v>
      </c>
      <c r="F109" s="21">
        <v>1</v>
      </c>
      <c r="G109" s="21"/>
    </row>
    <row r="110" spans="2:7" x14ac:dyDescent="0.25">
      <c r="B110" s="21">
        <v>1</v>
      </c>
      <c r="C110" s="9" t="s">
        <v>240</v>
      </c>
      <c r="D110" s="16">
        <v>734.25</v>
      </c>
      <c r="E110" s="20">
        <f t="shared" si="3"/>
        <v>734.25</v>
      </c>
      <c r="F110" s="21">
        <v>1</v>
      </c>
      <c r="G110" s="21"/>
    </row>
    <row r="111" spans="2:7" x14ac:dyDescent="0.25">
      <c r="B111" s="21">
        <v>1</v>
      </c>
      <c r="C111" s="9" t="s">
        <v>194</v>
      </c>
      <c r="D111" s="16">
        <v>720.91</v>
      </c>
      <c r="E111" s="20">
        <f t="shared" si="3"/>
        <v>720.91</v>
      </c>
      <c r="F111" s="21">
        <v>1</v>
      </c>
      <c r="G111" s="21"/>
    </row>
    <row r="112" spans="2:7" x14ac:dyDescent="0.25">
      <c r="B112" s="21">
        <f>2+3+2+1</f>
        <v>8</v>
      </c>
      <c r="C112" s="9" t="s">
        <v>240</v>
      </c>
      <c r="D112" s="16">
        <f>674.55*6%+674.55</f>
        <v>715.02299999999991</v>
      </c>
      <c r="E112" s="20">
        <f t="shared" si="3"/>
        <v>5720.1839999999993</v>
      </c>
      <c r="F112" s="21">
        <f>1+2+1+1</f>
        <v>5</v>
      </c>
      <c r="G112" s="21">
        <f>1+1+1</f>
        <v>3</v>
      </c>
    </row>
    <row r="113" spans="2:7" x14ac:dyDescent="0.25">
      <c r="B113" s="21">
        <v>4</v>
      </c>
      <c r="C113" s="9" t="s">
        <v>49</v>
      </c>
      <c r="D113" s="16">
        <v>715.02</v>
      </c>
      <c r="E113" s="20">
        <f t="shared" si="3"/>
        <v>2860.08</v>
      </c>
      <c r="F113" s="21">
        <v>1</v>
      </c>
      <c r="G113" s="21">
        <v>3</v>
      </c>
    </row>
    <row r="114" spans="2:7" x14ac:dyDescent="0.25">
      <c r="B114" s="21">
        <v>3</v>
      </c>
      <c r="C114" s="9" t="s">
        <v>195</v>
      </c>
      <c r="D114" s="16">
        <v>715.02</v>
      </c>
      <c r="E114" s="20">
        <f t="shared" si="3"/>
        <v>2145.06</v>
      </c>
      <c r="F114" s="21">
        <v>1</v>
      </c>
      <c r="G114" s="21">
        <v>2</v>
      </c>
    </row>
    <row r="115" spans="2:7" x14ac:dyDescent="0.25">
      <c r="B115" s="21">
        <v>1</v>
      </c>
      <c r="C115" s="9" t="s">
        <v>134</v>
      </c>
      <c r="D115" s="16">
        <v>715.02</v>
      </c>
      <c r="E115" s="20">
        <f t="shared" si="3"/>
        <v>715.02</v>
      </c>
      <c r="F115" s="21">
        <v>1</v>
      </c>
      <c r="G115" s="21"/>
    </row>
    <row r="116" spans="2:7" x14ac:dyDescent="0.25">
      <c r="B116" s="21">
        <f>1+1+4</f>
        <v>6</v>
      </c>
      <c r="C116" s="9" t="s">
        <v>196</v>
      </c>
      <c r="D116" s="11">
        <v>715.02</v>
      </c>
      <c r="E116" s="20">
        <f t="shared" si="3"/>
        <v>4290.12</v>
      </c>
      <c r="F116" s="21">
        <f>1+1</f>
        <v>2</v>
      </c>
      <c r="G116" s="21">
        <v>4</v>
      </c>
    </row>
    <row r="117" spans="2:7" x14ac:dyDescent="0.25">
      <c r="B117" s="21">
        <v>6</v>
      </c>
      <c r="C117" s="9" t="s">
        <v>31</v>
      </c>
      <c r="D117" s="16">
        <v>715.02</v>
      </c>
      <c r="E117" s="20">
        <f t="shared" si="3"/>
        <v>4290.12</v>
      </c>
      <c r="F117" s="21">
        <v>4</v>
      </c>
      <c r="G117" s="21">
        <v>2</v>
      </c>
    </row>
    <row r="118" spans="2:7" x14ac:dyDescent="0.25">
      <c r="B118" s="21">
        <f>2+1</f>
        <v>3</v>
      </c>
      <c r="C118" s="9" t="s">
        <v>197</v>
      </c>
      <c r="D118" s="16">
        <v>715.02</v>
      </c>
      <c r="E118" s="20">
        <f t="shared" si="3"/>
        <v>2145.06</v>
      </c>
      <c r="F118" s="21">
        <v>1</v>
      </c>
      <c r="G118" s="21">
        <f>1+1</f>
        <v>2</v>
      </c>
    </row>
    <row r="119" spans="2:7" x14ac:dyDescent="0.25">
      <c r="B119" s="21">
        <v>2</v>
      </c>
      <c r="C119" s="9" t="s">
        <v>52</v>
      </c>
      <c r="D119" s="16">
        <v>715.02</v>
      </c>
      <c r="E119" s="20">
        <f t="shared" si="3"/>
        <v>1430.04</v>
      </c>
      <c r="F119" s="21"/>
      <c r="G119" s="21">
        <v>2</v>
      </c>
    </row>
    <row r="120" spans="2:7" x14ac:dyDescent="0.25">
      <c r="B120" s="21">
        <v>7</v>
      </c>
      <c r="C120" s="9" t="s">
        <v>89</v>
      </c>
      <c r="D120" s="16">
        <v>715.02</v>
      </c>
      <c r="E120" s="20">
        <f t="shared" si="3"/>
        <v>5005.1399999999994</v>
      </c>
      <c r="F120" s="21">
        <v>4</v>
      </c>
      <c r="G120" s="21">
        <v>3</v>
      </c>
    </row>
    <row r="121" spans="2:7" x14ac:dyDescent="0.25">
      <c r="B121" s="21">
        <v>1</v>
      </c>
      <c r="C121" s="9" t="s">
        <v>198</v>
      </c>
      <c r="D121" s="16">
        <v>715.02</v>
      </c>
      <c r="E121" s="20">
        <f t="shared" si="3"/>
        <v>715.02</v>
      </c>
      <c r="F121" s="21">
        <v>1</v>
      </c>
      <c r="G121" s="21"/>
    </row>
    <row r="122" spans="2:7" x14ac:dyDescent="0.25">
      <c r="B122" s="21">
        <v>1</v>
      </c>
      <c r="C122" s="9" t="s">
        <v>199</v>
      </c>
      <c r="D122" s="16">
        <v>715.02</v>
      </c>
      <c r="E122" s="20">
        <f t="shared" si="3"/>
        <v>715.02</v>
      </c>
      <c r="F122" s="21">
        <v>1</v>
      </c>
      <c r="G122" s="21"/>
    </row>
    <row r="123" spans="2:7" x14ac:dyDescent="0.25">
      <c r="B123" s="21">
        <v>1</v>
      </c>
      <c r="C123" s="9" t="s">
        <v>97</v>
      </c>
      <c r="D123" s="16">
        <v>715.02</v>
      </c>
      <c r="E123" s="20">
        <f t="shared" ref="E123:E159" si="4">D123*B123</f>
        <v>715.02</v>
      </c>
      <c r="F123" s="21">
        <v>1</v>
      </c>
      <c r="G123" s="21"/>
    </row>
    <row r="124" spans="2:7" x14ac:dyDescent="0.25">
      <c r="B124" s="21">
        <v>2</v>
      </c>
      <c r="C124" s="9" t="s">
        <v>98</v>
      </c>
      <c r="D124" s="16">
        <v>715.02</v>
      </c>
      <c r="E124" s="20">
        <f t="shared" si="4"/>
        <v>1430.04</v>
      </c>
      <c r="F124" s="21">
        <v>1</v>
      </c>
      <c r="G124" s="21">
        <v>1</v>
      </c>
    </row>
    <row r="125" spans="2:7" x14ac:dyDescent="0.25">
      <c r="B125" s="21">
        <v>4</v>
      </c>
      <c r="C125" s="19" t="s">
        <v>99</v>
      </c>
      <c r="D125" s="16">
        <v>715.02</v>
      </c>
      <c r="E125" s="20">
        <f t="shared" si="4"/>
        <v>2860.08</v>
      </c>
      <c r="F125" s="21">
        <v>2</v>
      </c>
      <c r="G125" s="21">
        <v>2</v>
      </c>
    </row>
    <row r="126" spans="2:7" x14ac:dyDescent="0.25">
      <c r="B126" s="21">
        <v>2</v>
      </c>
      <c r="C126" s="19" t="s">
        <v>200</v>
      </c>
      <c r="D126" s="16">
        <v>715.02</v>
      </c>
      <c r="E126" s="20">
        <f t="shared" si="4"/>
        <v>1430.04</v>
      </c>
      <c r="F126" s="21">
        <v>1</v>
      </c>
      <c r="G126" s="21">
        <v>1</v>
      </c>
    </row>
    <row r="127" spans="2:7" x14ac:dyDescent="0.25">
      <c r="B127" s="21">
        <v>1</v>
      </c>
      <c r="C127" s="9" t="s">
        <v>162</v>
      </c>
      <c r="D127" s="16">
        <v>715.02</v>
      </c>
      <c r="E127" s="20">
        <f t="shared" si="4"/>
        <v>715.02</v>
      </c>
      <c r="F127" s="21">
        <v>1</v>
      </c>
      <c r="G127" s="21"/>
    </row>
    <row r="128" spans="2:7" x14ac:dyDescent="0.25">
      <c r="B128" s="21">
        <v>5</v>
      </c>
      <c r="C128" s="9" t="s">
        <v>201</v>
      </c>
      <c r="D128" s="16">
        <v>715.02</v>
      </c>
      <c r="E128" s="20">
        <f t="shared" si="4"/>
        <v>3575.1</v>
      </c>
      <c r="F128" s="21">
        <v>4</v>
      </c>
      <c r="G128" s="21">
        <v>1</v>
      </c>
    </row>
    <row r="129" spans="2:7" x14ac:dyDescent="0.25">
      <c r="B129" s="21">
        <v>1</v>
      </c>
      <c r="C129" s="9" t="s">
        <v>202</v>
      </c>
      <c r="D129" s="16">
        <v>715.02</v>
      </c>
      <c r="E129" s="20">
        <f t="shared" si="4"/>
        <v>715.02</v>
      </c>
      <c r="F129" s="21"/>
      <c r="G129" s="21">
        <v>1</v>
      </c>
    </row>
    <row r="130" spans="2:7" x14ac:dyDescent="0.25">
      <c r="B130" s="23">
        <f>18+10+1+1+1+1</f>
        <v>32</v>
      </c>
      <c r="C130" s="9" t="s">
        <v>143</v>
      </c>
      <c r="D130" s="16">
        <v>715.02</v>
      </c>
      <c r="E130" s="20">
        <f t="shared" si="4"/>
        <v>22880.639999999999</v>
      </c>
      <c r="F130" s="23">
        <f>4+3+1</f>
        <v>8</v>
      </c>
      <c r="G130" s="23">
        <f>14+7+1+1+1</f>
        <v>24</v>
      </c>
    </row>
    <row r="131" spans="2:7" x14ac:dyDescent="0.25">
      <c r="B131" s="23">
        <f>14+3+2+2+3+6</f>
        <v>30</v>
      </c>
      <c r="C131" s="9" t="s">
        <v>203</v>
      </c>
      <c r="D131" s="16">
        <v>715.02</v>
      </c>
      <c r="E131" s="20">
        <f t="shared" si="4"/>
        <v>21450.6</v>
      </c>
      <c r="F131" s="23">
        <f>5+2+1+3</f>
        <v>11</v>
      </c>
      <c r="G131" s="23">
        <f>9+3+1+3+3</f>
        <v>19</v>
      </c>
    </row>
    <row r="132" spans="2:7" x14ac:dyDescent="0.25">
      <c r="B132" s="23">
        <f>95+18+12+24+14+20</f>
        <v>183</v>
      </c>
      <c r="C132" s="19" t="s">
        <v>70</v>
      </c>
      <c r="D132" s="16">
        <v>715.02</v>
      </c>
      <c r="E132" s="20">
        <f t="shared" si="4"/>
        <v>130848.66</v>
      </c>
      <c r="F132" s="23">
        <f>44+9+9+12+9+12</f>
        <v>95</v>
      </c>
      <c r="G132" s="23">
        <f>51+9+3+12+5+8</f>
        <v>88</v>
      </c>
    </row>
    <row r="133" spans="2:7" x14ac:dyDescent="0.25">
      <c r="B133" s="23">
        <f>46+4+1+1+4+8+1+5+11+2</f>
        <v>83</v>
      </c>
      <c r="C133" s="19" t="s">
        <v>204</v>
      </c>
      <c r="D133" s="16">
        <v>715.02</v>
      </c>
      <c r="E133" s="20">
        <f t="shared" si="4"/>
        <v>59346.659999999996</v>
      </c>
      <c r="F133" s="23">
        <f>22+1+2+5+3+5</f>
        <v>38</v>
      </c>
      <c r="G133" s="23">
        <f>24+3+1+1+2+3+1+2+6+2</f>
        <v>45</v>
      </c>
    </row>
    <row r="134" spans="2:7" x14ac:dyDescent="0.25">
      <c r="B134" s="23">
        <f>7+1</f>
        <v>8</v>
      </c>
      <c r="C134" s="19" t="s">
        <v>205</v>
      </c>
      <c r="D134" s="16">
        <v>715.02</v>
      </c>
      <c r="E134" s="20">
        <f t="shared" si="4"/>
        <v>5720.16</v>
      </c>
      <c r="F134" s="23">
        <v>2</v>
      </c>
      <c r="G134" s="23">
        <f>5+1</f>
        <v>6</v>
      </c>
    </row>
    <row r="135" spans="2:7" s="13" customFormat="1" x14ac:dyDescent="0.25">
      <c r="B135" s="48"/>
      <c r="C135" s="55"/>
      <c r="D135" s="56"/>
      <c r="E135" s="57"/>
      <c r="F135" s="48"/>
      <c r="G135" s="48"/>
    </row>
    <row r="136" spans="2:7" s="13" customFormat="1" x14ac:dyDescent="0.25">
      <c r="B136" s="48"/>
      <c r="C136" s="55"/>
      <c r="D136" s="56"/>
      <c r="E136" s="57"/>
      <c r="F136" s="48"/>
      <c r="G136" s="48"/>
    </row>
    <row r="137" spans="2:7" s="13" customFormat="1" x14ac:dyDescent="0.25">
      <c r="B137" s="48"/>
      <c r="C137" s="55"/>
      <c r="D137" s="56"/>
      <c r="E137" s="57"/>
      <c r="F137" s="48"/>
      <c r="G137" s="48"/>
    </row>
    <row r="138" spans="2:7" s="13" customFormat="1" x14ac:dyDescent="0.25">
      <c r="B138" s="48"/>
      <c r="C138" s="55"/>
      <c r="D138" s="56"/>
      <c r="E138" s="57"/>
      <c r="F138" s="48"/>
      <c r="G138" s="48"/>
    </row>
    <row r="139" spans="2:7" s="13" customFormat="1" x14ac:dyDescent="0.25">
      <c r="B139" s="48"/>
      <c r="C139" s="55"/>
      <c r="D139" s="56"/>
      <c r="E139" s="57"/>
      <c r="F139" s="48"/>
      <c r="G139" s="48"/>
    </row>
    <row r="140" spans="2:7" x14ac:dyDescent="0.25">
      <c r="B140" s="23">
        <f>6+5+3+3</f>
        <v>17</v>
      </c>
      <c r="C140" s="9" t="s">
        <v>79</v>
      </c>
      <c r="D140" s="16">
        <v>715.02</v>
      </c>
      <c r="E140" s="20">
        <f t="shared" si="4"/>
        <v>12155.34</v>
      </c>
      <c r="F140" s="23">
        <f>4+4+2+3</f>
        <v>13</v>
      </c>
      <c r="G140" s="23">
        <f>2+1+1</f>
        <v>4</v>
      </c>
    </row>
    <row r="141" spans="2:7" x14ac:dyDescent="0.25">
      <c r="B141" s="23">
        <f>8+12+5+6</f>
        <v>31</v>
      </c>
      <c r="C141" s="9" t="s">
        <v>80</v>
      </c>
      <c r="D141" s="16">
        <v>715.02</v>
      </c>
      <c r="E141" s="20">
        <f t="shared" si="4"/>
        <v>22165.62</v>
      </c>
      <c r="F141" s="23">
        <f>5+6+3+2</f>
        <v>16</v>
      </c>
      <c r="G141" s="23">
        <f>3+6+2+4</f>
        <v>15</v>
      </c>
    </row>
    <row r="142" spans="2:7" x14ac:dyDescent="0.25">
      <c r="B142" s="23">
        <f>4+1+2</f>
        <v>7</v>
      </c>
      <c r="C142" s="9" t="s">
        <v>206</v>
      </c>
      <c r="D142" s="16">
        <v>715.02</v>
      </c>
      <c r="E142" s="20">
        <f t="shared" si="4"/>
        <v>5005.1399999999994</v>
      </c>
      <c r="F142" s="23">
        <f>2+2</f>
        <v>4</v>
      </c>
      <c r="G142" s="23">
        <f>2+1</f>
        <v>3</v>
      </c>
    </row>
    <row r="143" spans="2:7" x14ac:dyDescent="0.25">
      <c r="B143" s="23">
        <f>2+1</f>
        <v>3</v>
      </c>
      <c r="C143" s="9" t="s">
        <v>86</v>
      </c>
      <c r="D143" s="16">
        <v>715.02</v>
      </c>
      <c r="E143" s="20">
        <f t="shared" si="4"/>
        <v>2145.06</v>
      </c>
      <c r="F143" s="23">
        <f>1+1</f>
        <v>2</v>
      </c>
      <c r="G143" s="23">
        <v>1</v>
      </c>
    </row>
    <row r="144" spans="2:7" x14ac:dyDescent="0.25">
      <c r="B144" s="23">
        <v>1</v>
      </c>
      <c r="C144" s="9" t="s">
        <v>110</v>
      </c>
      <c r="D144" s="16">
        <v>715.02</v>
      </c>
      <c r="E144" s="20">
        <f t="shared" si="4"/>
        <v>715.02</v>
      </c>
      <c r="F144" s="23">
        <v>1</v>
      </c>
      <c r="G144" s="23"/>
    </row>
    <row r="145" spans="2:7" x14ac:dyDescent="0.25">
      <c r="B145" s="23">
        <v>1</v>
      </c>
      <c r="C145" s="9" t="s">
        <v>28</v>
      </c>
      <c r="D145" s="16">
        <v>715.02</v>
      </c>
      <c r="E145" s="20">
        <f t="shared" si="4"/>
        <v>715.02</v>
      </c>
      <c r="F145" s="23"/>
      <c r="G145" s="23">
        <v>1</v>
      </c>
    </row>
    <row r="146" spans="2:7" x14ac:dyDescent="0.25">
      <c r="B146" s="23">
        <f>2+1+1+1+1+1</f>
        <v>7</v>
      </c>
      <c r="C146" s="19" t="s">
        <v>207</v>
      </c>
      <c r="D146" s="16">
        <v>715.02</v>
      </c>
      <c r="E146" s="20">
        <f t="shared" si="4"/>
        <v>5005.1399999999994</v>
      </c>
      <c r="F146" s="23"/>
      <c r="G146" s="23">
        <f>2+1+1+1+1+1</f>
        <v>7</v>
      </c>
    </row>
    <row r="147" spans="2:7" x14ac:dyDescent="0.25">
      <c r="B147" s="21">
        <v>1</v>
      </c>
      <c r="C147" s="9" t="s">
        <v>208</v>
      </c>
      <c r="D147" s="16">
        <v>715.02</v>
      </c>
      <c r="E147" s="20">
        <f t="shared" si="4"/>
        <v>715.02</v>
      </c>
      <c r="F147" s="21">
        <v>1</v>
      </c>
      <c r="G147" s="21"/>
    </row>
    <row r="148" spans="2:7" x14ac:dyDescent="0.25">
      <c r="B148" s="21">
        <v>1</v>
      </c>
      <c r="C148" s="9" t="s">
        <v>57</v>
      </c>
      <c r="D148" s="16">
        <v>660</v>
      </c>
      <c r="E148" s="20">
        <f t="shared" si="4"/>
        <v>660</v>
      </c>
      <c r="F148" s="21"/>
      <c r="G148" s="21">
        <v>1</v>
      </c>
    </row>
    <row r="149" spans="2:7" x14ac:dyDescent="0.25">
      <c r="B149" s="21">
        <v>1</v>
      </c>
      <c r="C149" s="19" t="s">
        <v>209</v>
      </c>
      <c r="D149" s="16">
        <v>641.11</v>
      </c>
      <c r="E149" s="20">
        <f t="shared" si="4"/>
        <v>641.11</v>
      </c>
      <c r="F149" s="21">
        <v>1</v>
      </c>
      <c r="G149" s="21"/>
    </row>
    <row r="150" spans="2:7" x14ac:dyDescent="0.25">
      <c r="B150" s="21">
        <v>9</v>
      </c>
      <c r="C150" s="19" t="s">
        <v>210</v>
      </c>
      <c r="D150" s="16">
        <v>634.74</v>
      </c>
      <c r="E150" s="20">
        <f t="shared" si="4"/>
        <v>5712.66</v>
      </c>
      <c r="F150" s="21">
        <v>9</v>
      </c>
      <c r="G150" s="21"/>
    </row>
    <row r="151" spans="2:7" x14ac:dyDescent="0.25">
      <c r="B151" s="21">
        <f>1+1+1+4</f>
        <v>7</v>
      </c>
      <c r="C151" s="19" t="s">
        <v>211</v>
      </c>
      <c r="D151" s="16">
        <v>634.74</v>
      </c>
      <c r="E151" s="20">
        <f t="shared" si="4"/>
        <v>4443.18</v>
      </c>
      <c r="F151" s="21"/>
      <c r="G151" s="21">
        <f>1+1+1+4</f>
        <v>7</v>
      </c>
    </row>
    <row r="152" spans="2:7" x14ac:dyDescent="0.25">
      <c r="B152" s="21">
        <f>10+1+2+1+1+2</f>
        <v>17</v>
      </c>
      <c r="C152" s="19" t="s">
        <v>212</v>
      </c>
      <c r="D152" s="16">
        <v>634.74</v>
      </c>
      <c r="E152" s="20">
        <f t="shared" si="4"/>
        <v>10790.58</v>
      </c>
      <c r="F152" s="21">
        <f>5+2+1</f>
        <v>8</v>
      </c>
      <c r="G152" s="21">
        <f>5+1+1+1+1</f>
        <v>9</v>
      </c>
    </row>
    <row r="153" spans="2:7" x14ac:dyDescent="0.25">
      <c r="B153" s="21">
        <v>1</v>
      </c>
      <c r="C153" s="9" t="s">
        <v>213</v>
      </c>
      <c r="D153" s="16">
        <v>634.74</v>
      </c>
      <c r="E153" s="20">
        <f t="shared" si="4"/>
        <v>634.74</v>
      </c>
      <c r="F153" s="21">
        <v>1</v>
      </c>
      <c r="G153" s="21"/>
    </row>
    <row r="154" spans="2:7" x14ac:dyDescent="0.25">
      <c r="B154" s="21">
        <f>7+1+1</f>
        <v>9</v>
      </c>
      <c r="C154" s="19" t="s">
        <v>122</v>
      </c>
      <c r="D154" s="16">
        <v>634.74</v>
      </c>
      <c r="E154" s="20">
        <f t="shared" si="4"/>
        <v>5712.66</v>
      </c>
      <c r="F154" s="21">
        <f>3+1</f>
        <v>4</v>
      </c>
      <c r="G154" s="21">
        <f>4+1</f>
        <v>5</v>
      </c>
    </row>
    <row r="155" spans="2:7" x14ac:dyDescent="0.25">
      <c r="B155" s="21">
        <v>5</v>
      </c>
      <c r="C155" s="19" t="s">
        <v>79</v>
      </c>
      <c r="D155" s="16">
        <v>634.74</v>
      </c>
      <c r="E155" s="20">
        <f t="shared" si="4"/>
        <v>3173.7</v>
      </c>
      <c r="F155" s="21">
        <v>3</v>
      </c>
      <c r="G155" s="21">
        <v>2</v>
      </c>
    </row>
    <row r="156" spans="2:7" x14ac:dyDescent="0.25">
      <c r="B156" s="21">
        <v>1</v>
      </c>
      <c r="C156" s="19" t="s">
        <v>123</v>
      </c>
      <c r="D156" s="16">
        <v>634.74</v>
      </c>
      <c r="E156" s="20">
        <f t="shared" si="4"/>
        <v>634.74</v>
      </c>
      <c r="F156" s="21">
        <v>1</v>
      </c>
      <c r="G156" s="21"/>
    </row>
    <row r="157" spans="2:7" x14ac:dyDescent="0.25">
      <c r="B157" s="21">
        <v>5</v>
      </c>
      <c r="C157" s="19" t="s">
        <v>80</v>
      </c>
      <c r="D157" s="16">
        <v>634.74</v>
      </c>
      <c r="E157" s="20">
        <f t="shared" si="4"/>
        <v>3173.7</v>
      </c>
      <c r="F157" s="21">
        <v>5</v>
      </c>
      <c r="G157" s="21"/>
    </row>
    <row r="158" spans="2:7" x14ac:dyDescent="0.25">
      <c r="B158" s="21">
        <v>1</v>
      </c>
      <c r="C158" s="19" t="s">
        <v>214</v>
      </c>
      <c r="D158" s="16">
        <v>634.74</v>
      </c>
      <c r="E158" s="20">
        <f t="shared" si="4"/>
        <v>634.74</v>
      </c>
      <c r="F158" s="21">
        <v>1</v>
      </c>
      <c r="G158" s="21"/>
    </row>
    <row r="159" spans="2:7" x14ac:dyDescent="0.25">
      <c r="B159" s="21">
        <v>5</v>
      </c>
      <c r="C159" s="19" t="s">
        <v>215</v>
      </c>
      <c r="D159" s="16">
        <v>634.74</v>
      </c>
      <c r="E159" s="20">
        <f t="shared" si="4"/>
        <v>3173.7</v>
      </c>
      <c r="F159" s="21">
        <v>4</v>
      </c>
      <c r="G159" s="21">
        <v>1</v>
      </c>
    </row>
    <row r="160" spans="2:7" x14ac:dyDescent="0.25">
      <c r="B160" s="21">
        <v>1</v>
      </c>
      <c r="C160" s="19" t="s">
        <v>237</v>
      </c>
      <c r="D160" s="16">
        <v>634.74</v>
      </c>
      <c r="E160" s="20">
        <f t="shared" ref="E160:E191" si="5">D160*B160</f>
        <v>634.74</v>
      </c>
      <c r="F160" s="21">
        <v>1</v>
      </c>
      <c r="G160" s="21"/>
    </row>
    <row r="161" spans="2:7" x14ac:dyDescent="0.25">
      <c r="B161" s="21">
        <f>4+5+2+3+1+1</f>
        <v>16</v>
      </c>
      <c r="C161" s="19" t="s">
        <v>216</v>
      </c>
      <c r="D161" s="16">
        <v>619.80999999999995</v>
      </c>
      <c r="E161" s="20">
        <f t="shared" si="5"/>
        <v>9916.9599999999991</v>
      </c>
      <c r="F161" s="21"/>
      <c r="G161" s="21">
        <f>4+5+2+3+1+1</f>
        <v>16</v>
      </c>
    </row>
    <row r="162" spans="2:7" x14ac:dyDescent="0.25">
      <c r="B162" s="21">
        <f>2+2</f>
        <v>4</v>
      </c>
      <c r="C162" s="19" t="s">
        <v>214</v>
      </c>
      <c r="D162" s="16">
        <v>619.80999999999995</v>
      </c>
      <c r="E162" s="20">
        <f t="shared" si="5"/>
        <v>2479.2399999999998</v>
      </c>
      <c r="F162" s="21"/>
      <c r="G162" s="21">
        <f>2+2</f>
        <v>4</v>
      </c>
    </row>
    <row r="163" spans="2:7" x14ac:dyDescent="0.25">
      <c r="B163" s="21">
        <f>1+1+1+4+1+1+1</f>
        <v>10</v>
      </c>
      <c r="C163" s="19" t="s">
        <v>217</v>
      </c>
      <c r="D163" s="16">
        <v>558.71</v>
      </c>
      <c r="E163" s="20">
        <f t="shared" si="5"/>
        <v>5587.1</v>
      </c>
      <c r="F163" s="21"/>
      <c r="G163" s="21">
        <f>1+1+1+4+1+1+1</f>
        <v>10</v>
      </c>
    </row>
    <row r="164" spans="2:7" x14ac:dyDescent="0.25">
      <c r="B164" s="21">
        <v>1</v>
      </c>
      <c r="C164" s="19" t="s">
        <v>218</v>
      </c>
      <c r="D164" s="16">
        <v>558.71</v>
      </c>
      <c r="E164" s="20">
        <f t="shared" si="5"/>
        <v>558.71</v>
      </c>
      <c r="F164" s="21">
        <v>1</v>
      </c>
      <c r="G164" s="21"/>
    </row>
    <row r="165" spans="2:7" x14ac:dyDescent="0.25">
      <c r="B165" s="21">
        <f>1+1+1</f>
        <v>3</v>
      </c>
      <c r="C165" s="19" t="s">
        <v>219</v>
      </c>
      <c r="D165" s="16">
        <v>549.9</v>
      </c>
      <c r="E165" s="20">
        <f t="shared" si="5"/>
        <v>1649.6999999999998</v>
      </c>
      <c r="F165" s="21">
        <f>1+1</f>
        <v>2</v>
      </c>
      <c r="G165" s="21">
        <v>1</v>
      </c>
    </row>
    <row r="166" spans="2:7" x14ac:dyDescent="0.25">
      <c r="B166" s="21">
        <f>1+1+1</f>
        <v>3</v>
      </c>
      <c r="C166" s="19" t="s">
        <v>57</v>
      </c>
      <c r="D166" s="16">
        <v>536.92999999999995</v>
      </c>
      <c r="E166" s="20">
        <f t="shared" si="5"/>
        <v>1610.79</v>
      </c>
      <c r="F166" s="21">
        <v>1</v>
      </c>
      <c r="G166" s="21">
        <f>1+1</f>
        <v>2</v>
      </c>
    </row>
    <row r="167" spans="2:7" x14ac:dyDescent="0.25">
      <c r="B167" s="21">
        <f>9+6+2+2</f>
        <v>19</v>
      </c>
      <c r="C167" s="19" t="s">
        <v>215</v>
      </c>
      <c r="D167" s="16">
        <v>536.92999999999995</v>
      </c>
      <c r="E167" s="20">
        <f t="shared" si="5"/>
        <v>10201.669999999998</v>
      </c>
      <c r="F167" s="21">
        <f>9+6+1+1</f>
        <v>17</v>
      </c>
      <c r="G167" s="21">
        <f>1+1</f>
        <v>2</v>
      </c>
    </row>
    <row r="168" spans="2:7" x14ac:dyDescent="0.25">
      <c r="B168" s="21">
        <f>1+3+6+1+2+1+3+1+2</f>
        <v>20</v>
      </c>
      <c r="C168" s="9" t="s">
        <v>220</v>
      </c>
      <c r="D168" s="16">
        <v>536.92999999999995</v>
      </c>
      <c r="E168" s="20">
        <f t="shared" si="5"/>
        <v>10738.599999999999</v>
      </c>
      <c r="F168" s="21"/>
      <c r="G168" s="21">
        <f>1+3+6+1+2+1+3+1+2</f>
        <v>20</v>
      </c>
    </row>
    <row r="169" spans="2:7" x14ac:dyDescent="0.25">
      <c r="B169" s="21">
        <v>1</v>
      </c>
      <c r="C169" s="9" t="s">
        <v>221</v>
      </c>
      <c r="D169" s="16">
        <v>536.92999999999995</v>
      </c>
      <c r="E169" s="20">
        <f t="shared" si="5"/>
        <v>536.92999999999995</v>
      </c>
      <c r="F169" s="21">
        <v>1</v>
      </c>
      <c r="G169" s="21"/>
    </row>
    <row r="170" spans="2:7" x14ac:dyDescent="0.25">
      <c r="B170" s="21">
        <v>1</v>
      </c>
      <c r="C170" s="9" t="s">
        <v>222</v>
      </c>
      <c r="D170" s="16">
        <v>536.92999999999995</v>
      </c>
      <c r="E170" s="20">
        <f t="shared" si="5"/>
        <v>536.92999999999995</v>
      </c>
      <c r="F170" s="21"/>
      <c r="G170" s="21">
        <v>1</v>
      </c>
    </row>
    <row r="171" spans="2:7" x14ac:dyDescent="0.25">
      <c r="B171" s="21">
        <f>1+1</f>
        <v>2</v>
      </c>
      <c r="C171" s="9" t="s">
        <v>223</v>
      </c>
      <c r="D171" s="16">
        <v>490.6</v>
      </c>
      <c r="E171" s="20">
        <f t="shared" si="5"/>
        <v>981.2</v>
      </c>
      <c r="F171" s="21">
        <f>1+1</f>
        <v>2</v>
      </c>
      <c r="G171" s="21"/>
    </row>
    <row r="172" spans="2:7" x14ac:dyDescent="0.25">
      <c r="B172" s="21">
        <f>2+22+2+2+2+2+4</f>
        <v>36</v>
      </c>
      <c r="C172" s="19" t="s">
        <v>224</v>
      </c>
      <c r="D172" s="16">
        <v>474.71</v>
      </c>
      <c r="E172" s="20">
        <f t="shared" si="5"/>
        <v>17089.559999999998</v>
      </c>
      <c r="F172" s="21">
        <f>2+22+2+2+2+2+4</f>
        <v>36</v>
      </c>
      <c r="G172" s="21"/>
    </row>
    <row r="173" spans="2:7" x14ac:dyDescent="0.25">
      <c r="B173" s="21">
        <f>23+6+10+2</f>
        <v>41</v>
      </c>
      <c r="C173" s="19" t="s">
        <v>84</v>
      </c>
      <c r="D173" s="16">
        <v>474.71</v>
      </c>
      <c r="E173" s="20">
        <f t="shared" si="5"/>
        <v>19463.11</v>
      </c>
      <c r="F173" s="21">
        <f>23+6+10+2</f>
        <v>41</v>
      </c>
      <c r="G173" s="21"/>
    </row>
    <row r="174" spans="2:7" x14ac:dyDescent="0.25">
      <c r="B174" s="21">
        <f>1+1+6+2+2+1+1</f>
        <v>14</v>
      </c>
      <c r="C174" s="19" t="s">
        <v>33</v>
      </c>
      <c r="D174" s="16">
        <v>474.71</v>
      </c>
      <c r="E174" s="20">
        <f t="shared" si="5"/>
        <v>6645.94</v>
      </c>
      <c r="F174" s="21">
        <f>1+1+6+2+2+1+1</f>
        <v>14</v>
      </c>
      <c r="G174" s="21"/>
    </row>
    <row r="175" spans="2:7" x14ac:dyDescent="0.25">
      <c r="B175" s="21">
        <v>1</v>
      </c>
      <c r="C175" s="19" t="s">
        <v>225</v>
      </c>
      <c r="D175" s="16">
        <v>474.71</v>
      </c>
      <c r="E175" s="20">
        <f t="shared" si="5"/>
        <v>474.71</v>
      </c>
      <c r="F175" s="21"/>
      <c r="G175" s="21">
        <v>1</v>
      </c>
    </row>
    <row r="176" spans="2:7" x14ac:dyDescent="0.25">
      <c r="B176" s="21">
        <v>1</v>
      </c>
      <c r="C176" s="19" t="s">
        <v>226</v>
      </c>
      <c r="D176" s="16">
        <v>459.49</v>
      </c>
      <c r="E176" s="20">
        <f t="shared" si="5"/>
        <v>459.49</v>
      </c>
      <c r="F176" s="21">
        <v>1</v>
      </c>
      <c r="G176" s="21"/>
    </row>
    <row r="177" spans="2:7" x14ac:dyDescent="0.25">
      <c r="B177" s="21">
        <v>1</v>
      </c>
      <c r="C177" s="19" t="s">
        <v>227</v>
      </c>
      <c r="D177" s="16">
        <v>443.6</v>
      </c>
      <c r="E177" s="20">
        <f t="shared" si="5"/>
        <v>443.6</v>
      </c>
      <c r="F177" s="21">
        <v>1</v>
      </c>
      <c r="G177" s="21"/>
    </row>
    <row r="178" spans="2:7" x14ac:dyDescent="0.25">
      <c r="B178" s="21">
        <f>3+13+11+2+2+2+3+6+1</f>
        <v>43</v>
      </c>
      <c r="C178" s="19" t="s">
        <v>228</v>
      </c>
      <c r="D178" s="16">
        <v>443.6</v>
      </c>
      <c r="E178" s="20">
        <f t="shared" si="5"/>
        <v>19074.8</v>
      </c>
      <c r="F178" s="21">
        <f>1+11+9+2+2+1+3+6+1</f>
        <v>36</v>
      </c>
      <c r="G178" s="21">
        <f>2+2+2+1</f>
        <v>7</v>
      </c>
    </row>
    <row r="179" spans="2:7" x14ac:dyDescent="0.25">
      <c r="B179" s="21">
        <v>1</v>
      </c>
      <c r="C179" s="3" t="s">
        <v>229</v>
      </c>
      <c r="D179" s="11">
        <v>336.04</v>
      </c>
      <c r="E179" s="20">
        <f t="shared" si="5"/>
        <v>336.04</v>
      </c>
      <c r="F179" s="21"/>
      <c r="G179" s="21">
        <v>1</v>
      </c>
    </row>
    <row r="180" spans="2:7" ht="15.75" x14ac:dyDescent="0.25">
      <c r="B180" s="12">
        <f>SUM(B22:B179)</f>
        <v>849</v>
      </c>
      <c r="C180" s="1"/>
      <c r="D180" s="1"/>
      <c r="E180" s="18">
        <f>SUM(E22:E179)</f>
        <v>598406.21519999998</v>
      </c>
      <c r="F180" s="14">
        <f>SUM(F22:F179)</f>
        <v>479</v>
      </c>
      <c r="G180" s="14">
        <f>SUM(G22:G179)</f>
        <v>370</v>
      </c>
    </row>
  </sheetData>
  <mergeCells count="2">
    <mergeCell ref="F3:G3"/>
    <mergeCell ref="F20:G20"/>
  </mergeCells>
  <pageMargins left="0.7" right="0.7" top="0.75" bottom="0.75" header="0.3" footer="0.3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4"/>
  <sheetViews>
    <sheetView view="pageBreakPreview" topLeftCell="A109" zoomScale="60" zoomScaleNormal="100" workbookViewId="0">
      <selection activeCell="C143" sqref="C143"/>
    </sheetView>
  </sheetViews>
  <sheetFormatPr baseColWidth="10" defaultRowHeight="15" x14ac:dyDescent="0.25"/>
  <cols>
    <col min="1" max="1" width="5.570312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245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5</v>
      </c>
      <c r="D5" s="16">
        <v>2600</v>
      </c>
      <c r="E5" s="10">
        <f t="shared" ref="E5:E8" si="0">D5*B5</f>
        <v>2600</v>
      </c>
      <c r="F5" s="7"/>
      <c r="G5" s="7">
        <v>1</v>
      </c>
    </row>
    <row r="6" spans="2:7" x14ac:dyDescent="0.25">
      <c r="B6" s="21">
        <v>1</v>
      </c>
      <c r="C6" s="3" t="s">
        <v>246</v>
      </c>
      <c r="D6" s="16">
        <v>1623.25</v>
      </c>
      <c r="E6" s="10">
        <f t="shared" si="0"/>
        <v>1623.25</v>
      </c>
      <c r="F6" s="7">
        <v>1</v>
      </c>
      <c r="G6" s="7"/>
    </row>
    <row r="7" spans="2:7" x14ac:dyDescent="0.25">
      <c r="B7" s="21">
        <v>1</v>
      </c>
      <c r="C7" s="9" t="s">
        <v>180</v>
      </c>
      <c r="D7" s="16">
        <v>1108.25</v>
      </c>
      <c r="E7" s="10">
        <f t="shared" si="0"/>
        <v>1108.25</v>
      </c>
      <c r="F7" s="21">
        <v>1</v>
      </c>
      <c r="G7" s="21"/>
    </row>
    <row r="8" spans="2:7" x14ac:dyDescent="0.25">
      <c r="B8" s="21">
        <v>1</v>
      </c>
      <c r="C8" s="9" t="s">
        <v>24</v>
      </c>
      <c r="D8" s="10">
        <v>846.59</v>
      </c>
      <c r="E8" s="10">
        <f t="shared" si="0"/>
        <v>846.59</v>
      </c>
      <c r="F8" s="21">
        <v>2</v>
      </c>
      <c r="G8" s="21"/>
    </row>
    <row r="9" spans="2:7" x14ac:dyDescent="0.25">
      <c r="B9" s="21"/>
      <c r="C9" s="9"/>
      <c r="D9" s="10"/>
      <c r="E9" s="10"/>
      <c r="F9" s="21"/>
      <c r="G9" s="21"/>
    </row>
    <row r="10" spans="2:7" ht="15.75" x14ac:dyDescent="0.25">
      <c r="B10" s="12">
        <f>SUM(B5:B9)</f>
        <v>4</v>
      </c>
      <c r="C10" s="1"/>
      <c r="D10" s="15"/>
      <c r="E10" s="17">
        <f>SUM(E7:E9)</f>
        <v>1954.8400000000001</v>
      </c>
      <c r="F10" s="14">
        <f>SUM(F5:F9)</f>
        <v>4</v>
      </c>
      <c r="G10" s="14">
        <f>SUM(G5:G9)</f>
        <v>1</v>
      </c>
    </row>
    <row r="13" spans="2:7" x14ac:dyDescent="0.25">
      <c r="B13" s="29" t="s">
        <v>37</v>
      </c>
      <c r="C13" s="30"/>
    </row>
    <row r="14" spans="2:7" x14ac:dyDescent="0.25">
      <c r="B14" s="2"/>
      <c r="D14" s="4"/>
      <c r="E14" s="4"/>
      <c r="F14" s="45" t="s">
        <v>3</v>
      </c>
      <c r="G14" s="45"/>
    </row>
    <row r="15" spans="2:7" ht="30" x14ac:dyDescent="0.25">
      <c r="B15" s="6" t="s">
        <v>6</v>
      </c>
      <c r="C15" s="7" t="s">
        <v>4</v>
      </c>
      <c r="D15" s="6" t="s">
        <v>2</v>
      </c>
      <c r="E15" s="6" t="s">
        <v>9</v>
      </c>
      <c r="F15" s="7" t="s">
        <v>0</v>
      </c>
      <c r="G15" s="7" t="s">
        <v>1</v>
      </c>
    </row>
    <row r="16" spans="2:7" x14ac:dyDescent="0.25">
      <c r="B16" s="21">
        <v>1</v>
      </c>
      <c r="C16" s="19" t="s">
        <v>38</v>
      </c>
      <c r="D16" s="16">
        <v>2773.8</v>
      </c>
      <c r="E16" s="20">
        <f>D16*B16</f>
        <v>2773.8</v>
      </c>
      <c r="F16" s="21"/>
      <c r="G16" s="21">
        <v>1</v>
      </c>
    </row>
    <row r="17" spans="2:7" x14ac:dyDescent="0.25">
      <c r="B17" s="21">
        <v>1</v>
      </c>
      <c r="C17" s="19" t="s">
        <v>39</v>
      </c>
      <c r="D17" s="16">
        <v>2080.58</v>
      </c>
      <c r="E17" s="20">
        <f>D17*B17</f>
        <v>2080.58</v>
      </c>
      <c r="F17" s="21">
        <v>1</v>
      </c>
      <c r="G17" s="21"/>
    </row>
    <row r="18" spans="2:7" x14ac:dyDescent="0.25">
      <c r="B18" s="21">
        <v>1</v>
      </c>
      <c r="C18" s="3" t="s">
        <v>140</v>
      </c>
      <c r="D18" s="16">
        <v>2600</v>
      </c>
      <c r="E18" s="20">
        <f t="shared" ref="E18:E88" si="1">D18*B18</f>
        <v>2600</v>
      </c>
      <c r="F18" s="21"/>
      <c r="G18" s="21">
        <v>1</v>
      </c>
    </row>
    <row r="19" spans="2:7" x14ac:dyDescent="0.25">
      <c r="B19" s="21">
        <v>1</v>
      </c>
      <c r="C19" s="19" t="s">
        <v>231</v>
      </c>
      <c r="D19" s="16">
        <v>2600</v>
      </c>
      <c r="E19" s="20">
        <f t="shared" si="1"/>
        <v>2600</v>
      </c>
      <c r="F19" s="21">
        <v>1</v>
      </c>
      <c r="G19" s="21"/>
    </row>
    <row r="20" spans="2:7" x14ac:dyDescent="0.25">
      <c r="B20" s="21">
        <v>1</v>
      </c>
      <c r="C20" s="9" t="s">
        <v>18</v>
      </c>
      <c r="D20" s="16">
        <v>2269.41</v>
      </c>
      <c r="E20" s="20">
        <f t="shared" si="1"/>
        <v>2269.41</v>
      </c>
      <c r="F20" s="21"/>
      <c r="G20" s="21">
        <v>1</v>
      </c>
    </row>
    <row r="21" spans="2:7" x14ac:dyDescent="0.25">
      <c r="B21" s="21">
        <v>1</v>
      </c>
      <c r="C21" s="9" t="s">
        <v>232</v>
      </c>
      <c r="D21" s="16">
        <v>2269.41</v>
      </c>
      <c r="E21" s="20">
        <f t="shared" si="1"/>
        <v>2269.41</v>
      </c>
      <c r="F21" s="21"/>
      <c r="G21" s="21">
        <v>1</v>
      </c>
    </row>
    <row r="22" spans="2:7" x14ac:dyDescent="0.25">
      <c r="B22" s="21">
        <v>1</v>
      </c>
      <c r="C22" s="9" t="s">
        <v>61</v>
      </c>
      <c r="D22" s="16">
        <v>2269.41</v>
      </c>
      <c r="E22" s="20">
        <f t="shared" si="1"/>
        <v>2269.41</v>
      </c>
      <c r="F22" s="21"/>
      <c r="G22" s="21">
        <v>1</v>
      </c>
    </row>
    <row r="23" spans="2:7" x14ac:dyDescent="0.25">
      <c r="B23" s="21">
        <v>1</v>
      </c>
      <c r="C23" s="9" t="s">
        <v>67</v>
      </c>
      <c r="D23" s="16">
        <v>2269.4</v>
      </c>
      <c r="E23" s="20">
        <f t="shared" si="1"/>
        <v>2269.4</v>
      </c>
      <c r="F23" s="21">
        <v>1</v>
      </c>
      <c r="G23" s="21"/>
    </row>
    <row r="24" spans="2:7" x14ac:dyDescent="0.25">
      <c r="B24" s="21">
        <v>1</v>
      </c>
      <c r="C24" s="3" t="s">
        <v>73</v>
      </c>
      <c r="D24" s="16">
        <v>2269.41</v>
      </c>
      <c r="E24" s="20">
        <f t="shared" si="1"/>
        <v>2269.41</v>
      </c>
      <c r="F24" s="21"/>
      <c r="G24" s="21">
        <v>1</v>
      </c>
    </row>
    <row r="25" spans="2:7" x14ac:dyDescent="0.25">
      <c r="B25" s="21">
        <v>1</v>
      </c>
      <c r="C25" s="9" t="s">
        <v>90</v>
      </c>
      <c r="D25" s="16">
        <v>2060</v>
      </c>
      <c r="E25" s="20">
        <f t="shared" si="1"/>
        <v>2060</v>
      </c>
      <c r="F25" s="21"/>
      <c r="G25" s="21">
        <v>1</v>
      </c>
    </row>
    <row r="26" spans="2:7" x14ac:dyDescent="0.25">
      <c r="B26" s="21">
        <v>1</v>
      </c>
      <c r="C26" s="9" t="s">
        <v>233</v>
      </c>
      <c r="D26" s="16">
        <v>2060</v>
      </c>
      <c r="E26" s="20">
        <f t="shared" si="1"/>
        <v>2060</v>
      </c>
      <c r="F26" s="21">
        <v>1</v>
      </c>
      <c r="G26" s="21"/>
    </row>
    <row r="27" spans="2:7" x14ac:dyDescent="0.25">
      <c r="B27" s="21">
        <v>1</v>
      </c>
      <c r="C27" s="9" t="s">
        <v>133</v>
      </c>
      <c r="D27" s="16">
        <v>1775.02</v>
      </c>
      <c r="E27" s="20">
        <f t="shared" si="1"/>
        <v>1775.02</v>
      </c>
      <c r="F27" s="21"/>
      <c r="G27" s="21">
        <v>1</v>
      </c>
    </row>
    <row r="28" spans="2:7" x14ac:dyDescent="0.25">
      <c r="B28" s="21">
        <v>1</v>
      </c>
      <c r="C28" s="9" t="s">
        <v>247</v>
      </c>
      <c r="D28" s="16">
        <v>1775.02</v>
      </c>
      <c r="E28" s="20">
        <f t="shared" si="1"/>
        <v>1775.02</v>
      </c>
      <c r="F28" s="21"/>
      <c r="G28" s="21">
        <v>1</v>
      </c>
    </row>
    <row r="29" spans="2:7" x14ac:dyDescent="0.25">
      <c r="B29" s="21">
        <v>1</v>
      </c>
      <c r="C29" s="9" t="s">
        <v>234</v>
      </c>
      <c r="D29" s="16">
        <v>1701.66</v>
      </c>
      <c r="E29" s="20">
        <f t="shared" si="1"/>
        <v>1701.66</v>
      </c>
      <c r="F29" s="21">
        <v>1</v>
      </c>
      <c r="G29" s="21"/>
    </row>
    <row r="30" spans="2:7" x14ac:dyDescent="0.25">
      <c r="B30" s="21">
        <v>1</v>
      </c>
      <c r="C30" s="9" t="s">
        <v>60</v>
      </c>
      <c r="D30" s="16">
        <v>1664.54</v>
      </c>
      <c r="E30" s="20">
        <f>D30*B30</f>
        <v>1664.54</v>
      </c>
      <c r="F30" s="21"/>
      <c r="G30" s="21">
        <v>1</v>
      </c>
    </row>
    <row r="31" spans="2:7" x14ac:dyDescent="0.25">
      <c r="B31" s="21">
        <v>1</v>
      </c>
      <c r="C31" s="9" t="s">
        <v>168</v>
      </c>
      <c r="D31" s="16">
        <v>1468.16</v>
      </c>
      <c r="E31" s="20">
        <f t="shared" si="1"/>
        <v>1468.16</v>
      </c>
      <c r="F31" s="21">
        <v>1</v>
      </c>
      <c r="G31" s="21"/>
    </row>
    <row r="32" spans="2:7" x14ac:dyDescent="0.25">
      <c r="B32" s="21">
        <v>1</v>
      </c>
      <c r="C32" s="9" t="s">
        <v>177</v>
      </c>
      <c r="D32" s="16">
        <v>1400</v>
      </c>
      <c r="E32" s="20">
        <f t="shared" si="1"/>
        <v>1400</v>
      </c>
      <c r="F32" s="21">
        <v>1</v>
      </c>
      <c r="G32" s="21"/>
    </row>
    <row r="33" spans="2:7" x14ac:dyDescent="0.25">
      <c r="B33" s="21">
        <v>1</v>
      </c>
      <c r="C33" s="9" t="s">
        <v>243</v>
      </c>
      <c r="D33" s="16">
        <v>1400</v>
      </c>
      <c r="E33" s="20">
        <f t="shared" si="1"/>
        <v>1400</v>
      </c>
      <c r="F33" s="21"/>
      <c r="G33" s="21">
        <v>1</v>
      </c>
    </row>
    <row r="34" spans="2:7" x14ac:dyDescent="0.25">
      <c r="B34" s="21">
        <v>1</v>
      </c>
      <c r="C34" s="9" t="s">
        <v>248</v>
      </c>
      <c r="D34" s="16">
        <v>1433.75</v>
      </c>
      <c r="E34" s="20">
        <f t="shared" si="1"/>
        <v>1433.75</v>
      </c>
      <c r="F34" s="21"/>
      <c r="G34" s="21">
        <v>1</v>
      </c>
    </row>
    <row r="35" spans="2:7" x14ac:dyDescent="0.25">
      <c r="B35" s="24">
        <v>1</v>
      </c>
      <c r="C35" s="9" t="s">
        <v>64</v>
      </c>
      <c r="D35" s="16">
        <v>1430.22</v>
      </c>
      <c r="E35" s="20">
        <f>D35*B35</f>
        <v>1430.22</v>
      </c>
      <c r="F35" s="24">
        <v>1</v>
      </c>
      <c r="G35" s="24"/>
    </row>
    <row r="36" spans="2:7" x14ac:dyDescent="0.25">
      <c r="B36" s="21">
        <v>1</v>
      </c>
      <c r="C36" s="9" t="s">
        <v>69</v>
      </c>
      <c r="D36" s="16">
        <v>1430.22</v>
      </c>
      <c r="E36" s="20">
        <f>D36*B36</f>
        <v>1430.22</v>
      </c>
      <c r="F36" s="21">
        <v>1</v>
      </c>
      <c r="G36" s="21"/>
    </row>
    <row r="37" spans="2:7" x14ac:dyDescent="0.25">
      <c r="B37" s="21">
        <v>1</v>
      </c>
      <c r="C37" s="9" t="s">
        <v>235</v>
      </c>
      <c r="D37" s="11">
        <v>1430.22</v>
      </c>
      <c r="E37" s="20">
        <f>D37*B37</f>
        <v>1430.22</v>
      </c>
      <c r="F37" s="21">
        <v>1</v>
      </c>
      <c r="G37" s="21"/>
    </row>
    <row r="38" spans="2:7" x14ac:dyDescent="0.25">
      <c r="B38" s="21">
        <v>1</v>
      </c>
      <c r="C38" s="9" t="s">
        <v>169</v>
      </c>
      <c r="D38" s="16">
        <v>1418.97</v>
      </c>
      <c r="E38" s="20">
        <f t="shared" si="1"/>
        <v>1418.97</v>
      </c>
      <c r="F38" s="21">
        <v>1</v>
      </c>
      <c r="G38" s="21"/>
    </row>
    <row r="39" spans="2:7" x14ac:dyDescent="0.25">
      <c r="B39" s="21">
        <v>1</v>
      </c>
      <c r="C39" s="19" t="s">
        <v>40</v>
      </c>
      <c r="D39" s="16">
        <v>1373.12</v>
      </c>
      <c r="E39" s="20">
        <f t="shared" si="1"/>
        <v>1373.12</v>
      </c>
      <c r="F39" s="21">
        <v>1</v>
      </c>
      <c r="G39" s="21"/>
    </row>
    <row r="40" spans="2:7" x14ac:dyDescent="0.25">
      <c r="B40" s="21">
        <v>1</v>
      </c>
      <c r="C40" s="9" t="s">
        <v>172</v>
      </c>
      <c r="D40" s="16">
        <v>1373.12</v>
      </c>
      <c r="E40" s="20">
        <f t="shared" si="1"/>
        <v>1373.12</v>
      </c>
      <c r="F40" s="21"/>
      <c r="G40" s="21">
        <v>1</v>
      </c>
    </row>
    <row r="41" spans="2:7" ht="24.75" x14ac:dyDescent="0.25">
      <c r="B41" s="21">
        <v>1</v>
      </c>
      <c r="C41" s="34" t="s">
        <v>170</v>
      </c>
      <c r="D41" s="16">
        <v>1373.12</v>
      </c>
      <c r="E41" s="20">
        <f t="shared" si="1"/>
        <v>1373.12</v>
      </c>
      <c r="F41" s="21"/>
      <c r="G41" s="21">
        <v>1</v>
      </c>
    </row>
    <row r="42" spans="2:7" ht="24.75" x14ac:dyDescent="0.25">
      <c r="B42" s="21">
        <v>1</v>
      </c>
      <c r="C42" s="34" t="s">
        <v>171</v>
      </c>
      <c r="D42" s="16">
        <v>1373.12</v>
      </c>
      <c r="E42" s="20">
        <f t="shared" si="1"/>
        <v>1373.12</v>
      </c>
      <c r="F42" s="21"/>
      <c r="G42" s="21">
        <v>1</v>
      </c>
    </row>
    <row r="43" spans="2:7" x14ac:dyDescent="0.25">
      <c r="B43" s="21">
        <v>1</v>
      </c>
      <c r="C43" s="19" t="s">
        <v>41</v>
      </c>
      <c r="D43" s="16">
        <v>1273.29</v>
      </c>
      <c r="E43" s="20">
        <f t="shared" si="1"/>
        <v>1273.29</v>
      </c>
      <c r="F43" s="21">
        <v>1</v>
      </c>
      <c r="G43" s="21"/>
    </row>
    <row r="44" spans="2:7" x14ac:dyDescent="0.25">
      <c r="B44" s="21">
        <v>1</v>
      </c>
      <c r="C44" s="19" t="s">
        <v>44</v>
      </c>
      <c r="D44" s="31">
        <v>1273.29</v>
      </c>
      <c r="E44" s="20">
        <f t="shared" si="1"/>
        <v>1273.29</v>
      </c>
      <c r="F44" s="21">
        <v>1</v>
      </c>
      <c r="G44" s="21"/>
    </row>
    <row r="45" spans="2:7" x14ac:dyDescent="0.25">
      <c r="B45" s="21">
        <v>1</v>
      </c>
      <c r="C45" s="19" t="s">
        <v>108</v>
      </c>
      <c r="D45" s="16">
        <v>1149.54</v>
      </c>
      <c r="E45" s="20">
        <f t="shared" si="1"/>
        <v>1149.54</v>
      </c>
      <c r="F45" s="21"/>
      <c r="G45" s="21">
        <v>1</v>
      </c>
    </row>
    <row r="46" spans="2:7" x14ac:dyDescent="0.25">
      <c r="B46" s="21">
        <v>1</v>
      </c>
      <c r="C46" s="19" t="s">
        <v>91</v>
      </c>
      <c r="D46" s="31">
        <v>1127.04</v>
      </c>
      <c r="E46" s="20">
        <f t="shared" si="1"/>
        <v>1127.04</v>
      </c>
      <c r="F46" s="21">
        <v>1</v>
      </c>
      <c r="G46" s="21"/>
    </row>
    <row r="47" spans="2:7" x14ac:dyDescent="0.25">
      <c r="B47" s="21">
        <v>1</v>
      </c>
      <c r="C47" s="19" t="s">
        <v>103</v>
      </c>
      <c r="D47" s="16">
        <v>1127.04</v>
      </c>
      <c r="E47" s="20">
        <f t="shared" si="1"/>
        <v>1127.04</v>
      </c>
      <c r="F47" s="21">
        <v>1</v>
      </c>
      <c r="G47" s="21"/>
    </row>
    <row r="48" spans="2:7" x14ac:dyDescent="0.25">
      <c r="B48" s="21">
        <v>1</v>
      </c>
      <c r="C48" s="9" t="s">
        <v>111</v>
      </c>
      <c r="D48" s="16">
        <v>1127.04</v>
      </c>
      <c r="E48" s="20">
        <f t="shared" si="1"/>
        <v>1127.04</v>
      </c>
      <c r="F48" s="21"/>
      <c r="G48" s="21">
        <v>1</v>
      </c>
    </row>
    <row r="49" spans="2:7" x14ac:dyDescent="0.25">
      <c r="B49" s="21">
        <f>1+1+1</f>
        <v>3</v>
      </c>
      <c r="C49" s="19" t="s">
        <v>83</v>
      </c>
      <c r="D49" s="16">
        <v>1127.04</v>
      </c>
      <c r="E49" s="20">
        <f t="shared" si="1"/>
        <v>3381.12</v>
      </c>
      <c r="F49" s="21">
        <f>1+1</f>
        <v>2</v>
      </c>
      <c r="G49" s="21">
        <v>1</v>
      </c>
    </row>
    <row r="50" spans="2:7" x14ac:dyDescent="0.25">
      <c r="B50" s="21">
        <v>1</v>
      </c>
      <c r="C50" s="19" t="s">
        <v>178</v>
      </c>
      <c r="D50" s="16">
        <v>1108.3</v>
      </c>
      <c r="E50" s="20">
        <f t="shared" si="1"/>
        <v>1108.3</v>
      </c>
      <c r="F50" s="21"/>
      <c r="G50" s="21">
        <v>1</v>
      </c>
    </row>
    <row r="51" spans="2:7" x14ac:dyDescent="0.25">
      <c r="B51" s="21">
        <f>1+1+1</f>
        <v>3</v>
      </c>
      <c r="C51" s="19" t="s">
        <v>179</v>
      </c>
      <c r="D51" s="16">
        <v>1108.25</v>
      </c>
      <c r="E51" s="20">
        <f t="shared" si="1"/>
        <v>3324.75</v>
      </c>
      <c r="F51" s="21">
        <f>1+1</f>
        <v>2</v>
      </c>
      <c r="G51" s="21">
        <v>1</v>
      </c>
    </row>
    <row r="52" spans="2:7" x14ac:dyDescent="0.25">
      <c r="B52" s="21">
        <v>1</v>
      </c>
      <c r="C52" s="19" t="s">
        <v>180</v>
      </c>
      <c r="D52" s="16">
        <v>1108.25</v>
      </c>
      <c r="E52" s="20">
        <f t="shared" si="1"/>
        <v>1108.25</v>
      </c>
      <c r="F52" s="21">
        <v>1</v>
      </c>
      <c r="G52" s="21"/>
    </row>
    <row r="53" spans="2:7" x14ac:dyDescent="0.25">
      <c r="B53" s="21">
        <v>1</v>
      </c>
      <c r="C53" s="9" t="s">
        <v>22</v>
      </c>
      <c r="D53" s="31">
        <v>1108.25</v>
      </c>
      <c r="E53" s="20">
        <f t="shared" si="1"/>
        <v>1108.25</v>
      </c>
      <c r="F53" s="21"/>
      <c r="G53" s="21">
        <v>1</v>
      </c>
    </row>
    <row r="54" spans="2:7" x14ac:dyDescent="0.25">
      <c r="B54" s="21">
        <v>1</v>
      </c>
      <c r="C54" s="9" t="s">
        <v>181</v>
      </c>
      <c r="D54" s="16">
        <v>1108.25</v>
      </c>
      <c r="E54" s="20">
        <f t="shared" si="1"/>
        <v>1108.25</v>
      </c>
      <c r="F54" s="21"/>
      <c r="G54" s="21">
        <v>1</v>
      </c>
    </row>
    <row r="55" spans="2:7" x14ac:dyDescent="0.25">
      <c r="B55" s="21">
        <v>1</v>
      </c>
      <c r="C55" s="9" t="s">
        <v>182</v>
      </c>
      <c r="D55" s="31">
        <v>1108.25</v>
      </c>
      <c r="E55" s="20">
        <f t="shared" si="1"/>
        <v>1108.25</v>
      </c>
      <c r="F55" s="21"/>
      <c r="G55" s="21">
        <v>1</v>
      </c>
    </row>
    <row r="56" spans="2:7" x14ac:dyDescent="0.25">
      <c r="B56" s="23">
        <v>1</v>
      </c>
      <c r="C56" s="9" t="s">
        <v>157</v>
      </c>
      <c r="D56" s="16">
        <v>1108.25</v>
      </c>
      <c r="E56" s="20">
        <f>D56*B56</f>
        <v>1108.25</v>
      </c>
      <c r="F56" s="23">
        <v>1</v>
      </c>
      <c r="G56" s="23"/>
    </row>
    <row r="57" spans="2:7" x14ac:dyDescent="0.25">
      <c r="B57" s="23">
        <v>1</v>
      </c>
      <c r="C57" s="9" t="s">
        <v>184</v>
      </c>
      <c r="D57" s="16">
        <v>1108.25</v>
      </c>
      <c r="E57" s="20">
        <f t="shared" si="1"/>
        <v>1108.25</v>
      </c>
      <c r="F57" s="23">
        <v>1</v>
      </c>
      <c r="G57" s="23"/>
    </row>
    <row r="58" spans="2:7" x14ac:dyDescent="0.25">
      <c r="B58" s="23">
        <v>1</v>
      </c>
      <c r="C58" s="19" t="s">
        <v>173</v>
      </c>
      <c r="D58" s="16">
        <v>1108.25</v>
      </c>
      <c r="E58" s="20">
        <f t="shared" si="1"/>
        <v>1108.25</v>
      </c>
      <c r="F58" s="23"/>
      <c r="G58" s="23">
        <v>1</v>
      </c>
    </row>
    <row r="59" spans="2:7" x14ac:dyDescent="0.25">
      <c r="B59" s="23">
        <v>3</v>
      </c>
      <c r="C59" s="9" t="s">
        <v>185</v>
      </c>
      <c r="D59" s="16">
        <v>1108.25</v>
      </c>
      <c r="E59" s="20">
        <f t="shared" si="1"/>
        <v>3324.75</v>
      </c>
      <c r="F59" s="23">
        <v>1</v>
      </c>
      <c r="G59" s="23">
        <v>2</v>
      </c>
    </row>
    <row r="60" spans="2:7" x14ac:dyDescent="0.25">
      <c r="B60" s="23">
        <v>1</v>
      </c>
      <c r="C60" s="9" t="s">
        <v>131</v>
      </c>
      <c r="D60" s="16">
        <v>1060</v>
      </c>
      <c r="E60" s="20">
        <f t="shared" si="1"/>
        <v>1060</v>
      </c>
      <c r="F60" s="23">
        <v>1</v>
      </c>
      <c r="G60" s="23"/>
    </row>
    <row r="61" spans="2:7" s="13" customFormat="1" x14ac:dyDescent="0.25">
      <c r="B61" s="48"/>
      <c r="C61" s="49"/>
      <c r="D61" s="56"/>
      <c r="E61" s="57"/>
      <c r="F61" s="48"/>
      <c r="G61" s="48"/>
    </row>
    <row r="62" spans="2:7" s="13" customFormat="1" x14ac:dyDescent="0.25">
      <c r="B62" s="48"/>
      <c r="C62" s="49"/>
      <c r="D62" s="56"/>
      <c r="E62" s="57"/>
      <c r="F62" s="48"/>
      <c r="G62" s="48"/>
    </row>
    <row r="63" spans="2:7" s="13" customFormat="1" x14ac:dyDescent="0.25">
      <c r="B63" s="48"/>
      <c r="C63" s="49"/>
      <c r="D63" s="56"/>
      <c r="E63" s="57"/>
      <c r="F63" s="48"/>
      <c r="G63" s="48"/>
    </row>
    <row r="64" spans="2:7" s="13" customFormat="1" x14ac:dyDescent="0.25">
      <c r="B64" s="48"/>
      <c r="C64" s="49"/>
      <c r="D64" s="56"/>
      <c r="E64" s="57"/>
      <c r="F64" s="48"/>
      <c r="G64" s="48"/>
    </row>
    <row r="65" spans="2:7" s="13" customFormat="1" x14ac:dyDescent="0.25">
      <c r="B65" s="48"/>
      <c r="C65" s="49"/>
      <c r="D65" s="56"/>
      <c r="E65" s="57"/>
      <c r="F65" s="48"/>
      <c r="G65" s="48"/>
    </row>
    <row r="66" spans="2:7" s="13" customFormat="1" x14ac:dyDescent="0.25">
      <c r="B66" s="48"/>
      <c r="C66" s="49"/>
      <c r="D66" s="56"/>
      <c r="E66" s="57"/>
      <c r="F66" s="48"/>
      <c r="G66" s="48"/>
    </row>
    <row r="67" spans="2:7" s="13" customFormat="1" x14ac:dyDescent="0.25">
      <c r="B67" s="48"/>
      <c r="C67" s="49"/>
      <c r="D67" s="56"/>
      <c r="E67" s="57"/>
      <c r="F67" s="48"/>
      <c r="G67" s="48"/>
    </row>
    <row r="68" spans="2:7" s="13" customFormat="1" x14ac:dyDescent="0.25">
      <c r="B68" s="48"/>
      <c r="C68" s="49"/>
      <c r="D68" s="56"/>
      <c r="E68" s="57"/>
      <c r="F68" s="48"/>
      <c r="G68" s="48"/>
    </row>
    <row r="69" spans="2:7" s="13" customFormat="1" x14ac:dyDescent="0.25">
      <c r="B69" s="48"/>
      <c r="C69" s="49"/>
      <c r="D69" s="56"/>
      <c r="E69" s="57"/>
      <c r="F69" s="48"/>
      <c r="G69" s="48"/>
    </row>
    <row r="70" spans="2:7" x14ac:dyDescent="0.25">
      <c r="B70" s="23">
        <v>1</v>
      </c>
      <c r="C70" s="9" t="s">
        <v>133</v>
      </c>
      <c r="D70" s="16">
        <v>1007</v>
      </c>
      <c r="E70" s="20">
        <f t="shared" si="1"/>
        <v>1007</v>
      </c>
      <c r="F70" s="23">
        <v>1</v>
      </c>
      <c r="G70" s="23"/>
    </row>
    <row r="71" spans="2:7" x14ac:dyDescent="0.25">
      <c r="B71" s="23">
        <v>1</v>
      </c>
      <c r="C71" s="9" t="s">
        <v>23</v>
      </c>
      <c r="D71" s="16">
        <v>989.45</v>
      </c>
      <c r="E71" s="20">
        <f t="shared" si="1"/>
        <v>989.45</v>
      </c>
      <c r="F71" s="23">
        <v>1</v>
      </c>
      <c r="G71" s="23"/>
    </row>
    <row r="72" spans="2:7" x14ac:dyDescent="0.25">
      <c r="B72" s="23">
        <v>1</v>
      </c>
      <c r="C72" s="9" t="s">
        <v>47</v>
      </c>
      <c r="D72" s="16">
        <v>983.12</v>
      </c>
      <c r="E72" s="20">
        <f t="shared" si="1"/>
        <v>983.12</v>
      </c>
      <c r="F72" s="23">
        <v>1</v>
      </c>
      <c r="G72" s="23"/>
    </row>
    <row r="73" spans="2:7" x14ac:dyDescent="0.25">
      <c r="B73" s="23">
        <v>1</v>
      </c>
      <c r="C73" s="19" t="s">
        <v>48</v>
      </c>
      <c r="D73" s="16">
        <v>983.12</v>
      </c>
      <c r="E73" s="20">
        <f t="shared" si="1"/>
        <v>983.12</v>
      </c>
      <c r="F73" s="23"/>
      <c r="G73" s="23">
        <v>1</v>
      </c>
    </row>
    <row r="74" spans="2:7" x14ac:dyDescent="0.25">
      <c r="B74" s="21">
        <v>1</v>
      </c>
      <c r="C74" s="19" t="s">
        <v>26</v>
      </c>
      <c r="D74" s="16">
        <v>983.12</v>
      </c>
      <c r="E74" s="20">
        <f t="shared" si="1"/>
        <v>983.12</v>
      </c>
      <c r="F74" s="21">
        <v>1</v>
      </c>
      <c r="G74" s="21"/>
    </row>
    <row r="75" spans="2:7" x14ac:dyDescent="0.25">
      <c r="B75" s="21">
        <f>1+1+2</f>
        <v>4</v>
      </c>
      <c r="C75" s="9" t="s">
        <v>188</v>
      </c>
      <c r="D75" s="11">
        <v>938.12</v>
      </c>
      <c r="E75" s="20">
        <f>D75*B75</f>
        <v>3752.48</v>
      </c>
      <c r="F75" s="21">
        <f>1+2</f>
        <v>3</v>
      </c>
      <c r="G75" s="21">
        <v>1</v>
      </c>
    </row>
    <row r="76" spans="2:7" x14ac:dyDescent="0.25">
      <c r="B76" s="21">
        <v>1</v>
      </c>
      <c r="C76" s="19" t="s">
        <v>160</v>
      </c>
      <c r="D76" s="16">
        <v>951.06</v>
      </c>
      <c r="E76" s="20">
        <f>D76*B76</f>
        <v>951.06</v>
      </c>
      <c r="F76" s="21"/>
      <c r="G76" s="21">
        <v>1</v>
      </c>
    </row>
    <row r="77" spans="2:7" x14ac:dyDescent="0.25">
      <c r="B77" s="21">
        <v>1</v>
      </c>
      <c r="C77" s="19" t="s">
        <v>46</v>
      </c>
      <c r="D77" s="16">
        <v>902.12</v>
      </c>
      <c r="E77" s="20">
        <f t="shared" ref="E77" si="2">D77*B77</f>
        <v>902.12</v>
      </c>
      <c r="F77" s="21">
        <v>1</v>
      </c>
      <c r="G77" s="21"/>
    </row>
    <row r="78" spans="2:7" x14ac:dyDescent="0.25">
      <c r="B78" s="21">
        <v>1</v>
      </c>
      <c r="C78" s="19" t="s">
        <v>92</v>
      </c>
      <c r="D78" s="16">
        <v>902.12</v>
      </c>
      <c r="E78" s="20">
        <f t="shared" si="1"/>
        <v>902.12</v>
      </c>
      <c r="F78" s="21">
        <v>1</v>
      </c>
      <c r="G78" s="21"/>
    </row>
    <row r="79" spans="2:7" x14ac:dyDescent="0.25">
      <c r="B79" s="21">
        <v>1</v>
      </c>
      <c r="C79" s="19" t="s">
        <v>93</v>
      </c>
      <c r="D79" s="16">
        <v>902.12</v>
      </c>
      <c r="E79" s="20">
        <f t="shared" si="1"/>
        <v>902.12</v>
      </c>
      <c r="F79" s="21">
        <v>1</v>
      </c>
      <c r="G79" s="21"/>
    </row>
    <row r="80" spans="2:7" x14ac:dyDescent="0.25">
      <c r="B80" s="21">
        <v>1</v>
      </c>
      <c r="C80" s="19" t="s">
        <v>186</v>
      </c>
      <c r="D80" s="16">
        <v>902.12</v>
      </c>
      <c r="E80" s="20">
        <f t="shared" si="1"/>
        <v>902.12</v>
      </c>
      <c r="F80" s="21">
        <v>1</v>
      </c>
      <c r="G80" s="21"/>
    </row>
    <row r="81" spans="2:7" x14ac:dyDescent="0.25">
      <c r="B81" s="21">
        <v>1</v>
      </c>
      <c r="C81" s="9" t="s">
        <v>187</v>
      </c>
      <c r="D81" s="16">
        <v>902.12</v>
      </c>
      <c r="E81" s="20">
        <f t="shared" si="1"/>
        <v>902.12</v>
      </c>
      <c r="F81" s="21"/>
      <c r="G81" s="21">
        <v>1</v>
      </c>
    </row>
    <row r="82" spans="2:7" ht="24.75" x14ac:dyDescent="0.25">
      <c r="B82" s="21">
        <v>1</v>
      </c>
      <c r="C82" s="35" t="s">
        <v>154</v>
      </c>
      <c r="D82" s="16">
        <v>902.12</v>
      </c>
      <c r="E82" s="20">
        <f t="shared" si="1"/>
        <v>902.12</v>
      </c>
      <c r="F82" s="21">
        <v>1</v>
      </c>
      <c r="G82" s="21"/>
    </row>
    <row r="83" spans="2:7" x14ac:dyDescent="0.25">
      <c r="B83" s="21">
        <v>1</v>
      </c>
      <c r="C83" s="19" t="s">
        <v>94</v>
      </c>
      <c r="D83" s="16">
        <v>902.12</v>
      </c>
      <c r="E83" s="20">
        <f t="shared" si="1"/>
        <v>902.12</v>
      </c>
      <c r="F83" s="21">
        <v>1</v>
      </c>
      <c r="G83" s="21"/>
    </row>
    <row r="84" spans="2:7" x14ac:dyDescent="0.25">
      <c r="B84" s="21">
        <v>1</v>
      </c>
      <c r="C84" s="9" t="s">
        <v>96</v>
      </c>
      <c r="D84" s="16">
        <v>902.12</v>
      </c>
      <c r="E84" s="20">
        <f t="shared" si="1"/>
        <v>902.12</v>
      </c>
      <c r="F84" s="21">
        <v>1</v>
      </c>
      <c r="G84" s="21"/>
    </row>
    <row r="85" spans="2:7" x14ac:dyDescent="0.25">
      <c r="B85" s="21">
        <v>1</v>
      </c>
      <c r="C85" s="9" t="s">
        <v>63</v>
      </c>
      <c r="D85" s="16">
        <v>902.12</v>
      </c>
      <c r="E85" s="20">
        <f t="shared" si="1"/>
        <v>902.12</v>
      </c>
      <c r="F85" s="21"/>
      <c r="G85" s="21">
        <v>1</v>
      </c>
    </row>
    <row r="86" spans="2:7" x14ac:dyDescent="0.25">
      <c r="B86" s="21">
        <v>1</v>
      </c>
      <c r="C86" s="19" t="s">
        <v>104</v>
      </c>
      <c r="D86" s="16">
        <v>902.12</v>
      </c>
      <c r="E86" s="20">
        <f t="shared" si="1"/>
        <v>902.12</v>
      </c>
      <c r="F86" s="21"/>
      <c r="G86" s="21">
        <v>1</v>
      </c>
    </row>
    <row r="87" spans="2:7" x14ac:dyDescent="0.25">
      <c r="B87" s="21">
        <v>1</v>
      </c>
      <c r="C87" s="19" t="s">
        <v>105</v>
      </c>
      <c r="D87" s="16">
        <v>902.12</v>
      </c>
      <c r="E87" s="20">
        <f t="shared" si="1"/>
        <v>902.12</v>
      </c>
      <c r="F87" s="21">
        <v>1</v>
      </c>
      <c r="G87" s="21"/>
    </row>
    <row r="88" spans="2:7" x14ac:dyDescent="0.25">
      <c r="B88" s="21">
        <v>1</v>
      </c>
      <c r="C88" s="19" t="s">
        <v>106</v>
      </c>
      <c r="D88" s="16">
        <v>902.12</v>
      </c>
      <c r="E88" s="20">
        <f t="shared" si="1"/>
        <v>902.12</v>
      </c>
      <c r="F88" s="21"/>
      <c r="G88" s="21">
        <v>1</v>
      </c>
    </row>
    <row r="89" spans="2:7" x14ac:dyDescent="0.25">
      <c r="B89" s="21">
        <v>1</v>
      </c>
      <c r="C89" s="19" t="s">
        <v>66</v>
      </c>
      <c r="D89" s="16">
        <v>902.12</v>
      </c>
      <c r="E89" s="20">
        <f t="shared" ref="E89:E156" si="3">D89*B89</f>
        <v>902.12</v>
      </c>
      <c r="F89" s="21">
        <v>1</v>
      </c>
      <c r="G89" s="21"/>
    </row>
    <row r="90" spans="2:7" x14ac:dyDescent="0.25">
      <c r="B90" s="21">
        <v>1</v>
      </c>
      <c r="C90" s="19" t="s">
        <v>109</v>
      </c>
      <c r="D90" s="16">
        <v>902.12</v>
      </c>
      <c r="E90" s="20">
        <f t="shared" si="3"/>
        <v>902.12</v>
      </c>
      <c r="F90" s="21">
        <v>1</v>
      </c>
      <c r="G90" s="21"/>
    </row>
    <row r="91" spans="2:7" x14ac:dyDescent="0.25">
      <c r="B91" s="21">
        <v>3</v>
      </c>
      <c r="C91" s="19" t="s">
        <v>153</v>
      </c>
      <c r="D91" s="16">
        <v>902.12</v>
      </c>
      <c r="E91" s="20">
        <f>D91*B91</f>
        <v>2706.36</v>
      </c>
      <c r="F91" s="21">
        <v>3</v>
      </c>
      <c r="G91" s="21"/>
    </row>
    <row r="92" spans="2:7" x14ac:dyDescent="0.25">
      <c r="B92" s="21">
        <v>1</v>
      </c>
      <c r="C92" s="19" t="s">
        <v>115</v>
      </c>
      <c r="D92" s="16">
        <v>902.12</v>
      </c>
      <c r="E92" s="20">
        <f t="shared" si="3"/>
        <v>902.12</v>
      </c>
      <c r="F92" s="21"/>
      <c r="G92" s="21">
        <v>1</v>
      </c>
    </row>
    <row r="93" spans="2:7" x14ac:dyDescent="0.25">
      <c r="B93" s="21">
        <v>1</v>
      </c>
      <c r="C93" s="19" t="s">
        <v>116</v>
      </c>
      <c r="D93" s="16">
        <v>902.12</v>
      </c>
      <c r="E93" s="20">
        <f t="shared" si="3"/>
        <v>902.12</v>
      </c>
      <c r="F93" s="21">
        <v>1</v>
      </c>
      <c r="G93" s="21"/>
    </row>
    <row r="94" spans="2:7" x14ac:dyDescent="0.25">
      <c r="B94" s="21">
        <v>1</v>
      </c>
      <c r="C94" s="19" t="s">
        <v>117</v>
      </c>
      <c r="D94" s="16">
        <v>902.12</v>
      </c>
      <c r="E94" s="20">
        <f t="shared" si="3"/>
        <v>902.12</v>
      </c>
      <c r="F94" s="21">
        <v>1</v>
      </c>
      <c r="G94" s="21"/>
    </row>
    <row r="95" spans="2:7" x14ac:dyDescent="0.25">
      <c r="B95" s="21">
        <v>1</v>
      </c>
      <c r="C95" s="19" t="s">
        <v>118</v>
      </c>
      <c r="D95" s="16">
        <v>902.12</v>
      </c>
      <c r="E95" s="20">
        <f t="shared" si="3"/>
        <v>902.12</v>
      </c>
      <c r="F95" s="21"/>
      <c r="G95" s="21">
        <v>1</v>
      </c>
    </row>
    <row r="96" spans="2:7" x14ac:dyDescent="0.25">
      <c r="B96" s="21">
        <v>1</v>
      </c>
      <c r="C96" s="32" t="s">
        <v>81</v>
      </c>
      <c r="D96" s="16">
        <v>902.12</v>
      </c>
      <c r="E96" s="20">
        <f t="shared" si="3"/>
        <v>902.12</v>
      </c>
      <c r="F96" s="21">
        <v>1</v>
      </c>
      <c r="G96" s="21"/>
    </row>
    <row r="97" spans="2:7" x14ac:dyDescent="0.25">
      <c r="B97" s="21">
        <f>1+1</f>
        <v>2</v>
      </c>
      <c r="C97" s="19" t="s">
        <v>17</v>
      </c>
      <c r="D97" s="16">
        <v>902.12</v>
      </c>
      <c r="E97" s="20">
        <f t="shared" si="3"/>
        <v>1804.24</v>
      </c>
      <c r="F97" s="21">
        <f>1+1</f>
        <v>2</v>
      </c>
      <c r="G97" s="21"/>
    </row>
    <row r="98" spans="2:7" x14ac:dyDescent="0.25">
      <c r="B98" s="21">
        <v>1</v>
      </c>
      <c r="C98" s="19" t="s">
        <v>189</v>
      </c>
      <c r="D98" s="16">
        <v>902.12</v>
      </c>
      <c r="E98" s="20">
        <f t="shared" si="3"/>
        <v>902.12</v>
      </c>
      <c r="F98" s="21">
        <v>1</v>
      </c>
      <c r="G98" s="21"/>
    </row>
    <row r="99" spans="2:7" x14ac:dyDescent="0.25">
      <c r="B99" s="21">
        <f>2+1</f>
        <v>3</v>
      </c>
      <c r="C99" s="19" t="s">
        <v>149</v>
      </c>
      <c r="D99" s="16">
        <v>870.06</v>
      </c>
      <c r="E99" s="20">
        <f>D99*B99</f>
        <v>2610.1799999999998</v>
      </c>
      <c r="F99" s="21">
        <f>1+1</f>
        <v>2</v>
      </c>
      <c r="G99" s="21">
        <v>1</v>
      </c>
    </row>
    <row r="100" spans="2:7" x14ac:dyDescent="0.25">
      <c r="B100" s="21">
        <f>2+1+1</f>
        <v>4</v>
      </c>
      <c r="C100" s="19" t="s">
        <v>192</v>
      </c>
      <c r="D100" s="16">
        <v>870.06</v>
      </c>
      <c r="E100" s="20">
        <f>D100*B100</f>
        <v>3480.24</v>
      </c>
      <c r="F100" s="21">
        <f>2+1</f>
        <v>3</v>
      </c>
      <c r="G100" s="21">
        <v>1</v>
      </c>
    </row>
    <row r="101" spans="2:7" x14ac:dyDescent="0.25">
      <c r="B101" s="21">
        <f>3+1+1</f>
        <v>5</v>
      </c>
      <c r="C101" s="3" t="s">
        <v>206</v>
      </c>
      <c r="D101" s="16">
        <v>865.76</v>
      </c>
      <c r="E101" s="20">
        <f>D101*B101</f>
        <v>4328.8</v>
      </c>
      <c r="F101" s="21">
        <f>2+1</f>
        <v>3</v>
      </c>
      <c r="G101" s="21">
        <f>1+1</f>
        <v>2</v>
      </c>
    </row>
    <row r="102" spans="2:7" x14ac:dyDescent="0.25">
      <c r="B102" s="21">
        <v>1</v>
      </c>
      <c r="C102" s="19" t="s">
        <v>240</v>
      </c>
      <c r="D102" s="16">
        <v>865.76</v>
      </c>
      <c r="E102" s="20">
        <f>D102*B102</f>
        <v>865.76</v>
      </c>
      <c r="F102" s="21">
        <v>1</v>
      </c>
      <c r="G102" s="21"/>
    </row>
    <row r="103" spans="2:7" x14ac:dyDescent="0.25">
      <c r="B103" s="21">
        <v>1</v>
      </c>
      <c r="C103" s="19" t="s">
        <v>190</v>
      </c>
      <c r="D103" s="16">
        <v>859.37</v>
      </c>
      <c r="E103" s="20">
        <f t="shared" si="3"/>
        <v>859.37</v>
      </c>
      <c r="F103" s="21"/>
      <c r="G103" s="21">
        <v>1</v>
      </c>
    </row>
    <row r="104" spans="2:7" x14ac:dyDescent="0.25">
      <c r="B104" s="21">
        <v>1</v>
      </c>
      <c r="C104" s="19" t="s">
        <v>191</v>
      </c>
      <c r="D104" s="16">
        <v>859.37</v>
      </c>
      <c r="E104" s="20">
        <f t="shared" si="3"/>
        <v>859.37</v>
      </c>
      <c r="F104" s="21"/>
      <c r="G104" s="21">
        <v>1</v>
      </c>
    </row>
    <row r="105" spans="2:7" x14ac:dyDescent="0.25">
      <c r="B105" s="21">
        <v>1</v>
      </c>
      <c r="C105" s="19" t="s">
        <v>249</v>
      </c>
      <c r="D105" s="16">
        <v>853.87</v>
      </c>
      <c r="E105" s="20">
        <f t="shared" si="3"/>
        <v>853.87</v>
      </c>
      <c r="F105" s="21"/>
      <c r="G105" s="21">
        <v>1</v>
      </c>
    </row>
    <row r="106" spans="2:7" x14ac:dyDescent="0.25">
      <c r="B106" s="21">
        <f>3+1</f>
        <v>4</v>
      </c>
      <c r="C106" s="19" t="s">
        <v>110</v>
      </c>
      <c r="D106" s="16">
        <v>853.87</v>
      </c>
      <c r="E106" s="20">
        <f t="shared" si="3"/>
        <v>3415.48</v>
      </c>
      <c r="F106" s="21">
        <f>1+1</f>
        <v>2</v>
      </c>
      <c r="G106" s="21">
        <v>2</v>
      </c>
    </row>
    <row r="107" spans="2:7" x14ac:dyDescent="0.25">
      <c r="B107" s="21">
        <v>1</v>
      </c>
      <c r="C107" s="19" t="s">
        <v>175</v>
      </c>
      <c r="D107" s="16">
        <v>853.87</v>
      </c>
      <c r="E107" s="20">
        <f t="shared" si="3"/>
        <v>853.87</v>
      </c>
      <c r="F107" s="21"/>
      <c r="G107" s="21">
        <v>1</v>
      </c>
    </row>
    <row r="108" spans="2:7" x14ac:dyDescent="0.25">
      <c r="B108" s="21">
        <v>1</v>
      </c>
      <c r="C108" s="19" t="s">
        <v>176</v>
      </c>
      <c r="D108" s="16">
        <v>853.87</v>
      </c>
      <c r="E108" s="20">
        <f t="shared" si="3"/>
        <v>853.87</v>
      </c>
      <c r="F108" s="21">
        <v>1</v>
      </c>
      <c r="G108" s="21"/>
    </row>
    <row r="109" spans="2:7" x14ac:dyDescent="0.25">
      <c r="B109" s="21">
        <v>1</v>
      </c>
      <c r="C109" s="19" t="s">
        <v>145</v>
      </c>
      <c r="D109" s="16">
        <v>843.43</v>
      </c>
      <c r="E109" s="20">
        <f t="shared" si="3"/>
        <v>843.43</v>
      </c>
      <c r="F109" s="21">
        <v>1</v>
      </c>
      <c r="G109" s="21"/>
    </row>
    <row r="110" spans="2:7" x14ac:dyDescent="0.25">
      <c r="B110" s="21">
        <v>1</v>
      </c>
      <c r="C110" s="3" t="s">
        <v>194</v>
      </c>
      <c r="D110" s="16">
        <v>833</v>
      </c>
      <c r="E110" s="20">
        <f t="shared" si="3"/>
        <v>833</v>
      </c>
      <c r="F110" s="21">
        <v>1</v>
      </c>
      <c r="G110" s="21"/>
    </row>
    <row r="111" spans="2:7" x14ac:dyDescent="0.25">
      <c r="B111" s="21">
        <v>1</v>
      </c>
      <c r="C111" s="9" t="s">
        <v>202</v>
      </c>
      <c r="D111" s="16">
        <v>829.76</v>
      </c>
      <c r="E111" s="20">
        <f t="shared" si="3"/>
        <v>829.76</v>
      </c>
      <c r="F111" s="21"/>
      <c r="G111" s="21">
        <v>1</v>
      </c>
    </row>
    <row r="112" spans="2:7" x14ac:dyDescent="0.25">
      <c r="B112" s="21">
        <f>19+12+1+1+1</f>
        <v>34</v>
      </c>
      <c r="C112" s="9" t="s">
        <v>143</v>
      </c>
      <c r="D112" s="16">
        <v>829.76</v>
      </c>
      <c r="E112" s="20">
        <f t="shared" si="3"/>
        <v>28211.84</v>
      </c>
      <c r="F112" s="21">
        <f>5+5+1</f>
        <v>11</v>
      </c>
      <c r="G112" s="21">
        <f>14+7+1+1</f>
        <v>23</v>
      </c>
    </row>
    <row r="113" spans="2:7" x14ac:dyDescent="0.25">
      <c r="B113" s="21">
        <f>15+4+2+2+3+5</f>
        <v>31</v>
      </c>
      <c r="C113" s="9" t="s">
        <v>203</v>
      </c>
      <c r="D113" s="31">
        <v>829.76</v>
      </c>
      <c r="E113" s="20">
        <f t="shared" si="3"/>
        <v>25722.560000000001</v>
      </c>
      <c r="F113" s="21">
        <f>4+2+1+2</f>
        <v>9</v>
      </c>
      <c r="G113" s="21">
        <f>11+4+1+3+3</f>
        <v>22</v>
      </c>
    </row>
    <row r="114" spans="2:7" x14ac:dyDescent="0.25">
      <c r="B114" s="21">
        <f>95+19+12+22+14+22</f>
        <v>184</v>
      </c>
      <c r="C114" s="19" t="s">
        <v>70</v>
      </c>
      <c r="D114" s="31">
        <v>829.76</v>
      </c>
      <c r="E114" s="20">
        <f t="shared" si="3"/>
        <v>152675.84</v>
      </c>
      <c r="F114" s="21">
        <f>42+10+9+11+9+14</f>
        <v>95</v>
      </c>
      <c r="G114" s="21">
        <f>53+9+3+11+5+8</f>
        <v>89</v>
      </c>
    </row>
    <row r="115" spans="2:7" x14ac:dyDescent="0.25">
      <c r="B115" s="24">
        <f>47+5+2+4+8+1+4+11+2</f>
        <v>84</v>
      </c>
      <c r="C115" s="19" t="s">
        <v>204</v>
      </c>
      <c r="D115" s="16">
        <v>829.76</v>
      </c>
      <c r="E115" s="20">
        <f t="shared" si="3"/>
        <v>69699.839999999997</v>
      </c>
      <c r="F115" s="21">
        <f>22+1+1+5+2+5</f>
        <v>36</v>
      </c>
      <c r="G115" s="21">
        <f>25+4+2+3+3+1+2+6+2</f>
        <v>48</v>
      </c>
    </row>
    <row r="116" spans="2:7" x14ac:dyDescent="0.25">
      <c r="B116" s="24">
        <f>7+2</f>
        <v>9</v>
      </c>
      <c r="C116" s="19" t="s">
        <v>205</v>
      </c>
      <c r="D116" s="16">
        <v>829.76</v>
      </c>
      <c r="E116" s="20">
        <f t="shared" si="3"/>
        <v>7467.84</v>
      </c>
      <c r="F116" s="21">
        <f>3+1</f>
        <v>4</v>
      </c>
      <c r="G116" s="21">
        <f>4+1</f>
        <v>5</v>
      </c>
    </row>
    <row r="117" spans="2:7" x14ac:dyDescent="0.25">
      <c r="B117" s="21">
        <f>6+5+3+3</f>
        <v>17</v>
      </c>
      <c r="C117" s="9" t="s">
        <v>79</v>
      </c>
      <c r="D117" s="16">
        <v>829.76</v>
      </c>
      <c r="E117" s="20">
        <f t="shared" si="3"/>
        <v>14105.92</v>
      </c>
      <c r="F117" s="21">
        <f>4+4+2+3</f>
        <v>13</v>
      </c>
      <c r="G117" s="21">
        <f>2+1+1</f>
        <v>4</v>
      </c>
    </row>
    <row r="118" spans="2:7" x14ac:dyDescent="0.25">
      <c r="B118" s="21">
        <f>6+11+5+6</f>
        <v>28</v>
      </c>
      <c r="C118" s="9" t="s">
        <v>80</v>
      </c>
      <c r="D118" s="31">
        <v>829.76</v>
      </c>
      <c r="E118" s="20">
        <f t="shared" si="3"/>
        <v>23233.279999999999</v>
      </c>
      <c r="F118" s="24">
        <f>3+6+3+2</f>
        <v>14</v>
      </c>
      <c r="G118" s="24">
        <f>3+5+2+4</f>
        <v>14</v>
      </c>
    </row>
    <row r="119" spans="2:7" x14ac:dyDescent="0.25">
      <c r="B119" s="21">
        <f>2+1</f>
        <v>3</v>
      </c>
      <c r="C119" s="9" t="s">
        <v>86</v>
      </c>
      <c r="D119" s="31">
        <v>829.76</v>
      </c>
      <c r="E119" s="20">
        <f>D119*B119</f>
        <v>2489.2799999999997</v>
      </c>
      <c r="F119" s="21">
        <f>1+1</f>
        <v>2</v>
      </c>
      <c r="G119" s="21">
        <v>1</v>
      </c>
    </row>
    <row r="120" spans="2:7" x14ac:dyDescent="0.25">
      <c r="B120" s="21">
        <v>1</v>
      </c>
      <c r="C120" s="19" t="s">
        <v>236</v>
      </c>
      <c r="D120" s="16">
        <v>811.12</v>
      </c>
      <c r="E120" s="20">
        <f t="shared" si="3"/>
        <v>811.12</v>
      </c>
      <c r="F120" s="21"/>
      <c r="G120" s="21">
        <v>1</v>
      </c>
    </row>
    <row r="121" spans="2:7" x14ac:dyDescent="0.25">
      <c r="B121" s="21">
        <v>1</v>
      </c>
      <c r="C121" s="19" t="s">
        <v>240</v>
      </c>
      <c r="D121" s="16">
        <v>797.59</v>
      </c>
      <c r="E121" s="20">
        <f t="shared" si="3"/>
        <v>797.59</v>
      </c>
      <c r="F121" s="21">
        <v>1</v>
      </c>
      <c r="G121" s="21"/>
    </row>
    <row r="122" spans="2:7" x14ac:dyDescent="0.25">
      <c r="B122" s="21">
        <v>1</v>
      </c>
      <c r="C122" s="19" t="s">
        <v>149</v>
      </c>
      <c r="D122" s="16">
        <v>788.29</v>
      </c>
      <c r="E122" s="20">
        <f t="shared" si="3"/>
        <v>788.29</v>
      </c>
      <c r="F122" s="21">
        <v>1</v>
      </c>
      <c r="G122" s="21"/>
    </row>
    <row r="123" spans="2:7" x14ac:dyDescent="0.25">
      <c r="B123" s="21">
        <f>5+3+1</f>
        <v>9</v>
      </c>
      <c r="C123" s="9" t="s">
        <v>240</v>
      </c>
      <c r="D123" s="16">
        <v>787.01</v>
      </c>
      <c r="E123" s="20">
        <f t="shared" si="3"/>
        <v>7083.09</v>
      </c>
      <c r="F123" s="21">
        <f>3+2</f>
        <v>5</v>
      </c>
      <c r="G123" s="21">
        <f>2+1+1</f>
        <v>4</v>
      </c>
    </row>
    <row r="124" spans="2:7" x14ac:dyDescent="0.25">
      <c r="B124" s="21">
        <v>4</v>
      </c>
      <c r="C124" s="9" t="s">
        <v>49</v>
      </c>
      <c r="D124" s="16">
        <v>787.01</v>
      </c>
      <c r="E124" s="20">
        <f t="shared" si="3"/>
        <v>3148.04</v>
      </c>
      <c r="F124" s="21">
        <v>1</v>
      </c>
      <c r="G124" s="21">
        <v>3</v>
      </c>
    </row>
    <row r="125" spans="2:7" x14ac:dyDescent="0.25">
      <c r="B125" s="21">
        <v>2</v>
      </c>
      <c r="C125" s="9" t="s">
        <v>195</v>
      </c>
      <c r="D125" s="16">
        <v>787.01</v>
      </c>
      <c r="E125" s="20">
        <f t="shared" si="3"/>
        <v>1574.02</v>
      </c>
      <c r="F125" s="21"/>
      <c r="G125" s="21">
        <v>2</v>
      </c>
    </row>
    <row r="126" spans="2:7" x14ac:dyDescent="0.25">
      <c r="B126" s="21">
        <v>1</v>
      </c>
      <c r="C126" s="9" t="s">
        <v>134</v>
      </c>
      <c r="D126" s="16">
        <v>787.01</v>
      </c>
      <c r="E126" s="20">
        <f t="shared" si="3"/>
        <v>787.01</v>
      </c>
      <c r="F126" s="21">
        <v>1</v>
      </c>
      <c r="G126" s="21"/>
    </row>
    <row r="127" spans="2:7" x14ac:dyDescent="0.25">
      <c r="B127" s="21">
        <v>6</v>
      </c>
      <c r="C127" s="9" t="s">
        <v>196</v>
      </c>
      <c r="D127" s="11">
        <v>787.01</v>
      </c>
      <c r="E127" s="20">
        <f t="shared" si="3"/>
        <v>4722.0599999999995</v>
      </c>
      <c r="F127" s="21">
        <v>1</v>
      </c>
      <c r="G127" s="21">
        <v>5</v>
      </c>
    </row>
    <row r="128" spans="2:7" x14ac:dyDescent="0.25">
      <c r="B128" s="21">
        <v>6</v>
      </c>
      <c r="C128" s="9" t="s">
        <v>31</v>
      </c>
      <c r="D128" s="16">
        <v>787.01</v>
      </c>
      <c r="E128" s="20">
        <f t="shared" si="3"/>
        <v>4722.0599999999995</v>
      </c>
      <c r="F128" s="21">
        <v>4</v>
      </c>
      <c r="G128" s="21">
        <v>2</v>
      </c>
    </row>
    <row r="129" spans="2:7" x14ac:dyDescent="0.25">
      <c r="B129" s="23">
        <v>1</v>
      </c>
      <c r="C129" s="9" t="s">
        <v>197</v>
      </c>
      <c r="D129" s="16">
        <v>787.01</v>
      </c>
      <c r="E129" s="20">
        <f t="shared" si="3"/>
        <v>787.01</v>
      </c>
      <c r="F129" s="23"/>
      <c r="G129" s="23">
        <v>1</v>
      </c>
    </row>
    <row r="130" spans="2:7" x14ac:dyDescent="0.25">
      <c r="B130" s="23">
        <v>2</v>
      </c>
      <c r="C130" s="9" t="s">
        <v>52</v>
      </c>
      <c r="D130" s="16">
        <v>787.01</v>
      </c>
      <c r="E130" s="20">
        <f t="shared" si="3"/>
        <v>1574.02</v>
      </c>
      <c r="F130" s="23"/>
      <c r="G130" s="23">
        <v>2</v>
      </c>
    </row>
    <row r="131" spans="2:7" x14ac:dyDescent="0.25">
      <c r="B131" s="23">
        <v>8</v>
      </c>
      <c r="C131" s="9" t="s">
        <v>89</v>
      </c>
      <c r="D131" s="16">
        <v>787.01</v>
      </c>
      <c r="E131" s="20">
        <f t="shared" si="3"/>
        <v>6296.08</v>
      </c>
      <c r="F131" s="23">
        <v>4</v>
      </c>
      <c r="G131" s="23">
        <v>4</v>
      </c>
    </row>
    <row r="132" spans="2:7" x14ac:dyDescent="0.25">
      <c r="B132" s="23">
        <v>2</v>
      </c>
      <c r="C132" s="9" t="s">
        <v>97</v>
      </c>
      <c r="D132" s="16">
        <v>787.01</v>
      </c>
      <c r="E132" s="20">
        <f t="shared" si="3"/>
        <v>1574.02</v>
      </c>
      <c r="F132" s="23">
        <v>1</v>
      </c>
      <c r="G132" s="23">
        <v>1</v>
      </c>
    </row>
    <row r="133" spans="2:7" s="13" customFormat="1" x14ac:dyDescent="0.25">
      <c r="B133" s="48"/>
      <c r="C133" s="49"/>
      <c r="D133" s="56"/>
      <c r="E133" s="57"/>
      <c r="F133" s="48"/>
      <c r="G133" s="48"/>
    </row>
    <row r="134" spans="2:7" s="13" customFormat="1" x14ac:dyDescent="0.25">
      <c r="B134" s="48"/>
      <c r="C134" s="49"/>
      <c r="D134" s="56"/>
      <c r="E134" s="57"/>
      <c r="F134" s="48"/>
      <c r="G134" s="48"/>
    </row>
    <row r="135" spans="2:7" s="13" customFormat="1" x14ac:dyDescent="0.25">
      <c r="B135" s="48"/>
      <c r="C135" s="49"/>
      <c r="D135" s="56"/>
      <c r="E135" s="57"/>
      <c r="F135" s="48"/>
      <c r="G135" s="48"/>
    </row>
    <row r="136" spans="2:7" s="13" customFormat="1" x14ac:dyDescent="0.25">
      <c r="B136" s="48"/>
      <c r="C136" s="49"/>
      <c r="D136" s="56"/>
      <c r="E136" s="57"/>
      <c r="F136" s="48"/>
      <c r="G136" s="48"/>
    </row>
    <row r="137" spans="2:7" s="13" customFormat="1" x14ac:dyDescent="0.25">
      <c r="B137" s="48"/>
      <c r="C137" s="49"/>
      <c r="D137" s="56"/>
      <c r="E137" s="57"/>
      <c r="F137" s="48"/>
      <c r="G137" s="48"/>
    </row>
    <row r="138" spans="2:7" x14ac:dyDescent="0.25">
      <c r="B138" s="23">
        <v>2</v>
      </c>
      <c r="C138" s="9" t="s">
        <v>98</v>
      </c>
      <c r="D138" s="16">
        <v>787.01</v>
      </c>
      <c r="E138" s="20">
        <f t="shared" si="3"/>
        <v>1574.02</v>
      </c>
      <c r="F138" s="23">
        <v>1</v>
      </c>
      <c r="G138" s="23">
        <v>1</v>
      </c>
    </row>
    <row r="139" spans="2:7" x14ac:dyDescent="0.25">
      <c r="B139" s="23">
        <v>4</v>
      </c>
      <c r="C139" s="19" t="s">
        <v>99</v>
      </c>
      <c r="D139" s="16">
        <v>787.01</v>
      </c>
      <c r="E139" s="20">
        <f t="shared" si="3"/>
        <v>3148.04</v>
      </c>
      <c r="F139" s="23">
        <v>2</v>
      </c>
      <c r="G139" s="23">
        <v>2</v>
      </c>
    </row>
    <row r="140" spans="2:7" x14ac:dyDescent="0.25">
      <c r="B140" s="23">
        <v>2</v>
      </c>
      <c r="C140" s="19" t="s">
        <v>200</v>
      </c>
      <c r="D140" s="16">
        <v>787.01</v>
      </c>
      <c r="E140" s="20">
        <f t="shared" si="3"/>
        <v>1574.02</v>
      </c>
      <c r="F140" s="23">
        <v>1</v>
      </c>
      <c r="G140" s="23">
        <v>1</v>
      </c>
    </row>
    <row r="141" spans="2:7" x14ac:dyDescent="0.25">
      <c r="B141" s="23">
        <v>1</v>
      </c>
      <c r="C141" s="9" t="s">
        <v>162</v>
      </c>
      <c r="D141" s="16">
        <v>787.01</v>
      </c>
      <c r="E141" s="20">
        <f t="shared" si="3"/>
        <v>787.01</v>
      </c>
      <c r="F141" s="23">
        <v>1</v>
      </c>
      <c r="G141" s="23"/>
    </row>
    <row r="142" spans="2:7" x14ac:dyDescent="0.25">
      <c r="B142" s="23">
        <v>1</v>
      </c>
      <c r="C142" s="9" t="s">
        <v>250</v>
      </c>
      <c r="D142" s="16">
        <v>787.01</v>
      </c>
      <c r="E142" s="20">
        <f t="shared" si="3"/>
        <v>787.01</v>
      </c>
      <c r="F142" s="23">
        <v>1</v>
      </c>
      <c r="G142" s="23"/>
    </row>
    <row r="143" spans="2:7" x14ac:dyDescent="0.25">
      <c r="B143" s="23">
        <v>4</v>
      </c>
      <c r="C143" s="9" t="s">
        <v>201</v>
      </c>
      <c r="D143" s="16">
        <v>787.01</v>
      </c>
      <c r="E143" s="20">
        <f t="shared" si="3"/>
        <v>3148.04</v>
      </c>
      <c r="F143" s="23">
        <v>3</v>
      </c>
      <c r="G143" s="23">
        <v>1</v>
      </c>
    </row>
    <row r="144" spans="2:7" x14ac:dyDescent="0.25">
      <c r="B144" s="21">
        <v>1</v>
      </c>
      <c r="C144" s="9" t="s">
        <v>206</v>
      </c>
      <c r="D144" s="16">
        <v>787.01</v>
      </c>
      <c r="E144" s="20">
        <f t="shared" si="3"/>
        <v>787.01</v>
      </c>
      <c r="F144" s="21">
        <v>1</v>
      </c>
      <c r="G144" s="21"/>
    </row>
    <row r="145" spans="2:7" x14ac:dyDescent="0.25">
      <c r="B145" s="21">
        <v>1</v>
      </c>
      <c r="C145" s="9" t="s">
        <v>215</v>
      </c>
      <c r="D145" s="16">
        <v>785.61</v>
      </c>
      <c r="E145" s="20">
        <f t="shared" si="3"/>
        <v>785.61</v>
      </c>
      <c r="F145" s="21">
        <v>1</v>
      </c>
      <c r="G145" s="21"/>
    </row>
    <row r="146" spans="2:7" x14ac:dyDescent="0.25">
      <c r="B146" s="21">
        <f>11+1+2+1+1+1</f>
        <v>17</v>
      </c>
      <c r="C146" s="19" t="s">
        <v>212</v>
      </c>
      <c r="D146" s="16">
        <v>785.61</v>
      </c>
      <c r="E146" s="20">
        <f t="shared" si="3"/>
        <v>13355.37</v>
      </c>
      <c r="F146" s="21">
        <f>8+2+1</f>
        <v>11</v>
      </c>
      <c r="G146" s="21">
        <f>3+1+1+1</f>
        <v>6</v>
      </c>
    </row>
    <row r="147" spans="2:7" x14ac:dyDescent="0.25">
      <c r="B147" s="21">
        <v>1</v>
      </c>
      <c r="C147" s="9" t="s">
        <v>251</v>
      </c>
      <c r="D147" s="31">
        <v>785.61</v>
      </c>
      <c r="E147" s="20">
        <f t="shared" si="3"/>
        <v>785.61</v>
      </c>
      <c r="F147" s="21">
        <v>1</v>
      </c>
      <c r="G147" s="21"/>
    </row>
    <row r="148" spans="2:7" x14ac:dyDescent="0.25">
      <c r="B148" s="21">
        <f>6+1+1</f>
        <v>8</v>
      </c>
      <c r="C148" s="19" t="s">
        <v>122</v>
      </c>
      <c r="D148" s="16">
        <v>785.61</v>
      </c>
      <c r="E148" s="20">
        <f t="shared" si="3"/>
        <v>6284.88</v>
      </c>
      <c r="F148" s="21">
        <f>2+1</f>
        <v>3</v>
      </c>
      <c r="G148" s="21">
        <f>4+1</f>
        <v>5</v>
      </c>
    </row>
    <row r="149" spans="2:7" x14ac:dyDescent="0.25">
      <c r="B149" s="21">
        <v>4</v>
      </c>
      <c r="C149" s="19" t="s">
        <v>79</v>
      </c>
      <c r="D149" s="16">
        <v>785.61</v>
      </c>
      <c r="E149" s="20">
        <f t="shared" si="3"/>
        <v>3142.44</v>
      </c>
      <c r="F149" s="21">
        <v>2</v>
      </c>
      <c r="G149" s="21">
        <v>2</v>
      </c>
    </row>
    <row r="150" spans="2:7" x14ac:dyDescent="0.25">
      <c r="B150" s="21">
        <v>4</v>
      </c>
      <c r="C150" s="19" t="s">
        <v>80</v>
      </c>
      <c r="D150" s="16">
        <v>785.61</v>
      </c>
      <c r="E150" s="20">
        <f t="shared" si="3"/>
        <v>3142.44</v>
      </c>
      <c r="F150" s="21">
        <v>4</v>
      </c>
      <c r="G150" s="21"/>
    </row>
    <row r="151" spans="2:7" x14ac:dyDescent="0.25">
      <c r="B151" s="21">
        <v>1</v>
      </c>
      <c r="C151" s="9" t="s">
        <v>198</v>
      </c>
      <c r="D151" s="16">
        <v>753.26</v>
      </c>
      <c r="E151" s="20">
        <f t="shared" si="3"/>
        <v>753.26</v>
      </c>
      <c r="F151" s="21">
        <v>1</v>
      </c>
      <c r="G151" s="21"/>
    </row>
    <row r="152" spans="2:7" x14ac:dyDescent="0.25">
      <c r="B152" s="21">
        <v>1</v>
      </c>
      <c r="C152" s="19" t="s">
        <v>217</v>
      </c>
      <c r="D152" s="16">
        <v>743.79</v>
      </c>
      <c r="E152" s="20">
        <f t="shared" si="3"/>
        <v>743.79</v>
      </c>
      <c r="F152" s="21"/>
      <c r="G152" s="21">
        <v>1</v>
      </c>
    </row>
    <row r="153" spans="2:7" x14ac:dyDescent="0.25">
      <c r="B153" s="21">
        <v>4</v>
      </c>
      <c r="C153" s="19" t="s">
        <v>215</v>
      </c>
      <c r="D153" s="16">
        <v>742.86</v>
      </c>
      <c r="E153" s="20">
        <f t="shared" si="3"/>
        <v>2971.44</v>
      </c>
      <c r="F153" s="21">
        <v>3</v>
      </c>
      <c r="G153" s="21">
        <v>1</v>
      </c>
    </row>
    <row r="154" spans="2:7" x14ac:dyDescent="0.25">
      <c r="B154" s="21">
        <v>1</v>
      </c>
      <c r="C154" s="9" t="s">
        <v>213</v>
      </c>
      <c r="D154" s="16">
        <v>742.86</v>
      </c>
      <c r="E154" s="20">
        <f>D154*B154</f>
        <v>742.86</v>
      </c>
      <c r="F154" s="21">
        <v>1</v>
      </c>
      <c r="G154" s="21"/>
    </row>
    <row r="155" spans="2:7" x14ac:dyDescent="0.25">
      <c r="B155" s="21">
        <f>1+2</f>
        <v>3</v>
      </c>
      <c r="C155" s="19" t="s">
        <v>214</v>
      </c>
      <c r="D155" s="16">
        <v>734.65</v>
      </c>
      <c r="E155" s="20">
        <f t="shared" si="3"/>
        <v>2203.9499999999998</v>
      </c>
      <c r="F155" s="21"/>
      <c r="G155" s="21">
        <f>1+2</f>
        <v>3</v>
      </c>
    </row>
    <row r="156" spans="2:7" x14ac:dyDescent="0.25">
      <c r="B156" s="21">
        <v>1</v>
      </c>
      <c r="C156" s="19" t="s">
        <v>216</v>
      </c>
      <c r="D156" s="16">
        <v>734.65</v>
      </c>
      <c r="E156" s="20">
        <f t="shared" si="3"/>
        <v>734.65</v>
      </c>
      <c r="F156" s="21"/>
      <c r="G156" s="21">
        <v>1</v>
      </c>
    </row>
    <row r="157" spans="2:7" x14ac:dyDescent="0.25">
      <c r="B157" s="21">
        <f>1+2</f>
        <v>3</v>
      </c>
      <c r="C157" s="19" t="s">
        <v>215</v>
      </c>
      <c r="D157" s="16">
        <v>731.81</v>
      </c>
      <c r="E157" s="20">
        <f t="shared" ref="E157:E183" si="4">D157*B157</f>
        <v>2195.4299999999998</v>
      </c>
      <c r="F157" s="21">
        <f>1+1</f>
        <v>2</v>
      </c>
      <c r="G157" s="21">
        <v>1</v>
      </c>
    </row>
    <row r="158" spans="2:7" x14ac:dyDescent="0.25">
      <c r="B158" s="21">
        <v>1</v>
      </c>
      <c r="C158" s="9" t="s">
        <v>208</v>
      </c>
      <c r="D158" s="16">
        <v>719.51</v>
      </c>
      <c r="E158" s="20">
        <f t="shared" si="4"/>
        <v>719.51</v>
      </c>
      <c r="F158" s="21">
        <v>1</v>
      </c>
      <c r="G158" s="21"/>
    </row>
    <row r="159" spans="2:7" x14ac:dyDescent="0.25">
      <c r="B159" s="21">
        <v>1</v>
      </c>
      <c r="C159" s="9" t="s">
        <v>199</v>
      </c>
      <c r="D159" s="16">
        <v>715.02</v>
      </c>
      <c r="E159" s="20">
        <f t="shared" si="4"/>
        <v>715.02</v>
      </c>
      <c r="F159" s="21">
        <v>1</v>
      </c>
      <c r="G159" s="21"/>
    </row>
    <row r="160" spans="2:7" x14ac:dyDescent="0.25">
      <c r="B160" s="21">
        <v>1</v>
      </c>
      <c r="C160" s="9" t="s">
        <v>28</v>
      </c>
      <c r="D160" s="31">
        <v>715.02</v>
      </c>
      <c r="E160" s="20">
        <f t="shared" si="4"/>
        <v>715.02</v>
      </c>
      <c r="F160" s="21"/>
      <c r="G160" s="21">
        <v>1</v>
      </c>
    </row>
    <row r="161" spans="2:7" x14ac:dyDescent="0.25">
      <c r="B161" s="21">
        <f>2+1+1+1+1+1</f>
        <v>7</v>
      </c>
      <c r="C161" s="19" t="s">
        <v>207</v>
      </c>
      <c r="D161" s="16">
        <v>715.02</v>
      </c>
      <c r="E161" s="20">
        <f t="shared" si="4"/>
        <v>5005.1399999999994</v>
      </c>
      <c r="F161" s="21"/>
      <c r="G161" s="21">
        <f>2+1+1+1+1+1</f>
        <v>7</v>
      </c>
    </row>
    <row r="162" spans="2:7" x14ac:dyDescent="0.25">
      <c r="B162" s="21">
        <v>1</v>
      </c>
      <c r="C162" s="19" t="s">
        <v>252</v>
      </c>
      <c r="D162" s="16">
        <v>715.02</v>
      </c>
      <c r="E162" s="20">
        <f t="shared" si="4"/>
        <v>715.02</v>
      </c>
      <c r="F162" s="21"/>
      <c r="G162" s="21">
        <v>1</v>
      </c>
    </row>
    <row r="163" spans="2:7" x14ac:dyDescent="0.25">
      <c r="B163" s="21">
        <f>1+1</f>
        <v>2</v>
      </c>
      <c r="C163" s="19" t="s">
        <v>217</v>
      </c>
      <c r="D163" s="16">
        <v>701.04</v>
      </c>
      <c r="E163" s="20">
        <f t="shared" si="4"/>
        <v>1402.08</v>
      </c>
      <c r="F163" s="21"/>
      <c r="G163" s="21">
        <f>1+1</f>
        <v>2</v>
      </c>
    </row>
    <row r="164" spans="2:7" x14ac:dyDescent="0.25">
      <c r="B164" s="21">
        <v>1</v>
      </c>
      <c r="C164" s="19" t="s">
        <v>219</v>
      </c>
      <c r="D164" s="16">
        <v>696.2</v>
      </c>
      <c r="E164" s="20">
        <f t="shared" si="4"/>
        <v>696.2</v>
      </c>
      <c r="F164" s="21"/>
      <c r="G164" s="21">
        <v>1</v>
      </c>
    </row>
    <row r="165" spans="2:7" x14ac:dyDescent="0.25">
      <c r="B165" s="21">
        <v>1</v>
      </c>
      <c r="C165" s="19" t="s">
        <v>220</v>
      </c>
      <c r="D165" s="16">
        <v>689.06</v>
      </c>
      <c r="E165" s="20">
        <f t="shared" si="4"/>
        <v>689.06</v>
      </c>
      <c r="F165" s="21"/>
      <c r="G165" s="21">
        <v>1</v>
      </c>
    </row>
    <row r="166" spans="2:7" x14ac:dyDescent="0.25">
      <c r="B166" s="21">
        <v>1</v>
      </c>
      <c r="C166" s="19" t="s">
        <v>237</v>
      </c>
      <c r="D166" s="16">
        <v>686.61</v>
      </c>
      <c r="E166" s="20">
        <f t="shared" si="4"/>
        <v>686.61</v>
      </c>
      <c r="F166" s="21">
        <v>1</v>
      </c>
      <c r="G166" s="21"/>
    </row>
    <row r="167" spans="2:7" x14ac:dyDescent="0.25">
      <c r="B167" s="21">
        <v>1</v>
      </c>
      <c r="C167" s="9" t="s">
        <v>57</v>
      </c>
      <c r="D167" s="16">
        <v>680.25</v>
      </c>
      <c r="E167" s="20">
        <f t="shared" si="4"/>
        <v>680.25</v>
      </c>
      <c r="F167" s="21"/>
      <c r="G167" s="21">
        <v>1</v>
      </c>
    </row>
    <row r="168" spans="2:7" x14ac:dyDescent="0.25">
      <c r="B168" s="21">
        <f>2+1</f>
        <v>3</v>
      </c>
      <c r="C168" s="19" t="s">
        <v>215</v>
      </c>
      <c r="D168" s="16">
        <v>689.06</v>
      </c>
      <c r="E168" s="20">
        <f t="shared" si="4"/>
        <v>2067.1799999999998</v>
      </c>
      <c r="F168" s="21">
        <f>2+1</f>
        <v>3</v>
      </c>
      <c r="G168" s="21"/>
    </row>
    <row r="169" spans="2:7" x14ac:dyDescent="0.25">
      <c r="B169" s="21">
        <v>1</v>
      </c>
      <c r="C169" s="19" t="s">
        <v>209</v>
      </c>
      <c r="D169" s="16">
        <v>678.86</v>
      </c>
      <c r="E169" s="20">
        <f t="shared" si="4"/>
        <v>678.86</v>
      </c>
      <c r="F169" s="21">
        <v>1</v>
      </c>
      <c r="G169" s="21"/>
    </row>
    <row r="170" spans="2:7" x14ac:dyDescent="0.25">
      <c r="B170" s="21">
        <v>11</v>
      </c>
      <c r="C170" s="19" t="s">
        <v>210</v>
      </c>
      <c r="D170" s="16">
        <v>675.36</v>
      </c>
      <c r="E170" s="20">
        <f t="shared" si="4"/>
        <v>7428.96</v>
      </c>
      <c r="F170" s="21">
        <v>11</v>
      </c>
      <c r="G170" s="21"/>
    </row>
    <row r="171" spans="2:7" x14ac:dyDescent="0.25">
      <c r="B171" s="21">
        <f>1+1+4</f>
        <v>6</v>
      </c>
      <c r="C171" s="19" t="s">
        <v>211</v>
      </c>
      <c r="D171" s="16">
        <v>670.87</v>
      </c>
      <c r="E171" s="20">
        <f t="shared" si="4"/>
        <v>4025.2200000000003</v>
      </c>
      <c r="F171" s="21"/>
      <c r="G171" s="21">
        <f>1+1+4</f>
        <v>6</v>
      </c>
    </row>
    <row r="172" spans="2:7" x14ac:dyDescent="0.25">
      <c r="B172" s="21">
        <f>5+5+1+1+1</f>
        <v>13</v>
      </c>
      <c r="C172" s="19" t="s">
        <v>216</v>
      </c>
      <c r="D172" s="16">
        <v>662.65</v>
      </c>
      <c r="E172" s="20">
        <f t="shared" si="4"/>
        <v>8614.4499999999989</v>
      </c>
      <c r="F172" s="21"/>
      <c r="G172" s="21">
        <f>5+5+1+1+1</f>
        <v>13</v>
      </c>
    </row>
    <row r="173" spans="2:7" x14ac:dyDescent="0.25">
      <c r="B173" s="21">
        <f>1+1+1</f>
        <v>3</v>
      </c>
      <c r="C173" s="19" t="s">
        <v>214</v>
      </c>
      <c r="D173" s="16">
        <v>666.36</v>
      </c>
      <c r="E173" s="20">
        <f t="shared" si="4"/>
        <v>1999.08</v>
      </c>
      <c r="F173" s="21">
        <v>1</v>
      </c>
      <c r="G173" s="21">
        <f>1+1</f>
        <v>2</v>
      </c>
    </row>
    <row r="174" spans="2:7" x14ac:dyDescent="0.25">
      <c r="B174" s="21">
        <f>1+1</f>
        <v>2</v>
      </c>
      <c r="C174" s="19" t="s">
        <v>214</v>
      </c>
      <c r="D174" s="16">
        <v>658.15</v>
      </c>
      <c r="E174" s="20">
        <f t="shared" si="4"/>
        <v>1316.3</v>
      </c>
      <c r="F174" s="21"/>
      <c r="G174" s="21">
        <f>1+1</f>
        <v>2</v>
      </c>
    </row>
    <row r="175" spans="2:7" x14ac:dyDescent="0.25">
      <c r="B175" s="21">
        <v>1</v>
      </c>
      <c r="C175" s="19" t="s">
        <v>123</v>
      </c>
      <c r="D175" s="16">
        <v>652.86</v>
      </c>
      <c r="E175" s="20">
        <f t="shared" si="4"/>
        <v>652.86</v>
      </c>
      <c r="F175" s="21">
        <v>1</v>
      </c>
      <c r="G175" s="21"/>
    </row>
    <row r="176" spans="2:7" x14ac:dyDescent="0.25">
      <c r="B176" s="21">
        <v>1</v>
      </c>
      <c r="C176" s="19" t="s">
        <v>218</v>
      </c>
      <c r="D176" s="16">
        <v>633.54</v>
      </c>
      <c r="E176" s="20">
        <f t="shared" si="4"/>
        <v>633.54</v>
      </c>
      <c r="F176" s="21">
        <v>1</v>
      </c>
      <c r="G176" s="21"/>
    </row>
    <row r="177" spans="2:7" x14ac:dyDescent="0.25">
      <c r="B177" s="21">
        <f>1+1+1+1+1</f>
        <v>5</v>
      </c>
      <c r="C177" s="19" t="s">
        <v>217</v>
      </c>
      <c r="D177" s="16">
        <v>629.04999999999995</v>
      </c>
      <c r="E177" s="20">
        <f t="shared" si="4"/>
        <v>3145.25</v>
      </c>
      <c r="F177" s="21"/>
      <c r="G177" s="21">
        <f>1+1+1+1+1</f>
        <v>5</v>
      </c>
    </row>
    <row r="178" spans="2:7" x14ac:dyDescent="0.25">
      <c r="B178" s="21">
        <f>1+1+1</f>
        <v>3</v>
      </c>
      <c r="C178" s="19" t="s">
        <v>215</v>
      </c>
      <c r="D178" s="16">
        <v>621.55999999999995</v>
      </c>
      <c r="E178" s="20">
        <f t="shared" si="4"/>
        <v>1864.6799999999998</v>
      </c>
      <c r="F178" s="21">
        <f>1+1</f>
        <v>2</v>
      </c>
      <c r="G178" s="21">
        <v>1</v>
      </c>
    </row>
    <row r="179" spans="2:7" x14ac:dyDescent="0.25">
      <c r="B179" s="21">
        <v>1</v>
      </c>
      <c r="C179" s="32" t="s">
        <v>219</v>
      </c>
      <c r="D179" s="16">
        <v>619.70000000000005</v>
      </c>
      <c r="E179" s="20">
        <f t="shared" si="4"/>
        <v>619.70000000000005</v>
      </c>
      <c r="F179" s="21">
        <v>1</v>
      </c>
      <c r="G179" s="21"/>
    </row>
    <row r="180" spans="2:7" x14ac:dyDescent="0.25">
      <c r="B180" s="21">
        <f>1+1</f>
        <v>2</v>
      </c>
      <c r="C180" s="9" t="s">
        <v>57</v>
      </c>
      <c r="D180" s="16">
        <v>617.07000000000005</v>
      </c>
      <c r="E180" s="20">
        <f t="shared" si="4"/>
        <v>1234.1400000000001</v>
      </c>
      <c r="F180" s="21"/>
      <c r="G180" s="21">
        <f>1+1</f>
        <v>2</v>
      </c>
    </row>
    <row r="181" spans="2:7" x14ac:dyDescent="0.25">
      <c r="B181" s="21">
        <f>1+2+6+1+1+1+3+1+2</f>
        <v>18</v>
      </c>
      <c r="C181" s="9" t="s">
        <v>220</v>
      </c>
      <c r="D181" s="16">
        <v>617.07000000000005</v>
      </c>
      <c r="E181" s="20">
        <f t="shared" si="4"/>
        <v>11107.26</v>
      </c>
      <c r="F181" s="21"/>
      <c r="G181" s="21">
        <f>1+2+6+1+1+1+3+1+2</f>
        <v>18</v>
      </c>
    </row>
    <row r="182" spans="2:7" x14ac:dyDescent="0.25">
      <c r="B182" s="21">
        <v>1</v>
      </c>
      <c r="C182" s="9" t="s">
        <v>222</v>
      </c>
      <c r="D182" s="16">
        <v>617.07000000000005</v>
      </c>
      <c r="E182" s="20">
        <f t="shared" si="4"/>
        <v>617.07000000000005</v>
      </c>
      <c r="F182" s="21"/>
      <c r="G182" s="21">
        <v>1</v>
      </c>
    </row>
    <row r="183" spans="2:7" x14ac:dyDescent="0.25">
      <c r="B183" s="21">
        <f>1+2+1+1</f>
        <v>5</v>
      </c>
      <c r="C183" s="32" t="s">
        <v>215</v>
      </c>
      <c r="D183" s="16">
        <v>612.55999999999995</v>
      </c>
      <c r="E183" s="20">
        <f t="shared" si="4"/>
        <v>3062.7999999999997</v>
      </c>
      <c r="F183" s="21">
        <f>1+2</f>
        <v>3</v>
      </c>
      <c r="G183" s="21">
        <f>1+1</f>
        <v>2</v>
      </c>
    </row>
    <row r="184" spans="2:7" x14ac:dyDescent="0.25">
      <c r="B184" s="21">
        <v>1</v>
      </c>
      <c r="C184" s="9" t="s">
        <v>225</v>
      </c>
      <c r="D184" s="16">
        <v>587.34</v>
      </c>
      <c r="E184" s="20">
        <f>D184*B184</f>
        <v>587.34</v>
      </c>
      <c r="F184" s="21">
        <v>1</v>
      </c>
      <c r="G184" s="21"/>
    </row>
    <row r="185" spans="2:7" x14ac:dyDescent="0.25">
      <c r="B185" s="21">
        <v>1</v>
      </c>
      <c r="C185" s="9" t="s">
        <v>215</v>
      </c>
      <c r="D185" s="16">
        <v>584.6</v>
      </c>
      <c r="E185" s="20">
        <f>D185*B185</f>
        <v>584.6</v>
      </c>
      <c r="F185" s="21">
        <v>1</v>
      </c>
      <c r="G185" s="21"/>
    </row>
    <row r="186" spans="2:7" x14ac:dyDescent="0.25">
      <c r="B186" s="21">
        <v>1</v>
      </c>
      <c r="C186" s="19" t="s">
        <v>225</v>
      </c>
      <c r="D186" s="16">
        <v>578.34</v>
      </c>
      <c r="E186" s="20">
        <f>D186*B186</f>
        <v>578.34</v>
      </c>
      <c r="F186" s="21">
        <v>1</v>
      </c>
      <c r="G186" s="21"/>
    </row>
    <row r="187" spans="2:7" x14ac:dyDescent="0.25">
      <c r="B187" s="21">
        <f>3+1</f>
        <v>4</v>
      </c>
      <c r="C187" s="9" t="s">
        <v>215</v>
      </c>
      <c r="D187" s="16">
        <v>577.46</v>
      </c>
      <c r="E187" s="20">
        <f>D187*B187</f>
        <v>2309.84</v>
      </c>
      <c r="F187" s="21">
        <f>3+1</f>
        <v>4</v>
      </c>
      <c r="G187" s="21"/>
    </row>
    <row r="188" spans="2:7" x14ac:dyDescent="0.25">
      <c r="B188" s="21">
        <v>1</v>
      </c>
      <c r="C188" s="9" t="s">
        <v>221</v>
      </c>
      <c r="D188" s="16">
        <v>577.46</v>
      </c>
      <c r="E188" s="20">
        <f t="shared" ref="E188:E193" si="5">D188*B188</f>
        <v>577.46</v>
      </c>
      <c r="F188" s="21">
        <v>1</v>
      </c>
      <c r="G188" s="21"/>
    </row>
    <row r="189" spans="2:7" x14ac:dyDescent="0.25">
      <c r="B189" s="21">
        <f>1+1</f>
        <v>2</v>
      </c>
      <c r="C189" s="19" t="s">
        <v>223</v>
      </c>
      <c r="D189" s="16">
        <v>551.98</v>
      </c>
      <c r="E189" s="20">
        <f>D189*B189</f>
        <v>1103.96</v>
      </c>
      <c r="F189" s="21">
        <f>1+1</f>
        <v>2</v>
      </c>
      <c r="G189" s="21"/>
    </row>
    <row r="190" spans="2:7" x14ac:dyDescent="0.25">
      <c r="B190" s="21">
        <f>2+21+2+2+2+2+3</f>
        <v>34</v>
      </c>
      <c r="C190" s="19" t="s">
        <v>224</v>
      </c>
      <c r="D190" s="16">
        <v>543.24</v>
      </c>
      <c r="E190" s="20">
        <f t="shared" si="5"/>
        <v>18470.16</v>
      </c>
      <c r="F190" s="21">
        <f>2+21+2+2+2+2+3</f>
        <v>34</v>
      </c>
      <c r="G190" s="21"/>
    </row>
    <row r="191" spans="2:7" x14ac:dyDescent="0.25">
      <c r="B191" s="21">
        <f>22+6+11+2</f>
        <v>41</v>
      </c>
      <c r="C191" s="19" t="s">
        <v>84</v>
      </c>
      <c r="D191" s="16">
        <v>543.24</v>
      </c>
      <c r="E191" s="20">
        <f t="shared" si="5"/>
        <v>22272.84</v>
      </c>
      <c r="F191" s="21">
        <f>22+6+11+2</f>
        <v>41</v>
      </c>
      <c r="G191" s="21"/>
    </row>
    <row r="192" spans="2:7" x14ac:dyDescent="0.25">
      <c r="B192" s="21">
        <f>1+1+5+2+1+1+1</f>
        <v>12</v>
      </c>
      <c r="C192" s="19" t="s">
        <v>33</v>
      </c>
      <c r="D192" s="16">
        <v>543.24</v>
      </c>
      <c r="E192" s="20">
        <f t="shared" si="5"/>
        <v>6518.88</v>
      </c>
      <c r="F192" s="21">
        <f>1+1+5+2+1+1+1</f>
        <v>12</v>
      </c>
      <c r="G192" s="21"/>
    </row>
    <row r="193" spans="2:7" x14ac:dyDescent="0.25">
      <c r="B193" s="21">
        <f>3+9+11+3+2+2+3+6+1</f>
        <v>40</v>
      </c>
      <c r="C193" s="19" t="s">
        <v>228</v>
      </c>
      <c r="D193" s="31">
        <v>526.13</v>
      </c>
      <c r="E193" s="20">
        <f t="shared" si="5"/>
        <v>21045.200000000001</v>
      </c>
      <c r="F193" s="21">
        <f>1+8+9+2+2+2+3+6+1</f>
        <v>34</v>
      </c>
      <c r="G193" s="21">
        <f>2+1+2+1</f>
        <v>6</v>
      </c>
    </row>
    <row r="194" spans="2:7" ht="15.75" x14ac:dyDescent="0.25">
      <c r="B194" s="12">
        <f>SUM(B16:B193)</f>
        <v>839</v>
      </c>
      <c r="C194" s="1"/>
      <c r="D194" s="1"/>
      <c r="E194" s="18">
        <f>SUM(E16:E193)</f>
        <v>673122.50999999978</v>
      </c>
      <c r="F194" s="14">
        <f>SUM(F16:F193)</f>
        <v>465</v>
      </c>
      <c r="G194" s="14">
        <f>SUM(G16:G193)</f>
        <v>374</v>
      </c>
    </row>
  </sheetData>
  <mergeCells count="2">
    <mergeCell ref="F3:G3"/>
    <mergeCell ref="F14:G14"/>
  </mergeCell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96"/>
  <sheetViews>
    <sheetView view="pageBreakPreview" topLeftCell="A157" zoomScale="60" zoomScaleNormal="100" workbookViewId="0">
      <selection activeCell="C144" sqref="C144"/>
    </sheetView>
  </sheetViews>
  <sheetFormatPr baseColWidth="10" defaultRowHeight="15" x14ac:dyDescent="0.25"/>
  <cols>
    <col min="1" max="1" width="6.42578125" customWidth="1"/>
    <col min="3" max="3" width="56.28515625" bestFit="1" customWidth="1"/>
    <col min="5" max="5" width="13.85546875" bestFit="1" customWidth="1"/>
  </cols>
  <sheetData>
    <row r="2" spans="2:7" x14ac:dyDescent="0.25">
      <c r="B2" s="29" t="s">
        <v>253</v>
      </c>
      <c r="C2" s="30"/>
      <c r="D2" s="4"/>
      <c r="E2" s="4"/>
      <c r="F2" s="2"/>
      <c r="G2" s="2"/>
    </row>
    <row r="3" spans="2:7" x14ac:dyDescent="0.25">
      <c r="B3" s="2"/>
      <c r="D3" s="4"/>
      <c r="E3" s="4"/>
      <c r="F3" s="45" t="s">
        <v>3</v>
      </c>
      <c r="G3" s="45"/>
    </row>
    <row r="4" spans="2:7" ht="30" x14ac:dyDescent="0.25">
      <c r="B4" s="6" t="s">
        <v>6</v>
      </c>
      <c r="C4" s="7" t="s">
        <v>4</v>
      </c>
      <c r="D4" s="6" t="s">
        <v>2</v>
      </c>
      <c r="E4" s="6" t="s">
        <v>9</v>
      </c>
      <c r="F4" s="7" t="s">
        <v>0</v>
      </c>
      <c r="G4" s="7" t="s">
        <v>1</v>
      </c>
    </row>
    <row r="5" spans="2:7" x14ac:dyDescent="0.25">
      <c r="B5" s="21">
        <v>1</v>
      </c>
      <c r="C5" s="9" t="s">
        <v>254</v>
      </c>
      <c r="D5" s="16">
        <v>2600</v>
      </c>
      <c r="E5" s="10">
        <f t="shared" ref="E5:E7" si="0">D5*B5</f>
        <v>2600</v>
      </c>
      <c r="F5" s="7"/>
      <c r="G5" s="7">
        <v>1</v>
      </c>
    </row>
    <row r="6" spans="2:7" x14ac:dyDescent="0.25">
      <c r="B6" s="21">
        <v>1</v>
      </c>
      <c r="C6" s="3" t="s">
        <v>246</v>
      </c>
      <c r="D6" s="16">
        <v>1623.25</v>
      </c>
      <c r="E6" s="10">
        <f t="shared" si="0"/>
        <v>1623.25</v>
      </c>
      <c r="F6" s="7">
        <v>1</v>
      </c>
      <c r="G6" s="7"/>
    </row>
    <row r="7" spans="2:7" x14ac:dyDescent="0.25">
      <c r="B7" s="21">
        <v>1</v>
      </c>
      <c r="C7" s="9" t="s">
        <v>180</v>
      </c>
      <c r="D7" s="16">
        <v>1108.25</v>
      </c>
      <c r="E7" s="10">
        <f t="shared" si="0"/>
        <v>1108.25</v>
      </c>
      <c r="F7" s="21">
        <v>1</v>
      </c>
      <c r="G7" s="21"/>
    </row>
    <row r="8" spans="2:7" ht="15.75" x14ac:dyDescent="0.25">
      <c r="B8" s="12">
        <f>SUM(B5:B7)</f>
        <v>3</v>
      </c>
      <c r="C8" s="1"/>
      <c r="D8" s="15"/>
      <c r="E8" s="17">
        <f>SUM(E7:E7)</f>
        <v>1108.25</v>
      </c>
      <c r="F8" s="14">
        <f>SUM(F5:F7)</f>
        <v>2</v>
      </c>
      <c r="G8" s="14">
        <f>SUM(G5:G7)</f>
        <v>1</v>
      </c>
    </row>
    <row r="11" spans="2:7" x14ac:dyDescent="0.25">
      <c r="B11" s="29" t="s">
        <v>37</v>
      </c>
      <c r="C11" s="30"/>
    </row>
    <row r="12" spans="2:7" x14ac:dyDescent="0.25">
      <c r="B12" s="2"/>
      <c r="D12" s="4"/>
      <c r="E12" s="4"/>
      <c r="F12" s="45" t="s">
        <v>3</v>
      </c>
      <c r="G12" s="45"/>
    </row>
    <row r="13" spans="2:7" ht="30" x14ac:dyDescent="0.25">
      <c r="B13" s="6" t="s">
        <v>6</v>
      </c>
      <c r="C13" s="7" t="s">
        <v>4</v>
      </c>
      <c r="D13" s="6" t="s">
        <v>2</v>
      </c>
      <c r="E13" s="6" t="s">
        <v>9</v>
      </c>
      <c r="F13" s="7" t="s">
        <v>0</v>
      </c>
      <c r="G13" s="7" t="s">
        <v>1</v>
      </c>
    </row>
    <row r="14" spans="2:7" x14ac:dyDescent="0.25">
      <c r="B14" s="21">
        <v>1</v>
      </c>
      <c r="C14" s="19" t="s">
        <v>38</v>
      </c>
      <c r="D14" s="16">
        <v>2773.8</v>
      </c>
      <c r="E14" s="20">
        <f>D14*B14</f>
        <v>2773.8</v>
      </c>
      <c r="F14" s="21"/>
      <c r="G14" s="21">
        <v>1</v>
      </c>
    </row>
    <row r="15" spans="2:7" x14ac:dyDescent="0.25">
      <c r="B15" s="21">
        <v>1</v>
      </c>
      <c r="C15" s="19" t="s">
        <v>39</v>
      </c>
      <c r="D15" s="16">
        <v>2080.58</v>
      </c>
      <c r="E15" s="20">
        <f>D15*B15</f>
        <v>2080.58</v>
      </c>
      <c r="F15" s="21">
        <v>1</v>
      </c>
      <c r="G15" s="21"/>
    </row>
    <row r="16" spans="2:7" x14ac:dyDescent="0.25">
      <c r="B16" s="21">
        <v>1</v>
      </c>
      <c r="C16" s="3" t="s">
        <v>140</v>
      </c>
      <c r="D16" s="16">
        <v>2600</v>
      </c>
      <c r="E16" s="20">
        <f t="shared" ref="E16:E86" si="1">D16*B16</f>
        <v>2600</v>
      </c>
      <c r="F16" s="21"/>
      <c r="G16" s="21">
        <v>1</v>
      </c>
    </row>
    <row r="17" spans="2:7" x14ac:dyDescent="0.25">
      <c r="B17" s="21">
        <v>1</v>
      </c>
      <c r="C17" s="19" t="s">
        <v>231</v>
      </c>
      <c r="D17" s="16">
        <v>2600</v>
      </c>
      <c r="E17" s="20">
        <f t="shared" si="1"/>
        <v>2600</v>
      </c>
      <c r="F17" s="21">
        <v>1</v>
      </c>
      <c r="G17" s="21"/>
    </row>
    <row r="18" spans="2:7" x14ac:dyDescent="0.25">
      <c r="B18" s="21">
        <v>1</v>
      </c>
      <c r="C18" s="9" t="s">
        <v>18</v>
      </c>
      <c r="D18" s="16">
        <v>2336.6</v>
      </c>
      <c r="E18" s="20">
        <f t="shared" si="1"/>
        <v>2336.6</v>
      </c>
      <c r="F18" s="21"/>
      <c r="G18" s="21">
        <v>1</v>
      </c>
    </row>
    <row r="19" spans="2:7" x14ac:dyDescent="0.25">
      <c r="B19" s="21">
        <v>1</v>
      </c>
      <c r="C19" s="9" t="s">
        <v>232</v>
      </c>
      <c r="D19" s="16">
        <v>2336.6</v>
      </c>
      <c r="E19" s="20">
        <f t="shared" si="1"/>
        <v>2336.6</v>
      </c>
      <c r="F19" s="21"/>
      <c r="G19" s="21">
        <v>1</v>
      </c>
    </row>
    <row r="20" spans="2:7" x14ac:dyDescent="0.25">
      <c r="B20" s="21">
        <v>1</v>
      </c>
      <c r="C20" s="9" t="s">
        <v>61</v>
      </c>
      <c r="D20" s="16">
        <v>2336.6</v>
      </c>
      <c r="E20" s="20">
        <f t="shared" si="1"/>
        <v>2336.6</v>
      </c>
      <c r="F20" s="21"/>
      <c r="G20" s="21">
        <v>1</v>
      </c>
    </row>
    <row r="21" spans="2:7" x14ac:dyDescent="0.25">
      <c r="B21" s="21">
        <v>1</v>
      </c>
      <c r="C21" s="9" t="s">
        <v>67</v>
      </c>
      <c r="D21" s="16">
        <v>2336.59</v>
      </c>
      <c r="E21" s="20">
        <f t="shared" si="1"/>
        <v>2336.59</v>
      </c>
      <c r="F21" s="21">
        <v>1</v>
      </c>
      <c r="G21" s="21"/>
    </row>
    <row r="22" spans="2:7" x14ac:dyDescent="0.25">
      <c r="B22" s="21">
        <v>1</v>
      </c>
      <c r="C22" s="3" t="s">
        <v>73</v>
      </c>
      <c r="D22" s="16">
        <v>2336.6</v>
      </c>
      <c r="E22" s="20">
        <f t="shared" si="1"/>
        <v>2336.6</v>
      </c>
      <c r="F22" s="21"/>
      <c r="G22" s="21">
        <v>1</v>
      </c>
    </row>
    <row r="23" spans="2:7" x14ac:dyDescent="0.25">
      <c r="B23" s="21">
        <v>1</v>
      </c>
      <c r="C23" s="9" t="s">
        <v>90</v>
      </c>
      <c r="D23" s="16">
        <v>2060</v>
      </c>
      <c r="E23" s="20">
        <f t="shared" si="1"/>
        <v>2060</v>
      </c>
      <c r="F23" s="21"/>
      <c r="G23" s="21">
        <v>1</v>
      </c>
    </row>
    <row r="24" spans="2:7" x14ac:dyDescent="0.25">
      <c r="B24" s="21">
        <v>1</v>
      </c>
      <c r="C24" s="9" t="s">
        <v>233</v>
      </c>
      <c r="D24" s="16">
        <v>2060</v>
      </c>
      <c r="E24" s="20">
        <f t="shared" si="1"/>
        <v>2060</v>
      </c>
      <c r="F24" s="21">
        <v>1</v>
      </c>
      <c r="G24" s="21"/>
    </row>
    <row r="25" spans="2:7" x14ac:dyDescent="0.25">
      <c r="B25" s="21">
        <v>1</v>
      </c>
      <c r="C25" s="9" t="s">
        <v>247</v>
      </c>
      <c r="D25" s="16">
        <v>1775.02</v>
      </c>
      <c r="E25" s="20">
        <f t="shared" si="1"/>
        <v>1775.02</v>
      </c>
      <c r="F25" s="21"/>
      <c r="G25" s="21">
        <v>1</v>
      </c>
    </row>
    <row r="26" spans="2:7" x14ac:dyDescent="0.25">
      <c r="B26" s="21">
        <v>1</v>
      </c>
      <c r="C26" s="9" t="s">
        <v>133</v>
      </c>
      <c r="D26" s="16">
        <v>1775.02</v>
      </c>
      <c r="E26" s="20">
        <f t="shared" si="1"/>
        <v>1775.02</v>
      </c>
      <c r="F26" s="21"/>
      <c r="G26" s="21">
        <v>1</v>
      </c>
    </row>
    <row r="27" spans="2:7" x14ac:dyDescent="0.25">
      <c r="B27" s="21">
        <v>1</v>
      </c>
      <c r="C27" s="9" t="s">
        <v>234</v>
      </c>
      <c r="D27" s="16">
        <v>1796.06</v>
      </c>
      <c r="E27" s="20">
        <f t="shared" si="1"/>
        <v>1796.06</v>
      </c>
      <c r="F27" s="21">
        <v>1</v>
      </c>
      <c r="G27" s="21"/>
    </row>
    <row r="28" spans="2:7" x14ac:dyDescent="0.25">
      <c r="B28" s="21">
        <v>1</v>
      </c>
      <c r="C28" s="9" t="s">
        <v>255</v>
      </c>
      <c r="D28" s="16">
        <v>1474.62</v>
      </c>
      <c r="E28" s="20">
        <f t="shared" si="1"/>
        <v>1474.62</v>
      </c>
      <c r="F28" s="21">
        <v>1</v>
      </c>
      <c r="G28" s="21"/>
    </row>
    <row r="29" spans="2:7" x14ac:dyDescent="0.25">
      <c r="B29" s="24">
        <v>1</v>
      </c>
      <c r="C29" s="9" t="s">
        <v>64</v>
      </c>
      <c r="D29" s="16">
        <v>1474.62</v>
      </c>
      <c r="E29" s="20">
        <f t="shared" si="1"/>
        <v>1474.62</v>
      </c>
      <c r="F29" s="24">
        <v>1</v>
      </c>
      <c r="G29" s="24"/>
    </row>
    <row r="30" spans="2:7" x14ac:dyDescent="0.25">
      <c r="B30" s="21">
        <v>1</v>
      </c>
      <c r="C30" s="9" t="s">
        <v>69</v>
      </c>
      <c r="D30" s="16">
        <v>1474.62</v>
      </c>
      <c r="E30" s="20">
        <f t="shared" si="1"/>
        <v>1474.62</v>
      </c>
      <c r="F30" s="21">
        <v>1</v>
      </c>
      <c r="G30" s="21"/>
    </row>
    <row r="31" spans="2:7" x14ac:dyDescent="0.25">
      <c r="B31" s="21">
        <v>1</v>
      </c>
      <c r="C31" s="9" t="s">
        <v>235</v>
      </c>
      <c r="D31" s="16">
        <v>1474.62</v>
      </c>
      <c r="E31" s="20">
        <f t="shared" si="1"/>
        <v>1474.62</v>
      </c>
      <c r="F31" s="21"/>
      <c r="G31" s="21">
        <v>1</v>
      </c>
    </row>
    <row r="32" spans="2:7" x14ac:dyDescent="0.25">
      <c r="B32" s="21">
        <v>1</v>
      </c>
      <c r="C32" s="9" t="s">
        <v>168</v>
      </c>
      <c r="D32" s="16">
        <v>1462.57</v>
      </c>
      <c r="E32" s="20">
        <f t="shared" si="1"/>
        <v>1462.57</v>
      </c>
      <c r="F32" s="21">
        <v>1</v>
      </c>
      <c r="G32" s="21"/>
    </row>
    <row r="33" spans="2:7" x14ac:dyDescent="0.25">
      <c r="B33" s="21">
        <v>1</v>
      </c>
      <c r="C33" s="9" t="s">
        <v>169</v>
      </c>
      <c r="D33" s="16">
        <v>1454.62</v>
      </c>
      <c r="E33" s="20">
        <f t="shared" si="1"/>
        <v>1454.62</v>
      </c>
      <c r="F33" s="21">
        <v>1</v>
      </c>
      <c r="G33" s="21"/>
    </row>
    <row r="34" spans="2:7" x14ac:dyDescent="0.25">
      <c r="B34" s="21">
        <v>1</v>
      </c>
      <c r="C34" s="19" t="s">
        <v>44</v>
      </c>
      <c r="D34" s="31">
        <v>1401.65</v>
      </c>
      <c r="E34" s="20">
        <f t="shared" si="1"/>
        <v>1401.65</v>
      </c>
      <c r="F34" s="21">
        <v>1</v>
      </c>
      <c r="G34" s="21"/>
    </row>
    <row r="35" spans="2:7" x14ac:dyDescent="0.25">
      <c r="B35" s="21">
        <v>1</v>
      </c>
      <c r="C35" s="9" t="s">
        <v>177</v>
      </c>
      <c r="D35" s="16">
        <v>1400</v>
      </c>
      <c r="E35" s="20">
        <f t="shared" si="1"/>
        <v>1400</v>
      </c>
      <c r="F35" s="21">
        <v>1</v>
      </c>
      <c r="G35" s="21"/>
    </row>
    <row r="36" spans="2:7" x14ac:dyDescent="0.25">
      <c r="B36" s="21">
        <v>1</v>
      </c>
      <c r="C36" s="9" t="s">
        <v>243</v>
      </c>
      <c r="D36" s="16">
        <v>1400</v>
      </c>
      <c r="E36" s="20">
        <f t="shared" si="1"/>
        <v>1400</v>
      </c>
      <c r="F36" s="21"/>
      <c r="G36" s="21">
        <v>1</v>
      </c>
    </row>
    <row r="37" spans="2:7" x14ac:dyDescent="0.25">
      <c r="B37" s="21">
        <v>1</v>
      </c>
      <c r="C37" s="9" t="s">
        <v>256</v>
      </c>
      <c r="D37" s="16">
        <v>1400</v>
      </c>
      <c r="E37" s="20">
        <f t="shared" si="1"/>
        <v>1400</v>
      </c>
      <c r="F37" s="21"/>
      <c r="G37" s="21">
        <v>1</v>
      </c>
    </row>
    <row r="38" spans="2:7" x14ac:dyDescent="0.25">
      <c r="B38" s="21">
        <v>1</v>
      </c>
      <c r="C38" s="19" t="s">
        <v>40</v>
      </c>
      <c r="D38" s="16">
        <v>1373.12</v>
      </c>
      <c r="E38" s="20">
        <f t="shared" si="1"/>
        <v>1373.12</v>
      </c>
      <c r="F38" s="21">
        <v>1</v>
      </c>
      <c r="G38" s="21"/>
    </row>
    <row r="39" spans="2:7" x14ac:dyDescent="0.25">
      <c r="B39" s="24">
        <v>1</v>
      </c>
      <c r="C39" s="47" t="s">
        <v>172</v>
      </c>
      <c r="D39" s="51">
        <v>1373.12</v>
      </c>
      <c r="E39" s="28">
        <f t="shared" si="1"/>
        <v>1373.12</v>
      </c>
      <c r="F39" s="24"/>
      <c r="G39" s="24">
        <v>1</v>
      </c>
    </row>
    <row r="40" spans="2:7" ht="24.75" x14ac:dyDescent="0.25">
      <c r="B40" s="23">
        <v>1</v>
      </c>
      <c r="C40" s="34" t="s">
        <v>170</v>
      </c>
      <c r="D40" s="16">
        <v>1373.12</v>
      </c>
      <c r="E40" s="20">
        <f t="shared" si="1"/>
        <v>1373.12</v>
      </c>
      <c r="F40" s="23"/>
      <c r="G40" s="23">
        <v>1</v>
      </c>
    </row>
    <row r="41" spans="2:7" ht="24.75" x14ac:dyDescent="0.25">
      <c r="B41" s="23">
        <v>1</v>
      </c>
      <c r="C41" s="34" t="s">
        <v>171</v>
      </c>
      <c r="D41" s="16">
        <v>1373.12</v>
      </c>
      <c r="E41" s="20">
        <f t="shared" si="1"/>
        <v>1373.12</v>
      </c>
      <c r="F41" s="23"/>
      <c r="G41" s="23">
        <v>1</v>
      </c>
    </row>
    <row r="42" spans="2:7" x14ac:dyDescent="0.25">
      <c r="B42" s="23">
        <v>1</v>
      </c>
      <c r="C42" s="19" t="s">
        <v>108</v>
      </c>
      <c r="D42" s="16">
        <v>1181.6500000000001</v>
      </c>
      <c r="E42" s="20">
        <f t="shared" si="1"/>
        <v>1181.6500000000001</v>
      </c>
      <c r="F42" s="23"/>
      <c r="G42" s="23">
        <v>1</v>
      </c>
    </row>
    <row r="43" spans="2:7" x14ac:dyDescent="0.25">
      <c r="B43" s="23">
        <v>1</v>
      </c>
      <c r="C43" s="19" t="s">
        <v>91</v>
      </c>
      <c r="D43" s="16">
        <v>1141.6500000000001</v>
      </c>
      <c r="E43" s="20">
        <f t="shared" si="1"/>
        <v>1141.6500000000001</v>
      </c>
      <c r="F43" s="23">
        <v>1</v>
      </c>
      <c r="G43" s="23"/>
    </row>
    <row r="44" spans="2:7" x14ac:dyDescent="0.25">
      <c r="B44" s="23">
        <v>1</v>
      </c>
      <c r="C44" s="19" t="s">
        <v>103</v>
      </c>
      <c r="D44" s="16">
        <v>1141.6500000000001</v>
      </c>
      <c r="E44" s="20">
        <f t="shared" si="1"/>
        <v>1141.6500000000001</v>
      </c>
      <c r="F44" s="23">
        <v>1</v>
      </c>
      <c r="G44" s="23"/>
    </row>
    <row r="45" spans="2:7" x14ac:dyDescent="0.25">
      <c r="B45" s="25">
        <v>1</v>
      </c>
      <c r="C45" s="52" t="s">
        <v>112</v>
      </c>
      <c r="D45" s="53">
        <v>1141.6500000000001</v>
      </c>
      <c r="E45" s="54">
        <f>D45*B45</f>
        <v>1141.6500000000001</v>
      </c>
      <c r="F45" s="25"/>
      <c r="G45" s="25">
        <v>1</v>
      </c>
    </row>
    <row r="46" spans="2:7" x14ac:dyDescent="0.25">
      <c r="B46" s="21">
        <v>3</v>
      </c>
      <c r="C46" s="19" t="s">
        <v>83</v>
      </c>
      <c r="D46" s="16">
        <v>1141.6500000000001</v>
      </c>
      <c r="E46" s="20">
        <f t="shared" si="1"/>
        <v>3424.9500000000003</v>
      </c>
      <c r="F46" s="21">
        <v>2</v>
      </c>
      <c r="G46" s="21">
        <v>1</v>
      </c>
    </row>
    <row r="47" spans="2:7" x14ac:dyDescent="0.25">
      <c r="B47" s="21">
        <v>1</v>
      </c>
      <c r="C47" s="19" t="s">
        <v>178</v>
      </c>
      <c r="D47" s="16">
        <v>1108.3</v>
      </c>
      <c r="E47" s="20">
        <f t="shared" si="1"/>
        <v>1108.3</v>
      </c>
      <c r="F47" s="21"/>
      <c r="G47" s="21">
        <v>1</v>
      </c>
    </row>
    <row r="48" spans="2:7" x14ac:dyDescent="0.25">
      <c r="B48" s="21">
        <f>1+2</f>
        <v>3</v>
      </c>
      <c r="C48" s="19" t="s">
        <v>179</v>
      </c>
      <c r="D48" s="16">
        <v>1108.25</v>
      </c>
      <c r="E48" s="20">
        <f t="shared" si="1"/>
        <v>3324.75</v>
      </c>
      <c r="F48" s="21">
        <f>1+1</f>
        <v>2</v>
      </c>
      <c r="G48" s="21">
        <v>1</v>
      </c>
    </row>
    <row r="49" spans="2:7" x14ac:dyDescent="0.25">
      <c r="B49" s="21">
        <v>1</v>
      </c>
      <c r="C49" s="19" t="s">
        <v>180</v>
      </c>
      <c r="D49" s="16">
        <v>1108.25</v>
      </c>
      <c r="E49" s="20">
        <f t="shared" si="1"/>
        <v>1108.25</v>
      </c>
      <c r="F49" s="21">
        <v>1</v>
      </c>
      <c r="G49" s="21"/>
    </row>
    <row r="50" spans="2:7" x14ac:dyDescent="0.25">
      <c r="B50" s="21">
        <v>1</v>
      </c>
      <c r="C50" s="9" t="s">
        <v>22</v>
      </c>
      <c r="D50" s="31">
        <v>1108.25</v>
      </c>
      <c r="E50" s="20">
        <f t="shared" si="1"/>
        <v>1108.25</v>
      </c>
      <c r="F50" s="21"/>
      <c r="G50" s="21">
        <v>1</v>
      </c>
    </row>
    <row r="51" spans="2:7" x14ac:dyDescent="0.25">
      <c r="B51" s="21">
        <v>1</v>
      </c>
      <c r="C51" s="9" t="s">
        <v>181</v>
      </c>
      <c r="D51" s="16">
        <v>1108.25</v>
      </c>
      <c r="E51" s="20">
        <f t="shared" si="1"/>
        <v>1108.25</v>
      </c>
      <c r="F51" s="21"/>
      <c r="G51" s="21">
        <v>1</v>
      </c>
    </row>
    <row r="52" spans="2:7" x14ac:dyDescent="0.25">
      <c r="B52" s="21">
        <v>1</v>
      </c>
      <c r="C52" s="9" t="s">
        <v>182</v>
      </c>
      <c r="D52" s="31">
        <v>1108.25</v>
      </c>
      <c r="E52" s="20">
        <f t="shared" si="1"/>
        <v>1108.25</v>
      </c>
      <c r="F52" s="21"/>
      <c r="G52" s="21">
        <v>1</v>
      </c>
    </row>
    <row r="53" spans="2:7" x14ac:dyDescent="0.25">
      <c r="B53" s="21">
        <v>1</v>
      </c>
      <c r="C53" s="3" t="s">
        <v>157</v>
      </c>
      <c r="D53" s="16">
        <v>1108.25</v>
      </c>
      <c r="E53" s="20">
        <f>D53*B53</f>
        <v>1108.25</v>
      </c>
      <c r="F53" s="21">
        <v>1</v>
      </c>
      <c r="G53" s="21"/>
    </row>
    <row r="54" spans="2:7" x14ac:dyDescent="0.25">
      <c r="B54" s="21">
        <v>1</v>
      </c>
      <c r="C54" s="9" t="s">
        <v>183</v>
      </c>
      <c r="D54" s="31">
        <v>1108.25</v>
      </c>
      <c r="E54" s="20">
        <f t="shared" si="1"/>
        <v>1108.25</v>
      </c>
      <c r="F54" s="21"/>
      <c r="G54" s="21">
        <v>1</v>
      </c>
    </row>
    <row r="55" spans="2:7" x14ac:dyDescent="0.25">
      <c r="B55" s="21">
        <v>1</v>
      </c>
      <c r="C55" s="9" t="s">
        <v>184</v>
      </c>
      <c r="D55" s="31">
        <v>1108.25</v>
      </c>
      <c r="E55" s="20">
        <f t="shared" si="1"/>
        <v>1108.25</v>
      </c>
      <c r="F55" s="21"/>
      <c r="G55" s="21">
        <v>1</v>
      </c>
    </row>
    <row r="56" spans="2:7" x14ac:dyDescent="0.25">
      <c r="B56" s="21">
        <v>1</v>
      </c>
      <c r="C56" s="19" t="s">
        <v>173</v>
      </c>
      <c r="D56" s="16">
        <v>1108.25</v>
      </c>
      <c r="E56" s="20">
        <f t="shared" si="1"/>
        <v>1108.25</v>
      </c>
      <c r="F56" s="21"/>
      <c r="G56" s="21">
        <v>1</v>
      </c>
    </row>
    <row r="57" spans="2:7" x14ac:dyDescent="0.25">
      <c r="B57" s="21">
        <v>3</v>
      </c>
      <c r="C57" s="9" t="s">
        <v>185</v>
      </c>
      <c r="D57" s="16">
        <v>1108.25</v>
      </c>
      <c r="E57" s="20">
        <f t="shared" si="1"/>
        <v>3324.75</v>
      </c>
      <c r="F57" s="21">
        <v>1</v>
      </c>
      <c r="G57" s="21">
        <v>2</v>
      </c>
    </row>
    <row r="58" spans="2:7" x14ac:dyDescent="0.25">
      <c r="B58" s="21">
        <v>1</v>
      </c>
      <c r="C58" s="9" t="s">
        <v>47</v>
      </c>
      <c r="D58" s="16">
        <v>1089.32</v>
      </c>
      <c r="E58" s="20">
        <f>D58*B58</f>
        <v>1089.32</v>
      </c>
      <c r="F58" s="21">
        <v>1</v>
      </c>
      <c r="G58" s="21"/>
    </row>
    <row r="59" spans="2:7" x14ac:dyDescent="0.25">
      <c r="B59" s="21">
        <v>1</v>
      </c>
      <c r="C59" s="19" t="s">
        <v>48</v>
      </c>
      <c r="D59" s="16">
        <v>1089.32</v>
      </c>
      <c r="E59" s="20">
        <f>D59*B59</f>
        <v>1089.32</v>
      </c>
      <c r="F59" s="21"/>
      <c r="G59" s="21">
        <v>1</v>
      </c>
    </row>
    <row r="60" spans="2:7" x14ac:dyDescent="0.25">
      <c r="B60" s="21">
        <v>1</v>
      </c>
      <c r="C60" s="19" t="s">
        <v>26</v>
      </c>
      <c r="D60" s="16">
        <v>1089.32</v>
      </c>
      <c r="E60" s="20">
        <f>D60*B60</f>
        <v>1089.32</v>
      </c>
      <c r="F60" s="21">
        <v>1</v>
      </c>
      <c r="G60" s="21"/>
    </row>
    <row r="61" spans="2:7" x14ac:dyDescent="0.25">
      <c r="B61" s="23">
        <v>1</v>
      </c>
      <c r="C61" s="19" t="s">
        <v>160</v>
      </c>
      <c r="D61" s="16">
        <v>1077.6600000000001</v>
      </c>
      <c r="E61" s="20">
        <f>D61*B61</f>
        <v>1077.6600000000001</v>
      </c>
      <c r="F61" s="23"/>
      <c r="G61" s="23">
        <v>1</v>
      </c>
    </row>
    <row r="62" spans="2:7" x14ac:dyDescent="0.25">
      <c r="B62" s="23">
        <v>1</v>
      </c>
      <c r="C62" s="9" t="s">
        <v>131</v>
      </c>
      <c r="D62" s="16">
        <v>1060</v>
      </c>
      <c r="E62" s="20">
        <f t="shared" si="1"/>
        <v>1060</v>
      </c>
      <c r="F62" s="23">
        <v>1</v>
      </c>
      <c r="G62" s="23"/>
    </row>
    <row r="63" spans="2:7" x14ac:dyDescent="0.25">
      <c r="B63" s="23">
        <v>3</v>
      </c>
      <c r="C63" s="19" t="s">
        <v>188</v>
      </c>
      <c r="D63" s="16">
        <v>1009.32</v>
      </c>
      <c r="E63" s="20">
        <f>D63*B63</f>
        <v>3027.96</v>
      </c>
      <c r="F63" s="23">
        <v>2</v>
      </c>
      <c r="G63" s="23">
        <v>1</v>
      </c>
    </row>
    <row r="64" spans="2:7" x14ac:dyDescent="0.25">
      <c r="B64" s="23">
        <v>1</v>
      </c>
      <c r="C64" s="9" t="s">
        <v>133</v>
      </c>
      <c r="D64" s="16">
        <v>1007</v>
      </c>
      <c r="E64" s="20">
        <f t="shared" si="1"/>
        <v>1007</v>
      </c>
      <c r="F64" s="23">
        <v>1</v>
      </c>
      <c r="G64" s="23"/>
    </row>
    <row r="65" spans="2:7" s="13" customFormat="1" x14ac:dyDescent="0.25">
      <c r="B65" s="48"/>
      <c r="C65" s="49"/>
      <c r="D65" s="56"/>
      <c r="E65" s="57"/>
      <c r="F65" s="48"/>
      <c r="G65" s="48"/>
    </row>
    <row r="66" spans="2:7" s="13" customFormat="1" x14ac:dyDescent="0.25">
      <c r="B66" s="48"/>
      <c r="C66" s="49"/>
      <c r="D66" s="56"/>
      <c r="E66" s="57"/>
      <c r="F66" s="48"/>
      <c r="G66" s="48"/>
    </row>
    <row r="67" spans="2:7" s="13" customFormat="1" x14ac:dyDescent="0.25">
      <c r="B67" s="48"/>
      <c r="C67" s="49"/>
      <c r="D67" s="56"/>
      <c r="E67" s="57"/>
      <c r="F67" s="48"/>
      <c r="G67" s="48"/>
    </row>
    <row r="68" spans="2:7" s="13" customFormat="1" x14ac:dyDescent="0.25">
      <c r="B68" s="48"/>
      <c r="C68" s="49"/>
      <c r="D68" s="56"/>
      <c r="E68" s="57"/>
      <c r="F68" s="48"/>
      <c r="G68" s="48"/>
    </row>
    <row r="69" spans="2:7" s="13" customFormat="1" x14ac:dyDescent="0.25">
      <c r="B69" s="48"/>
      <c r="C69" s="49"/>
      <c r="D69" s="56"/>
      <c r="E69" s="57"/>
      <c r="F69" s="48"/>
      <c r="G69" s="48"/>
    </row>
    <row r="70" spans="2:7" s="13" customFormat="1" x14ac:dyDescent="0.25">
      <c r="B70" s="48"/>
      <c r="C70" s="49"/>
      <c r="D70" s="56"/>
      <c r="E70" s="57"/>
      <c r="F70" s="48"/>
      <c r="G70" s="48"/>
    </row>
    <row r="71" spans="2:7" x14ac:dyDescent="0.25">
      <c r="B71" s="23">
        <v>1</v>
      </c>
      <c r="C71" s="9" t="s">
        <v>23</v>
      </c>
      <c r="D71" s="16">
        <v>989.45</v>
      </c>
      <c r="E71" s="20">
        <f t="shared" si="1"/>
        <v>989.45</v>
      </c>
      <c r="F71" s="23">
        <v>1</v>
      </c>
      <c r="G71" s="23"/>
    </row>
    <row r="72" spans="2:7" x14ac:dyDescent="0.25">
      <c r="B72" s="23">
        <v>1</v>
      </c>
      <c r="C72" s="19" t="s">
        <v>240</v>
      </c>
      <c r="D72" s="16">
        <v>983</v>
      </c>
      <c r="E72" s="20">
        <f>D72*B72</f>
        <v>983</v>
      </c>
      <c r="F72" s="23">
        <v>1</v>
      </c>
      <c r="G72" s="23"/>
    </row>
    <row r="73" spans="2:7" x14ac:dyDescent="0.25">
      <c r="B73" s="23">
        <v>5</v>
      </c>
      <c r="C73" s="9" t="s">
        <v>206</v>
      </c>
      <c r="D73" s="16">
        <v>983</v>
      </c>
      <c r="E73" s="20">
        <f>D73*B73</f>
        <v>4915</v>
      </c>
      <c r="F73" s="23">
        <v>2</v>
      </c>
      <c r="G73" s="23">
        <v>3</v>
      </c>
    </row>
    <row r="74" spans="2:7" x14ac:dyDescent="0.25">
      <c r="B74" s="23">
        <v>1</v>
      </c>
      <c r="C74" s="19" t="s">
        <v>46</v>
      </c>
      <c r="D74" s="16">
        <v>945.32</v>
      </c>
      <c r="E74" s="20">
        <f t="shared" ref="E74" si="2">D74*B74</f>
        <v>945.32</v>
      </c>
      <c r="F74" s="23">
        <v>1</v>
      </c>
      <c r="G74" s="23"/>
    </row>
    <row r="75" spans="2:7" x14ac:dyDescent="0.25">
      <c r="B75" s="23">
        <v>1</v>
      </c>
      <c r="C75" s="19" t="s">
        <v>92</v>
      </c>
      <c r="D75" s="16">
        <v>945.32</v>
      </c>
      <c r="E75" s="20">
        <f t="shared" si="1"/>
        <v>945.32</v>
      </c>
      <c r="F75" s="23">
        <v>1</v>
      </c>
      <c r="G75" s="23"/>
    </row>
    <row r="76" spans="2:7" x14ac:dyDescent="0.25">
      <c r="B76" s="23">
        <v>1</v>
      </c>
      <c r="C76" s="19" t="s">
        <v>93</v>
      </c>
      <c r="D76" s="16">
        <v>945.32</v>
      </c>
      <c r="E76" s="20">
        <f t="shared" si="1"/>
        <v>945.32</v>
      </c>
      <c r="F76" s="23">
        <v>1</v>
      </c>
      <c r="G76" s="23"/>
    </row>
    <row r="77" spans="2:7" x14ac:dyDescent="0.25">
      <c r="B77" s="23">
        <v>1</v>
      </c>
      <c r="C77" s="19" t="s">
        <v>186</v>
      </c>
      <c r="D77" s="16">
        <v>945.32</v>
      </c>
      <c r="E77" s="20">
        <f t="shared" si="1"/>
        <v>945.32</v>
      </c>
      <c r="F77" s="23">
        <v>1</v>
      </c>
      <c r="G77" s="23"/>
    </row>
    <row r="78" spans="2:7" x14ac:dyDescent="0.25">
      <c r="B78" s="23">
        <v>1</v>
      </c>
      <c r="C78" s="9" t="s">
        <v>187</v>
      </c>
      <c r="D78" s="16">
        <v>945.32</v>
      </c>
      <c r="E78" s="20">
        <f t="shared" si="1"/>
        <v>945.32</v>
      </c>
      <c r="F78" s="23"/>
      <c r="G78" s="23">
        <v>1</v>
      </c>
    </row>
    <row r="79" spans="2:7" ht="24.75" x14ac:dyDescent="0.25">
      <c r="B79" s="21">
        <v>1</v>
      </c>
      <c r="C79" s="35" t="s">
        <v>154</v>
      </c>
      <c r="D79" s="16">
        <v>945.32</v>
      </c>
      <c r="E79" s="20">
        <f t="shared" si="1"/>
        <v>945.32</v>
      </c>
      <c r="F79" s="21">
        <v>1</v>
      </c>
      <c r="G79" s="21"/>
    </row>
    <row r="80" spans="2:7" x14ac:dyDescent="0.25">
      <c r="B80" s="21">
        <v>1</v>
      </c>
      <c r="C80" s="19" t="s">
        <v>94</v>
      </c>
      <c r="D80" s="16">
        <v>945.32</v>
      </c>
      <c r="E80" s="20">
        <f t="shared" si="1"/>
        <v>945.32</v>
      </c>
      <c r="F80" s="21">
        <v>1</v>
      </c>
      <c r="G80" s="21"/>
    </row>
    <row r="81" spans="2:7" x14ac:dyDescent="0.25">
      <c r="B81" s="21">
        <v>1</v>
      </c>
      <c r="C81" s="9" t="s">
        <v>96</v>
      </c>
      <c r="D81" s="16">
        <v>945.32</v>
      </c>
      <c r="E81" s="20">
        <f t="shared" si="1"/>
        <v>945.32</v>
      </c>
      <c r="F81" s="21">
        <v>1</v>
      </c>
      <c r="G81" s="21"/>
    </row>
    <row r="82" spans="2:7" x14ac:dyDescent="0.25">
      <c r="B82" s="21">
        <v>1</v>
      </c>
      <c r="C82" s="9" t="s">
        <v>63</v>
      </c>
      <c r="D82" s="16">
        <v>945.32</v>
      </c>
      <c r="E82" s="20">
        <f t="shared" si="1"/>
        <v>945.32</v>
      </c>
      <c r="F82" s="21"/>
      <c r="G82" s="21">
        <v>1</v>
      </c>
    </row>
    <row r="83" spans="2:7" x14ac:dyDescent="0.25">
      <c r="B83" s="21">
        <v>1</v>
      </c>
      <c r="C83" s="19" t="s">
        <v>104</v>
      </c>
      <c r="D83" s="16">
        <v>945.32</v>
      </c>
      <c r="E83" s="20">
        <f t="shared" si="1"/>
        <v>945.32</v>
      </c>
      <c r="F83" s="21"/>
      <c r="G83" s="21">
        <v>1</v>
      </c>
    </row>
    <row r="84" spans="2:7" x14ac:dyDescent="0.25">
      <c r="B84" s="21">
        <v>1</v>
      </c>
      <c r="C84" s="19" t="s">
        <v>105</v>
      </c>
      <c r="D84" s="16">
        <v>945.32</v>
      </c>
      <c r="E84" s="20">
        <f t="shared" si="1"/>
        <v>945.32</v>
      </c>
      <c r="F84" s="21">
        <v>1</v>
      </c>
      <c r="G84" s="21"/>
    </row>
    <row r="85" spans="2:7" x14ac:dyDescent="0.25">
      <c r="B85" s="21">
        <v>1</v>
      </c>
      <c r="C85" s="19" t="s">
        <v>106</v>
      </c>
      <c r="D85" s="16">
        <v>945.32</v>
      </c>
      <c r="E85" s="20">
        <f t="shared" si="1"/>
        <v>945.32</v>
      </c>
      <c r="F85" s="21"/>
      <c r="G85" s="21">
        <v>1</v>
      </c>
    </row>
    <row r="86" spans="2:7" x14ac:dyDescent="0.25">
      <c r="B86" s="21">
        <v>1</v>
      </c>
      <c r="C86" s="19" t="s">
        <v>66</v>
      </c>
      <c r="D86" s="16">
        <v>945.32</v>
      </c>
      <c r="E86" s="20">
        <f t="shared" si="1"/>
        <v>945.32</v>
      </c>
      <c r="F86" s="21">
        <v>1</v>
      </c>
      <c r="G86" s="21"/>
    </row>
    <row r="87" spans="2:7" x14ac:dyDescent="0.25">
      <c r="B87" s="21">
        <v>1</v>
      </c>
      <c r="C87" s="19" t="s">
        <v>109</v>
      </c>
      <c r="D87" s="16">
        <v>945.32</v>
      </c>
      <c r="E87" s="20">
        <f t="shared" ref="E87:E156" si="3">D87*B87</f>
        <v>945.32</v>
      </c>
      <c r="F87" s="21">
        <v>1</v>
      </c>
      <c r="G87" s="21"/>
    </row>
    <row r="88" spans="2:7" x14ac:dyDescent="0.25">
      <c r="B88" s="21">
        <v>3</v>
      </c>
      <c r="C88" s="19" t="s">
        <v>153</v>
      </c>
      <c r="D88" s="16">
        <v>945.32</v>
      </c>
      <c r="E88" s="20">
        <f>D88*B88</f>
        <v>2835.96</v>
      </c>
      <c r="F88" s="21">
        <v>3</v>
      </c>
      <c r="G88" s="21"/>
    </row>
    <row r="89" spans="2:7" x14ac:dyDescent="0.25">
      <c r="B89" s="21">
        <v>1</v>
      </c>
      <c r="C89" s="19" t="s">
        <v>115</v>
      </c>
      <c r="D89" s="16">
        <v>945.32</v>
      </c>
      <c r="E89" s="20">
        <f t="shared" si="3"/>
        <v>945.32</v>
      </c>
      <c r="F89" s="21"/>
      <c r="G89" s="21">
        <v>1</v>
      </c>
    </row>
    <row r="90" spans="2:7" x14ac:dyDescent="0.25">
      <c r="B90" s="21">
        <v>1</v>
      </c>
      <c r="C90" s="19" t="s">
        <v>116</v>
      </c>
      <c r="D90" s="16">
        <v>945.32</v>
      </c>
      <c r="E90" s="20">
        <f t="shared" si="3"/>
        <v>945.32</v>
      </c>
      <c r="F90" s="21">
        <v>1</v>
      </c>
      <c r="G90" s="21"/>
    </row>
    <row r="91" spans="2:7" x14ac:dyDescent="0.25">
      <c r="B91" s="21">
        <v>1</v>
      </c>
      <c r="C91" s="19" t="s">
        <v>117</v>
      </c>
      <c r="D91" s="16">
        <v>945.32</v>
      </c>
      <c r="E91" s="20">
        <f t="shared" si="3"/>
        <v>945.32</v>
      </c>
      <c r="F91" s="21">
        <v>1</v>
      </c>
      <c r="G91" s="21"/>
    </row>
    <row r="92" spans="2:7" x14ac:dyDescent="0.25">
      <c r="B92" s="21">
        <v>1</v>
      </c>
      <c r="C92" s="19" t="s">
        <v>118</v>
      </c>
      <c r="D92" s="16">
        <v>945.32</v>
      </c>
      <c r="E92" s="20">
        <f t="shared" si="3"/>
        <v>945.32</v>
      </c>
      <c r="F92" s="21"/>
      <c r="G92" s="21">
        <v>1</v>
      </c>
    </row>
    <row r="93" spans="2:7" x14ac:dyDescent="0.25">
      <c r="B93" s="21">
        <v>1</v>
      </c>
      <c r="C93" s="32" t="s">
        <v>81</v>
      </c>
      <c r="D93" s="16">
        <v>945.32</v>
      </c>
      <c r="E93" s="20">
        <f t="shared" si="3"/>
        <v>945.32</v>
      </c>
      <c r="F93" s="21">
        <v>1</v>
      </c>
      <c r="G93" s="21"/>
    </row>
    <row r="94" spans="2:7" x14ac:dyDescent="0.25">
      <c r="B94" s="21">
        <f>1+1</f>
        <v>2</v>
      </c>
      <c r="C94" s="19" t="s">
        <v>17</v>
      </c>
      <c r="D94" s="16">
        <v>945.32</v>
      </c>
      <c r="E94" s="20">
        <f t="shared" si="3"/>
        <v>1890.64</v>
      </c>
      <c r="F94" s="21">
        <f>1+1</f>
        <v>2</v>
      </c>
      <c r="G94" s="21"/>
    </row>
    <row r="95" spans="2:7" x14ac:dyDescent="0.25">
      <c r="B95" s="21">
        <v>1</v>
      </c>
      <c r="C95" s="19" t="s">
        <v>189</v>
      </c>
      <c r="D95" s="16">
        <v>945.32</v>
      </c>
      <c r="E95" s="20">
        <f t="shared" si="3"/>
        <v>945.32</v>
      </c>
      <c r="F95" s="21">
        <v>1</v>
      </c>
      <c r="G95" s="21"/>
    </row>
    <row r="96" spans="2:7" x14ac:dyDescent="0.25">
      <c r="B96" s="21">
        <f>2+1</f>
        <v>3</v>
      </c>
      <c r="C96" s="19" t="s">
        <v>149</v>
      </c>
      <c r="D96" s="16">
        <v>933.66</v>
      </c>
      <c r="E96" s="20">
        <f>D96*B96</f>
        <v>2800.98</v>
      </c>
      <c r="F96" s="21">
        <f>1+1</f>
        <v>2</v>
      </c>
      <c r="G96" s="21">
        <v>1</v>
      </c>
    </row>
    <row r="97" spans="2:7" x14ac:dyDescent="0.25">
      <c r="B97" s="21">
        <v>1</v>
      </c>
      <c r="C97" s="19" t="s">
        <v>249</v>
      </c>
      <c r="D97" s="16">
        <v>927.77</v>
      </c>
      <c r="E97" s="20">
        <f t="shared" ref="E97:E120" si="4">D97*B97</f>
        <v>927.77</v>
      </c>
      <c r="F97" s="21"/>
      <c r="G97" s="21">
        <v>1</v>
      </c>
    </row>
    <row r="98" spans="2:7" x14ac:dyDescent="0.25">
      <c r="B98" s="21">
        <v>6</v>
      </c>
      <c r="C98" s="19" t="s">
        <v>110</v>
      </c>
      <c r="D98" s="16">
        <v>927.77</v>
      </c>
      <c r="E98" s="20">
        <f>D98*B98</f>
        <v>5566.62</v>
      </c>
      <c r="F98" s="21">
        <v>1</v>
      </c>
      <c r="G98" s="21">
        <v>5</v>
      </c>
    </row>
    <row r="99" spans="2:7" x14ac:dyDescent="0.25">
      <c r="B99" s="21">
        <v>1</v>
      </c>
      <c r="C99" s="19" t="s">
        <v>175</v>
      </c>
      <c r="D99" s="16">
        <v>927.77</v>
      </c>
      <c r="E99" s="20">
        <f>D99*B99</f>
        <v>927.77</v>
      </c>
      <c r="F99" s="21"/>
      <c r="G99" s="21">
        <v>1</v>
      </c>
    </row>
    <row r="100" spans="2:7" x14ac:dyDescent="0.25">
      <c r="B100" s="21">
        <v>1</v>
      </c>
      <c r="C100" s="19" t="s">
        <v>176</v>
      </c>
      <c r="D100" s="16">
        <v>927.77</v>
      </c>
      <c r="E100" s="20">
        <f>D100*B100</f>
        <v>927.77</v>
      </c>
      <c r="F100" s="21">
        <v>1</v>
      </c>
      <c r="G100" s="21"/>
    </row>
    <row r="101" spans="2:7" x14ac:dyDescent="0.25">
      <c r="B101" s="21">
        <v>1</v>
      </c>
      <c r="C101" s="19" t="s">
        <v>145</v>
      </c>
      <c r="D101" s="16">
        <v>923.98</v>
      </c>
      <c r="E101" s="20">
        <f t="shared" si="4"/>
        <v>923.98</v>
      </c>
      <c r="F101" s="21">
        <v>1</v>
      </c>
      <c r="G101" s="21"/>
    </row>
    <row r="102" spans="2:7" x14ac:dyDescent="0.25">
      <c r="B102" s="21">
        <v>4</v>
      </c>
      <c r="C102" s="19" t="s">
        <v>192</v>
      </c>
      <c r="D102" s="16">
        <v>933.66</v>
      </c>
      <c r="E102" s="20">
        <f t="shared" si="4"/>
        <v>3734.64</v>
      </c>
      <c r="F102" s="21">
        <v>3</v>
      </c>
      <c r="G102" s="21">
        <v>1</v>
      </c>
    </row>
    <row r="103" spans="2:7" x14ac:dyDescent="0.25">
      <c r="B103" s="21">
        <v>1</v>
      </c>
      <c r="C103" s="9" t="s">
        <v>194</v>
      </c>
      <c r="D103" s="16">
        <v>928.18</v>
      </c>
      <c r="E103" s="20">
        <f t="shared" si="4"/>
        <v>928.18</v>
      </c>
      <c r="F103" s="21">
        <v>1</v>
      </c>
      <c r="G103" s="21"/>
    </row>
    <row r="104" spans="2:7" x14ac:dyDescent="0.25">
      <c r="B104" s="21">
        <f>20+12+1</f>
        <v>33</v>
      </c>
      <c r="C104" s="9" t="s">
        <v>143</v>
      </c>
      <c r="D104" s="16">
        <v>919</v>
      </c>
      <c r="E104" s="20">
        <f t="shared" si="4"/>
        <v>30327</v>
      </c>
      <c r="F104" s="21">
        <f>5+5</f>
        <v>10</v>
      </c>
      <c r="G104" s="21">
        <f>15+7+1</f>
        <v>23</v>
      </c>
    </row>
    <row r="105" spans="2:7" x14ac:dyDescent="0.25">
      <c r="B105" s="21">
        <f>20+10</f>
        <v>30</v>
      </c>
      <c r="C105" s="9" t="s">
        <v>203</v>
      </c>
      <c r="D105" s="31">
        <v>919</v>
      </c>
      <c r="E105" s="20">
        <f t="shared" si="4"/>
        <v>27570</v>
      </c>
      <c r="F105" s="21">
        <f>6+3</f>
        <v>9</v>
      </c>
      <c r="G105" s="21">
        <f>14+7</f>
        <v>21</v>
      </c>
    </row>
    <row r="106" spans="2:7" x14ac:dyDescent="0.25">
      <c r="B106" s="21">
        <f>122+61</f>
        <v>183</v>
      </c>
      <c r="C106" s="19" t="s">
        <v>70</v>
      </c>
      <c r="D106" s="31">
        <v>919</v>
      </c>
      <c r="E106" s="20">
        <f t="shared" si="4"/>
        <v>168177</v>
      </c>
      <c r="F106" s="21">
        <f>58+32</f>
        <v>90</v>
      </c>
      <c r="G106" s="21">
        <f>64+29</f>
        <v>93</v>
      </c>
    </row>
    <row r="107" spans="2:7" x14ac:dyDescent="0.25">
      <c r="B107" s="24">
        <f>55+23+6</f>
        <v>84</v>
      </c>
      <c r="C107" s="19" t="s">
        <v>204</v>
      </c>
      <c r="D107" s="16">
        <v>919</v>
      </c>
      <c r="E107" s="20">
        <f t="shared" si="4"/>
        <v>77196</v>
      </c>
      <c r="F107" s="21">
        <f>25+10</f>
        <v>35</v>
      </c>
      <c r="G107" s="21">
        <f>30+13+6</f>
        <v>49</v>
      </c>
    </row>
    <row r="108" spans="2:7" x14ac:dyDescent="0.25">
      <c r="B108" s="24">
        <v>10</v>
      </c>
      <c r="C108" s="19" t="s">
        <v>205</v>
      </c>
      <c r="D108" s="16">
        <v>919</v>
      </c>
      <c r="E108" s="20">
        <f t="shared" si="4"/>
        <v>9190</v>
      </c>
      <c r="F108" s="21">
        <v>4</v>
      </c>
      <c r="G108" s="21">
        <v>6</v>
      </c>
    </row>
    <row r="109" spans="2:7" x14ac:dyDescent="0.25">
      <c r="B109" s="21">
        <f>6+11</f>
        <v>17</v>
      </c>
      <c r="C109" s="9" t="s">
        <v>79</v>
      </c>
      <c r="D109" s="16">
        <v>919</v>
      </c>
      <c r="E109" s="20">
        <f t="shared" si="4"/>
        <v>15623</v>
      </c>
      <c r="F109" s="21">
        <f>4+9</f>
        <v>13</v>
      </c>
      <c r="G109" s="21">
        <f>2+2</f>
        <v>4</v>
      </c>
    </row>
    <row r="110" spans="2:7" x14ac:dyDescent="0.25">
      <c r="B110" s="21">
        <f>6+22</f>
        <v>28</v>
      </c>
      <c r="C110" s="9" t="s">
        <v>80</v>
      </c>
      <c r="D110" s="31">
        <v>919</v>
      </c>
      <c r="E110" s="20">
        <f t="shared" si="4"/>
        <v>25732</v>
      </c>
      <c r="F110" s="24">
        <f>3+11</f>
        <v>14</v>
      </c>
      <c r="G110" s="24">
        <f>3+11</f>
        <v>14</v>
      </c>
    </row>
    <row r="111" spans="2:7" x14ac:dyDescent="0.25">
      <c r="B111" s="21">
        <v>3</v>
      </c>
      <c r="C111" s="9" t="s">
        <v>86</v>
      </c>
      <c r="D111" s="31">
        <v>919</v>
      </c>
      <c r="E111" s="20">
        <f t="shared" si="4"/>
        <v>2757</v>
      </c>
      <c r="F111" s="21">
        <v>2</v>
      </c>
      <c r="G111" s="21">
        <v>1</v>
      </c>
    </row>
    <row r="112" spans="2:7" x14ac:dyDescent="0.25">
      <c r="B112" s="21">
        <v>1</v>
      </c>
      <c r="C112" s="9" t="s">
        <v>202</v>
      </c>
      <c r="D112" s="16">
        <v>919</v>
      </c>
      <c r="E112" s="20">
        <f t="shared" si="4"/>
        <v>919</v>
      </c>
      <c r="F112" s="21"/>
      <c r="G112" s="21">
        <v>1</v>
      </c>
    </row>
    <row r="113" spans="2:7" x14ac:dyDescent="0.25">
      <c r="B113" s="21">
        <v>1</v>
      </c>
      <c r="C113" s="9" t="s">
        <v>215</v>
      </c>
      <c r="D113" s="16">
        <v>902.95</v>
      </c>
      <c r="E113" s="20">
        <f t="shared" si="4"/>
        <v>902.95</v>
      </c>
      <c r="F113" s="21">
        <v>1</v>
      </c>
      <c r="G113" s="21"/>
    </row>
    <row r="114" spans="2:7" x14ac:dyDescent="0.25">
      <c r="B114" s="22">
        <f>13+3</f>
        <v>16</v>
      </c>
      <c r="C114" s="19" t="s">
        <v>212</v>
      </c>
      <c r="D114" s="16">
        <v>902.95</v>
      </c>
      <c r="E114" s="20">
        <f t="shared" si="4"/>
        <v>14447.2</v>
      </c>
      <c r="F114" s="21">
        <f>9+1</f>
        <v>10</v>
      </c>
      <c r="G114" s="21">
        <f>4+2</f>
        <v>6</v>
      </c>
    </row>
    <row r="115" spans="2:7" x14ac:dyDescent="0.25">
      <c r="B115" s="22">
        <v>1</v>
      </c>
      <c r="C115" s="9" t="s">
        <v>251</v>
      </c>
      <c r="D115" s="31">
        <v>902.95</v>
      </c>
      <c r="E115" s="20">
        <f t="shared" si="4"/>
        <v>902.95</v>
      </c>
      <c r="F115" s="21">
        <v>1</v>
      </c>
      <c r="G115" s="21"/>
    </row>
    <row r="116" spans="2:7" x14ac:dyDescent="0.25">
      <c r="B116" s="22">
        <v>8</v>
      </c>
      <c r="C116" s="19" t="s">
        <v>122</v>
      </c>
      <c r="D116" s="16">
        <v>902.95</v>
      </c>
      <c r="E116" s="20">
        <f t="shared" si="4"/>
        <v>7223.6</v>
      </c>
      <c r="F116" s="21">
        <v>3</v>
      </c>
      <c r="G116" s="21">
        <v>5</v>
      </c>
    </row>
    <row r="117" spans="2:7" x14ac:dyDescent="0.25">
      <c r="B117" s="22">
        <v>3</v>
      </c>
      <c r="C117" s="19" t="s">
        <v>79</v>
      </c>
      <c r="D117" s="16">
        <v>902.95</v>
      </c>
      <c r="E117" s="20">
        <f t="shared" si="4"/>
        <v>2708.8500000000004</v>
      </c>
      <c r="F117" s="21">
        <v>2</v>
      </c>
      <c r="G117" s="21">
        <v>1</v>
      </c>
    </row>
    <row r="118" spans="2:7" x14ac:dyDescent="0.25">
      <c r="B118" s="22">
        <v>3</v>
      </c>
      <c r="C118" s="19" t="s">
        <v>80</v>
      </c>
      <c r="D118" s="16">
        <v>902.95</v>
      </c>
      <c r="E118" s="20">
        <f t="shared" si="4"/>
        <v>2708.8500000000004</v>
      </c>
      <c r="F118" s="21">
        <v>3</v>
      </c>
      <c r="G118" s="21"/>
    </row>
    <row r="119" spans="2:7" x14ac:dyDescent="0.25">
      <c r="B119" s="22">
        <v>1</v>
      </c>
      <c r="C119" s="32" t="s">
        <v>217</v>
      </c>
      <c r="D119" s="16">
        <v>887.74</v>
      </c>
      <c r="E119" s="20">
        <f t="shared" si="4"/>
        <v>887.74</v>
      </c>
      <c r="F119" s="21"/>
      <c r="G119" s="21">
        <v>1</v>
      </c>
    </row>
    <row r="120" spans="2:7" x14ac:dyDescent="0.25">
      <c r="B120" s="22">
        <f>1+2</f>
        <v>3</v>
      </c>
      <c r="C120" s="9" t="s">
        <v>215</v>
      </c>
      <c r="D120" s="16">
        <v>883.39</v>
      </c>
      <c r="E120" s="20">
        <f t="shared" si="4"/>
        <v>2650.17</v>
      </c>
      <c r="F120" s="21">
        <f>1+1</f>
        <v>2</v>
      </c>
      <c r="G120" s="21">
        <v>1</v>
      </c>
    </row>
    <row r="121" spans="2:7" x14ac:dyDescent="0.25">
      <c r="B121" s="21">
        <v>1</v>
      </c>
      <c r="C121" s="19" t="s">
        <v>190</v>
      </c>
      <c r="D121" s="16">
        <v>869.32</v>
      </c>
      <c r="E121" s="20">
        <f t="shared" si="3"/>
        <v>869.32</v>
      </c>
      <c r="F121" s="21"/>
      <c r="G121" s="21">
        <v>1</v>
      </c>
    </row>
    <row r="122" spans="2:7" x14ac:dyDescent="0.25">
      <c r="B122" s="21">
        <v>1</v>
      </c>
      <c r="C122" s="19" t="s">
        <v>191</v>
      </c>
      <c r="D122" s="16">
        <v>869.32</v>
      </c>
      <c r="E122" s="20">
        <f t="shared" si="3"/>
        <v>869.32</v>
      </c>
      <c r="F122" s="21"/>
      <c r="G122" s="21">
        <v>1</v>
      </c>
    </row>
    <row r="123" spans="2:7" x14ac:dyDescent="0.25">
      <c r="B123" s="21">
        <v>1</v>
      </c>
      <c r="C123" s="19" t="s">
        <v>236</v>
      </c>
      <c r="D123" s="16">
        <v>851.77</v>
      </c>
      <c r="E123" s="20">
        <f>D123*B123</f>
        <v>851.77</v>
      </c>
      <c r="F123" s="21"/>
      <c r="G123" s="21">
        <v>1</v>
      </c>
    </row>
    <row r="124" spans="2:7" x14ac:dyDescent="0.25">
      <c r="B124" s="43">
        <v>1</v>
      </c>
      <c r="C124" s="9" t="s">
        <v>257</v>
      </c>
      <c r="D124" s="16">
        <v>846.85</v>
      </c>
      <c r="E124" s="44">
        <f>D124*B124</f>
        <v>846.85</v>
      </c>
      <c r="F124" s="1">
        <v>1</v>
      </c>
      <c r="G124" s="1"/>
    </row>
    <row r="125" spans="2:7" x14ac:dyDescent="0.25">
      <c r="B125" s="21">
        <f>5+3+2</f>
        <v>10</v>
      </c>
      <c r="C125" s="9" t="s">
        <v>240</v>
      </c>
      <c r="D125" s="16">
        <v>843</v>
      </c>
      <c r="E125" s="20">
        <f t="shared" si="3"/>
        <v>8430</v>
      </c>
      <c r="F125" s="21">
        <f>2+1</f>
        <v>3</v>
      </c>
      <c r="G125" s="21">
        <f>3+2+2</f>
        <v>7</v>
      </c>
    </row>
    <row r="126" spans="2:7" x14ac:dyDescent="0.25">
      <c r="B126" s="21">
        <v>4</v>
      </c>
      <c r="C126" s="9" t="s">
        <v>49</v>
      </c>
      <c r="D126" s="16">
        <v>843</v>
      </c>
      <c r="E126" s="20">
        <f t="shared" si="3"/>
        <v>3372</v>
      </c>
      <c r="F126" s="21">
        <v>1</v>
      </c>
      <c r="G126" s="21">
        <v>3</v>
      </c>
    </row>
    <row r="127" spans="2:7" x14ac:dyDescent="0.25">
      <c r="B127" s="21">
        <v>3</v>
      </c>
      <c r="C127" s="9" t="s">
        <v>195</v>
      </c>
      <c r="D127" s="16">
        <v>843</v>
      </c>
      <c r="E127" s="20">
        <f t="shared" si="3"/>
        <v>2529</v>
      </c>
      <c r="F127" s="21">
        <v>1</v>
      </c>
      <c r="G127" s="21">
        <v>2</v>
      </c>
    </row>
    <row r="128" spans="2:7" x14ac:dyDescent="0.25">
      <c r="B128" s="21">
        <v>1</v>
      </c>
      <c r="C128" s="9" t="s">
        <v>134</v>
      </c>
      <c r="D128" s="16">
        <v>843</v>
      </c>
      <c r="E128" s="20">
        <f t="shared" si="3"/>
        <v>843</v>
      </c>
      <c r="F128" s="21">
        <v>1</v>
      </c>
      <c r="G128" s="21"/>
    </row>
    <row r="129" spans="2:7" x14ac:dyDescent="0.25">
      <c r="B129" s="21">
        <v>5</v>
      </c>
      <c r="C129" s="9" t="s">
        <v>196</v>
      </c>
      <c r="D129" s="11">
        <v>843</v>
      </c>
      <c r="E129" s="20">
        <f t="shared" si="3"/>
        <v>4215</v>
      </c>
      <c r="F129" s="21">
        <v>1</v>
      </c>
      <c r="G129" s="21">
        <v>4</v>
      </c>
    </row>
    <row r="130" spans="2:7" x14ac:dyDescent="0.25">
      <c r="B130" s="21">
        <v>6</v>
      </c>
      <c r="C130" s="9" t="s">
        <v>31</v>
      </c>
      <c r="D130" s="16">
        <v>843</v>
      </c>
      <c r="E130" s="20">
        <f t="shared" si="3"/>
        <v>5058</v>
      </c>
      <c r="F130" s="21">
        <v>4</v>
      </c>
      <c r="G130" s="21">
        <v>2</v>
      </c>
    </row>
    <row r="131" spans="2:7" x14ac:dyDescent="0.25">
      <c r="B131" s="21">
        <v>1</v>
      </c>
      <c r="C131" s="9" t="s">
        <v>197</v>
      </c>
      <c r="D131" s="16">
        <v>843</v>
      </c>
      <c r="E131" s="20">
        <f t="shared" si="3"/>
        <v>843</v>
      </c>
      <c r="F131" s="21"/>
      <c r="G131" s="21">
        <v>1</v>
      </c>
    </row>
    <row r="132" spans="2:7" x14ac:dyDescent="0.25">
      <c r="B132" s="23">
        <v>2</v>
      </c>
      <c r="C132" s="9" t="s">
        <v>52</v>
      </c>
      <c r="D132" s="16">
        <v>843</v>
      </c>
      <c r="E132" s="20">
        <f t="shared" si="3"/>
        <v>1686</v>
      </c>
      <c r="F132" s="23"/>
      <c r="G132" s="23">
        <v>2</v>
      </c>
    </row>
    <row r="133" spans="2:7" x14ac:dyDescent="0.25">
      <c r="B133" s="23">
        <v>8</v>
      </c>
      <c r="C133" s="9" t="s">
        <v>89</v>
      </c>
      <c r="D133" s="16">
        <v>843</v>
      </c>
      <c r="E133" s="20">
        <f t="shared" si="3"/>
        <v>6744</v>
      </c>
      <c r="F133" s="23">
        <v>4</v>
      </c>
      <c r="G133" s="23">
        <v>4</v>
      </c>
    </row>
    <row r="134" spans="2:7" x14ac:dyDescent="0.25">
      <c r="B134" s="23">
        <v>1</v>
      </c>
      <c r="C134" s="9" t="s">
        <v>97</v>
      </c>
      <c r="D134" s="16">
        <v>843</v>
      </c>
      <c r="E134" s="20">
        <f t="shared" si="3"/>
        <v>843</v>
      </c>
      <c r="F134" s="23"/>
      <c r="G134" s="23">
        <v>1</v>
      </c>
    </row>
    <row r="135" spans="2:7" s="13" customFormat="1" x14ac:dyDescent="0.25">
      <c r="B135" s="48"/>
      <c r="C135" s="49"/>
      <c r="D135" s="56"/>
      <c r="E135" s="57"/>
      <c r="F135" s="48"/>
      <c r="G135" s="48"/>
    </row>
    <row r="136" spans="2:7" s="13" customFormat="1" x14ac:dyDescent="0.25">
      <c r="B136" s="48"/>
      <c r="C136" s="49"/>
      <c r="D136" s="56"/>
      <c r="E136" s="57"/>
      <c r="F136" s="48"/>
      <c r="G136" s="48"/>
    </row>
    <row r="137" spans="2:7" s="13" customFormat="1" x14ac:dyDescent="0.25">
      <c r="B137" s="48"/>
      <c r="C137" s="49"/>
      <c r="D137" s="56"/>
      <c r="E137" s="57"/>
      <c r="F137" s="48"/>
      <c r="G137" s="48"/>
    </row>
    <row r="138" spans="2:7" s="13" customFormat="1" x14ac:dyDescent="0.25">
      <c r="B138" s="48"/>
      <c r="C138" s="49"/>
      <c r="D138" s="56"/>
      <c r="E138" s="57"/>
      <c r="F138" s="48"/>
      <c r="G138" s="48"/>
    </row>
    <row r="139" spans="2:7" s="13" customFormat="1" x14ac:dyDescent="0.25">
      <c r="B139" s="48"/>
      <c r="C139" s="49"/>
      <c r="D139" s="56"/>
      <c r="E139" s="57"/>
      <c r="F139" s="48"/>
      <c r="G139" s="48"/>
    </row>
    <row r="140" spans="2:7" x14ac:dyDescent="0.25">
      <c r="B140" s="23">
        <v>2</v>
      </c>
      <c r="C140" s="9" t="s">
        <v>98</v>
      </c>
      <c r="D140" s="16">
        <v>843</v>
      </c>
      <c r="E140" s="20">
        <f t="shared" si="3"/>
        <v>1686</v>
      </c>
      <c r="F140" s="23">
        <v>1</v>
      </c>
      <c r="G140" s="23">
        <v>1</v>
      </c>
    </row>
    <row r="141" spans="2:7" x14ac:dyDescent="0.25">
      <c r="B141" s="23">
        <v>4</v>
      </c>
      <c r="C141" s="19" t="s">
        <v>99</v>
      </c>
      <c r="D141" s="16">
        <v>843</v>
      </c>
      <c r="E141" s="20">
        <f t="shared" si="3"/>
        <v>3372</v>
      </c>
      <c r="F141" s="23">
        <v>2</v>
      </c>
      <c r="G141" s="23">
        <v>2</v>
      </c>
    </row>
    <row r="142" spans="2:7" x14ac:dyDescent="0.25">
      <c r="B142" s="23">
        <v>2</v>
      </c>
      <c r="C142" s="19" t="s">
        <v>200</v>
      </c>
      <c r="D142" s="16">
        <v>843</v>
      </c>
      <c r="E142" s="20">
        <f t="shared" si="3"/>
        <v>1686</v>
      </c>
      <c r="F142" s="23">
        <v>1</v>
      </c>
      <c r="G142" s="23">
        <v>1</v>
      </c>
    </row>
    <row r="143" spans="2:7" x14ac:dyDescent="0.25">
      <c r="B143" s="23">
        <v>1</v>
      </c>
      <c r="C143" s="9" t="s">
        <v>162</v>
      </c>
      <c r="D143" s="16">
        <v>843</v>
      </c>
      <c r="E143" s="20">
        <f t="shared" si="3"/>
        <v>843</v>
      </c>
      <c r="F143" s="23">
        <v>1</v>
      </c>
      <c r="G143" s="23"/>
    </row>
    <row r="144" spans="2:7" x14ac:dyDescent="0.25">
      <c r="B144" s="22">
        <v>1</v>
      </c>
      <c r="C144" s="9" t="s">
        <v>250</v>
      </c>
      <c r="D144" s="16">
        <v>843</v>
      </c>
      <c r="E144" s="20">
        <f t="shared" si="3"/>
        <v>843</v>
      </c>
      <c r="F144" s="23">
        <v>1</v>
      </c>
      <c r="G144" s="23"/>
    </row>
    <row r="145" spans="2:7" x14ac:dyDescent="0.25">
      <c r="B145" s="22">
        <v>4</v>
      </c>
      <c r="C145" s="9" t="s">
        <v>201</v>
      </c>
      <c r="D145" s="16">
        <v>843</v>
      </c>
      <c r="E145" s="20">
        <f t="shared" si="3"/>
        <v>3372</v>
      </c>
      <c r="F145" s="23">
        <v>3</v>
      </c>
      <c r="G145" s="23">
        <v>1</v>
      </c>
    </row>
    <row r="146" spans="2:7" x14ac:dyDescent="0.25">
      <c r="B146" s="22">
        <v>1</v>
      </c>
      <c r="C146" s="9" t="s">
        <v>206</v>
      </c>
      <c r="D146" s="16">
        <v>843</v>
      </c>
      <c r="E146" s="20">
        <f>D146*B146</f>
        <v>843</v>
      </c>
      <c r="F146" s="23">
        <v>1</v>
      </c>
      <c r="G146" s="23"/>
    </row>
    <row r="147" spans="2:7" x14ac:dyDescent="0.25">
      <c r="B147" s="22">
        <v>1</v>
      </c>
      <c r="C147" s="9" t="s">
        <v>213</v>
      </c>
      <c r="D147" s="16">
        <v>826.95</v>
      </c>
      <c r="E147" s="20">
        <f t="shared" ref="E147:E154" si="5">D147*B147</f>
        <v>826.95</v>
      </c>
      <c r="F147" s="21">
        <v>1</v>
      </c>
      <c r="G147" s="21"/>
    </row>
    <row r="148" spans="2:7" x14ac:dyDescent="0.25">
      <c r="B148" s="22">
        <v>4</v>
      </c>
      <c r="C148" s="19" t="s">
        <v>215</v>
      </c>
      <c r="D148" s="16">
        <v>826.95</v>
      </c>
      <c r="E148" s="20">
        <f t="shared" si="5"/>
        <v>3307.8</v>
      </c>
      <c r="F148" s="21">
        <v>3</v>
      </c>
      <c r="G148" s="21">
        <v>1</v>
      </c>
    </row>
    <row r="149" spans="2:7" x14ac:dyDescent="0.25">
      <c r="B149" s="22">
        <f>1+1</f>
        <v>2</v>
      </c>
      <c r="C149" s="19" t="s">
        <v>214</v>
      </c>
      <c r="D149" s="16">
        <v>823.96</v>
      </c>
      <c r="E149" s="20">
        <f t="shared" si="5"/>
        <v>1647.92</v>
      </c>
      <c r="F149" s="21">
        <f>1+1</f>
        <v>2</v>
      </c>
      <c r="G149" s="21"/>
    </row>
    <row r="150" spans="2:7" x14ac:dyDescent="0.25">
      <c r="B150" s="22">
        <v>1</v>
      </c>
      <c r="C150" s="32" t="s">
        <v>216</v>
      </c>
      <c r="D150" s="16">
        <v>823.96</v>
      </c>
      <c r="E150" s="20">
        <f t="shared" si="5"/>
        <v>823.96</v>
      </c>
      <c r="F150" s="21"/>
      <c r="G150" s="21">
        <v>1</v>
      </c>
    </row>
    <row r="151" spans="2:7" x14ac:dyDescent="0.25">
      <c r="B151" s="22">
        <f>1+1</f>
        <v>2</v>
      </c>
      <c r="C151" s="19" t="s">
        <v>217</v>
      </c>
      <c r="D151" s="16">
        <v>811.74</v>
      </c>
      <c r="E151" s="20">
        <f>D151*B151</f>
        <v>1623.48</v>
      </c>
      <c r="F151" s="21"/>
      <c r="G151" s="21">
        <f>1+1</f>
        <v>2</v>
      </c>
    </row>
    <row r="152" spans="2:7" x14ac:dyDescent="0.25">
      <c r="B152" s="22">
        <v>1</v>
      </c>
      <c r="C152" s="19" t="s">
        <v>219</v>
      </c>
      <c r="D152" s="16">
        <v>809.98</v>
      </c>
      <c r="E152" s="20">
        <f t="shared" si="5"/>
        <v>809.98</v>
      </c>
      <c r="F152" s="21"/>
      <c r="G152" s="21">
        <v>1</v>
      </c>
    </row>
    <row r="153" spans="2:7" x14ac:dyDescent="0.25">
      <c r="B153" s="22">
        <f>1+1+1</f>
        <v>3</v>
      </c>
      <c r="C153" s="19" t="s">
        <v>215</v>
      </c>
      <c r="D153" s="16">
        <v>807.39</v>
      </c>
      <c r="E153" s="20">
        <f t="shared" si="5"/>
        <v>2422.17</v>
      </c>
      <c r="F153" s="21">
        <f>1+1+1</f>
        <v>3</v>
      </c>
      <c r="G153" s="21"/>
    </row>
    <row r="154" spans="2:7" x14ac:dyDescent="0.25">
      <c r="B154" s="22">
        <v>1</v>
      </c>
      <c r="C154" s="19" t="s">
        <v>220</v>
      </c>
      <c r="D154" s="16">
        <v>807.39</v>
      </c>
      <c r="E154" s="20">
        <f t="shared" si="5"/>
        <v>807.39</v>
      </c>
      <c r="F154" s="21"/>
      <c r="G154" s="21">
        <v>1</v>
      </c>
    </row>
    <row r="155" spans="2:7" x14ac:dyDescent="0.25">
      <c r="B155" s="21">
        <v>1</v>
      </c>
      <c r="C155" s="19" t="s">
        <v>149</v>
      </c>
      <c r="D155" s="16">
        <v>788.29</v>
      </c>
      <c r="E155" s="20">
        <f>D155*B155</f>
        <v>788.29</v>
      </c>
      <c r="F155" s="21">
        <v>1</v>
      </c>
      <c r="G155" s="21"/>
    </row>
    <row r="156" spans="2:7" x14ac:dyDescent="0.25">
      <c r="B156" s="22">
        <v>1</v>
      </c>
      <c r="C156" s="9" t="s">
        <v>198</v>
      </c>
      <c r="D156" s="16">
        <v>783</v>
      </c>
      <c r="E156" s="20">
        <f t="shared" si="3"/>
        <v>783</v>
      </c>
      <c r="F156" s="21">
        <v>1</v>
      </c>
      <c r="G156" s="21"/>
    </row>
    <row r="157" spans="2:7" x14ac:dyDescent="0.25">
      <c r="B157" s="22">
        <v>1</v>
      </c>
      <c r="C157" s="19" t="s">
        <v>237</v>
      </c>
      <c r="D157" s="16">
        <v>726.95</v>
      </c>
      <c r="E157" s="20">
        <f>D157*B157</f>
        <v>726.95</v>
      </c>
      <c r="F157" s="21">
        <v>1</v>
      </c>
      <c r="G157" s="21"/>
    </row>
    <row r="158" spans="2:7" x14ac:dyDescent="0.25">
      <c r="B158" s="22">
        <v>1</v>
      </c>
      <c r="C158" s="9" t="s">
        <v>208</v>
      </c>
      <c r="D158" s="16">
        <v>723</v>
      </c>
      <c r="E158" s="20">
        <f t="shared" ref="E158:E195" si="6">D158*B158</f>
        <v>723</v>
      </c>
      <c r="F158" s="21">
        <v>1</v>
      </c>
      <c r="G158" s="21"/>
    </row>
    <row r="159" spans="2:7" x14ac:dyDescent="0.25">
      <c r="B159" s="22">
        <v>1</v>
      </c>
      <c r="C159" s="9" t="s">
        <v>199</v>
      </c>
      <c r="D159" s="16">
        <v>715.02</v>
      </c>
      <c r="E159" s="20">
        <f t="shared" si="6"/>
        <v>715.02</v>
      </c>
      <c r="F159" s="21">
        <v>1</v>
      </c>
      <c r="G159" s="21"/>
    </row>
    <row r="160" spans="2:7" x14ac:dyDescent="0.25">
      <c r="B160" s="22">
        <v>1</v>
      </c>
      <c r="C160" s="9" t="s">
        <v>28</v>
      </c>
      <c r="D160" s="31">
        <v>715.02</v>
      </c>
      <c r="E160" s="20">
        <f t="shared" si="6"/>
        <v>715.02</v>
      </c>
      <c r="F160" s="21"/>
      <c r="G160" s="21">
        <v>1</v>
      </c>
    </row>
    <row r="161" spans="2:7" x14ac:dyDescent="0.25">
      <c r="B161" s="22">
        <f>2+1+1+1+1+1</f>
        <v>7</v>
      </c>
      <c r="C161" s="19" t="s">
        <v>207</v>
      </c>
      <c r="D161" s="16">
        <v>715.02</v>
      </c>
      <c r="E161" s="20">
        <f t="shared" si="6"/>
        <v>5005.1399999999994</v>
      </c>
      <c r="F161" s="21"/>
      <c r="G161" s="21">
        <f>2+1+1+1+1+1</f>
        <v>7</v>
      </c>
    </row>
    <row r="162" spans="2:7" x14ac:dyDescent="0.25">
      <c r="B162" s="22">
        <v>14</v>
      </c>
      <c r="C162" s="19" t="s">
        <v>78</v>
      </c>
      <c r="D162" s="16">
        <v>715.02</v>
      </c>
      <c r="E162" s="20">
        <f t="shared" si="6"/>
        <v>10010.279999999999</v>
      </c>
      <c r="F162" s="21">
        <v>4</v>
      </c>
      <c r="G162" s="21">
        <v>10</v>
      </c>
    </row>
    <row r="163" spans="2:7" x14ac:dyDescent="0.25">
      <c r="B163" s="22">
        <v>1</v>
      </c>
      <c r="C163" s="19" t="s">
        <v>204</v>
      </c>
      <c r="D163" s="16">
        <v>715.02</v>
      </c>
      <c r="E163" s="20">
        <f t="shared" si="6"/>
        <v>715.02</v>
      </c>
      <c r="F163" s="21"/>
      <c r="G163" s="21">
        <v>1</v>
      </c>
    </row>
    <row r="164" spans="2:7" x14ac:dyDescent="0.25">
      <c r="B164" s="22">
        <v>15</v>
      </c>
      <c r="C164" s="19" t="s">
        <v>258</v>
      </c>
      <c r="D164" s="16">
        <v>715.02</v>
      </c>
      <c r="E164" s="20">
        <f t="shared" si="6"/>
        <v>10725.3</v>
      </c>
      <c r="F164" s="21">
        <v>3</v>
      </c>
      <c r="G164" s="21">
        <v>12</v>
      </c>
    </row>
    <row r="165" spans="2:7" x14ac:dyDescent="0.25">
      <c r="B165" s="22">
        <v>5</v>
      </c>
      <c r="C165" s="19" t="s">
        <v>259</v>
      </c>
      <c r="D165" s="16">
        <v>715.02</v>
      </c>
      <c r="E165" s="20">
        <f t="shared" si="6"/>
        <v>3575.1</v>
      </c>
      <c r="F165" s="21"/>
      <c r="G165" s="21">
        <v>5</v>
      </c>
    </row>
    <row r="166" spans="2:7" x14ac:dyDescent="0.25">
      <c r="B166" s="22">
        <v>2</v>
      </c>
      <c r="C166" s="19" t="s">
        <v>260</v>
      </c>
      <c r="D166" s="16">
        <v>715.02</v>
      </c>
      <c r="E166" s="20">
        <f t="shared" si="6"/>
        <v>1430.04</v>
      </c>
      <c r="F166" s="21">
        <v>1</v>
      </c>
      <c r="G166" s="21">
        <v>1</v>
      </c>
    </row>
    <row r="167" spans="2:7" x14ac:dyDescent="0.25">
      <c r="B167" s="22">
        <v>1</v>
      </c>
      <c r="C167" s="19" t="s">
        <v>209</v>
      </c>
      <c r="D167" s="16">
        <v>708.22</v>
      </c>
      <c r="E167" s="20">
        <f t="shared" si="6"/>
        <v>708.22</v>
      </c>
      <c r="F167" s="21">
        <v>1</v>
      </c>
      <c r="G167" s="21"/>
    </row>
    <row r="168" spans="2:7" x14ac:dyDescent="0.25">
      <c r="B168" s="22">
        <v>10</v>
      </c>
      <c r="C168" s="19" t="s">
        <v>210</v>
      </c>
      <c r="D168" s="16">
        <v>706.95</v>
      </c>
      <c r="E168" s="20">
        <f t="shared" si="6"/>
        <v>7069.5</v>
      </c>
      <c r="F168" s="21">
        <v>10</v>
      </c>
      <c r="G168" s="21"/>
    </row>
    <row r="169" spans="2:7" x14ac:dyDescent="0.25">
      <c r="B169" s="22">
        <v>1</v>
      </c>
      <c r="C169" s="19" t="s">
        <v>211</v>
      </c>
      <c r="D169" s="16">
        <v>698.97</v>
      </c>
      <c r="E169" s="20">
        <f t="shared" si="6"/>
        <v>698.97</v>
      </c>
      <c r="F169" s="21"/>
      <c r="G169" s="21">
        <v>1</v>
      </c>
    </row>
    <row r="170" spans="2:7" x14ac:dyDescent="0.25">
      <c r="B170" s="22">
        <f>1+3</f>
        <v>4</v>
      </c>
      <c r="C170" s="19" t="s">
        <v>211</v>
      </c>
      <c r="D170" s="16">
        <v>698.96</v>
      </c>
      <c r="E170" s="20">
        <f t="shared" si="6"/>
        <v>2795.84</v>
      </c>
      <c r="F170" s="21"/>
      <c r="G170" s="21">
        <f>1+3</f>
        <v>4</v>
      </c>
    </row>
    <row r="171" spans="2:7" x14ac:dyDescent="0.25">
      <c r="B171" s="22">
        <f>5+5+1+1+1</f>
        <v>13</v>
      </c>
      <c r="C171" s="19" t="s">
        <v>216</v>
      </c>
      <c r="D171" s="16">
        <v>695.98</v>
      </c>
      <c r="E171" s="20">
        <f t="shared" si="6"/>
        <v>9047.74</v>
      </c>
      <c r="F171" s="21"/>
      <c r="G171" s="21">
        <f>5+5+1+1+1</f>
        <v>13</v>
      </c>
    </row>
    <row r="172" spans="2:7" x14ac:dyDescent="0.25">
      <c r="B172" s="22">
        <v>1</v>
      </c>
      <c r="C172" s="9" t="s">
        <v>57</v>
      </c>
      <c r="D172" s="16">
        <v>696</v>
      </c>
      <c r="E172" s="20">
        <f t="shared" si="6"/>
        <v>696</v>
      </c>
      <c r="F172" s="21"/>
      <c r="G172" s="21">
        <v>1</v>
      </c>
    </row>
    <row r="173" spans="2:7" x14ac:dyDescent="0.25">
      <c r="B173" s="22">
        <v>1</v>
      </c>
      <c r="C173" s="9" t="s">
        <v>215</v>
      </c>
      <c r="D173" s="16">
        <v>690.95</v>
      </c>
      <c r="E173" s="20">
        <f t="shared" si="6"/>
        <v>690.95</v>
      </c>
      <c r="F173" s="21"/>
      <c r="G173" s="21">
        <v>1</v>
      </c>
    </row>
    <row r="174" spans="2:7" x14ac:dyDescent="0.25">
      <c r="B174" s="22">
        <f>1+1</f>
        <v>2</v>
      </c>
      <c r="C174" s="19" t="s">
        <v>214</v>
      </c>
      <c r="D174" s="16">
        <v>690.95</v>
      </c>
      <c r="E174" s="20">
        <f t="shared" si="6"/>
        <v>1381.9</v>
      </c>
      <c r="F174" s="21">
        <f>1+1</f>
        <v>2</v>
      </c>
      <c r="G174" s="21"/>
    </row>
    <row r="175" spans="2:7" x14ac:dyDescent="0.25">
      <c r="B175" s="22">
        <v>1</v>
      </c>
      <c r="C175" s="19" t="s">
        <v>218</v>
      </c>
      <c r="D175" s="16">
        <v>691.74</v>
      </c>
      <c r="E175" s="20">
        <f t="shared" si="6"/>
        <v>691.74</v>
      </c>
      <c r="F175" s="21">
        <v>1</v>
      </c>
      <c r="G175" s="21"/>
    </row>
    <row r="176" spans="2:7" x14ac:dyDescent="0.25">
      <c r="B176" s="22">
        <f>1+1+1</f>
        <v>3</v>
      </c>
      <c r="C176" s="19" t="s">
        <v>214</v>
      </c>
      <c r="D176" s="16">
        <v>687.96</v>
      </c>
      <c r="E176" s="20">
        <f>D176*B176</f>
        <v>2063.88</v>
      </c>
      <c r="F176" s="21">
        <f>1+1</f>
        <v>2</v>
      </c>
      <c r="G176" s="21">
        <v>1</v>
      </c>
    </row>
    <row r="177" spans="2:7" x14ac:dyDescent="0.25">
      <c r="B177" s="22">
        <f>1+1</f>
        <v>2</v>
      </c>
      <c r="C177" s="19" t="s">
        <v>214</v>
      </c>
      <c r="D177" s="16">
        <v>687.39</v>
      </c>
      <c r="E177" s="20">
        <f>D177*B177</f>
        <v>1374.78</v>
      </c>
      <c r="F177" s="21">
        <f>1+1</f>
        <v>2</v>
      </c>
      <c r="G177" s="21"/>
    </row>
    <row r="178" spans="2:7" x14ac:dyDescent="0.25">
      <c r="B178" s="22">
        <f>1+1+2+2</f>
        <v>6</v>
      </c>
      <c r="C178" s="19" t="s">
        <v>217</v>
      </c>
      <c r="D178" s="16">
        <v>683.76</v>
      </c>
      <c r="E178" s="20">
        <f t="shared" si="6"/>
        <v>4102.5599999999995</v>
      </c>
      <c r="F178" s="21"/>
      <c r="G178" s="21">
        <f>1+1+2+2</f>
        <v>6</v>
      </c>
    </row>
    <row r="179" spans="2:7" x14ac:dyDescent="0.25">
      <c r="B179" s="22">
        <v>1</v>
      </c>
      <c r="C179" s="9" t="s">
        <v>57</v>
      </c>
      <c r="D179" s="16">
        <v>679.39</v>
      </c>
      <c r="E179" s="20">
        <f t="shared" si="6"/>
        <v>679.39</v>
      </c>
      <c r="F179" s="21"/>
      <c r="G179" s="21">
        <v>1</v>
      </c>
    </row>
    <row r="180" spans="2:7" x14ac:dyDescent="0.25">
      <c r="B180" s="22">
        <v>1</v>
      </c>
      <c r="C180" s="9" t="s">
        <v>57</v>
      </c>
      <c r="D180" s="16">
        <v>679.4</v>
      </c>
      <c r="E180" s="20">
        <f t="shared" si="6"/>
        <v>679.4</v>
      </c>
      <c r="F180" s="21">
        <v>1</v>
      </c>
      <c r="G180" s="21"/>
    </row>
    <row r="181" spans="2:7" x14ac:dyDescent="0.25">
      <c r="B181" s="22">
        <f>2+7+1+1+5</f>
        <v>16</v>
      </c>
      <c r="C181" s="9" t="s">
        <v>220</v>
      </c>
      <c r="D181" s="16">
        <v>679.4</v>
      </c>
      <c r="E181" s="20">
        <f t="shared" si="6"/>
        <v>10870.4</v>
      </c>
      <c r="F181" s="21"/>
      <c r="G181" s="21">
        <f>2+7+1+1+5</f>
        <v>16</v>
      </c>
    </row>
    <row r="182" spans="2:7" x14ac:dyDescent="0.25">
      <c r="B182" s="22">
        <v>1</v>
      </c>
      <c r="C182" s="9" t="s">
        <v>222</v>
      </c>
      <c r="D182" s="16">
        <v>679.4</v>
      </c>
      <c r="E182" s="20">
        <f t="shared" si="6"/>
        <v>679.4</v>
      </c>
      <c r="F182" s="21">
        <v>1</v>
      </c>
      <c r="G182" s="21"/>
    </row>
    <row r="183" spans="2:7" x14ac:dyDescent="0.25">
      <c r="B183" s="22">
        <v>1</v>
      </c>
      <c r="C183" s="32" t="s">
        <v>219</v>
      </c>
      <c r="D183" s="16">
        <v>673.98</v>
      </c>
      <c r="E183" s="20">
        <f t="shared" si="6"/>
        <v>673.98</v>
      </c>
      <c r="F183" s="21">
        <v>1</v>
      </c>
      <c r="G183" s="21"/>
    </row>
    <row r="184" spans="2:7" x14ac:dyDescent="0.25">
      <c r="B184" s="22">
        <f>1+1+2</f>
        <v>4</v>
      </c>
      <c r="C184" s="9" t="s">
        <v>57</v>
      </c>
      <c r="D184" s="16">
        <v>671.39</v>
      </c>
      <c r="E184" s="20">
        <f t="shared" si="6"/>
        <v>2685.56</v>
      </c>
      <c r="F184" s="21">
        <f>1+2</f>
        <v>3</v>
      </c>
      <c r="G184" s="21">
        <v>1</v>
      </c>
    </row>
    <row r="185" spans="2:7" x14ac:dyDescent="0.25">
      <c r="B185" s="22">
        <v>1</v>
      </c>
      <c r="C185" s="19" t="s">
        <v>215</v>
      </c>
      <c r="D185" s="16">
        <v>671.39</v>
      </c>
      <c r="E185" s="20">
        <f t="shared" si="6"/>
        <v>671.39</v>
      </c>
      <c r="F185" s="21">
        <v>1</v>
      </c>
      <c r="G185" s="21"/>
    </row>
    <row r="186" spans="2:7" x14ac:dyDescent="0.25">
      <c r="B186" s="22">
        <v>1</v>
      </c>
      <c r="C186" s="19" t="s">
        <v>123</v>
      </c>
      <c r="D186" s="16">
        <v>666.95</v>
      </c>
      <c r="E186" s="20">
        <f t="shared" si="6"/>
        <v>666.95</v>
      </c>
      <c r="F186" s="21">
        <v>1</v>
      </c>
      <c r="G186" s="21"/>
    </row>
    <row r="187" spans="2:7" x14ac:dyDescent="0.25">
      <c r="B187" s="22">
        <v>1</v>
      </c>
      <c r="C187" s="9" t="s">
        <v>225</v>
      </c>
      <c r="D187" s="16">
        <v>658.94</v>
      </c>
      <c r="E187" s="20">
        <f>D187*B187</f>
        <v>658.94</v>
      </c>
      <c r="F187" s="21"/>
      <c r="G187" s="21">
        <v>1</v>
      </c>
    </row>
    <row r="188" spans="2:7" x14ac:dyDescent="0.25">
      <c r="B188" s="22">
        <v>1</v>
      </c>
      <c r="C188" s="9" t="s">
        <v>219</v>
      </c>
      <c r="D188" s="16">
        <v>611.58000000000004</v>
      </c>
      <c r="E188" s="20">
        <f t="shared" si="6"/>
        <v>611.58000000000004</v>
      </c>
      <c r="F188" s="21">
        <v>1</v>
      </c>
      <c r="G188" s="21"/>
    </row>
    <row r="189" spans="2:7" x14ac:dyDescent="0.25">
      <c r="B189" s="22">
        <f>1+1+1</f>
        <v>3</v>
      </c>
      <c r="C189" s="19" t="s">
        <v>215</v>
      </c>
      <c r="D189" s="16">
        <v>608.99</v>
      </c>
      <c r="E189" s="20">
        <f t="shared" si="6"/>
        <v>1826.97</v>
      </c>
      <c r="F189" s="21">
        <f>1+1+1</f>
        <v>3</v>
      </c>
      <c r="G189" s="21"/>
    </row>
    <row r="190" spans="2:7" x14ac:dyDescent="0.25">
      <c r="B190" s="21">
        <v>1</v>
      </c>
      <c r="C190" s="9" t="s">
        <v>221</v>
      </c>
      <c r="D190" s="16">
        <v>608.99</v>
      </c>
      <c r="E190" s="20">
        <f t="shared" si="6"/>
        <v>608.99</v>
      </c>
      <c r="F190" s="21">
        <v>1</v>
      </c>
      <c r="G190" s="21"/>
    </row>
    <row r="191" spans="2:7" x14ac:dyDescent="0.25">
      <c r="B191" s="21">
        <v>2</v>
      </c>
      <c r="C191" s="19" t="s">
        <v>223</v>
      </c>
      <c r="D191" s="16">
        <v>599.72</v>
      </c>
      <c r="E191" s="20">
        <f>D191*B191</f>
        <v>1199.44</v>
      </c>
      <c r="F191" s="21">
        <v>2</v>
      </c>
      <c r="G191" s="21"/>
    </row>
    <row r="192" spans="2:7" x14ac:dyDescent="0.25">
      <c r="B192" s="21">
        <f>2+24+7</f>
        <v>33</v>
      </c>
      <c r="C192" s="19" t="s">
        <v>224</v>
      </c>
      <c r="D192" s="16">
        <v>596.54</v>
      </c>
      <c r="E192" s="20">
        <f t="shared" si="6"/>
        <v>19685.82</v>
      </c>
      <c r="F192" s="21">
        <f>2+24+7</f>
        <v>33</v>
      </c>
      <c r="G192" s="21"/>
    </row>
    <row r="193" spans="2:7" x14ac:dyDescent="0.25">
      <c r="B193" s="21">
        <f>40+2</f>
        <v>42</v>
      </c>
      <c r="C193" s="19" t="s">
        <v>84</v>
      </c>
      <c r="D193" s="16">
        <v>596.54</v>
      </c>
      <c r="E193" s="20">
        <f t="shared" si="6"/>
        <v>25054.68</v>
      </c>
      <c r="F193" s="21">
        <f>40+2</f>
        <v>42</v>
      </c>
      <c r="G193" s="21"/>
    </row>
    <row r="194" spans="2:7" x14ac:dyDescent="0.25">
      <c r="B194" s="21">
        <f>1+1+5+2+1+2</f>
        <v>12</v>
      </c>
      <c r="C194" s="19" t="s">
        <v>33</v>
      </c>
      <c r="D194" s="16">
        <v>596.54</v>
      </c>
      <c r="E194" s="20">
        <f t="shared" si="6"/>
        <v>7158.48</v>
      </c>
      <c r="F194" s="21">
        <f>1+1+5+2+1+2</f>
        <v>12</v>
      </c>
      <c r="G194" s="21"/>
    </row>
    <row r="195" spans="2:7" x14ac:dyDescent="0.25">
      <c r="B195" s="21">
        <f>3+11+19+7</f>
        <v>40</v>
      </c>
      <c r="C195" s="19" t="s">
        <v>228</v>
      </c>
      <c r="D195" s="31">
        <v>590.32000000000005</v>
      </c>
      <c r="E195" s="20">
        <f t="shared" si="6"/>
        <v>23612.800000000003</v>
      </c>
      <c r="F195" s="21">
        <f>1+10+16+6</f>
        <v>33</v>
      </c>
      <c r="G195" s="21">
        <f>2+1+3+1</f>
        <v>7</v>
      </c>
    </row>
    <row r="196" spans="2:7" ht="15.75" x14ac:dyDescent="0.25">
      <c r="B196" s="12">
        <f>SUM(B14:B195)</f>
        <v>865</v>
      </c>
      <c r="C196" s="1"/>
      <c r="D196" s="1"/>
      <c r="E196" s="18">
        <f>SUM(E14:E195)</f>
        <v>750563.99000000022</v>
      </c>
      <c r="F196" s="14">
        <f>SUM(F14:F195)</f>
        <v>460</v>
      </c>
      <c r="G196" s="14">
        <f>SUM(G14:G195)</f>
        <v>405</v>
      </c>
    </row>
  </sheetData>
  <mergeCells count="2">
    <mergeCell ref="F3:G3"/>
    <mergeCell ref="F12:G12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AÑO 2009</vt:lpstr>
      <vt:lpstr>AÑO 2010</vt:lpstr>
      <vt:lpstr>AÑO 2011</vt:lpstr>
      <vt:lpstr>AÑO 2012</vt:lpstr>
      <vt:lpstr>AÑO 2013</vt:lpstr>
      <vt:lpstr>AÑO 2014</vt:lpstr>
      <vt:lpstr>AÑO 2015</vt:lpstr>
      <vt:lpstr>AÑO 2016</vt:lpstr>
      <vt:lpstr>AÑO 2017</vt:lpstr>
      <vt:lpstr>AÑO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2018-10-15T14:27:32Z</dcterms:modified>
</cp:coreProperties>
</file>