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noe.zelaya\Desktop\"/>
    </mc:Choice>
  </mc:AlternateContent>
  <xr:revisionPtr revIDLastSave="0" documentId="13_ncr:1_{931F1B7A-25BB-4065-82B6-32AA40EB8DDE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ESTADISTICA_TIPOS DE SERVICIO" sheetId="1" r:id="rId1"/>
    <sheet name="TRAFICO POSTAL" sheetId="2" r:id="rId2"/>
  </sheets>
  <definedNames>
    <definedName name="_xlnm.Print_Area" localSheetId="0">'ESTADISTICA_TIPOS DE SERVICIO'!$A$1:$J$24</definedName>
    <definedName name="_xlnm.Print_Area" localSheetId="1">'TRAFICO POSTAL'!$A$1:$X$30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2" l="1"/>
  <c r="D26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W25" i="2" s="1"/>
  <c r="D25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F26" i="2" s="1"/>
  <c r="E24" i="2"/>
  <c r="D24" i="2"/>
  <c r="W24" i="2" s="1"/>
  <c r="V23" i="2"/>
  <c r="V26" i="2" s="1"/>
  <c r="U23" i="2"/>
  <c r="U26" i="2" s="1"/>
  <c r="T23" i="2"/>
  <c r="T26" i="2" s="1"/>
  <c r="S23" i="2"/>
  <c r="S26" i="2" s="1"/>
  <c r="R23" i="2"/>
  <c r="R26" i="2" s="1"/>
  <c r="Q23" i="2"/>
  <c r="Q26" i="2" s="1"/>
  <c r="P23" i="2"/>
  <c r="P26" i="2" s="1"/>
  <c r="O23" i="2"/>
  <c r="O26" i="2" s="1"/>
  <c r="N23" i="2"/>
  <c r="N26" i="2" s="1"/>
  <c r="M23" i="2"/>
  <c r="M26" i="2" s="1"/>
  <c r="L23" i="2"/>
  <c r="L26" i="2" s="1"/>
  <c r="K23" i="2"/>
  <c r="K26" i="2" s="1"/>
  <c r="J23" i="2"/>
  <c r="J26" i="2" s="1"/>
  <c r="I23" i="2"/>
  <c r="I26" i="2" s="1"/>
  <c r="H23" i="2"/>
  <c r="H26" i="2" s="1"/>
  <c r="G23" i="2"/>
  <c r="F23" i="2"/>
  <c r="E23" i="2"/>
  <c r="E26" i="2" s="1"/>
  <c r="D23" i="2"/>
  <c r="W23" i="2" s="1"/>
  <c r="W26" i="2" s="1"/>
  <c r="T15" i="2"/>
  <c r="O15" i="2"/>
  <c r="L15" i="2"/>
  <c r="E15" i="2"/>
  <c r="D15" i="2"/>
  <c r="I15" i="2" s="1"/>
  <c r="T14" i="2"/>
  <c r="S14" i="2"/>
  <c r="R14" i="2"/>
  <c r="Q14" i="2"/>
  <c r="Q15" i="2" s="1"/>
  <c r="O14" i="2"/>
  <c r="N14" i="2"/>
  <c r="P14" i="2" s="1"/>
  <c r="F8" i="1" s="1"/>
  <c r="L14" i="2"/>
  <c r="K14" i="2"/>
  <c r="J14" i="2"/>
  <c r="M14" i="2" s="1"/>
  <c r="E8" i="1" s="1"/>
  <c r="H14" i="2"/>
  <c r="G14" i="2"/>
  <c r="F14" i="2"/>
  <c r="E14" i="2"/>
  <c r="D14" i="2"/>
  <c r="I14" i="2" s="1"/>
  <c r="T13" i="2"/>
  <c r="S13" i="2"/>
  <c r="R13" i="2"/>
  <c r="Q13" i="2"/>
  <c r="P13" i="2"/>
  <c r="O13" i="2"/>
  <c r="N13" i="2"/>
  <c r="L13" i="2"/>
  <c r="K13" i="2"/>
  <c r="J13" i="2"/>
  <c r="M13" i="2" s="1"/>
  <c r="E7" i="1" s="1"/>
  <c r="H13" i="2"/>
  <c r="G13" i="2"/>
  <c r="F13" i="2"/>
  <c r="E13" i="2"/>
  <c r="D13" i="2"/>
  <c r="I13" i="2" s="1"/>
  <c r="T12" i="2"/>
  <c r="S12" i="2"/>
  <c r="S15" i="2" s="1"/>
  <c r="R12" i="2"/>
  <c r="R15" i="2" s="1"/>
  <c r="Q12" i="2"/>
  <c r="O12" i="2"/>
  <c r="N12" i="2"/>
  <c r="N15" i="2" s="1"/>
  <c r="L12" i="2"/>
  <c r="K12" i="2"/>
  <c r="K15" i="2" s="1"/>
  <c r="J12" i="2"/>
  <c r="J15" i="2" s="1"/>
  <c r="H12" i="2"/>
  <c r="H15" i="2" s="1"/>
  <c r="G12" i="2"/>
  <c r="G15" i="2" s="1"/>
  <c r="F12" i="2"/>
  <c r="F15" i="2" s="1"/>
  <c r="E12" i="2"/>
  <c r="D12" i="2"/>
  <c r="I12" i="2" s="1"/>
  <c r="H18" i="1"/>
  <c r="G18" i="1"/>
  <c r="F18" i="1"/>
  <c r="E18" i="1"/>
  <c r="D18" i="1"/>
  <c r="H17" i="1"/>
  <c r="G17" i="1"/>
  <c r="F17" i="1"/>
  <c r="E17" i="1"/>
  <c r="D17" i="1"/>
  <c r="H16" i="1"/>
  <c r="H19" i="1" s="1"/>
  <c r="G16" i="1"/>
  <c r="G19" i="1" s="1"/>
  <c r="F16" i="1"/>
  <c r="F19" i="1" s="1"/>
  <c r="E16" i="1"/>
  <c r="E19" i="1" s="1"/>
  <c r="D16" i="1"/>
  <c r="D19" i="1" s="1"/>
  <c r="J8" i="1"/>
  <c r="I8" i="1"/>
  <c r="H8" i="1"/>
  <c r="G8" i="1"/>
  <c r="J7" i="1"/>
  <c r="I7" i="1"/>
  <c r="H7" i="1"/>
  <c r="G7" i="1"/>
  <c r="F7" i="1"/>
  <c r="J6" i="1"/>
  <c r="J9" i="1" s="1"/>
  <c r="I6" i="1"/>
  <c r="I9" i="1" s="1"/>
  <c r="H6" i="1"/>
  <c r="H9" i="1" s="1"/>
  <c r="G6" i="1"/>
  <c r="G9" i="1" s="1"/>
  <c r="U14" i="2" l="1"/>
  <c r="D8" i="1"/>
  <c r="U13" i="2"/>
  <c r="D7" i="1"/>
  <c r="D6" i="1"/>
  <c r="D9" i="1" s="1"/>
  <c r="M12" i="2"/>
  <c r="P12" i="2"/>
  <c r="M15" i="2" l="1"/>
  <c r="E6" i="1"/>
  <c r="E9" i="1" s="1"/>
  <c r="P15" i="2"/>
  <c r="F6" i="1"/>
  <c r="F9" i="1" s="1"/>
  <c r="U12" i="2"/>
  <c r="U15" i="2" s="1"/>
</calcChain>
</file>

<file path=xl/sharedStrings.xml><?xml version="1.0" encoding="utf-8"?>
<sst xmlns="http://schemas.openxmlformats.org/spreadsheetml/2006/main" count="89" uniqueCount="40">
  <si>
    <t>ESTADÍSTICA DE LOS SERVICIOS PRESTADOS DE JULIO A SEPTIEMBRE DE 2024</t>
  </si>
  <si>
    <t>GERENCIA DE OPERACIONES POSTALES</t>
  </si>
  <si>
    <t>TIPOS DE SERVICIOS/ FASE ADMISIÓN</t>
  </si>
  <si>
    <t>MES</t>
  </si>
  <si>
    <t>LC/AO</t>
  </si>
  <si>
    <t>EMS</t>
  </si>
  <si>
    <t>EMPRESARIAL</t>
  </si>
  <si>
    <t>DOCUEXPRESS</t>
  </si>
  <si>
    <t>POSTALITO PACK</t>
  </si>
  <si>
    <t>DOCUPOST</t>
  </si>
  <si>
    <t>GESTIÓN DE DOCUMENTOS MUNICIPALES E IGLESIAS</t>
  </si>
  <si>
    <t xml:space="preserve">JULIO </t>
  </si>
  <si>
    <t>AGOSTO</t>
  </si>
  <si>
    <t>SEPTIEMBRE</t>
  </si>
  <si>
    <t xml:space="preserve">TOTAL </t>
  </si>
  <si>
    <t>TIPOS DE SERVICIOS/ FASE DISTRIBUCIÓN</t>
  </si>
  <si>
    <t>CERTIFICADO</t>
  </si>
  <si>
    <t>CP</t>
  </si>
  <si>
    <t>DIRECCIÓN GENERAL DE CORREOS</t>
  </si>
  <si>
    <t>TRAFICO POSTAL DE JULIO A SEPTIEMBRE  DE 2024</t>
  </si>
  <si>
    <t>MESES</t>
  </si>
  <si>
    <t>FASE DE ADMISIÓN</t>
  </si>
  <si>
    <t>TOTAL ADMISIÓN</t>
  </si>
  <si>
    <t>TOTAL</t>
  </si>
  <si>
    <t>DOCUEXPRES</t>
  </si>
  <si>
    <t>POST PACK</t>
  </si>
  <si>
    <t>GESTIÓN DE DOCUMENTOS</t>
  </si>
  <si>
    <t>LOCAL</t>
  </si>
  <si>
    <t>NAC</t>
  </si>
  <si>
    <t>INTER</t>
  </si>
  <si>
    <t>JULIO</t>
  </si>
  <si>
    <t>FASE DE DISTRIBUCIÓN</t>
  </si>
  <si>
    <t>TOTAL DE DISTRIBUCIÓN</t>
  </si>
  <si>
    <t>CORREO TRADICIONAL LC</t>
  </si>
  <si>
    <t>CORREO TRADICIONAL AO</t>
  </si>
  <si>
    <t>CARTEROS</t>
  </si>
  <si>
    <t>APARTADOS</t>
  </si>
  <si>
    <t>OFICINA</t>
  </si>
  <si>
    <t>OFICINAS</t>
  </si>
  <si>
    <t>DISTRIBUCIÓN DOMICILIAR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</si>
</sst>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7" x14ac:knownFonts="1">
    <font>
      <sz val="11"/>
      <color rgb="FF000000"/>
      <name val="Calibri"/>
      <charset val="1"/>
    </font>
    <font>
      <sz val="10"/>
      <name val="Arial"/>
      <charset val="1"/>
    </font>
    <font>
      <b/>
      <sz val="15"/>
      <color rgb="FF000000"/>
      <name val="Calibri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sz val="10"/>
      <color rgb="FF000000"/>
      <name val="Calibri"/>
      <charset val="1"/>
    </font>
    <font>
      <b/>
      <sz val="18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D7D7"/>
        <bgColor rgb="FFD6DCE5"/>
      </patternFill>
    </fill>
    <fill>
      <patternFill patternType="solid">
        <fgColor rgb="FFFF6D6D"/>
        <bgColor rgb="FFFF6600"/>
      </patternFill>
    </fill>
    <fill>
      <patternFill patternType="solid">
        <fgColor rgb="FFD6DCE5"/>
        <bgColor rgb="FFFFD7D7"/>
      </patternFill>
    </fill>
    <fill>
      <patternFill patternType="solid">
        <fgColor rgb="FF729FCF"/>
        <bgColor rgb="FF969696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41">
    <xf numFmtId="0" fontId="0" fillId="0" borderId="0" xfId="0"/>
    <xf numFmtId="164" fontId="15" fillId="4" borderId="1" xfId="2" applyNumberFormat="1" applyFont="1" applyFill="1" applyBorder="1" applyAlignment="1">
      <alignment horizontal="center" vertical="center" wrapText="1"/>
    </xf>
    <xf numFmtId="164" fontId="13" fillId="4" borderId="1" xfId="2" applyNumberFormat="1" applyFont="1" applyFill="1" applyBorder="1" applyAlignment="1">
      <alignment horizontal="center"/>
    </xf>
    <xf numFmtId="164" fontId="13" fillId="4" borderId="1" xfId="2" applyNumberFormat="1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/>
    </xf>
    <xf numFmtId="164" fontId="13" fillId="4" borderId="1" xfId="2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5" fillId="0" borderId="2" xfId="3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16" fillId="0" borderId="0" xfId="2"/>
    <xf numFmtId="0" fontId="9" fillId="0" borderId="0" xfId="1" applyFont="1" applyAlignment="1">
      <alignment horizontal="center"/>
    </xf>
    <xf numFmtId="0" fontId="10" fillId="0" borderId="0" xfId="2" applyFont="1"/>
    <xf numFmtId="0" fontId="6" fillId="0" borderId="0" xfId="2" applyFont="1"/>
    <xf numFmtId="0" fontId="8" fillId="2" borderId="1" xfId="3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3" fontId="11" fillId="0" borderId="2" xfId="3" applyNumberFormat="1" applyFont="1" applyBorder="1" applyAlignment="1" applyProtection="1">
      <alignment horizontal="center" vertical="center"/>
      <protection locked="0"/>
    </xf>
    <xf numFmtId="0" fontId="8" fillId="3" borderId="1" xfId="4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/>
    <xf numFmtId="3" fontId="10" fillId="6" borderId="1" xfId="2" applyNumberFormat="1" applyFont="1" applyFill="1" applyBorder="1" applyAlignment="1" applyProtection="1">
      <alignment horizontal="center" vertical="center"/>
      <protection locked="0"/>
    </xf>
    <xf numFmtId="164" fontId="9" fillId="5" borderId="1" xfId="4" applyNumberFormat="1" applyFont="1" applyFill="1" applyBorder="1" applyAlignment="1">
      <alignment horizontal="center" vertical="center"/>
    </xf>
    <xf numFmtId="3" fontId="9" fillId="5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/>
  </cellXfs>
  <cellStyles count="5">
    <cellStyle name="Normal" xfId="0" builtinId="0"/>
    <cellStyle name="Normal 13" xfId="1" xr:uid="{00000000-0005-0000-0000-000006000000}"/>
    <cellStyle name="Normal 2" xfId="2" xr:uid="{00000000-0005-0000-0000-000007000000}"/>
    <cellStyle name="Normal 2 2" xfId="3" xr:uid="{00000000-0005-0000-0000-000008000000}"/>
    <cellStyle name="Normal_Hoja1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9"/>
  <sheetViews>
    <sheetView zoomScaleNormal="100" workbookViewId="0">
      <selection activeCell="C12" sqref="C12"/>
    </sheetView>
  </sheetViews>
  <sheetFormatPr baseColWidth="10" defaultColWidth="10.6640625" defaultRowHeight="14.4" x14ac:dyDescent="0.3"/>
  <cols>
    <col min="1" max="2" width="4" customWidth="1"/>
    <col min="6" max="6" width="17.6640625" customWidth="1"/>
    <col min="7" max="7" width="15.33203125" customWidth="1"/>
    <col min="8" max="8" width="16.88671875" customWidth="1"/>
    <col min="10" max="10" width="16.6640625" customWidth="1"/>
    <col min="11" max="11" width="12.44140625" customWidth="1"/>
    <col min="16384" max="16384" width="11.5546875" customWidth="1"/>
  </cols>
  <sheetData>
    <row r="1" spans="3:10" ht="19.8" x14ac:dyDescent="0.4">
      <c r="C1" s="13" t="s">
        <v>0</v>
      </c>
      <c r="D1" s="13"/>
      <c r="E1" s="13"/>
      <c r="F1" s="13"/>
      <c r="G1" s="13"/>
      <c r="H1" s="13"/>
      <c r="I1" s="13"/>
      <c r="J1" s="13"/>
    </row>
    <row r="2" spans="3:10" ht="19.8" x14ac:dyDescent="0.4">
      <c r="C2" s="13" t="s">
        <v>1</v>
      </c>
      <c r="D2" s="13"/>
      <c r="E2" s="13"/>
      <c r="F2" s="13"/>
      <c r="G2" s="13"/>
      <c r="H2" s="13"/>
      <c r="I2" s="13"/>
      <c r="J2" s="13"/>
    </row>
    <row r="3" spans="3:10" ht="19.8" x14ac:dyDescent="0.4">
      <c r="C3" s="13" t="s">
        <v>2</v>
      </c>
      <c r="D3" s="13"/>
      <c r="E3" s="13"/>
      <c r="F3" s="13"/>
      <c r="G3" s="13"/>
      <c r="H3" s="13"/>
      <c r="I3" s="13"/>
      <c r="J3" s="13"/>
    </row>
    <row r="4" spans="3:10" x14ac:dyDescent="0.3">
      <c r="C4" s="14"/>
      <c r="D4" s="14"/>
      <c r="E4" s="14"/>
      <c r="F4" s="14"/>
      <c r="G4" s="14"/>
      <c r="H4" s="14"/>
      <c r="I4" s="14"/>
      <c r="J4" s="14"/>
    </row>
    <row r="5" spans="3:10" ht="44.7" customHeight="1" x14ac:dyDescent="0.3"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6" t="s">
        <v>10</v>
      </c>
    </row>
    <row r="6" spans="3:10" x14ac:dyDescent="0.3">
      <c r="C6" s="17" t="s">
        <v>11</v>
      </c>
      <c r="D6" s="18">
        <f>'TRAFICO POSTAL'!I12</f>
        <v>17452</v>
      </c>
      <c r="E6" s="19">
        <f>'TRAFICO POSTAL'!M12</f>
        <v>9816</v>
      </c>
      <c r="F6" s="19">
        <f>'TRAFICO POSTAL'!P12</f>
        <v>14318</v>
      </c>
      <c r="G6" s="19">
        <f>'TRAFICO POSTAL'!Q12</f>
        <v>2322</v>
      </c>
      <c r="H6" s="19">
        <f>'TRAFICO POSTAL'!R12</f>
        <v>276</v>
      </c>
      <c r="I6" s="19">
        <f>'TRAFICO POSTAL'!S12</f>
        <v>333</v>
      </c>
      <c r="J6" s="19">
        <f>'TRAFICO POSTAL'!T12</f>
        <v>305</v>
      </c>
    </row>
    <row r="7" spans="3:10" x14ac:dyDescent="0.3">
      <c r="C7" s="17" t="s">
        <v>12</v>
      </c>
      <c r="D7" s="18">
        <f>'TRAFICO POSTAL'!I13</f>
        <v>11923</v>
      </c>
      <c r="E7" s="19">
        <f>'TRAFICO POSTAL'!M13</f>
        <v>9078</v>
      </c>
      <c r="F7" s="19">
        <f>'TRAFICO POSTAL'!P13</f>
        <v>11316</v>
      </c>
      <c r="G7" s="19">
        <f>'TRAFICO POSTAL'!Q13</f>
        <v>2008</v>
      </c>
      <c r="H7" s="19">
        <f>'TRAFICO POSTAL'!R13</f>
        <v>250</v>
      </c>
      <c r="I7" s="19">
        <f>'TRAFICO POSTAL'!S13</f>
        <v>232</v>
      </c>
      <c r="J7" s="19">
        <f>'TRAFICO POSTAL'!T13</f>
        <v>288</v>
      </c>
    </row>
    <row r="8" spans="3:10" x14ac:dyDescent="0.3">
      <c r="C8" s="17" t="s">
        <v>13</v>
      </c>
      <c r="D8" s="18">
        <f>'TRAFICO POSTAL'!I14</f>
        <v>14593</v>
      </c>
      <c r="E8" s="19">
        <f>'TRAFICO POSTAL'!M14</f>
        <v>9432</v>
      </c>
      <c r="F8" s="19">
        <f>'TRAFICO POSTAL'!P14</f>
        <v>10839</v>
      </c>
      <c r="G8" s="19">
        <f>'TRAFICO POSTAL'!Q14</f>
        <v>1902</v>
      </c>
      <c r="H8" s="19">
        <f>'TRAFICO POSTAL'!R14</f>
        <v>231</v>
      </c>
      <c r="I8" s="19">
        <f>'TRAFICO POSTAL'!S14</f>
        <v>261</v>
      </c>
      <c r="J8" s="19">
        <f>'TRAFICO POSTAL'!T14</f>
        <v>219</v>
      </c>
    </row>
    <row r="9" spans="3:10" x14ac:dyDescent="0.3">
      <c r="C9" s="20" t="s">
        <v>14</v>
      </c>
      <c r="D9" s="21">
        <f t="shared" ref="D9:J9" si="0">SUM(D6:D8)</f>
        <v>43968</v>
      </c>
      <c r="E9" s="21">
        <f t="shared" si="0"/>
        <v>28326</v>
      </c>
      <c r="F9" s="21">
        <f t="shared" si="0"/>
        <v>36473</v>
      </c>
      <c r="G9" s="21">
        <f t="shared" si="0"/>
        <v>6232</v>
      </c>
      <c r="H9" s="21">
        <f t="shared" si="0"/>
        <v>757</v>
      </c>
      <c r="I9" s="21">
        <f t="shared" si="0"/>
        <v>826</v>
      </c>
      <c r="J9" s="21">
        <f t="shared" si="0"/>
        <v>812</v>
      </c>
    </row>
    <row r="13" spans="3:10" ht="19.8" x14ac:dyDescent="0.4">
      <c r="C13" s="22"/>
      <c r="D13" s="13" t="s">
        <v>15</v>
      </c>
      <c r="E13" s="13"/>
      <c r="F13" s="13"/>
      <c r="G13" s="13"/>
      <c r="H13" s="13"/>
    </row>
    <row r="14" spans="3:10" x14ac:dyDescent="0.3">
      <c r="C14" s="22"/>
      <c r="D14" s="14"/>
      <c r="E14" s="14"/>
      <c r="F14" s="14"/>
      <c r="G14" s="14"/>
      <c r="H14" s="14"/>
    </row>
    <row r="15" spans="3:10" x14ac:dyDescent="0.3">
      <c r="C15" s="23" t="s">
        <v>3</v>
      </c>
      <c r="D15" s="23" t="s">
        <v>4</v>
      </c>
      <c r="E15" s="23" t="s">
        <v>16</v>
      </c>
      <c r="F15" s="23" t="s">
        <v>5</v>
      </c>
      <c r="G15" s="23" t="s">
        <v>6</v>
      </c>
      <c r="H15" s="23" t="s">
        <v>17</v>
      </c>
    </row>
    <row r="16" spans="3:10" x14ac:dyDescent="0.3">
      <c r="C16" s="17" t="s">
        <v>11</v>
      </c>
      <c r="D16" s="19">
        <f>SUM('TRAFICO POSTAL'!D23:I23)</f>
        <v>30252</v>
      </c>
      <c r="E16" s="19">
        <f>SUM('TRAFICO POSTAL'!J23:L23)</f>
        <v>9195</v>
      </c>
      <c r="F16" s="19">
        <f>SUM('TRAFICO POSTAL'!P23:R23)</f>
        <v>2335</v>
      </c>
      <c r="G16" s="19">
        <f>SUM('TRAFICO POSTAL'!S23:U23)</f>
        <v>51144</v>
      </c>
      <c r="H16" s="19">
        <f>SUM('TRAFICO POSTAL'!M23:O23)</f>
        <v>903</v>
      </c>
    </row>
    <row r="17" spans="3:8" x14ac:dyDescent="0.3">
      <c r="C17" s="17" t="s">
        <v>12</v>
      </c>
      <c r="D17" s="19">
        <f>SUM('TRAFICO POSTAL'!D24:I24)</f>
        <v>30456</v>
      </c>
      <c r="E17" s="19">
        <f>SUM('TRAFICO POSTAL'!J24:L24)</f>
        <v>10815</v>
      </c>
      <c r="F17" s="19">
        <f>SUM('TRAFICO POSTAL'!P24:R24)</f>
        <v>1872</v>
      </c>
      <c r="G17" s="19">
        <f>SUM('TRAFICO POSTAL'!S24:U24)</f>
        <v>39198</v>
      </c>
      <c r="H17" s="19">
        <f>SUM('TRAFICO POSTAL'!M24:O24)</f>
        <v>1154</v>
      </c>
    </row>
    <row r="18" spans="3:8" x14ac:dyDescent="0.3">
      <c r="C18" s="17" t="s">
        <v>13</v>
      </c>
      <c r="D18" s="19">
        <f>SUM('TRAFICO POSTAL'!D25:I25)</f>
        <v>34274</v>
      </c>
      <c r="E18" s="19">
        <f>SUM('TRAFICO POSTAL'!J25:L25)</f>
        <v>10415</v>
      </c>
      <c r="F18" s="19">
        <f>SUM('TRAFICO POSTAL'!P25:R25)</f>
        <v>2446</v>
      </c>
      <c r="G18" s="19">
        <f>SUM('TRAFICO POSTAL'!S25:U25)</f>
        <v>42281</v>
      </c>
      <c r="H18" s="19">
        <f>SUM('TRAFICO POSTAL'!M25:O25)</f>
        <v>1066</v>
      </c>
    </row>
    <row r="19" spans="3:8" x14ac:dyDescent="0.3">
      <c r="C19" s="24" t="s">
        <v>14</v>
      </c>
      <c r="D19" s="25">
        <f>SUM(D16:D18)</f>
        <v>94982</v>
      </c>
      <c r="E19" s="25">
        <f>SUM(E16:E18)</f>
        <v>30425</v>
      </c>
      <c r="F19" s="25">
        <f>SUM(F16:F18)</f>
        <v>6653</v>
      </c>
      <c r="G19" s="25">
        <f>SUM(G16:G18)</f>
        <v>132623</v>
      </c>
      <c r="H19" s="25">
        <f>SUM(H16:H18)</f>
        <v>3123</v>
      </c>
    </row>
  </sheetData>
  <mergeCells count="4">
    <mergeCell ref="C1:J1"/>
    <mergeCell ref="C2:J2"/>
    <mergeCell ref="C3:J3"/>
    <mergeCell ref="D13:H13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W30"/>
  <sheetViews>
    <sheetView tabSelected="1" zoomScale="77" zoomScaleNormal="77" workbookViewId="0">
      <selection activeCell="C5" sqref="C5:W5"/>
    </sheetView>
  </sheetViews>
  <sheetFormatPr baseColWidth="10" defaultColWidth="11" defaultRowHeight="14.4" x14ac:dyDescent="0.3"/>
  <cols>
    <col min="1" max="1" width="6.88671875" style="26" customWidth="1"/>
    <col min="2" max="2" width="9.21875" style="26" customWidth="1"/>
    <col min="3" max="3" width="24.44140625" style="26" customWidth="1"/>
    <col min="4" max="4" width="13.44140625" style="26" customWidth="1"/>
    <col min="5" max="5" width="15.109375" style="26" customWidth="1"/>
    <col min="6" max="6" width="12.109375" style="26" customWidth="1"/>
    <col min="7" max="7" width="16.44140625" style="26" customWidth="1"/>
    <col min="8" max="8" width="14.33203125" style="26" customWidth="1"/>
    <col min="9" max="9" width="13.5546875" style="26" customWidth="1"/>
    <col min="10" max="10" width="13" style="26" customWidth="1"/>
    <col min="11" max="11" width="14.88671875" style="26" customWidth="1"/>
    <col min="12" max="12" width="11" style="26"/>
    <col min="13" max="13" width="15.5546875" style="26" customWidth="1"/>
    <col min="14" max="14" width="11" style="26"/>
    <col min="15" max="15" width="16.44140625" style="26" customWidth="1"/>
    <col min="16" max="16" width="14.5546875" style="26" customWidth="1"/>
    <col min="17" max="17" width="15.44140625" style="26" customWidth="1"/>
    <col min="18" max="18" width="11" style="26"/>
    <col min="19" max="19" width="13.6640625" style="26" customWidth="1"/>
    <col min="20" max="20" width="16.5546875" style="26" customWidth="1"/>
    <col min="21" max="21" width="12.44140625" style="26" customWidth="1"/>
    <col min="22" max="22" width="14.6640625" style="26" customWidth="1"/>
    <col min="23" max="23" width="14.21875" style="26" customWidth="1"/>
    <col min="24" max="16384" width="11" style="26"/>
  </cols>
  <sheetData>
    <row r="3" spans="3:23" ht="23.4" x14ac:dyDescent="0.45">
      <c r="C3" s="12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3:23" ht="23.4" x14ac:dyDescent="0.45"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3:23" ht="23.4" x14ac:dyDescent="0.45">
      <c r="C5" s="12" t="s">
        <v>19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3:23" ht="18" x14ac:dyDescent="0.35">
      <c r="C6" s="11"/>
      <c r="D6" s="11"/>
      <c r="E6" s="11"/>
      <c r="F6" s="11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28"/>
    </row>
    <row r="7" spans="3:23" ht="18" x14ac:dyDescent="0.3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3:23" s="29" customFormat="1" ht="18.75" customHeight="1" x14ac:dyDescent="0.35">
      <c r="C8" s="10" t="s">
        <v>20</v>
      </c>
      <c r="D8" s="9" t="s">
        <v>21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22</v>
      </c>
      <c r="V8" s="28"/>
      <c r="W8" s="28"/>
    </row>
    <row r="9" spans="3:23" s="29" customFormat="1" ht="15" customHeight="1" x14ac:dyDescent="0.35">
      <c r="C9" s="10"/>
      <c r="D9" s="9" t="s">
        <v>4</v>
      </c>
      <c r="E9" s="9"/>
      <c r="F9" s="9"/>
      <c r="G9" s="9"/>
      <c r="H9" s="9"/>
      <c r="I9" s="8" t="s">
        <v>23</v>
      </c>
      <c r="J9" s="8" t="s">
        <v>5</v>
      </c>
      <c r="K9" s="8"/>
      <c r="L9" s="8"/>
      <c r="M9" s="8" t="s">
        <v>23</v>
      </c>
      <c r="N9" s="8" t="s">
        <v>6</v>
      </c>
      <c r="O9" s="8"/>
      <c r="P9" s="8" t="s">
        <v>23</v>
      </c>
      <c r="Q9" s="7" t="s">
        <v>24</v>
      </c>
      <c r="R9" s="10" t="s">
        <v>25</v>
      </c>
      <c r="S9" s="10" t="s">
        <v>9</v>
      </c>
      <c r="T9" s="10" t="s">
        <v>26</v>
      </c>
      <c r="U9" s="10"/>
      <c r="V9" s="28"/>
      <c r="W9" s="28"/>
    </row>
    <row r="10" spans="3:23" s="29" customFormat="1" ht="15" customHeight="1" x14ac:dyDescent="0.35">
      <c r="C10" s="10"/>
      <c r="D10" s="9" t="s">
        <v>27</v>
      </c>
      <c r="E10" s="8" t="s">
        <v>28</v>
      </c>
      <c r="F10" s="8" t="s">
        <v>29</v>
      </c>
      <c r="G10" s="8" t="s">
        <v>16</v>
      </c>
      <c r="H10" s="8"/>
      <c r="I10" s="8"/>
      <c r="J10" s="8" t="s">
        <v>27</v>
      </c>
      <c r="K10" s="8" t="s">
        <v>28</v>
      </c>
      <c r="L10" s="8" t="s">
        <v>29</v>
      </c>
      <c r="M10" s="8"/>
      <c r="N10" s="10" t="s">
        <v>27</v>
      </c>
      <c r="O10" s="10" t="s">
        <v>28</v>
      </c>
      <c r="P10" s="8"/>
      <c r="Q10" s="8"/>
      <c r="R10" s="10"/>
      <c r="S10" s="10"/>
      <c r="T10" s="10"/>
      <c r="U10" s="10"/>
      <c r="V10" s="28"/>
      <c r="W10" s="28"/>
    </row>
    <row r="11" spans="3:23" s="29" customFormat="1" ht="18" x14ac:dyDescent="0.35">
      <c r="C11" s="10"/>
      <c r="D11" s="9"/>
      <c r="E11" s="8"/>
      <c r="F11" s="8"/>
      <c r="G11" s="30" t="s">
        <v>28</v>
      </c>
      <c r="H11" s="30" t="s">
        <v>29</v>
      </c>
      <c r="I11" s="8"/>
      <c r="J11" s="8"/>
      <c r="K11" s="8"/>
      <c r="L11" s="8"/>
      <c r="M11" s="8"/>
      <c r="N11" s="10"/>
      <c r="O11" s="10"/>
      <c r="P11" s="8"/>
      <c r="Q11" s="8"/>
      <c r="R11" s="10"/>
      <c r="S11" s="10"/>
      <c r="T11" s="10"/>
      <c r="U11" s="10"/>
      <c r="V11" s="28"/>
      <c r="W11" s="28"/>
    </row>
    <row r="12" spans="3:23" ht="33" customHeight="1" x14ac:dyDescent="0.35">
      <c r="C12" s="31" t="s">
        <v>30</v>
      </c>
      <c r="D12" s="32">
        <f>1247+154+96</f>
        <v>1497</v>
      </c>
      <c r="E12" s="32">
        <f>4122+3144+279</f>
        <v>7545</v>
      </c>
      <c r="F12" s="32">
        <f>328+86+25</f>
        <v>439</v>
      </c>
      <c r="G12" s="32">
        <f>3601+1742+2090</f>
        <v>7433</v>
      </c>
      <c r="H12" s="32">
        <f>462+56+20</f>
        <v>538</v>
      </c>
      <c r="I12" s="32">
        <f>SUM(D12:H12)</f>
        <v>17452</v>
      </c>
      <c r="J12" s="32">
        <f>34+2+0</f>
        <v>36</v>
      </c>
      <c r="K12" s="32">
        <f>1575+461+573</f>
        <v>2609</v>
      </c>
      <c r="L12" s="32">
        <f>3528+1855+1788</f>
        <v>7171</v>
      </c>
      <c r="M12" s="32">
        <f>SUM(J12:L12)</f>
        <v>9816</v>
      </c>
      <c r="N12" s="32">
        <f>503+4617+2801</f>
        <v>7921</v>
      </c>
      <c r="O12" s="32">
        <f>1037+3360+2000</f>
        <v>6397</v>
      </c>
      <c r="P12" s="32">
        <f>SUM(N12:O12)</f>
        <v>14318</v>
      </c>
      <c r="Q12" s="32">
        <f>1050+765+507</f>
        <v>2322</v>
      </c>
      <c r="R12" s="32">
        <f>205+57+14</f>
        <v>276</v>
      </c>
      <c r="S12" s="32">
        <f>194+59+80</f>
        <v>333</v>
      </c>
      <c r="T12" s="32">
        <f>146+86+73</f>
        <v>305</v>
      </c>
      <c r="U12" s="32">
        <f>I12+M12+P12+Q12+R12+S12+T12</f>
        <v>44822</v>
      </c>
      <c r="V12" s="28"/>
      <c r="W12" s="28"/>
    </row>
    <row r="13" spans="3:23" ht="33" customHeight="1" x14ac:dyDescent="0.35">
      <c r="C13" s="31" t="s">
        <v>12</v>
      </c>
      <c r="D13" s="32">
        <f>166+87+10</f>
        <v>263</v>
      </c>
      <c r="E13" s="32">
        <f>1998+2941+162</f>
        <v>5101</v>
      </c>
      <c r="F13" s="32">
        <f>184+129+32</f>
        <v>345</v>
      </c>
      <c r="G13" s="32">
        <f>1841+1427+2455</f>
        <v>5723</v>
      </c>
      <c r="H13" s="32">
        <f>428+41+22</f>
        <v>491</v>
      </c>
      <c r="I13" s="32">
        <f>SUM(D13:H13)</f>
        <v>11923</v>
      </c>
      <c r="J13" s="32">
        <f>101+0+0</f>
        <v>101</v>
      </c>
      <c r="K13" s="32">
        <f>1291+432+444</f>
        <v>2167</v>
      </c>
      <c r="L13" s="32">
        <f>3313+1804+1693</f>
        <v>6810</v>
      </c>
      <c r="M13" s="32">
        <f>SUM(J13:L13)</f>
        <v>9078</v>
      </c>
      <c r="N13" s="32">
        <f>507+3762+629</f>
        <v>4898</v>
      </c>
      <c r="O13" s="32">
        <f>1093+2881+2444</f>
        <v>6418</v>
      </c>
      <c r="P13" s="32">
        <f>SUM(N13:O13)</f>
        <v>11316</v>
      </c>
      <c r="Q13" s="32">
        <f>892+705+411</f>
        <v>2008</v>
      </c>
      <c r="R13" s="32">
        <f>168+44+38</f>
        <v>250</v>
      </c>
      <c r="S13" s="32">
        <f>115+33+84</f>
        <v>232</v>
      </c>
      <c r="T13" s="32">
        <f>147+97+44</f>
        <v>288</v>
      </c>
      <c r="U13" s="32">
        <f>I13+M13+P13+Q13+R13+S13+T13</f>
        <v>35095</v>
      </c>
      <c r="V13" s="28"/>
      <c r="W13" s="28"/>
    </row>
    <row r="14" spans="3:23" ht="33" customHeight="1" x14ac:dyDescent="0.35">
      <c r="C14" s="31" t="s">
        <v>13</v>
      </c>
      <c r="D14" s="32">
        <f>88+220+17</f>
        <v>325</v>
      </c>
      <c r="E14" s="32">
        <f>2546+3030+352</f>
        <v>5928</v>
      </c>
      <c r="F14" s="32">
        <f>266+99+20</f>
        <v>385</v>
      </c>
      <c r="G14" s="32">
        <f>3158+1706+2676</f>
        <v>7540</v>
      </c>
      <c r="H14" s="32">
        <f>357+43+15</f>
        <v>415</v>
      </c>
      <c r="I14" s="32">
        <f>SUM(D14:H14)</f>
        <v>14593</v>
      </c>
      <c r="J14" s="32">
        <f>4+0+11</f>
        <v>15</v>
      </c>
      <c r="K14" s="32">
        <f>1251+424+572</f>
        <v>2247</v>
      </c>
      <c r="L14" s="32">
        <f>3423+1906+1841</f>
        <v>7170</v>
      </c>
      <c r="M14" s="32">
        <f>SUM(J14:L14)</f>
        <v>9432</v>
      </c>
      <c r="N14" s="32">
        <f>471+3139+1604</f>
        <v>5214</v>
      </c>
      <c r="O14" s="32">
        <f>969+2439+2217</f>
        <v>5625</v>
      </c>
      <c r="P14" s="32">
        <f>SUM(N14:O14)</f>
        <v>10839</v>
      </c>
      <c r="Q14" s="32">
        <f>784+661+457</f>
        <v>1902</v>
      </c>
      <c r="R14" s="32">
        <f>143+72+16</f>
        <v>231</v>
      </c>
      <c r="S14" s="32">
        <f>184+33+44</f>
        <v>261</v>
      </c>
      <c r="T14" s="32">
        <f>96+88+35</f>
        <v>219</v>
      </c>
      <c r="U14" s="32">
        <f>I14+M14+P14+Q14+R14+S14+T14</f>
        <v>37477</v>
      </c>
      <c r="V14" s="28"/>
      <c r="W14" s="28"/>
    </row>
    <row r="15" spans="3:23" s="29" customFormat="1" ht="33" customHeight="1" x14ac:dyDescent="0.35">
      <c r="C15" s="33" t="s">
        <v>23</v>
      </c>
      <c r="D15" s="34">
        <f>SUM(D12:D14)</f>
        <v>2085</v>
      </c>
      <c r="E15" s="34">
        <f>SUM(E12:E14)</f>
        <v>18574</v>
      </c>
      <c r="F15" s="34">
        <f>SUM(F12:F14)</f>
        <v>1169</v>
      </c>
      <c r="G15" s="34">
        <f>SUM(G12:G14)</f>
        <v>20696</v>
      </c>
      <c r="H15" s="34">
        <f>SUM(H12:H14)</f>
        <v>1444</v>
      </c>
      <c r="I15" s="35">
        <f>SUM(D15:H15)</f>
        <v>43968</v>
      </c>
      <c r="J15" s="34">
        <f t="shared" ref="J15:U15" si="0">SUM(J12:J14)</f>
        <v>152</v>
      </c>
      <c r="K15" s="34">
        <f t="shared" si="0"/>
        <v>7023</v>
      </c>
      <c r="L15" s="34">
        <f t="shared" si="0"/>
        <v>21151</v>
      </c>
      <c r="M15" s="34">
        <f t="shared" si="0"/>
        <v>28326</v>
      </c>
      <c r="N15" s="34">
        <f t="shared" si="0"/>
        <v>18033</v>
      </c>
      <c r="O15" s="34">
        <f t="shared" si="0"/>
        <v>18440</v>
      </c>
      <c r="P15" s="34">
        <f t="shared" si="0"/>
        <v>36473</v>
      </c>
      <c r="Q15" s="34">
        <f t="shared" si="0"/>
        <v>6232</v>
      </c>
      <c r="R15" s="34">
        <f t="shared" si="0"/>
        <v>757</v>
      </c>
      <c r="S15" s="34">
        <f t="shared" si="0"/>
        <v>826</v>
      </c>
      <c r="T15" s="34">
        <f t="shared" si="0"/>
        <v>812</v>
      </c>
      <c r="U15" s="34">
        <f t="shared" si="0"/>
        <v>117394</v>
      </c>
      <c r="V15" s="28"/>
      <c r="W15" s="28"/>
    </row>
    <row r="16" spans="3:23" s="29" customFormat="1" ht="18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3:23" s="29" customFormat="1" ht="18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3:23" s="29" customFormat="1" ht="18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3:23" s="36" customFormat="1" ht="23.25" customHeight="1" x14ac:dyDescent="0.3">
      <c r="C19" s="6" t="s">
        <v>20</v>
      </c>
      <c r="D19" s="5" t="s">
        <v>31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4" t="s">
        <v>32</v>
      </c>
    </row>
    <row r="20" spans="3:23" s="36" customFormat="1" ht="12.75" customHeight="1" x14ac:dyDescent="0.3">
      <c r="C20" s="6"/>
      <c r="D20" s="3" t="s">
        <v>33</v>
      </c>
      <c r="E20" s="3"/>
      <c r="F20" s="3"/>
      <c r="G20" s="3" t="s">
        <v>34</v>
      </c>
      <c r="H20" s="3"/>
      <c r="I20" s="3"/>
      <c r="J20" s="3" t="s">
        <v>16</v>
      </c>
      <c r="K20" s="3"/>
      <c r="L20" s="3"/>
      <c r="M20" s="2" t="s">
        <v>17</v>
      </c>
      <c r="N20" s="2"/>
      <c r="O20" s="2"/>
      <c r="P20" s="2" t="s">
        <v>5</v>
      </c>
      <c r="Q20" s="2"/>
      <c r="R20" s="2"/>
      <c r="S20" s="6" t="s">
        <v>6</v>
      </c>
      <c r="T20" s="6"/>
      <c r="U20" s="6"/>
      <c r="V20" s="6" t="s">
        <v>26</v>
      </c>
      <c r="W20" s="4"/>
    </row>
    <row r="21" spans="3:23" s="36" customFormat="1" ht="12.75" customHeight="1" x14ac:dyDescent="0.3">
      <c r="C21" s="6"/>
      <c r="D21" s="3" t="s">
        <v>35</v>
      </c>
      <c r="E21" s="3" t="s">
        <v>36</v>
      </c>
      <c r="F21" s="6" t="s">
        <v>37</v>
      </c>
      <c r="G21" s="3" t="s">
        <v>35</v>
      </c>
      <c r="H21" s="3" t="s">
        <v>36</v>
      </c>
      <c r="I21" s="6" t="s">
        <v>37</v>
      </c>
      <c r="J21" s="3" t="s">
        <v>35</v>
      </c>
      <c r="K21" s="3" t="s">
        <v>36</v>
      </c>
      <c r="L21" s="6" t="s">
        <v>37</v>
      </c>
      <c r="M21" s="6" t="s">
        <v>36</v>
      </c>
      <c r="N21" s="3" t="s">
        <v>38</v>
      </c>
      <c r="O21" s="1" t="s">
        <v>39</v>
      </c>
      <c r="P21" s="3" t="s">
        <v>36</v>
      </c>
      <c r="Q21" s="3" t="s">
        <v>38</v>
      </c>
      <c r="R21" s="4" t="s">
        <v>39</v>
      </c>
      <c r="S21" s="6" t="s">
        <v>35</v>
      </c>
      <c r="T21" s="3" t="s">
        <v>36</v>
      </c>
      <c r="U21" s="6" t="s">
        <v>38</v>
      </c>
      <c r="V21" s="6"/>
      <c r="W21" s="6"/>
    </row>
    <row r="22" spans="3:23" s="36" customFormat="1" ht="15.6" x14ac:dyDescent="0.3">
      <c r="C22" s="6"/>
      <c r="D22" s="3"/>
      <c r="E22" s="3"/>
      <c r="F22" s="6"/>
      <c r="G22" s="3"/>
      <c r="H22" s="3"/>
      <c r="I22" s="6"/>
      <c r="J22" s="3"/>
      <c r="K22" s="3"/>
      <c r="L22" s="6"/>
      <c r="M22" s="6"/>
      <c r="N22" s="3"/>
      <c r="O22" s="1"/>
      <c r="P22" s="3"/>
      <c r="Q22" s="3"/>
      <c r="R22" s="4"/>
      <c r="S22" s="4"/>
      <c r="T22" s="3"/>
      <c r="U22" s="6"/>
      <c r="V22" s="6"/>
      <c r="W22" s="6"/>
    </row>
    <row r="23" spans="3:23" s="29" customFormat="1" ht="36.75" customHeight="1" x14ac:dyDescent="0.3">
      <c r="C23" s="31" t="s">
        <v>30</v>
      </c>
      <c r="D23" s="37">
        <f>6863+5380+3241</f>
        <v>15484</v>
      </c>
      <c r="E23" s="37">
        <f>610+31+0</f>
        <v>641</v>
      </c>
      <c r="F23" s="37">
        <f>87+65+49</f>
        <v>201</v>
      </c>
      <c r="G23" s="37">
        <f>502+0+818</f>
        <v>1320</v>
      </c>
      <c r="H23" s="37">
        <f>15+0+0</f>
        <v>15</v>
      </c>
      <c r="I23" s="37">
        <f>8650+3526+415</f>
        <v>12591</v>
      </c>
      <c r="J23" s="37">
        <f>1675+1857+1576</f>
        <v>5108</v>
      </c>
      <c r="K23" s="37">
        <f>269+0+0</f>
        <v>269</v>
      </c>
      <c r="L23" s="37">
        <f>2221+798+799</f>
        <v>3818</v>
      </c>
      <c r="M23" s="37">
        <f>13+0+0</f>
        <v>13</v>
      </c>
      <c r="N23" s="37">
        <f>501+298+84</f>
        <v>883</v>
      </c>
      <c r="O23" s="37">
        <f>4+0+3</f>
        <v>7</v>
      </c>
      <c r="P23" s="37">
        <f>6+0+0</f>
        <v>6</v>
      </c>
      <c r="Q23" s="37">
        <f>291+263+88</f>
        <v>642</v>
      </c>
      <c r="R23" s="37">
        <f>342+613+732</f>
        <v>1687</v>
      </c>
      <c r="S23" s="37">
        <f>20244+22077+6566</f>
        <v>48887</v>
      </c>
      <c r="T23" s="37">
        <f>1995+0+0</f>
        <v>1995</v>
      </c>
      <c r="U23" s="37">
        <f>28+146+88</f>
        <v>262</v>
      </c>
      <c r="V23" s="37">
        <f>38+52+7</f>
        <v>97</v>
      </c>
      <c r="W23" s="37">
        <f>SUM(D23:V23)</f>
        <v>93926</v>
      </c>
    </row>
    <row r="24" spans="3:23" s="29" customFormat="1" ht="36.75" customHeight="1" x14ac:dyDescent="0.3">
      <c r="C24" s="31" t="s">
        <v>12</v>
      </c>
      <c r="D24" s="37">
        <f>7886+4230+2322</f>
        <v>14438</v>
      </c>
      <c r="E24" s="37">
        <f>590+34+0</f>
        <v>624</v>
      </c>
      <c r="F24" s="37">
        <f>75+92+0</f>
        <v>167</v>
      </c>
      <c r="G24" s="37">
        <f>299+9+1581</f>
        <v>1889</v>
      </c>
      <c r="H24" s="37">
        <f>5+0+0</f>
        <v>5</v>
      </c>
      <c r="I24" s="37">
        <f>6359+5619+1355</f>
        <v>13333</v>
      </c>
      <c r="J24" s="37">
        <f>1612+1840+1393</f>
        <v>4845</v>
      </c>
      <c r="K24" s="37">
        <f>83+0+2</f>
        <v>85</v>
      </c>
      <c r="L24" s="37">
        <f>2617+1820+1448</f>
        <v>5885</v>
      </c>
      <c r="M24" s="37">
        <f>22+0+0</f>
        <v>22</v>
      </c>
      <c r="N24" s="37">
        <f>581+353+145</f>
        <v>1079</v>
      </c>
      <c r="O24" s="37">
        <f>26+8+19</f>
        <v>53</v>
      </c>
      <c r="P24" s="37">
        <f>10+0+0</f>
        <v>10</v>
      </c>
      <c r="Q24" s="37">
        <f>166+213+61</f>
        <v>440</v>
      </c>
      <c r="R24" s="37">
        <f>341+604+477</f>
        <v>1422</v>
      </c>
      <c r="S24" s="37">
        <f>15232+17600+4344</f>
        <v>37176</v>
      </c>
      <c r="T24" s="37">
        <f>1633+0+0</f>
        <v>1633</v>
      </c>
      <c r="U24" s="37">
        <f>35+348+6</f>
        <v>389</v>
      </c>
      <c r="V24" s="37">
        <f>108+42+5</f>
        <v>155</v>
      </c>
      <c r="W24" s="37">
        <f>SUM(D24:V24)</f>
        <v>83650</v>
      </c>
    </row>
    <row r="25" spans="3:23" s="29" customFormat="1" ht="36.75" customHeight="1" x14ac:dyDescent="0.3">
      <c r="C25" s="31" t="s">
        <v>13</v>
      </c>
      <c r="D25" s="37">
        <f>5256+5965+3112</f>
        <v>14333</v>
      </c>
      <c r="E25" s="37">
        <f>322+56+0</f>
        <v>378</v>
      </c>
      <c r="F25" s="37">
        <f>30+56+4</f>
        <v>90</v>
      </c>
      <c r="G25" s="37">
        <f>463+23+2219</f>
        <v>2705</v>
      </c>
      <c r="H25" s="37">
        <f>12+0+19</f>
        <v>31</v>
      </c>
      <c r="I25" s="37">
        <f>10233+4319+2185</f>
        <v>16737</v>
      </c>
      <c r="J25" s="37">
        <f>2451+1850+1854</f>
        <v>6155</v>
      </c>
      <c r="K25" s="37">
        <f>142+0+13</f>
        <v>155</v>
      </c>
      <c r="L25" s="37">
        <f>2105+767+1233</f>
        <v>4105</v>
      </c>
      <c r="M25" s="37">
        <f>9+0+0</f>
        <v>9</v>
      </c>
      <c r="N25" s="37">
        <f>654+271+122</f>
        <v>1047</v>
      </c>
      <c r="O25" s="37">
        <f>6+1+3</f>
        <v>10</v>
      </c>
      <c r="P25" s="37">
        <f>28+0+0</f>
        <v>28</v>
      </c>
      <c r="Q25" s="37">
        <f>316+271+85</f>
        <v>672</v>
      </c>
      <c r="R25" s="37">
        <f>395+577+774</f>
        <v>1746</v>
      </c>
      <c r="S25" s="37">
        <f>16124+17147+6886</f>
        <v>40157</v>
      </c>
      <c r="T25" s="37">
        <f>1286+0+0</f>
        <v>1286</v>
      </c>
      <c r="U25" s="37">
        <f>114+668+56</f>
        <v>838</v>
      </c>
      <c r="V25" s="37">
        <f>43+34+36</f>
        <v>113</v>
      </c>
      <c r="W25" s="37">
        <f>SUM(D25:V25)</f>
        <v>90595</v>
      </c>
    </row>
    <row r="26" spans="3:23" s="29" customFormat="1" ht="36.75" customHeight="1" x14ac:dyDescent="0.3">
      <c r="C26" s="38" t="s">
        <v>23</v>
      </c>
      <c r="D26" s="39">
        <f t="shared" ref="D26:W26" si="1">SUM(D23:D25)</f>
        <v>44255</v>
      </c>
      <c r="E26" s="39">
        <f t="shared" si="1"/>
        <v>1643</v>
      </c>
      <c r="F26" s="39">
        <f t="shared" si="1"/>
        <v>458</v>
      </c>
      <c r="G26" s="39">
        <f t="shared" si="1"/>
        <v>5914</v>
      </c>
      <c r="H26" s="39">
        <f t="shared" si="1"/>
        <v>51</v>
      </c>
      <c r="I26" s="39">
        <f t="shared" si="1"/>
        <v>42661</v>
      </c>
      <c r="J26" s="39">
        <f t="shared" si="1"/>
        <v>16108</v>
      </c>
      <c r="K26" s="39">
        <f t="shared" si="1"/>
        <v>509</v>
      </c>
      <c r="L26" s="39">
        <f t="shared" si="1"/>
        <v>13808</v>
      </c>
      <c r="M26" s="39">
        <f t="shared" si="1"/>
        <v>44</v>
      </c>
      <c r="N26" s="39">
        <f t="shared" si="1"/>
        <v>3009</v>
      </c>
      <c r="O26" s="39">
        <f t="shared" si="1"/>
        <v>70</v>
      </c>
      <c r="P26" s="39">
        <f t="shared" si="1"/>
        <v>44</v>
      </c>
      <c r="Q26" s="39">
        <f t="shared" si="1"/>
        <v>1754</v>
      </c>
      <c r="R26" s="39">
        <f t="shared" si="1"/>
        <v>4855</v>
      </c>
      <c r="S26" s="39">
        <f t="shared" si="1"/>
        <v>126220</v>
      </c>
      <c r="T26" s="39">
        <f t="shared" si="1"/>
        <v>4914</v>
      </c>
      <c r="U26" s="39">
        <f t="shared" si="1"/>
        <v>1489</v>
      </c>
      <c r="V26" s="39">
        <f t="shared" si="1"/>
        <v>365</v>
      </c>
      <c r="W26" s="39">
        <f t="shared" si="1"/>
        <v>268171</v>
      </c>
    </row>
    <row r="27" spans="3:23" s="29" customFormat="1" ht="13.8" x14ac:dyDescent="0.3"/>
    <row r="28" spans="3:23" s="29" customFormat="1" x14ac:dyDescent="0.3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3:23" s="40" customFormat="1" x14ac:dyDescent="0.3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3:23" s="29" customFormat="1" x14ac:dyDescent="0.3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</sheetData>
  <mergeCells count="54">
    <mergeCell ref="T21:T22"/>
    <mergeCell ref="U21:U22"/>
    <mergeCell ref="O21:O22"/>
    <mergeCell ref="P21:P22"/>
    <mergeCell ref="Q21:Q22"/>
    <mergeCell ref="R21:R22"/>
    <mergeCell ref="S21:S22"/>
    <mergeCell ref="J21:J22"/>
    <mergeCell ref="K21:K22"/>
    <mergeCell ref="L21:L22"/>
    <mergeCell ref="M21:M22"/>
    <mergeCell ref="N21:N22"/>
    <mergeCell ref="C19:C22"/>
    <mergeCell ref="D19:V19"/>
    <mergeCell ref="W19:W22"/>
    <mergeCell ref="D20:F20"/>
    <mergeCell ref="G20:I20"/>
    <mergeCell ref="J20:L20"/>
    <mergeCell ref="M20:O20"/>
    <mergeCell ref="P20:R20"/>
    <mergeCell ref="S20:U20"/>
    <mergeCell ref="V20:V22"/>
    <mergeCell ref="D21:D22"/>
    <mergeCell ref="E21:E22"/>
    <mergeCell ref="F21:F22"/>
    <mergeCell ref="G21:G22"/>
    <mergeCell ref="H21:H22"/>
    <mergeCell ref="I21:I22"/>
    <mergeCell ref="T9:T11"/>
    <mergeCell ref="D10:D11"/>
    <mergeCell ref="E10:E11"/>
    <mergeCell ref="F10:F11"/>
    <mergeCell ref="G10:H10"/>
    <mergeCell ref="J10:J11"/>
    <mergeCell ref="K10:K11"/>
    <mergeCell ref="L10:L11"/>
    <mergeCell ref="N10:N11"/>
    <mergeCell ref="O10:O11"/>
    <mergeCell ref="C3:W3"/>
    <mergeCell ref="C4:W4"/>
    <mergeCell ref="C5:W5"/>
    <mergeCell ref="C6:F6"/>
    <mergeCell ref="C8:C11"/>
    <mergeCell ref="D8:T8"/>
    <mergeCell ref="U8:U11"/>
    <mergeCell ref="D9:H9"/>
    <mergeCell ref="I9:I11"/>
    <mergeCell ref="J9:L9"/>
    <mergeCell ref="M9:M11"/>
    <mergeCell ref="N9:O9"/>
    <mergeCell ref="P9:P11"/>
    <mergeCell ref="Q9:Q11"/>
    <mergeCell ref="R9:R11"/>
    <mergeCell ref="S9:S11"/>
  </mergeCells>
  <pageMargins left="0.7" right="0.7" top="0.75" bottom="0.75" header="0.511811023622047" footer="0.511811023622047"/>
  <pageSetup paperSize="9" scale="3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ESTADISTICA_TIPOS DE SERVICIO</vt:lpstr>
      <vt:lpstr>TRAFICO POSTAL</vt:lpstr>
      <vt:lpstr>'ESTADISTICA_TIPOS DE SERVICIO'!Área_de_impresión</vt:lpstr>
      <vt:lpstr>'TRAFICO POSTAL'!Área_de_impresión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Mariella Natali Hernandez de Peñate</dc:creator>
  <dc:description/>
  <cp:lastModifiedBy>Noé Henríquez Zelaya</cp:lastModifiedBy>
  <cp:revision>108</cp:revision>
  <cp:lastPrinted>2024-07-08T09:57:57Z</cp:lastPrinted>
  <dcterms:created xsi:type="dcterms:W3CDTF">2023-07-11T18:32:00Z</dcterms:created>
  <dcterms:modified xsi:type="dcterms:W3CDTF">2024-10-08T21:30:31Z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DE7D035989334354B78394D37DC0FDC2_13</vt:lpwstr>
  </property>
  <property fmtid="{D5CDD505-2E9C-101B-9397-08002B2CF9AE}" pid="3" name="KSOProductBuildVer">
    <vt:lpwstr>2058-12.2.0.13359</vt:lpwstr>
  </property>
</Properties>
</file>