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RESOLUCIONES NOVIEMBRE 2021\ANEXOS RESPUESTA SOLICITUD 2021-00297\"/>
    </mc:Choice>
  </mc:AlternateContent>
  <bookViews>
    <workbookView xWindow="-120" yWindow="-120" windowWidth="20730" windowHeight="11160" tabRatio="832"/>
  </bookViews>
  <sheets>
    <sheet name="CONSOLIDADO RELLENOS (2)" sheetId="32" r:id="rId1"/>
    <sheet name="Sn Fco. Menendez" sheetId="1" r:id="rId2"/>
    <sheet name="Atiquizaya" sheetId="2" r:id="rId3"/>
    <sheet name="SANTA ANA" sheetId="22" r:id="rId4"/>
    <sheet name="LA LIBERTAD" sheetId="31" r:id="rId5"/>
    <sheet name="Ishuatan" sheetId="3" r:id="rId6"/>
    <sheet name="SONSONATE-KALI" sheetId="4" r:id="rId7"/>
    <sheet name="MIDES" sheetId="6" r:id="rId8"/>
    <sheet name="Meanguera" sheetId="8" r:id="rId9"/>
    <sheet name="Perquin" sheetId="9" r:id="rId10"/>
    <sheet name="CORINTO" sheetId="20" r:id="rId11"/>
    <sheet name="SOCINUS" sheetId="10" r:id="rId12"/>
    <sheet name="San Miguel" sheetId="11" r:id="rId13"/>
    <sheet name="SANTA ROSA DE LIMA (ASINORLU)" sheetId="12" r:id="rId14"/>
    <sheet name="Suchitoto" sheetId="18" r:id="rId15"/>
    <sheet name="CINQUERA" sheetId="23" r:id="rId16"/>
    <sheet name="CHALATENANGO" sheetId="24" r:id="rId17"/>
    <sheet name="AMUCHADES" sheetId="30" r:id="rId18"/>
  </sheets>
  <definedNames>
    <definedName name="ALCALDIAS" localSheetId="0">#REF!</definedName>
    <definedName name="ALCALDIAS">#REF!</definedName>
    <definedName name="_xlnm.Print_Area" localSheetId="4">'LA LIBERTAD'!$A$3:$P$57</definedName>
    <definedName name="DEPARTAMENTO" localSheetId="0">#REF!</definedName>
    <definedName name="DEPARTAMENTO">#REF!</definedName>
    <definedName name="DESECHOS_DIARIOS" localSheetId="0">#REF!</definedName>
    <definedName name="DESECHOS_DIARIOS">#REF!</definedName>
    <definedName name="DESECHOS_MENSUALES" localSheetId="0">#REF!</definedName>
    <definedName name="DESECHOS_MENSUALES">#REF!</definedName>
    <definedName name="MUNICIPIO" localSheetId="0">#REF!</definedName>
    <definedName name="MUNICIPIO">#REF!</definedName>
    <definedName name="MUNICIPIO_EMPRESA" localSheetId="0">#REF!</definedName>
    <definedName name="MUNICIPIO_EMPRESA">#REF!</definedName>
    <definedName name="PROMEDIO_DIA__ton" localSheetId="0">#REF!</definedName>
    <definedName name="PROMEDIO_DIA__ton">#REF!</definedName>
    <definedName name="PROMEDIO_MENSUAL__ton" localSheetId="0">#REF!</definedName>
    <definedName name="PROMEDIO_MENSUAL__ton">#REF!</definedName>
    <definedName name="RELLENO" localSheetId="0">#REF!</definedName>
    <definedName name="RELLENO">#REF!</definedName>
    <definedName name="SITIO_DE_DISPOSICION" localSheetId="0">#REF!</definedName>
    <definedName name="SITIO_DE_DISPOSICION">#REF!</definedName>
    <definedName name="TOTAL_AÑO" localSheetId="0">#REF!</definedName>
    <definedName name="TOTAL_AÑO">#REF!</definedName>
    <definedName name="TOTAL_DEPOSITADO__ton" localSheetId="0">#REF!</definedName>
    <definedName name="TOTAL_DEPOSITADO__ton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6" l="1"/>
  <c r="R44" i="6" s="1"/>
  <c r="P43" i="6"/>
  <c r="R43" i="6" s="1"/>
  <c r="P42" i="6"/>
  <c r="R42" i="6" s="1"/>
  <c r="P82" i="6"/>
  <c r="Q82" i="6" s="1"/>
  <c r="P81" i="6"/>
  <c r="Q81" i="6" s="1"/>
  <c r="P80" i="6"/>
  <c r="R80" i="6" s="1"/>
  <c r="Q42" i="6" l="1"/>
  <c r="Q80" i="6"/>
  <c r="Q43" i="6"/>
  <c r="R81" i="6"/>
  <c r="R82" i="6"/>
  <c r="Q44" i="6"/>
  <c r="P7" i="3" l="1"/>
  <c r="R7" i="3" s="1"/>
  <c r="D10" i="32" s="1"/>
  <c r="B10" i="32" l="1"/>
  <c r="Q7" i="3"/>
  <c r="C10" i="32" s="1"/>
  <c r="P36" i="12"/>
  <c r="Q36" i="12" s="1"/>
  <c r="P10" i="12"/>
  <c r="R10" i="12" s="1"/>
  <c r="P11" i="12"/>
  <c r="Q11" i="12"/>
  <c r="R11" i="12"/>
  <c r="P14" i="12"/>
  <c r="R14" i="12" s="1"/>
  <c r="P16" i="12"/>
  <c r="Q16" i="12" s="1"/>
  <c r="P17" i="12"/>
  <c r="Q17" i="12" s="1"/>
  <c r="P19" i="12"/>
  <c r="Q19" i="12" s="1"/>
  <c r="P20" i="12"/>
  <c r="Q20" i="12" s="1"/>
  <c r="P21" i="12"/>
  <c r="Q21" i="12" s="1"/>
  <c r="P22" i="12"/>
  <c r="R22" i="12" s="1"/>
  <c r="P23" i="12"/>
  <c r="Q23" i="12" s="1"/>
  <c r="P26" i="12"/>
  <c r="R26" i="12" s="1"/>
  <c r="P30" i="12"/>
  <c r="R30" i="12" s="1"/>
  <c r="P31" i="12"/>
  <c r="Q31" i="12" s="1"/>
  <c r="P32" i="12"/>
  <c r="Q32" i="12" s="1"/>
  <c r="P33" i="12"/>
  <c r="R33" i="12" s="1"/>
  <c r="P34" i="12"/>
  <c r="Q34" i="12" s="1"/>
  <c r="R32" i="12" l="1"/>
  <c r="Q10" i="12"/>
  <c r="Q22" i="12"/>
  <c r="R19" i="12"/>
  <c r="Q14" i="12"/>
  <c r="R36" i="12"/>
  <c r="Q33" i="12"/>
  <c r="Q30" i="12"/>
  <c r="Q26" i="12"/>
  <c r="R31" i="12"/>
  <c r="R23" i="12"/>
  <c r="R34" i="12"/>
  <c r="R20" i="12"/>
  <c r="R16" i="12"/>
  <c r="R21" i="12"/>
  <c r="R17" i="12"/>
  <c r="D60" i="4" l="1"/>
  <c r="F60" i="4"/>
  <c r="G60" i="4"/>
  <c r="H60" i="4"/>
  <c r="I60" i="4"/>
  <c r="J60" i="4"/>
  <c r="K60" i="4"/>
  <c r="L60" i="4"/>
  <c r="M60" i="4"/>
  <c r="N60" i="4"/>
  <c r="O60" i="4"/>
  <c r="E60" i="4"/>
  <c r="P9" i="18" l="1"/>
  <c r="Q9" i="18" s="1"/>
  <c r="R9" i="18" s="1"/>
  <c r="P7" i="18"/>
  <c r="P11" i="18" s="1"/>
  <c r="Q11" i="18" l="1"/>
  <c r="B19" i="32"/>
  <c r="Q7" i="18"/>
  <c r="R7" i="18" s="1"/>
  <c r="R11" i="18" l="1"/>
  <c r="D19" i="32" s="1"/>
  <c r="C19" i="32"/>
  <c r="P74" i="31"/>
  <c r="R74" i="31" s="1"/>
  <c r="O73" i="31"/>
  <c r="N73" i="31"/>
  <c r="M73" i="31"/>
  <c r="L73" i="31"/>
  <c r="K73" i="31"/>
  <c r="K75" i="31" s="1"/>
  <c r="J73" i="31"/>
  <c r="I73" i="31"/>
  <c r="H73" i="31"/>
  <c r="G73" i="31"/>
  <c r="F73" i="31"/>
  <c r="E73" i="31"/>
  <c r="D73" i="31"/>
  <c r="P73" i="31" s="1"/>
  <c r="P72" i="31"/>
  <c r="R72" i="31" s="1"/>
  <c r="P71" i="31"/>
  <c r="R71" i="31" s="1"/>
  <c r="P70" i="31"/>
  <c r="Q70" i="31" s="1"/>
  <c r="R69" i="31"/>
  <c r="Q69" i="31"/>
  <c r="P69" i="31"/>
  <c r="P68" i="31"/>
  <c r="R68" i="31" s="1"/>
  <c r="P67" i="31"/>
  <c r="R67" i="31" s="1"/>
  <c r="P66" i="31"/>
  <c r="R66" i="31" s="1"/>
  <c r="P65" i="31"/>
  <c r="Q65" i="31" s="1"/>
  <c r="P64" i="31"/>
  <c r="R64" i="31" s="1"/>
  <c r="P63" i="31"/>
  <c r="R63" i="31" s="1"/>
  <c r="P62" i="31"/>
  <c r="R62" i="31" s="1"/>
  <c r="P61" i="31"/>
  <c r="R61" i="31" s="1"/>
  <c r="P60" i="31"/>
  <c r="R60" i="31" s="1"/>
  <c r="P59" i="31"/>
  <c r="R59" i="31" s="1"/>
  <c r="R58" i="31"/>
  <c r="P58" i="31"/>
  <c r="Q58" i="31" s="1"/>
  <c r="P57" i="31"/>
  <c r="R57" i="31" s="1"/>
  <c r="P56" i="31"/>
  <c r="R56" i="31" s="1"/>
  <c r="P55" i="31"/>
  <c r="R55" i="31" s="1"/>
  <c r="P54" i="31"/>
  <c r="R54" i="31" s="1"/>
  <c r="P53" i="31"/>
  <c r="Q53" i="31" s="1"/>
  <c r="P52" i="31"/>
  <c r="Q52" i="31" s="1"/>
  <c r="P51" i="31"/>
  <c r="R51" i="31" s="1"/>
  <c r="R50" i="31"/>
  <c r="P50" i="31"/>
  <c r="Q50" i="31" s="1"/>
  <c r="P49" i="31"/>
  <c r="Q49" i="31" s="1"/>
  <c r="P48" i="31"/>
  <c r="R48" i="31" s="1"/>
  <c r="P47" i="31"/>
  <c r="R47" i="31" s="1"/>
  <c r="P46" i="31"/>
  <c r="R46" i="31" s="1"/>
  <c r="P45" i="31"/>
  <c r="Q45" i="31" s="1"/>
  <c r="P44" i="31"/>
  <c r="Q44" i="31" s="1"/>
  <c r="P43" i="31"/>
  <c r="R43" i="31" s="1"/>
  <c r="R42" i="31"/>
  <c r="P42" i="31"/>
  <c r="Q42" i="31" s="1"/>
  <c r="P41" i="31"/>
  <c r="Q41" i="31" s="1"/>
  <c r="O40" i="31"/>
  <c r="O75" i="31" s="1"/>
  <c r="N40" i="31"/>
  <c r="M40" i="31"/>
  <c r="L40" i="31"/>
  <c r="K40" i="31"/>
  <c r="J40" i="31"/>
  <c r="I40" i="31"/>
  <c r="H40" i="31"/>
  <c r="G40" i="31"/>
  <c r="F40" i="31"/>
  <c r="E40" i="31"/>
  <c r="D40" i="31"/>
  <c r="P39" i="31"/>
  <c r="R39" i="31" s="1"/>
  <c r="P38" i="31"/>
  <c r="Q38" i="31" s="1"/>
  <c r="R37" i="31"/>
  <c r="P37" i="31"/>
  <c r="Q37" i="31" s="1"/>
  <c r="P36" i="31"/>
  <c r="Q36" i="31" s="1"/>
  <c r="P35" i="31"/>
  <c r="R35" i="31" s="1"/>
  <c r="P34" i="31"/>
  <c r="Q34" i="31" s="1"/>
  <c r="Q33" i="31"/>
  <c r="P33" i="31"/>
  <c r="R33" i="31" s="1"/>
  <c r="P32" i="31"/>
  <c r="Q32" i="31" s="1"/>
  <c r="P31" i="31"/>
  <c r="R31" i="31" s="1"/>
  <c r="R30" i="31"/>
  <c r="P30" i="31"/>
  <c r="Q30" i="31" s="1"/>
  <c r="P29" i="31"/>
  <c r="Q29" i="31" s="1"/>
  <c r="P28" i="31"/>
  <c r="Q28" i="31" s="1"/>
  <c r="P27" i="31"/>
  <c r="R27" i="31" s="1"/>
  <c r="P26" i="31"/>
  <c r="Q26" i="31" s="1"/>
  <c r="P25" i="31"/>
  <c r="R25" i="31" s="1"/>
  <c r="P24" i="31"/>
  <c r="Q24" i="31" s="1"/>
  <c r="P23" i="31"/>
  <c r="R23" i="31" s="1"/>
  <c r="P22" i="31"/>
  <c r="Q22" i="31" s="1"/>
  <c r="P21" i="31"/>
  <c r="R21" i="31" s="1"/>
  <c r="P20" i="31"/>
  <c r="R20" i="31" s="1"/>
  <c r="P19" i="31"/>
  <c r="R19" i="31" s="1"/>
  <c r="P18" i="31"/>
  <c r="Q18" i="31" s="1"/>
  <c r="R17" i="31"/>
  <c r="P17" i="31"/>
  <c r="Q17" i="31" s="1"/>
  <c r="P16" i="31"/>
  <c r="Q16" i="31" s="1"/>
  <c r="P15" i="31"/>
  <c r="R15" i="31" s="1"/>
  <c r="P14" i="31"/>
  <c r="Q14" i="31" s="1"/>
  <c r="P13" i="31"/>
  <c r="Q13" i="31" s="1"/>
  <c r="P12" i="31"/>
  <c r="Q12" i="31" s="1"/>
  <c r="P11" i="31"/>
  <c r="R11" i="31" s="1"/>
  <c r="P10" i="31"/>
  <c r="Q10" i="31" s="1"/>
  <c r="P9" i="31"/>
  <c r="R9" i="31" s="1"/>
  <c r="P8" i="31"/>
  <c r="Q8" i="31" s="1"/>
  <c r="P7" i="31"/>
  <c r="R7" i="31" s="1"/>
  <c r="Q21" i="31" l="1"/>
  <c r="D75" i="31"/>
  <c r="H75" i="31"/>
  <c r="L75" i="31"/>
  <c r="Q46" i="31"/>
  <c r="Q54" i="31"/>
  <c r="R65" i="31"/>
  <c r="R70" i="31"/>
  <c r="R14" i="31"/>
  <c r="Q60" i="31"/>
  <c r="G75" i="31"/>
  <c r="Q62" i="31"/>
  <c r="Q64" i="31"/>
  <c r="E75" i="31"/>
  <c r="I75" i="31"/>
  <c r="M75" i="31"/>
  <c r="Q74" i="31"/>
  <c r="R26" i="31"/>
  <c r="Q57" i="31"/>
  <c r="Q9" i="31"/>
  <c r="R13" i="31"/>
  <c r="R22" i="31"/>
  <c r="Q25" i="31"/>
  <c r="R29" i="31"/>
  <c r="R38" i="31"/>
  <c r="R41" i="31"/>
  <c r="R45" i="31"/>
  <c r="R49" i="31"/>
  <c r="R53" i="31"/>
  <c r="Q61" i="31"/>
  <c r="Q66" i="31"/>
  <c r="Q68" i="31"/>
  <c r="F75" i="31"/>
  <c r="J75" i="31"/>
  <c r="N75" i="31"/>
  <c r="R10" i="31"/>
  <c r="R18" i="31"/>
  <c r="R34" i="31"/>
  <c r="Q72" i="31"/>
  <c r="R73" i="31"/>
  <c r="Q73" i="31"/>
  <c r="P40" i="31"/>
  <c r="Q20" i="31"/>
  <c r="Q48" i="31"/>
  <c r="Q56" i="31"/>
  <c r="Q7" i="31"/>
  <c r="R8" i="31"/>
  <c r="Q11" i="31"/>
  <c r="R12" i="31"/>
  <c r="Q15" i="31"/>
  <c r="R16" i="31"/>
  <c r="Q19" i="31"/>
  <c r="Q23" i="31"/>
  <c r="R24" i="31"/>
  <c r="Q27" i="31"/>
  <c r="R28" i="31"/>
  <c r="Q31" i="31"/>
  <c r="R32" i="31"/>
  <c r="Q35" i="31"/>
  <c r="R36" i="31"/>
  <c r="Q39" i="31"/>
  <c r="Q43" i="31"/>
  <c r="R44" i="31"/>
  <c r="Q47" i="31"/>
  <c r="Q51" i="31"/>
  <c r="R52" i="31"/>
  <c r="Q55" i="31"/>
  <c r="Q59" i="31"/>
  <c r="Q63" i="31"/>
  <c r="Q67" i="31"/>
  <c r="Q71" i="31"/>
  <c r="B43" i="32"/>
  <c r="D13" i="32"/>
  <c r="C13" i="32"/>
  <c r="B41" i="32"/>
  <c r="D4" i="32"/>
  <c r="C4" i="32"/>
  <c r="B4" i="32"/>
  <c r="P75" i="31" l="1"/>
  <c r="B9" i="32" s="1"/>
  <c r="B34" i="32" s="1"/>
  <c r="R40" i="31"/>
  <c r="Q40" i="31"/>
  <c r="R75" i="31"/>
  <c r="D9" i="32" s="1"/>
  <c r="Q75" i="31"/>
  <c r="C9" i="32" s="1"/>
  <c r="P56" i="4"/>
  <c r="R56" i="4" l="1"/>
  <c r="Q56" i="4"/>
  <c r="P59" i="4"/>
  <c r="P58" i="4"/>
  <c r="P57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Q37" i="4" l="1"/>
  <c r="R37" i="4"/>
  <c r="Q49" i="4"/>
  <c r="R49" i="4"/>
  <c r="R54" i="4"/>
  <c r="Q54" i="4"/>
  <c r="R38" i="4"/>
  <c r="Q38" i="4"/>
  <c r="Q46" i="4"/>
  <c r="R46" i="4"/>
  <c r="Q35" i="4"/>
  <c r="R35" i="4"/>
  <c r="Q39" i="4"/>
  <c r="R39" i="4"/>
  <c r="Q43" i="4"/>
  <c r="R43" i="4"/>
  <c r="Q47" i="4"/>
  <c r="R47" i="4"/>
  <c r="Q51" i="4"/>
  <c r="R51" i="4"/>
  <c r="Q57" i="4"/>
  <c r="R57" i="4"/>
  <c r="Q41" i="4"/>
  <c r="R41" i="4"/>
  <c r="Q45" i="4"/>
  <c r="R45" i="4"/>
  <c r="Q59" i="4"/>
  <c r="R59" i="4"/>
  <c r="R42" i="4"/>
  <c r="Q42" i="4"/>
  <c r="R50" i="4"/>
  <c r="Q50" i="4"/>
  <c r="Q55" i="4"/>
  <c r="R55" i="4"/>
  <c r="R36" i="4"/>
  <c r="Q36" i="4"/>
  <c r="Q40" i="4"/>
  <c r="R40" i="4"/>
  <c r="R44" i="4"/>
  <c r="Q44" i="4"/>
  <c r="R48" i="4"/>
  <c r="Q48" i="4"/>
  <c r="Q52" i="4"/>
  <c r="R52" i="4"/>
  <c r="Q53" i="4"/>
  <c r="R53" i="4"/>
  <c r="Q58" i="4"/>
  <c r="R58" i="4"/>
  <c r="P34" i="4"/>
  <c r="P33" i="4"/>
  <c r="P32" i="4"/>
  <c r="P31" i="4"/>
  <c r="Q31" i="4" l="1"/>
  <c r="R31" i="4"/>
  <c r="Q32" i="4"/>
  <c r="R32" i="4"/>
  <c r="Q33" i="4"/>
  <c r="R33" i="4"/>
  <c r="R34" i="4"/>
  <c r="Q34" i="4"/>
  <c r="P10" i="4"/>
  <c r="P19" i="4"/>
  <c r="P18" i="4"/>
  <c r="P17" i="4"/>
  <c r="P16" i="4"/>
  <c r="P15" i="4"/>
  <c r="P14" i="4"/>
  <c r="P13" i="4"/>
  <c r="P12" i="4"/>
  <c r="P11" i="4"/>
  <c r="P9" i="4"/>
  <c r="P8" i="4"/>
  <c r="P7" i="4"/>
  <c r="R13" i="4" l="1"/>
  <c r="Q13" i="4"/>
  <c r="Q9" i="4"/>
  <c r="R9" i="4"/>
  <c r="R14" i="4"/>
  <c r="Q14" i="4"/>
  <c r="R18" i="4"/>
  <c r="Q18" i="4"/>
  <c r="R8" i="4"/>
  <c r="Q8" i="4"/>
  <c r="Q17" i="4"/>
  <c r="R17" i="4"/>
  <c r="Q11" i="4"/>
  <c r="R11" i="4"/>
  <c r="Q15" i="4"/>
  <c r="R15" i="4"/>
  <c r="R19" i="4"/>
  <c r="Q19" i="4"/>
  <c r="R7" i="4"/>
  <c r="Q7" i="4"/>
  <c r="R12" i="4"/>
  <c r="Q12" i="4"/>
  <c r="R16" i="4"/>
  <c r="Q16" i="4"/>
  <c r="R10" i="4"/>
  <c r="Q10" i="4"/>
  <c r="P10" i="2"/>
  <c r="P7" i="2" l="1"/>
  <c r="P8" i="2"/>
  <c r="R7" i="2" l="1"/>
  <c r="G37" i="12" l="1"/>
  <c r="D37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L13" i="12"/>
  <c r="K13" i="12"/>
  <c r="F13" i="12"/>
  <c r="E13" i="12"/>
  <c r="O12" i="12"/>
  <c r="P12" i="12" s="1"/>
  <c r="M9" i="12"/>
  <c r="D9" i="12"/>
  <c r="D8" i="12"/>
  <c r="P8" i="12" s="1"/>
  <c r="O7" i="12"/>
  <c r="N7" i="12"/>
  <c r="M7" i="12"/>
  <c r="L7" i="12"/>
  <c r="K7" i="12"/>
  <c r="J7" i="12"/>
  <c r="I7" i="12"/>
  <c r="H7" i="12"/>
  <c r="G7" i="12"/>
  <c r="F7" i="12"/>
  <c r="E7" i="12"/>
  <c r="D7" i="12"/>
  <c r="Q12" i="12" l="1"/>
  <c r="R12" i="12"/>
  <c r="Q8" i="12"/>
  <c r="R8" i="12"/>
  <c r="P15" i="12"/>
  <c r="P18" i="12"/>
  <c r="P24" i="12"/>
  <c r="P25" i="12"/>
  <c r="P27" i="12"/>
  <c r="P28" i="12"/>
  <c r="P29" i="12"/>
  <c r="P13" i="12"/>
  <c r="P9" i="12"/>
  <c r="P7" i="12"/>
  <c r="D35" i="12"/>
  <c r="P9" i="30"/>
  <c r="Q13" i="12" l="1"/>
  <c r="R13" i="12"/>
  <c r="Q25" i="12"/>
  <c r="R25" i="12"/>
  <c r="Q29" i="12"/>
  <c r="R29" i="12"/>
  <c r="Q24" i="12"/>
  <c r="R24" i="12"/>
  <c r="Q28" i="12"/>
  <c r="R28" i="12"/>
  <c r="R18" i="12"/>
  <c r="Q18" i="12"/>
  <c r="Q9" i="12"/>
  <c r="R9" i="12"/>
  <c r="Q27" i="12"/>
  <c r="R27" i="12"/>
  <c r="Q15" i="12"/>
  <c r="R15" i="12"/>
  <c r="Q7" i="12"/>
  <c r="R7" i="12"/>
  <c r="P7" i="1"/>
  <c r="B6" i="32" s="1"/>
  <c r="B38" i="32" s="1"/>
  <c r="Q7" i="1" l="1"/>
  <c r="C6" i="32" s="1"/>
  <c r="R7" i="1"/>
  <c r="D6" i="32" s="1"/>
  <c r="P11" i="24"/>
  <c r="Q11" i="24" s="1"/>
  <c r="P60" i="10"/>
  <c r="R60" i="10" s="1"/>
  <c r="E62" i="10"/>
  <c r="P71" i="10"/>
  <c r="R71" i="10" s="1"/>
  <c r="P72" i="10"/>
  <c r="R72" i="10" s="1"/>
  <c r="P73" i="10"/>
  <c r="Q73" i="10" s="1"/>
  <c r="P74" i="10"/>
  <c r="Q74" i="10" s="1"/>
  <c r="P75" i="10"/>
  <c r="R75" i="10" s="1"/>
  <c r="P76" i="10"/>
  <c r="R76" i="10" s="1"/>
  <c r="P77" i="10"/>
  <c r="Q77" i="10" s="1"/>
  <c r="P78" i="10"/>
  <c r="Q78" i="10" s="1"/>
  <c r="P79" i="10"/>
  <c r="R79" i="10" s="1"/>
  <c r="P80" i="10"/>
  <c r="R80" i="10" s="1"/>
  <c r="Q79" i="10" l="1"/>
  <c r="Q71" i="10"/>
  <c r="Q60" i="10"/>
  <c r="R11" i="24"/>
  <c r="Q76" i="10"/>
  <c r="Q80" i="10"/>
  <c r="Q72" i="10"/>
  <c r="Q75" i="10"/>
  <c r="R77" i="10"/>
  <c r="R73" i="10"/>
  <c r="R78" i="10"/>
  <c r="R74" i="10"/>
  <c r="P12" i="24" l="1"/>
  <c r="Q12" i="24" s="1"/>
  <c r="P13" i="24"/>
  <c r="Q13" i="24" s="1"/>
  <c r="D15" i="24"/>
  <c r="P7" i="24"/>
  <c r="R7" i="24" s="1"/>
  <c r="P8" i="24"/>
  <c r="R8" i="24" s="1"/>
  <c r="P9" i="24"/>
  <c r="R9" i="24" s="1"/>
  <c r="P10" i="24"/>
  <c r="Q10" i="24" s="1"/>
  <c r="P14" i="24"/>
  <c r="R14" i="24" s="1"/>
  <c r="R13" i="24" l="1"/>
  <c r="R12" i="24"/>
  <c r="Q9" i="24"/>
  <c r="R10" i="24"/>
  <c r="Q8" i="24"/>
  <c r="Q14" i="24"/>
  <c r="Q7" i="24"/>
  <c r="P9" i="11" l="1"/>
  <c r="R9" i="11" s="1"/>
  <c r="P8" i="11"/>
  <c r="Q8" i="11" s="1"/>
  <c r="D28" i="4"/>
  <c r="E28" i="4"/>
  <c r="F28" i="4"/>
  <c r="G28" i="4"/>
  <c r="H28" i="4"/>
  <c r="I28" i="4"/>
  <c r="J28" i="4"/>
  <c r="K28" i="4"/>
  <c r="L28" i="4"/>
  <c r="M28" i="4"/>
  <c r="N28" i="4"/>
  <c r="O28" i="4"/>
  <c r="P7" i="22"/>
  <c r="P8" i="22"/>
  <c r="E12" i="2"/>
  <c r="F12" i="2"/>
  <c r="G12" i="2"/>
  <c r="H12" i="2"/>
  <c r="I12" i="2"/>
  <c r="J12" i="2"/>
  <c r="K12" i="2"/>
  <c r="L12" i="2"/>
  <c r="M12" i="2"/>
  <c r="N12" i="2"/>
  <c r="O12" i="2"/>
  <c r="D12" i="2"/>
  <c r="E9" i="20"/>
  <c r="F9" i="20"/>
  <c r="G9" i="20"/>
  <c r="H9" i="20"/>
  <c r="I9" i="20"/>
  <c r="J9" i="20"/>
  <c r="K9" i="20"/>
  <c r="L9" i="20"/>
  <c r="M9" i="20"/>
  <c r="N9" i="20"/>
  <c r="O9" i="20"/>
  <c r="D9" i="20"/>
  <c r="P8" i="9"/>
  <c r="R8" i="9" s="1"/>
  <c r="E9" i="9"/>
  <c r="F9" i="9"/>
  <c r="G9" i="9"/>
  <c r="H9" i="9"/>
  <c r="I9" i="9"/>
  <c r="J9" i="9"/>
  <c r="K9" i="9"/>
  <c r="L9" i="9"/>
  <c r="M9" i="9"/>
  <c r="N9" i="9"/>
  <c r="O9" i="9"/>
  <c r="D9" i="9"/>
  <c r="Q8" i="9" l="1"/>
  <c r="Q9" i="11"/>
  <c r="R8" i="11"/>
  <c r="P41" i="6"/>
  <c r="R41" i="6" s="1"/>
  <c r="P45" i="6"/>
  <c r="Q45" i="6" s="1"/>
  <c r="P46" i="6"/>
  <c r="Q46" i="6" s="1"/>
  <c r="P47" i="6"/>
  <c r="Q47" i="6" s="1"/>
  <c r="P48" i="6"/>
  <c r="Q48" i="6" s="1"/>
  <c r="P49" i="6"/>
  <c r="Q49" i="6" s="1"/>
  <c r="Q41" i="6" l="1"/>
  <c r="R47" i="6"/>
  <c r="R46" i="6"/>
  <c r="R48" i="6"/>
  <c r="R49" i="6"/>
  <c r="R45" i="6"/>
  <c r="P33" i="6"/>
  <c r="R33" i="6" s="1"/>
  <c r="Q33" i="6" l="1"/>
  <c r="P74" i="6" l="1"/>
  <c r="Q74" i="6" s="1"/>
  <c r="R74" i="6" l="1"/>
  <c r="O15" i="24"/>
  <c r="D21" i="32" s="1"/>
  <c r="N15" i="24"/>
  <c r="C21" i="32" s="1"/>
  <c r="M15" i="24"/>
  <c r="L15" i="24"/>
  <c r="K15" i="24"/>
  <c r="J15" i="24"/>
  <c r="I15" i="24"/>
  <c r="H15" i="24"/>
  <c r="G15" i="24"/>
  <c r="F15" i="24"/>
  <c r="E15" i="24"/>
  <c r="P17" i="23"/>
  <c r="Q17" i="23" s="1"/>
  <c r="P16" i="23"/>
  <c r="R16" i="23" s="1"/>
  <c r="P15" i="23"/>
  <c r="R11" i="23"/>
  <c r="P9" i="23"/>
  <c r="R9" i="23" s="1"/>
  <c r="P8" i="23"/>
  <c r="R8" i="23" s="1"/>
  <c r="P7" i="23"/>
  <c r="R7" i="23" s="1"/>
  <c r="O81" i="10"/>
  <c r="N81" i="10"/>
  <c r="M81" i="10"/>
  <c r="L81" i="10"/>
  <c r="K81" i="10"/>
  <c r="J81" i="10"/>
  <c r="I81" i="10"/>
  <c r="H81" i="10"/>
  <c r="G81" i="10"/>
  <c r="F81" i="10"/>
  <c r="E81" i="10"/>
  <c r="E83" i="10" s="1"/>
  <c r="D81" i="10"/>
  <c r="P70" i="10"/>
  <c r="Q70" i="10" s="1"/>
  <c r="P69" i="10"/>
  <c r="R69" i="10" s="1"/>
  <c r="P68" i="10"/>
  <c r="Q68" i="10" s="1"/>
  <c r="P67" i="10"/>
  <c r="Q67" i="10" s="1"/>
  <c r="P66" i="10"/>
  <c r="Q66" i="10" s="1"/>
  <c r="P65" i="10"/>
  <c r="R65" i="10" s="1"/>
  <c r="P64" i="10"/>
  <c r="Q64" i="10" s="1"/>
  <c r="P63" i="10"/>
  <c r="R63" i="10" s="1"/>
  <c r="O62" i="10"/>
  <c r="N62" i="10"/>
  <c r="M62" i="10"/>
  <c r="L62" i="10"/>
  <c r="K62" i="10"/>
  <c r="J62" i="10"/>
  <c r="I62" i="10"/>
  <c r="H62" i="10"/>
  <c r="G62" i="10"/>
  <c r="F62" i="10"/>
  <c r="D62" i="10"/>
  <c r="P61" i="10"/>
  <c r="R61" i="10" s="1"/>
  <c r="P59" i="10"/>
  <c r="Q59" i="10" s="1"/>
  <c r="P58" i="10"/>
  <c r="R58" i="10" s="1"/>
  <c r="P57" i="10"/>
  <c r="Q57" i="10" s="1"/>
  <c r="P56" i="10"/>
  <c r="R56" i="10" s="1"/>
  <c r="P55" i="10"/>
  <c r="Q55" i="10" s="1"/>
  <c r="P54" i="10"/>
  <c r="R54" i="10" s="1"/>
  <c r="P53" i="10"/>
  <c r="Q53" i="10" s="1"/>
  <c r="P52" i="10"/>
  <c r="R52" i="10" s="1"/>
  <c r="P51" i="10"/>
  <c r="R51" i="10" s="1"/>
  <c r="P50" i="10"/>
  <c r="Q50" i="10" s="1"/>
  <c r="P49" i="10"/>
  <c r="R49" i="10" s="1"/>
  <c r="P48" i="10"/>
  <c r="Q48" i="10" s="1"/>
  <c r="P47" i="10"/>
  <c r="R47" i="10" s="1"/>
  <c r="P46" i="10"/>
  <c r="Q46" i="10" s="1"/>
  <c r="P45" i="10"/>
  <c r="R45" i="10" s="1"/>
  <c r="P44" i="10"/>
  <c r="Q44" i="10" s="1"/>
  <c r="P43" i="10"/>
  <c r="R43" i="10" s="1"/>
  <c r="P42" i="10"/>
  <c r="Q42" i="10" s="1"/>
  <c r="P41" i="10"/>
  <c r="R41" i="10" s="1"/>
  <c r="P40" i="10"/>
  <c r="Q40" i="10" s="1"/>
  <c r="P39" i="10"/>
  <c r="R39" i="10" s="1"/>
  <c r="P38" i="10"/>
  <c r="Q38" i="10" s="1"/>
  <c r="P37" i="10"/>
  <c r="R37" i="10" s="1"/>
  <c r="P36" i="10"/>
  <c r="Q36" i="10" s="1"/>
  <c r="P35" i="10"/>
  <c r="R35" i="10" s="1"/>
  <c r="P34" i="10"/>
  <c r="Q34" i="10" s="1"/>
  <c r="P33" i="10"/>
  <c r="R33" i="10" s="1"/>
  <c r="P32" i="10"/>
  <c r="Q32" i="10" s="1"/>
  <c r="P31" i="10"/>
  <c r="R31" i="10" s="1"/>
  <c r="P30" i="10"/>
  <c r="Q30" i="10" s="1"/>
  <c r="P29" i="10"/>
  <c r="R29" i="10" s="1"/>
  <c r="P28" i="10"/>
  <c r="Q28" i="10" s="1"/>
  <c r="P27" i="10"/>
  <c r="R27" i="10" s="1"/>
  <c r="P26" i="10"/>
  <c r="Q26" i="10" s="1"/>
  <c r="P25" i="10"/>
  <c r="R25" i="10" s="1"/>
  <c r="P24" i="10"/>
  <c r="Q24" i="10" s="1"/>
  <c r="P23" i="10"/>
  <c r="R23" i="10" s="1"/>
  <c r="P22" i="10"/>
  <c r="Q22" i="10" s="1"/>
  <c r="P21" i="10"/>
  <c r="R21" i="10" s="1"/>
  <c r="P20" i="10"/>
  <c r="Q20" i="10" s="1"/>
  <c r="P19" i="10"/>
  <c r="R19" i="10" s="1"/>
  <c r="P18" i="10"/>
  <c r="Q18" i="10" s="1"/>
  <c r="P17" i="10"/>
  <c r="R17" i="10" s="1"/>
  <c r="P16" i="10"/>
  <c r="Q16" i="10" s="1"/>
  <c r="P15" i="10"/>
  <c r="R15" i="10" s="1"/>
  <c r="P14" i="10"/>
  <c r="R14" i="10" s="1"/>
  <c r="P13" i="10"/>
  <c r="Q13" i="10" s="1"/>
  <c r="P12" i="10"/>
  <c r="R12" i="10" s="1"/>
  <c r="P11" i="10"/>
  <c r="Q11" i="10" s="1"/>
  <c r="P10" i="10"/>
  <c r="R10" i="10" s="1"/>
  <c r="P9" i="10"/>
  <c r="Q9" i="10" s="1"/>
  <c r="P8" i="10"/>
  <c r="R8" i="10" s="1"/>
  <c r="Q8" i="23" l="1"/>
  <c r="P18" i="23"/>
  <c r="Q18" i="23" s="1"/>
  <c r="Q69" i="10"/>
  <c r="Q52" i="10"/>
  <c r="Q23" i="10"/>
  <c r="Q37" i="10"/>
  <c r="Q29" i="10"/>
  <c r="Q39" i="10"/>
  <c r="Q45" i="10"/>
  <c r="Q54" i="10"/>
  <c r="D83" i="10"/>
  <c r="H83" i="10"/>
  <c r="L83" i="10"/>
  <c r="Q14" i="10"/>
  <c r="Q21" i="10"/>
  <c r="Q61" i="10"/>
  <c r="Q65" i="10"/>
  <c r="Q8" i="10"/>
  <c r="I83" i="10"/>
  <c r="P15" i="24"/>
  <c r="B21" i="32" s="1"/>
  <c r="B28" i="32" s="1"/>
  <c r="G83" i="10"/>
  <c r="K83" i="10"/>
  <c r="O83" i="10"/>
  <c r="F83" i="10"/>
  <c r="J83" i="10"/>
  <c r="N83" i="10"/>
  <c r="M83" i="10"/>
  <c r="Q63" i="10"/>
  <c r="Q15" i="10"/>
  <c r="Q31" i="10"/>
  <c r="Q47" i="10"/>
  <c r="Q10" i="10"/>
  <c r="Q17" i="10"/>
  <c r="Q25" i="10"/>
  <c r="Q33" i="10"/>
  <c r="Q41" i="10"/>
  <c r="Q49" i="10"/>
  <c r="Q56" i="10"/>
  <c r="Q12" i="10"/>
  <c r="Q19" i="10"/>
  <c r="Q27" i="10"/>
  <c r="Q35" i="10"/>
  <c r="Q43" i="10"/>
  <c r="Q51" i="10"/>
  <c r="Q58" i="10"/>
  <c r="R18" i="23"/>
  <c r="Q7" i="23"/>
  <c r="Q9" i="23"/>
  <c r="P10" i="23"/>
  <c r="P20" i="23" s="1"/>
  <c r="R15" i="23"/>
  <c r="Q16" i="23"/>
  <c r="R17" i="23"/>
  <c r="Q15" i="23"/>
  <c r="P62" i="10"/>
  <c r="P81" i="10"/>
  <c r="R9" i="10"/>
  <c r="R11" i="10"/>
  <c r="R13" i="10"/>
  <c r="R16" i="10"/>
  <c r="R18" i="10"/>
  <c r="R20" i="10"/>
  <c r="R22" i="10"/>
  <c r="R24" i="10"/>
  <c r="R26" i="10"/>
  <c r="R28" i="10"/>
  <c r="R30" i="10"/>
  <c r="R32" i="10"/>
  <c r="R34" i="10"/>
  <c r="R36" i="10"/>
  <c r="R38" i="10"/>
  <c r="R40" i="10"/>
  <c r="R42" i="10"/>
  <c r="R44" i="10"/>
  <c r="R46" i="10"/>
  <c r="R48" i="10"/>
  <c r="R50" i="10"/>
  <c r="R53" i="10"/>
  <c r="R55" i="10"/>
  <c r="R57" i="10"/>
  <c r="R59" i="10"/>
  <c r="R64" i="10"/>
  <c r="R66" i="10"/>
  <c r="R67" i="10"/>
  <c r="R68" i="10"/>
  <c r="R70" i="10"/>
  <c r="O12" i="11"/>
  <c r="H12" i="11"/>
  <c r="F12" i="11"/>
  <c r="F21" i="22"/>
  <c r="B20" i="32" l="1"/>
  <c r="B32" i="32" s="1"/>
  <c r="Q20" i="23"/>
  <c r="Q81" i="10"/>
  <c r="R15" i="24"/>
  <c r="R20" i="23"/>
  <c r="Q15" i="24"/>
  <c r="R81" i="10"/>
  <c r="Q62" i="10"/>
  <c r="R62" i="10"/>
  <c r="Q10" i="23"/>
  <c r="C20" i="32" s="1"/>
  <c r="R10" i="23"/>
  <c r="D20" i="32" s="1"/>
  <c r="P83" i="10"/>
  <c r="B16" i="32" s="1"/>
  <c r="B42" i="32" s="1"/>
  <c r="E37" i="12"/>
  <c r="F37" i="12"/>
  <c r="H37" i="12"/>
  <c r="I37" i="12"/>
  <c r="J37" i="12"/>
  <c r="K37" i="12"/>
  <c r="L37" i="12"/>
  <c r="E35" i="12"/>
  <c r="F35" i="12"/>
  <c r="G35" i="12"/>
  <c r="H35" i="12"/>
  <c r="I35" i="12"/>
  <c r="J35" i="12"/>
  <c r="K35" i="12"/>
  <c r="L35" i="12"/>
  <c r="M35" i="12"/>
  <c r="N35" i="12"/>
  <c r="O35" i="12"/>
  <c r="P35" i="12" l="1"/>
  <c r="Q83" i="10"/>
  <c r="C16" i="32" s="1"/>
  <c r="R83" i="10"/>
  <c r="D16" i="32" s="1"/>
  <c r="Q35" i="12" l="1"/>
  <c r="P37" i="12"/>
  <c r="B18" i="32" s="1"/>
  <c r="R35" i="12"/>
  <c r="P75" i="6"/>
  <c r="P76" i="6"/>
  <c r="F77" i="6"/>
  <c r="G77" i="6"/>
  <c r="H77" i="6"/>
  <c r="I77" i="6"/>
  <c r="J77" i="6"/>
  <c r="K77" i="6"/>
  <c r="L77" i="6"/>
  <c r="M77" i="6"/>
  <c r="N77" i="6"/>
  <c r="O77" i="6"/>
  <c r="D77" i="6"/>
  <c r="E77" i="6"/>
  <c r="N12" i="11" l="1"/>
  <c r="E21" i="22" l="1"/>
  <c r="G21" i="22"/>
  <c r="H21" i="22"/>
  <c r="I21" i="22"/>
  <c r="J21" i="22"/>
  <c r="K21" i="22"/>
  <c r="L21" i="22"/>
  <c r="M21" i="22"/>
  <c r="N21" i="22"/>
  <c r="O21" i="22"/>
  <c r="D21" i="22"/>
  <c r="O22" i="30" l="1"/>
  <c r="N22" i="30"/>
  <c r="M22" i="30"/>
  <c r="L22" i="30"/>
  <c r="K22" i="30"/>
  <c r="J22" i="30"/>
  <c r="I22" i="30"/>
  <c r="H22" i="30"/>
  <c r="G22" i="30"/>
  <c r="F22" i="30"/>
  <c r="E22" i="30"/>
  <c r="D22" i="30"/>
  <c r="M37" i="12" l="1"/>
  <c r="B29" i="32" s="1"/>
  <c r="O37" i="12"/>
  <c r="N37" i="12" l="1"/>
  <c r="E12" i="11"/>
  <c r="G12" i="11"/>
  <c r="I12" i="11"/>
  <c r="J12" i="11"/>
  <c r="K12" i="11"/>
  <c r="L12" i="11"/>
  <c r="M12" i="11"/>
  <c r="D12" i="11"/>
  <c r="P12" i="11" l="1"/>
  <c r="B17" i="32" s="1"/>
  <c r="B39" i="32" s="1"/>
  <c r="P11" i="2" l="1"/>
  <c r="Q11" i="2" s="1"/>
  <c r="R11" i="2" l="1"/>
  <c r="P9" i="8" l="1"/>
  <c r="B13" i="32" s="1"/>
  <c r="B35" i="32" s="1"/>
  <c r="P7" i="8"/>
  <c r="Q7" i="8" l="1"/>
  <c r="R7" i="8"/>
  <c r="P10" i="11"/>
  <c r="Q10" i="11" l="1"/>
  <c r="R10" i="11"/>
  <c r="R76" i="6"/>
  <c r="Q75" i="6" l="1"/>
  <c r="R75" i="6"/>
  <c r="Q76" i="6"/>
  <c r="P27" i="4" l="1"/>
  <c r="R27" i="4" s="1"/>
  <c r="P26" i="4"/>
  <c r="R26" i="4" s="1"/>
  <c r="P25" i="4"/>
  <c r="P24" i="4"/>
  <c r="P23" i="4"/>
  <c r="R23" i="4" s="1"/>
  <c r="P22" i="4"/>
  <c r="R22" i="4" s="1"/>
  <c r="P21" i="4"/>
  <c r="R21" i="4" s="1"/>
  <c r="P20" i="4"/>
  <c r="P28" i="4" l="1"/>
  <c r="Q26" i="4"/>
  <c r="Q22" i="4"/>
  <c r="Q24" i="4"/>
  <c r="R24" i="4"/>
  <c r="Q21" i="4"/>
  <c r="Q23" i="4"/>
  <c r="Q25" i="4"/>
  <c r="R25" i="4"/>
  <c r="Q27" i="4"/>
  <c r="Q20" i="4"/>
  <c r="R20" i="4"/>
  <c r="R28" i="4" l="1"/>
  <c r="Q28" i="4"/>
  <c r="P7" i="9"/>
  <c r="P9" i="9" l="1"/>
  <c r="Q7" i="9"/>
  <c r="R7" i="9"/>
  <c r="B14" i="32" l="1"/>
  <c r="B37" i="32" s="1"/>
  <c r="Q9" i="9"/>
  <c r="R9" i="9"/>
  <c r="D14" i="32" l="1"/>
  <c r="C14" i="32"/>
  <c r="P18" i="22" l="1"/>
  <c r="R18" i="22" s="1"/>
  <c r="P17" i="22"/>
  <c r="R17" i="22" s="1"/>
  <c r="P16" i="22"/>
  <c r="R16" i="22" s="1"/>
  <c r="Q17" i="22" l="1"/>
  <c r="Q18" i="22"/>
  <c r="Q16" i="22"/>
  <c r="P73" i="6" l="1"/>
  <c r="R73" i="6" s="1"/>
  <c r="P72" i="6"/>
  <c r="R72" i="6" s="1"/>
  <c r="P71" i="6"/>
  <c r="R71" i="6" s="1"/>
  <c r="P70" i="6"/>
  <c r="R70" i="6" s="1"/>
  <c r="P69" i="6"/>
  <c r="R69" i="6" s="1"/>
  <c r="P68" i="6"/>
  <c r="R68" i="6" s="1"/>
  <c r="P67" i="6"/>
  <c r="R67" i="6" s="1"/>
  <c r="P66" i="6"/>
  <c r="R66" i="6" s="1"/>
  <c r="P65" i="6"/>
  <c r="R65" i="6" s="1"/>
  <c r="P64" i="6"/>
  <c r="R64" i="6" s="1"/>
  <c r="P63" i="6"/>
  <c r="R63" i="6" s="1"/>
  <c r="P62" i="6"/>
  <c r="R62" i="6" s="1"/>
  <c r="P61" i="6"/>
  <c r="R61" i="6" s="1"/>
  <c r="P60" i="6"/>
  <c r="R60" i="6" s="1"/>
  <c r="P59" i="6"/>
  <c r="R59" i="6" s="1"/>
  <c r="P58" i="6"/>
  <c r="R58" i="6" s="1"/>
  <c r="P57" i="6"/>
  <c r="R57" i="6" s="1"/>
  <c r="P56" i="6"/>
  <c r="R56" i="6" s="1"/>
  <c r="P55" i="6"/>
  <c r="R55" i="6" s="1"/>
  <c r="P54" i="6"/>
  <c r="R54" i="6" s="1"/>
  <c r="P53" i="6"/>
  <c r="R53" i="6" s="1"/>
  <c r="P52" i="6"/>
  <c r="R52" i="6" s="1"/>
  <c r="P51" i="6"/>
  <c r="R51" i="6" s="1"/>
  <c r="P50" i="6"/>
  <c r="R50" i="6" s="1"/>
  <c r="P40" i="6"/>
  <c r="R40" i="6" s="1"/>
  <c r="P39" i="6"/>
  <c r="R39" i="6" s="1"/>
  <c r="P38" i="6"/>
  <c r="R38" i="6" s="1"/>
  <c r="P37" i="6"/>
  <c r="R37" i="6" s="1"/>
  <c r="P36" i="6"/>
  <c r="R36" i="6" s="1"/>
  <c r="P35" i="6"/>
  <c r="R35" i="6" s="1"/>
  <c r="P34" i="6"/>
  <c r="R34" i="6" s="1"/>
  <c r="P32" i="6"/>
  <c r="R32" i="6" s="1"/>
  <c r="P31" i="6"/>
  <c r="R31" i="6" s="1"/>
  <c r="P30" i="6"/>
  <c r="R30" i="6" s="1"/>
  <c r="P29" i="6"/>
  <c r="R29" i="6" s="1"/>
  <c r="P28" i="6"/>
  <c r="R28" i="6" s="1"/>
  <c r="P27" i="6"/>
  <c r="R27" i="6" s="1"/>
  <c r="P26" i="6"/>
  <c r="R26" i="6" s="1"/>
  <c r="P25" i="6"/>
  <c r="R25" i="6" s="1"/>
  <c r="P24" i="6"/>
  <c r="R24" i="6" s="1"/>
  <c r="P23" i="6"/>
  <c r="R23" i="6" s="1"/>
  <c r="P22" i="6"/>
  <c r="R22" i="6" s="1"/>
  <c r="P21" i="6"/>
  <c r="R21" i="6" s="1"/>
  <c r="P20" i="6"/>
  <c r="R20" i="6" s="1"/>
  <c r="P19" i="6"/>
  <c r="R19" i="6" s="1"/>
  <c r="P18" i="6"/>
  <c r="R18" i="6" s="1"/>
  <c r="P17" i="6"/>
  <c r="R17" i="6" s="1"/>
  <c r="P16" i="6"/>
  <c r="R16" i="6" s="1"/>
  <c r="P15" i="6"/>
  <c r="R15" i="6" s="1"/>
  <c r="P14" i="6"/>
  <c r="R14" i="6" s="1"/>
  <c r="P13" i="6"/>
  <c r="R13" i="6" s="1"/>
  <c r="P12" i="6"/>
  <c r="R12" i="6" s="1"/>
  <c r="P11" i="6"/>
  <c r="R11" i="6" s="1"/>
  <c r="P10" i="6"/>
  <c r="R10" i="6" s="1"/>
  <c r="P9" i="6"/>
  <c r="R9" i="6" s="1"/>
  <c r="P8" i="6"/>
  <c r="R8" i="6" s="1"/>
  <c r="P7" i="6"/>
  <c r="P77" i="6" l="1"/>
  <c r="B12" i="32" s="1"/>
  <c r="R7" i="6"/>
  <c r="B36" i="32" l="1"/>
  <c r="Q77" i="6"/>
  <c r="R77" i="6"/>
  <c r="P15" i="30"/>
  <c r="P14" i="30"/>
  <c r="P13" i="30"/>
  <c r="P12" i="30"/>
  <c r="P18" i="30"/>
  <c r="P17" i="30"/>
  <c r="P16" i="30"/>
  <c r="P11" i="30"/>
  <c r="P10" i="30"/>
  <c r="P20" i="30"/>
  <c r="R20" i="30" s="1"/>
  <c r="P19" i="30"/>
  <c r="P8" i="30"/>
  <c r="P7" i="30"/>
  <c r="C12" i="32" l="1"/>
  <c r="D12" i="32"/>
  <c r="R7" i="30"/>
  <c r="Q7" i="30"/>
  <c r="Q10" i="30"/>
  <c r="R10" i="30"/>
  <c r="Q11" i="30"/>
  <c r="R11" i="30"/>
  <c r="Q12" i="30"/>
  <c r="R12" i="30"/>
  <c r="Q15" i="30"/>
  <c r="R15" i="30"/>
  <c r="Q8" i="30"/>
  <c r="R8" i="30"/>
  <c r="Q18" i="30"/>
  <c r="R18" i="30"/>
  <c r="Q9" i="30"/>
  <c r="R9" i="30"/>
  <c r="Q19" i="30"/>
  <c r="R19" i="30"/>
  <c r="Q16" i="30"/>
  <c r="R16" i="30"/>
  <c r="Q13" i="30"/>
  <c r="R13" i="30"/>
  <c r="Q17" i="30"/>
  <c r="R17" i="30"/>
  <c r="Q14" i="30"/>
  <c r="R14" i="30"/>
  <c r="Q20" i="30"/>
  <c r="P21" i="30" l="1"/>
  <c r="P22" i="30" s="1"/>
  <c r="Q21" i="30"/>
  <c r="P20" i="22"/>
  <c r="R20" i="22" s="1"/>
  <c r="P19" i="22"/>
  <c r="R19" i="22" s="1"/>
  <c r="P15" i="22"/>
  <c r="R15" i="22" s="1"/>
  <c r="P14" i="22"/>
  <c r="R14" i="22" s="1"/>
  <c r="P13" i="22"/>
  <c r="R13" i="22" s="1"/>
  <c r="P12" i="22"/>
  <c r="R12" i="22" s="1"/>
  <c r="P11" i="22"/>
  <c r="R11" i="22" s="1"/>
  <c r="P10" i="22"/>
  <c r="R10" i="22" s="1"/>
  <c r="P9" i="22"/>
  <c r="R8" i="22"/>
  <c r="R7" i="22"/>
  <c r="P8" i="20"/>
  <c r="P7" i="20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0" i="6"/>
  <c r="Q39" i="6"/>
  <c r="Q38" i="6"/>
  <c r="Q37" i="6"/>
  <c r="Q36" i="6"/>
  <c r="Q35" i="6"/>
  <c r="Q34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B22" i="32" l="1"/>
  <c r="B27" i="32" s="1"/>
  <c r="R9" i="22"/>
  <c r="P21" i="22"/>
  <c r="R7" i="20"/>
  <c r="P9" i="20"/>
  <c r="B15" i="32" s="1"/>
  <c r="B33" i="32" s="1"/>
  <c r="Q22" i="30"/>
  <c r="R21" i="30"/>
  <c r="R22" i="30" s="1"/>
  <c r="Q10" i="22"/>
  <c r="Q14" i="22"/>
  <c r="Q7" i="22"/>
  <c r="Q11" i="22"/>
  <c r="Q15" i="22"/>
  <c r="Q8" i="22"/>
  <c r="Q12" i="22"/>
  <c r="Q19" i="22"/>
  <c r="Q9" i="22"/>
  <c r="Q13" i="22"/>
  <c r="Q20" i="22"/>
  <c r="Q7" i="20"/>
  <c r="D22" i="32" l="1"/>
  <c r="C22" i="32"/>
  <c r="B8" i="32"/>
  <c r="Q9" i="20"/>
  <c r="C15" i="32" s="1"/>
  <c r="R9" i="20"/>
  <c r="D15" i="32" s="1"/>
  <c r="R21" i="22"/>
  <c r="D8" i="32" s="1"/>
  <c r="Q21" i="22"/>
  <c r="C8" i="32" l="1"/>
  <c r="B40" i="32"/>
  <c r="P11" i="11" l="1"/>
  <c r="P7" i="11"/>
  <c r="Q7" i="11" l="1"/>
  <c r="R7" i="11"/>
  <c r="Q11" i="11"/>
  <c r="R11" i="11"/>
  <c r="R12" i="11"/>
  <c r="D17" i="32" s="1"/>
  <c r="Q12" i="11" l="1"/>
  <c r="C17" i="32" s="1"/>
  <c r="P9" i="2" l="1"/>
  <c r="P12" i="2" s="1"/>
  <c r="B7" i="32" s="1"/>
  <c r="B30" i="32" s="1"/>
  <c r="Q9" i="2" l="1"/>
  <c r="R9" i="2"/>
  <c r="Q10" i="2"/>
  <c r="R10" i="2"/>
  <c r="Q8" i="2"/>
  <c r="R8" i="2"/>
  <c r="R12" i="2"/>
  <c r="D7" i="32" s="1"/>
  <c r="Q7" i="2"/>
  <c r="Q12" i="2" l="1"/>
  <c r="C7" i="32" s="1"/>
  <c r="P30" i="4" l="1"/>
  <c r="P60" i="4" l="1"/>
  <c r="R30" i="4"/>
  <c r="Q30" i="4"/>
  <c r="Q60" i="4" l="1"/>
  <c r="R60" i="4"/>
  <c r="P63" i="4"/>
  <c r="Q63" i="4" l="1"/>
  <c r="C11" i="32" s="1"/>
  <c r="R63" i="4"/>
  <c r="D11" i="32" s="1"/>
  <c r="B11" i="32"/>
  <c r="B23" i="32" l="1"/>
  <c r="B31" i="32"/>
  <c r="B44" i="32" s="1"/>
  <c r="R37" i="12"/>
  <c r="D18" i="32" s="1"/>
  <c r="D23" i="32" s="1"/>
  <c r="Q37" i="12"/>
  <c r="C18" i="32" s="1"/>
  <c r="C23" i="32" s="1"/>
  <c r="E10" i="32" l="1"/>
  <c r="E8" i="32"/>
  <c r="E7" i="32"/>
  <c r="E15" i="32"/>
  <c r="E17" i="32"/>
  <c r="E22" i="32"/>
  <c r="E18" i="32"/>
  <c r="E6" i="32"/>
  <c r="E12" i="32"/>
  <c r="E14" i="32"/>
  <c r="E20" i="32"/>
  <c r="E21" i="32"/>
  <c r="E16" i="32"/>
  <c r="E11" i="32"/>
  <c r="B46" i="32"/>
  <c r="E19" i="32"/>
  <c r="E13" i="32"/>
  <c r="E9" i="32"/>
  <c r="E23" i="32" l="1"/>
</calcChain>
</file>

<file path=xl/sharedStrings.xml><?xml version="1.0" encoding="utf-8"?>
<sst xmlns="http://schemas.openxmlformats.org/spreadsheetml/2006/main" count="1470" uniqueCount="468">
  <si>
    <t xml:space="preserve">RELLENO SANITARIO DE SAN FRANCISCO MENENDEZ </t>
  </si>
  <si>
    <t>DEPARTAMENTO</t>
  </si>
  <si>
    <t>MUNICIPIO</t>
  </si>
  <si>
    <t>TOTAL DEPOSITADO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</si>
  <si>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</si>
  <si>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</si>
  <si>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</si>
  <si>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</si>
  <si>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</si>
  <si>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</si>
  <si>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</si>
  <si>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</si>
  <si>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</si>
  <si>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</si>
  <si>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</si>
  <si>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</si>
  <si>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Ahuachapan</t>
  </si>
  <si>
    <t>San Francisco Menendez</t>
  </si>
  <si>
    <t>RELLENO SANITARIO DE ATIQUIZAYA</t>
  </si>
  <si>
    <t>La Libertad</t>
  </si>
  <si>
    <t>Atiquizaya</t>
  </si>
  <si>
    <t>Ahuachapán</t>
  </si>
  <si>
    <t>San Vicente</t>
  </si>
  <si>
    <t>San Lorenzo</t>
  </si>
  <si>
    <t>TOTAL</t>
  </si>
  <si>
    <t>RELLENO SANITARIO MANUAL DE SANTA ISABEL ISHUATAN</t>
  </si>
  <si>
    <t>Sonsonate</t>
  </si>
  <si>
    <t>Santa Isabel Ishuatan</t>
  </si>
  <si>
    <t>Santa Ana</t>
  </si>
  <si>
    <t>Candelaria de la Frontera</t>
  </si>
  <si>
    <t>Coatepeque</t>
  </si>
  <si>
    <t>San Sebastián Salitrillo</t>
  </si>
  <si>
    <t>La Paz</t>
  </si>
  <si>
    <t>San Salvador</t>
  </si>
  <si>
    <t>TOTAL TON/RECIBIDAS AL MES, AÑO</t>
  </si>
  <si>
    <t>RELLENO SANITARIO DE MIDES</t>
  </si>
  <si>
    <t>El Congo</t>
  </si>
  <si>
    <t>Chalchuapa</t>
  </si>
  <si>
    <t>Masahuat</t>
  </si>
  <si>
    <t>Metapán</t>
  </si>
  <si>
    <t>Santiago de la Frontera</t>
  </si>
  <si>
    <t>Texistepeque</t>
  </si>
  <si>
    <t>Aguilares</t>
  </si>
  <si>
    <t>Chalatenango</t>
  </si>
  <si>
    <t>Nueva Concepción</t>
  </si>
  <si>
    <t>Tejutla</t>
  </si>
  <si>
    <t>La Reina</t>
  </si>
  <si>
    <t>Agua Caliente</t>
  </si>
  <si>
    <t>San Ignacio</t>
  </si>
  <si>
    <t>San Francisco Morazán</t>
  </si>
  <si>
    <t>Arcatao</t>
  </si>
  <si>
    <t>San José Cancasque</t>
  </si>
  <si>
    <t>San Fernando</t>
  </si>
  <si>
    <t>San Francisco Lempa</t>
  </si>
  <si>
    <t>Cabañas</t>
  </si>
  <si>
    <t>San Isidro</t>
  </si>
  <si>
    <t>San Miguel</t>
  </si>
  <si>
    <t>Empresas</t>
  </si>
  <si>
    <t>Morazán</t>
  </si>
  <si>
    <t>Particulares</t>
  </si>
  <si>
    <t>Calvo Conservas, El Salvador</t>
  </si>
  <si>
    <t xml:space="preserve">TOTAL </t>
  </si>
  <si>
    <t>RELLENO SANITARIO DE PERQUIN</t>
  </si>
  <si>
    <t>Perquin</t>
  </si>
  <si>
    <t>ALCALDÍAS MUNICIPALES</t>
  </si>
  <si>
    <t>TOTAL ANUAL</t>
  </si>
  <si>
    <t>PROMEDIO MENSUAL</t>
  </si>
  <si>
    <t>Avicola Campestre., S.A. de C.V.</t>
  </si>
  <si>
    <t>Arrocera San Francisco, S.A. de C.V.</t>
  </si>
  <si>
    <t>Sucesores Luis Torres y Compañía</t>
  </si>
  <si>
    <t>LAGEO, S.A. de C.V.</t>
  </si>
  <si>
    <t>SEPT.</t>
  </si>
  <si>
    <t>NOV.</t>
  </si>
  <si>
    <t>DIC.</t>
  </si>
  <si>
    <t>DEPOSITADO</t>
  </si>
  <si>
    <t>TOTAL TON/ RECIBIDAS AL MES, AÑO</t>
  </si>
  <si>
    <t xml:space="preserve"> RELLENO SANITARIO DE ASINORLU, SANTA ROSA DE LIMA</t>
  </si>
  <si>
    <t>Concepción de Ataco</t>
  </si>
  <si>
    <t>El Refugio</t>
  </si>
  <si>
    <t>Cinquera</t>
  </si>
  <si>
    <t>Azacualpa</t>
  </si>
  <si>
    <t>El Carrizal</t>
  </si>
  <si>
    <t>San Luis del Carmen</t>
  </si>
  <si>
    <t>Potonico</t>
  </si>
  <si>
    <t>Corinto</t>
  </si>
  <si>
    <t>LA LIBERTAD</t>
  </si>
  <si>
    <t>SAN MIGUEL</t>
  </si>
  <si>
    <t>SANTA ANA</t>
  </si>
  <si>
    <t>Nueva Trinidad</t>
  </si>
  <si>
    <t>Las Vueltas</t>
  </si>
  <si>
    <t>San Isidro Labrador</t>
  </si>
  <si>
    <t>Tenancingo</t>
  </si>
  <si>
    <t>RELLENO SANITARIO DE SUCHITOTO</t>
  </si>
  <si>
    <t>SUCHITOTO</t>
  </si>
  <si>
    <t>MAKLEAN, S.A. DE C.V.</t>
  </si>
  <si>
    <t>promedio dia</t>
  </si>
  <si>
    <t>ESTELA GUADALUPE MATA</t>
  </si>
  <si>
    <t>ZARAGOZA</t>
  </si>
  <si>
    <t>TAMANIQUE</t>
  </si>
  <si>
    <t>SANTIAGO TEXACUANGOS</t>
  </si>
  <si>
    <t>SANTIAGO NONUALCO</t>
  </si>
  <si>
    <t>SAN RAFAEL OBRAJUELO</t>
  </si>
  <si>
    <t>SAN PEDRO NONUALCO</t>
  </si>
  <si>
    <t>SAN PEDRO MASAHUAT</t>
  </si>
  <si>
    <t>SAN LUIS TALPA</t>
  </si>
  <si>
    <t>SAN LUIS LA HERRADURA</t>
  </si>
  <si>
    <t>SAN JUAN TALPA</t>
  </si>
  <si>
    <t>SAN JUAN NONUALCO</t>
  </si>
  <si>
    <t>SAN ANTONIO MASAHUAT</t>
  </si>
  <si>
    <t>SAN JOSÉ VILLANUEVA</t>
  </si>
  <si>
    <t>ROSARIO LA PAZ</t>
  </si>
  <si>
    <t>ROSARIO DE MORA</t>
  </si>
  <si>
    <t>PUERTO LA LIBERTAD</t>
  </si>
  <si>
    <t>PANCHIMALCO</t>
  </si>
  <si>
    <t>OLOCUILTA</t>
  </si>
  <si>
    <t>JICALAPA</t>
  </si>
  <si>
    <t>CUYULTITAN</t>
  </si>
  <si>
    <t>COMASAGUA</t>
  </si>
  <si>
    <t>SANTO TOMAS</t>
  </si>
  <si>
    <t>PROMEDIO DIA</t>
  </si>
  <si>
    <t>SAN FRANCISCO MENENDEZ</t>
  </si>
  <si>
    <t>ATIQUIZAYA</t>
  </si>
  <si>
    <t>ISHUATAN</t>
  </si>
  <si>
    <t>RELLENOS SANITARIOS</t>
  </si>
  <si>
    <t>MIDES</t>
  </si>
  <si>
    <t>MEANGUERA</t>
  </si>
  <si>
    <t>PERQUIN</t>
  </si>
  <si>
    <t>CORINTO</t>
  </si>
  <si>
    <t>SOCINUS</t>
  </si>
  <si>
    <t>ASINORLU</t>
  </si>
  <si>
    <t>RELLENO SANITARIO DE CINQUERA</t>
  </si>
  <si>
    <t>CINQUERA</t>
  </si>
  <si>
    <t>San Antonio Pajonal</t>
  </si>
  <si>
    <t>El Porvenir</t>
  </si>
  <si>
    <t>El Paraíso</t>
  </si>
  <si>
    <t>AMUSNOR (CHALATENANGO</t>
  </si>
  <si>
    <t>RELLENO SANITARIO DE CORINTO</t>
  </si>
  <si>
    <t>Ahuchapán</t>
  </si>
  <si>
    <t>San Antonio Los Ranchos</t>
  </si>
  <si>
    <t>AMUCHADES</t>
  </si>
  <si>
    <t xml:space="preserve">TOTAL DEPOSITADO </t>
  </si>
  <si>
    <t xml:space="preserve">PORCENTAJE % </t>
  </si>
  <si>
    <t>Santa Rosa Guachiplin</t>
  </si>
  <si>
    <t>PARTICULARES</t>
  </si>
  <si>
    <t>HUIZUCAR</t>
  </si>
  <si>
    <t>TAPALHUACA</t>
  </si>
  <si>
    <t>Gestion Integral de Desechos, S.A.</t>
  </si>
  <si>
    <t>RELLENO SANITARIO DE CHALATENANGO AMUCHADES</t>
  </si>
  <si>
    <t xml:space="preserve">RELLENO SANITARIO SANTA ANA </t>
  </si>
  <si>
    <t>DESECHOS BIOINFECCIOSOS</t>
  </si>
  <si>
    <t>ATAMI</t>
  </si>
  <si>
    <t>SAN MIGUEL TEPEZONTES</t>
  </si>
  <si>
    <t xml:space="preserve">Particulares </t>
  </si>
  <si>
    <t>ZACATECOLUCA</t>
  </si>
  <si>
    <t>SAN FRANCISCO CHINAMECA</t>
  </si>
  <si>
    <t>SANTA TECLA</t>
  </si>
  <si>
    <t>ACALPINA, S.A. DE C.V.</t>
  </si>
  <si>
    <t xml:space="preserve">                    -   </t>
  </si>
  <si>
    <t>Meanguera</t>
  </si>
  <si>
    <t>La Unión</t>
  </si>
  <si>
    <t>Perquín</t>
  </si>
  <si>
    <t>Usulután</t>
  </si>
  <si>
    <t>Puerto El Triunfo</t>
  </si>
  <si>
    <t>Concepción Batres</t>
  </si>
  <si>
    <t>Ereguayquin</t>
  </si>
  <si>
    <t>Jiquilisco</t>
  </si>
  <si>
    <t>Jucuarán</t>
  </si>
  <si>
    <t>Santa María</t>
  </si>
  <si>
    <t>San Buenaventura</t>
  </si>
  <si>
    <t>Santiago de María</t>
  </si>
  <si>
    <t>Santa Elena</t>
  </si>
  <si>
    <t>Sesori</t>
  </si>
  <si>
    <t>Estanzuelas</t>
  </si>
  <si>
    <t>California</t>
  </si>
  <si>
    <t>Chapeltique</t>
  </si>
  <si>
    <t>Nueva Guadalupe</t>
  </si>
  <si>
    <t>Lolotique</t>
  </si>
  <si>
    <t>Tecapán</t>
  </si>
  <si>
    <t>Alegría</t>
  </si>
  <si>
    <t>San Jorge</t>
  </si>
  <si>
    <t>Chinameca</t>
  </si>
  <si>
    <t>San Francisco Javier</t>
  </si>
  <si>
    <t>Moncagua</t>
  </si>
  <si>
    <t>Jucuapa</t>
  </si>
  <si>
    <t>Quelepa</t>
  </si>
  <si>
    <t>El Triunfo</t>
  </si>
  <si>
    <t>Ciudad Barrios</t>
  </si>
  <si>
    <t>Ozatlán</t>
  </si>
  <si>
    <t>San Rafael Oriente</t>
  </si>
  <si>
    <t>San Agustín</t>
  </si>
  <si>
    <t>El Tránsito</t>
  </si>
  <si>
    <t>Berlín</t>
  </si>
  <si>
    <t>Nueva Granada</t>
  </si>
  <si>
    <t>Mercedes Umaña</t>
  </si>
  <si>
    <t>San Ildefonso</t>
  </si>
  <si>
    <t>San Luis de la Reina</t>
  </si>
  <si>
    <t>Tecoluca</t>
  </si>
  <si>
    <t>Chirilagua</t>
  </si>
  <si>
    <t>San Francisco Gotera</t>
  </si>
  <si>
    <t>Guatajiagua</t>
  </si>
  <si>
    <t>Chilanga</t>
  </si>
  <si>
    <t>San Carlos</t>
  </si>
  <si>
    <t>San Simón</t>
  </si>
  <si>
    <t>Conchagua</t>
  </si>
  <si>
    <t>Cacaopera</t>
  </si>
  <si>
    <t>Yamabal</t>
  </si>
  <si>
    <t>Carolina</t>
  </si>
  <si>
    <t>Uluazapa</t>
  </si>
  <si>
    <t>Yucuaiquín</t>
  </si>
  <si>
    <t>San Antonio</t>
  </si>
  <si>
    <t>Sensembra</t>
  </si>
  <si>
    <t>Yoloayquin</t>
  </si>
  <si>
    <t>San Dionisio</t>
  </si>
  <si>
    <t xml:space="preserve">Intipuca </t>
  </si>
  <si>
    <t>Torola</t>
  </si>
  <si>
    <t>El Sauce</t>
  </si>
  <si>
    <t>Lislique</t>
  </si>
  <si>
    <t>Nueva Esparta</t>
  </si>
  <si>
    <t>Santa Rosa de Lima</t>
  </si>
  <si>
    <t>Arambala</t>
  </si>
  <si>
    <t>El Divisadero</t>
  </si>
  <si>
    <t>Gualococti</t>
  </si>
  <si>
    <t>Joateca</t>
  </si>
  <si>
    <t>Jocoaitique</t>
  </si>
  <si>
    <t>Jocoro</t>
  </si>
  <si>
    <t>Lolotiquillo</t>
  </si>
  <si>
    <t>Osicala</t>
  </si>
  <si>
    <t>Pasaquina</t>
  </si>
  <si>
    <t>San Alejo</t>
  </si>
  <si>
    <t>Sociedad</t>
  </si>
  <si>
    <t>Yayantique</t>
  </si>
  <si>
    <t>Suchitoto</t>
  </si>
  <si>
    <t>AMUSNOR</t>
  </si>
  <si>
    <t>Etiquetas de fila</t>
  </si>
  <si>
    <t>Total general</t>
  </si>
  <si>
    <t>Suma de Cantidad</t>
  </si>
  <si>
    <t>Acajutla</t>
  </si>
  <si>
    <t>Apaneca</t>
  </si>
  <si>
    <t>Cuisnahuat</t>
  </si>
  <si>
    <t>Guaymango</t>
  </si>
  <si>
    <t>Izalco</t>
  </si>
  <si>
    <t>Juayua</t>
  </si>
  <si>
    <t>Jujutla</t>
  </si>
  <si>
    <t>Nahuizalco</t>
  </si>
  <si>
    <t>Salcoatitan</t>
  </si>
  <si>
    <t>San Pedro Puxtla</t>
  </si>
  <si>
    <t>Santa Catarina Masahuat</t>
  </si>
  <si>
    <t>Sonzacate</t>
  </si>
  <si>
    <t>Tacuba</t>
  </si>
  <si>
    <t>Teotepeque</t>
  </si>
  <si>
    <t>Desechos bioinfecciosos</t>
  </si>
  <si>
    <t>Turín</t>
  </si>
  <si>
    <t>San Jose Las Flores</t>
  </si>
  <si>
    <t>Dulce Nombre de Jesus</t>
  </si>
  <si>
    <t>San Antonio  de la Cruz</t>
  </si>
  <si>
    <t>EMPRESA</t>
  </si>
  <si>
    <t>CIVING</t>
  </si>
  <si>
    <t xml:space="preserve">EMPRESA </t>
  </si>
  <si>
    <t>PUERTO LA LIBERTAD D Especial</t>
  </si>
  <si>
    <t>RECOLECTORA D. Especial</t>
  </si>
  <si>
    <t>RS MIDES</t>
  </si>
  <si>
    <t>RS Atiquizaya</t>
  </si>
  <si>
    <t>RS S. Fco. Menéndez</t>
  </si>
  <si>
    <t>RS ASEMUSA</t>
  </si>
  <si>
    <t>RS La Libertad</t>
  </si>
  <si>
    <t>TOTAL RECIBIDO EN EL RELLENO SANITARIO</t>
  </si>
  <si>
    <t>Emp priv/part</t>
  </si>
  <si>
    <t>RS Sonsonate KALI</t>
  </si>
  <si>
    <t>TOTAL ALCALDÍAS MUNICIPALES</t>
  </si>
  <si>
    <t>El Carmen</t>
  </si>
  <si>
    <t>RS SOCINUS</t>
  </si>
  <si>
    <t>san Miguel</t>
  </si>
  <si>
    <t>TOTAL ALCALDIAS MUNICIPALES</t>
  </si>
  <si>
    <t>TOTAL EMP PRIV/PART</t>
  </si>
  <si>
    <t>Villa El Rosario</t>
  </si>
  <si>
    <t>RS San Miguel</t>
  </si>
  <si>
    <t>RS ASINORLU</t>
  </si>
  <si>
    <t>RS CINQUERA</t>
  </si>
  <si>
    <t>RS AMUSNOR</t>
  </si>
  <si>
    <t>KALI</t>
  </si>
  <si>
    <t>Bolívar</t>
  </si>
  <si>
    <t>Concepción de Oriente</t>
  </si>
  <si>
    <t>Polorós</t>
  </si>
  <si>
    <t>San José La Fuente</t>
  </si>
  <si>
    <t>Delicias de Concepción</t>
  </si>
  <si>
    <t>Comacarán</t>
  </si>
  <si>
    <t>Emp Priv/Part</t>
  </si>
  <si>
    <t>TOTAL MUNICIPALIDADES</t>
  </si>
  <si>
    <t>TOTAL Emp Priv/Part</t>
  </si>
  <si>
    <t>TOTAL DEPOSITADO EN RS</t>
  </si>
  <si>
    <t>Anamorós</t>
  </si>
  <si>
    <t>Chalchuapa (D.E.)</t>
  </si>
  <si>
    <t>Armenia (D.E.)</t>
  </si>
  <si>
    <t>Nahuilingo</t>
  </si>
  <si>
    <t>San Antonio del Monte</t>
  </si>
  <si>
    <t>Santo Domingo de Guzman</t>
  </si>
  <si>
    <t>TOTAL EMPRESAS PRIVADAS</t>
  </si>
  <si>
    <t>RS MEANGUERA</t>
  </si>
  <si>
    <t>RS CORINTO</t>
  </si>
  <si>
    <t>RELLENO SANITARIO DE SONSONATE (KALI)</t>
  </si>
  <si>
    <t>RELLENO SANITARIO LA LIBERTAD - CANTON MELARA</t>
  </si>
  <si>
    <t>RELLENO SANITARIO DE SOCINUS - USULUTAN</t>
  </si>
  <si>
    <t>RELLENO SANITARIO DE MEANGUERA</t>
  </si>
  <si>
    <t>TERRCONSAL, S.A. DE C.V.</t>
  </si>
  <si>
    <t>Edifica BYB S.A. DE C.V.</t>
  </si>
  <si>
    <t>Capella Solar TSK GSN El Salvador, S.A. de C.V.</t>
  </si>
  <si>
    <t>ACUMULADO MENSUAL POR MUNICIPIO AÑO 2019 (toneladas) ORGANICO</t>
  </si>
  <si>
    <t>ORGANICO</t>
  </si>
  <si>
    <t>INORGANICO</t>
  </si>
  <si>
    <t xml:space="preserve">TOTAL DESECHO PARTICULAR </t>
  </si>
  <si>
    <t>TOTAL MUNICIPIOS + EMPRESAS</t>
  </si>
  <si>
    <t>TOTAL ORG +INORG</t>
  </si>
  <si>
    <t>SAN MARCOS</t>
  </si>
  <si>
    <t>ROBERTO CARLOS CERRATO CRUS</t>
  </si>
  <si>
    <t>ALUMINIOS DE CENTROAMERICA</t>
  </si>
  <si>
    <t>INVERSIONES LUZ DE MARIA, S.A. DE C.V.</t>
  </si>
  <si>
    <t>RS Suchitoto</t>
  </si>
  <si>
    <t>PC Suchitoto</t>
  </si>
  <si>
    <t>RSM Santa Isabel Ishuatan</t>
  </si>
  <si>
    <t>CONSOLIDACION DE DESECHOS EN RELLENO SANITARIO DE ASINORLU, SANTA ROSA DE LIMA/ AÑO 2020 (toneladas)</t>
  </si>
  <si>
    <t>ACUMULADO MENSUAL POR MUNICIPIO AÑO 2020 (toneladas)</t>
  </si>
  <si>
    <t>ALCALDIA MUNICIPAL DE SAN MIGUEL - RELLENO SANITARIO</t>
  </si>
  <si>
    <t>ACUMULADO MENSUALPOR MUNICIPIO/EMPRESAS AÑO  2020. (toneladas)</t>
  </si>
  <si>
    <t>Citalá</t>
  </si>
  <si>
    <t>Promedio dia</t>
  </si>
  <si>
    <t>Constructora de Obra Viales de Chilanga</t>
  </si>
  <si>
    <t>Provia Joateca, S.A. de C.V.</t>
  </si>
  <si>
    <t>Maconca, S.A. de C.V.</t>
  </si>
  <si>
    <t>CyS Delicias de Concepción, S.A. de C.V.</t>
  </si>
  <si>
    <t>UDP Concepcion de Oriente de La Union</t>
  </si>
  <si>
    <t>Constructora Disa, S.A. DE C.V.</t>
  </si>
  <si>
    <t>UDP Municipio de Santa Elena Usulután</t>
  </si>
  <si>
    <t>Corten, S.A. DE C.V.</t>
  </si>
  <si>
    <t>David Ernesto Rodriguez Cañas</t>
  </si>
  <si>
    <t>RELENO SANITARIO DE CHALATENANGO - AMUSNOR</t>
  </si>
  <si>
    <t>-</t>
  </si>
  <si>
    <t>Izalco (D.E)</t>
  </si>
  <si>
    <t>A.O.L. PRODUCTOS DE EL SALVADOR S.A. DE C.V. (D.E.)</t>
  </si>
  <si>
    <t>ALMAPAC S.A. DE C.V.  (D.E.)</t>
  </si>
  <si>
    <t>APRESA</t>
  </si>
  <si>
    <t>ASOC. COOP. DE PROD. PESQUERA  TIB. DE R.L. (D.E.)</t>
  </si>
  <si>
    <t>ASOCIACION DE VECINOS LAS VERANERAS</t>
  </si>
  <si>
    <t>AVISALI</t>
  </si>
  <si>
    <t>CARLOS EDUARDO MARTELL</t>
  </si>
  <si>
    <t>CARLOS MAURICIO DURAN MENDEZ  (D.E.)</t>
  </si>
  <si>
    <t>CLUB DE PLAYAS SALINITAS S.A. DE C.V   (D.E.)</t>
  </si>
  <si>
    <t>CLUB DE PLAYAS SALINITAS S.A. DE C.V.</t>
  </si>
  <si>
    <t>COAGRI S.A. DE C.V. (D.E.)</t>
  </si>
  <si>
    <t>CONSTRUCCIONES Y EQUIPOS S.A. DE C.V.</t>
  </si>
  <si>
    <t>CONSTRUCTORA DISA, S.A. DE C.V.</t>
  </si>
  <si>
    <t>CONSTRUCTORA DISA, S.A. DE C.V.(D.E.)</t>
  </si>
  <si>
    <t>COOPERATIVA GANADERA DE SONSONATE DE R.L. (D.E)</t>
  </si>
  <si>
    <t>DANIEL VLADIMIR BONILLA</t>
  </si>
  <si>
    <t>DEFENSA Y PROTECCION S.A. DE C.V. (D.E.)</t>
  </si>
  <si>
    <t>ENERGIA, DESARROLLO Y CONSULTORIA, S.A. DE C.V.</t>
  </si>
  <si>
    <t>GRANJA EL ROBLE, S.A. DE C.V.</t>
  </si>
  <si>
    <t>GRUPO INDUSTRIAL MONTERREY S.A. DE C.V.</t>
  </si>
  <si>
    <t>HASBUN BARRIENTOS S.A. DE C.V. (D.E.)</t>
  </si>
  <si>
    <t>IBERPLASTIC S.A. DE C.V. (D.E.)</t>
  </si>
  <si>
    <t>INVERSIONES MR. S.A. DE C.V.(D.E.)</t>
  </si>
  <si>
    <t>JESUS ADOLFO RIVERA MORA</t>
  </si>
  <si>
    <t>MULTI INVERSIONES ASIRA S.A. DE C.V.</t>
  </si>
  <si>
    <t>MULTI INVERSIONES ASIRA S.A. DE C.V. (D.E.)</t>
  </si>
  <si>
    <t>MYNOR ADOLFO LOPEZ HERNANDEZ (D.E.)</t>
  </si>
  <si>
    <t>NEGOCIO E INVERSIONES R. &amp; G. S.A. DE C.V.</t>
  </si>
  <si>
    <t>NESTLE S.A. DE C.V. (D.E.)</t>
  </si>
  <si>
    <t>PROTECCIONES INDUSTRIALES S.A. DE C.V.(D.E.)</t>
  </si>
  <si>
    <t>TOTALES DEPOSITADOS EN 2020</t>
  </si>
  <si>
    <t>SAN LUIS LA HERRADURA D Especial</t>
  </si>
  <si>
    <t>ZACATECOLUCA D Especial</t>
  </si>
  <si>
    <t>SAN LUIS TALPA D Especial</t>
  </si>
  <si>
    <t>AEROPUERTO INTERNACIONAL MOAR</t>
  </si>
  <si>
    <t>GUILLERMO EDGARDO COREA MEJIA</t>
  </si>
  <si>
    <t>ASOC. COMUNAL CONDOMINIO SAN BLAS</t>
  </si>
  <si>
    <t>CORP MERCANTIL SALVADOREÑA, S.A. DE C.V. D Especiales</t>
  </si>
  <si>
    <t>DQUIPOS S.A. DE C.V.</t>
  </si>
  <si>
    <t>DIZAC, S.A. DE C.V.  D Especiales</t>
  </si>
  <si>
    <t>EFI LOGISTICS S.A. DE C.V.</t>
  </si>
  <si>
    <t>EXCELLENT SEAMS S.A. DE C.V.</t>
  </si>
  <si>
    <t>JORGE ALEJANDRO GARCIA ROMERO</t>
  </si>
  <si>
    <t>JORGE ALEJANDRO GARCIA R. D Especiales</t>
  </si>
  <si>
    <t>GIDSA. S.A. DE C.V.</t>
  </si>
  <si>
    <t>GEOCYCLE EL SALVADOR, S.A. DE C.V.</t>
  </si>
  <si>
    <t>GEOCYCLE EL SALVADOR, S.A. DE C.V. D. Especial</t>
  </si>
  <si>
    <t>GOTERA, S.A. DE C.V.</t>
  </si>
  <si>
    <t>GRUPO JOB. S.A. DE C.V.</t>
  </si>
  <si>
    <t>GRUPO JOB. S.A. DE C.V. D. Especiales</t>
  </si>
  <si>
    <t>HIDALGO HIDALGO S.A. EL SALVADOR</t>
  </si>
  <si>
    <t>HOSPITAL NACIONAL ROSALES FONDO GENERAL</t>
  </si>
  <si>
    <t>LUIS ALONSO RAMOS GUEVARA</t>
  </si>
  <si>
    <t>LUIS ALONSO RAMOS GUEVARA D. Especiales</t>
  </si>
  <si>
    <t xml:space="preserve">RECOLECTORA </t>
  </si>
  <si>
    <t>REMAR EL SALVADOR</t>
  </si>
  <si>
    <t>HENRY EDUARDO SEGOVIA RODRIGUEZ</t>
  </si>
  <si>
    <t>TRANSPORTE HERNANDEZ RODRIGUEZ, S.A. DE C.V.</t>
  </si>
  <si>
    <t>ALCALDIA DE NEJAPA.</t>
  </si>
  <si>
    <t>Cuscatlán</t>
  </si>
  <si>
    <t>PRIVADOS</t>
  </si>
  <si>
    <t>Sa Vicente</t>
  </si>
  <si>
    <t>Candelaria</t>
  </si>
  <si>
    <t>San Ramón</t>
  </si>
  <si>
    <t>Santa Cruz Analquito</t>
  </si>
  <si>
    <t>DETALLE DE LA PANORAMICA</t>
  </si>
  <si>
    <t>AGUILARES</t>
  </si>
  <si>
    <t>APOPA.</t>
  </si>
  <si>
    <t>AYUTUXTEPEQUE.</t>
  </si>
  <si>
    <t>CITALA</t>
  </si>
  <si>
    <t>CIUDAD ARCE</t>
  </si>
  <si>
    <t>CIUDAD DELGADO</t>
  </si>
  <si>
    <t xml:space="preserve">COJUTEPEQUE </t>
  </si>
  <si>
    <t>CUSCATANCINGO</t>
  </si>
  <si>
    <t>CARMEN</t>
  </si>
  <si>
    <t>PAISNAL</t>
  </si>
  <si>
    <t xml:space="preserve">EL ROSARIO </t>
  </si>
  <si>
    <t xml:space="preserve">GUAZAPA </t>
  </si>
  <si>
    <t>ILOPANGO</t>
  </si>
  <si>
    <t>MEJICANOS</t>
  </si>
  <si>
    <t>MONTE SAN JUAN</t>
  </si>
  <si>
    <t>ORATORIO DE CONCEPCION</t>
  </si>
  <si>
    <t xml:space="preserve">QUEZALTEPEQUE </t>
  </si>
  <si>
    <t>SAN BARTOLOME PERULAPIA</t>
  </si>
  <si>
    <t>SAN CRISTOBAL</t>
  </si>
  <si>
    <t>SAN ESTEBAN CATARINA</t>
  </si>
  <si>
    <t>SAN JOSE GUAYABAL</t>
  </si>
  <si>
    <t xml:space="preserve">SAN LORENZO </t>
  </si>
  <si>
    <t>SAN MARTIN</t>
  </si>
  <si>
    <t xml:space="preserve">SAN MATIAS </t>
  </si>
  <si>
    <t xml:space="preserve">SAN PABLO TACACHICO </t>
  </si>
  <si>
    <t>SAN PEDRO PERULAPAN</t>
  </si>
  <si>
    <t>SAN RAFAEL</t>
  </si>
  <si>
    <t>SAN RAFAEL CEDROS</t>
  </si>
  <si>
    <t>SAN SALVADOR</t>
  </si>
  <si>
    <t>SANTA CRUZ MICHAPA</t>
  </si>
  <si>
    <t>SANTA MARIA OSTUMA</t>
  </si>
  <si>
    <t>SANTO DOMINGO</t>
  </si>
  <si>
    <t>SOYAPANGO</t>
  </si>
  <si>
    <t>TONACATEPEQUE</t>
  </si>
  <si>
    <t xml:space="preserve">GUACOTECTI </t>
  </si>
  <si>
    <t xml:space="preserve">SENSUNTEPEQUE </t>
  </si>
  <si>
    <t xml:space="preserve">DOLORES </t>
  </si>
  <si>
    <t xml:space="preserve">SAN ISIDRO </t>
  </si>
  <si>
    <t xml:space="preserve">VICTORIA </t>
  </si>
  <si>
    <t xml:space="preserve">JERUSALEN </t>
  </si>
  <si>
    <t>MERCEDES LA CEIBA</t>
  </si>
  <si>
    <t xml:space="preserve">APASTEPEQUE </t>
  </si>
  <si>
    <t>GUADALUPE</t>
  </si>
  <si>
    <t>SAN CAYETANO ISTEPEQUE</t>
  </si>
  <si>
    <t xml:space="preserve">SAN SEBASTIAN </t>
  </si>
  <si>
    <t xml:space="preserve">SANTA CLARA </t>
  </si>
  <si>
    <t>TEPETITAN</t>
  </si>
  <si>
    <t xml:space="preserve">VERAPAZ </t>
  </si>
  <si>
    <t xml:space="preserve">NVO. EDEN DE SAN JUAN </t>
  </si>
  <si>
    <t xml:space="preserve">SAN GERARDO </t>
  </si>
  <si>
    <t xml:space="preserve">SAN JUAN TEPEZONTES </t>
  </si>
  <si>
    <t>OJOS DE AGUA</t>
  </si>
  <si>
    <t>SAN MIGUEL DE MERCEDES</t>
  </si>
  <si>
    <t xml:space="preserve">CONCEPCION QUEZALTEPEQUE </t>
  </si>
  <si>
    <t xml:space="preserve">LA PALMA </t>
  </si>
  <si>
    <t xml:space="preserve">COMALAPA </t>
  </si>
  <si>
    <t xml:space="preserve">CHALATENANGO </t>
  </si>
  <si>
    <t xml:space="preserve">DULCE NOMBRE DE MARIA </t>
  </si>
  <si>
    <t xml:space="preserve">LA LAGUNA </t>
  </si>
  <si>
    <t xml:space="preserve">SANTA RITA </t>
  </si>
  <si>
    <t>SAN VICENTE</t>
  </si>
  <si>
    <t>ILOBASCO</t>
  </si>
  <si>
    <t>AHUACHAPAN</t>
  </si>
  <si>
    <t>MINISTERIO DE MEDIO AMBIENTE Y RECURSOS NATURALES</t>
  </si>
  <si>
    <t>GERENCIA DE RESIDUOS SOLIDOS Y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</si>
</sst>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;[Red]0.00"/>
    <numFmt numFmtId="167" formatCode="[$-C0A]mmmm\-yy;@"/>
    <numFmt numFmtId="168" formatCode="_ \¢* #,##0.00_ ;_ \¢* \-#,##0.00_ ;_ \¢* \-??_ ;_ @_ "/>
    <numFmt numFmtId="169" formatCode="#,##0.000_);\(#,##0.000\)"/>
    <numFmt numFmtId="170" formatCode="#,##0.000"/>
    <numFmt numFmtId="171" formatCode="0.000"/>
    <numFmt numFmtId="172" formatCode="_(* #,##0.000_);_(* \(#,##0.000\);_(* &quot;-&quot;?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Times New Roman"/>
      <family val="1"/>
    </font>
    <font>
      <sz val="16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name val="Arial"/>
      <family val="2"/>
    </font>
    <font>
      <u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FD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FD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</cellStyleXfs>
  <cellXfs count="432">
    <xf numFmtId="0" fontId="0" fillId="0" borderId="0" xfId="0"/>
    <xf numFmtId="0" fontId="2" fillId="0" borderId="0" xfId="0" applyFont="1" applyBorder="1" applyAlignment="1"/>
    <xf numFmtId="0" fontId="0" fillId="0" borderId="0" xfId="0" applyFill="1" applyBorder="1" applyAlignment="1"/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4" xfId="1" applyNumberFormat="1" applyFont="1" applyBorder="1"/>
    <xf numFmtId="0" fontId="0" fillId="0" borderId="4" xfId="0" applyFont="1" applyFill="1" applyBorder="1"/>
    <xf numFmtId="170" fontId="6" fillId="0" borderId="4" xfId="0" applyNumberFormat="1" applyFont="1" applyBorder="1"/>
    <xf numFmtId="165" fontId="6" fillId="0" borderId="4" xfId="1" applyFont="1" applyBorder="1"/>
    <xf numFmtId="0" fontId="6" fillId="0" borderId="4" xfId="0" applyFont="1" applyBorder="1"/>
    <xf numFmtId="166" fontId="6" fillId="0" borderId="4" xfId="0" applyNumberFormat="1" applyFont="1" applyFill="1" applyBorder="1" applyAlignment="1">
      <alignment horizontal="right"/>
    </xf>
    <xf numFmtId="165" fontId="6" fillId="0" borderId="4" xfId="1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0" borderId="0" xfId="0"/>
    <xf numFmtId="0" fontId="6" fillId="0" borderId="0" xfId="0" applyFont="1"/>
    <xf numFmtId="0" fontId="0" fillId="0" borderId="4" xfId="0" applyFont="1" applyBorder="1"/>
    <xf numFmtId="0" fontId="0" fillId="0" borderId="4" xfId="0" applyFont="1" applyFill="1" applyBorder="1" applyAlignment="1"/>
    <xf numFmtId="0" fontId="0" fillId="0" borderId="5" xfId="0" applyFont="1" applyBorder="1" applyAlignment="1">
      <alignment vertical="center"/>
    </xf>
    <xf numFmtId="0" fontId="0" fillId="0" borderId="6" xfId="0" applyFont="1" applyBorder="1"/>
    <xf numFmtId="0" fontId="0" fillId="0" borderId="0" xfId="0" applyFont="1"/>
    <xf numFmtId="0" fontId="0" fillId="0" borderId="0" xfId="0" applyFont="1" applyFill="1" applyBorder="1"/>
    <xf numFmtId="166" fontId="0" fillId="0" borderId="0" xfId="0" applyNumberFormat="1" applyFont="1"/>
    <xf numFmtId="167" fontId="5" fillId="4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right"/>
    </xf>
    <xf numFmtId="2" fontId="0" fillId="0" borderId="4" xfId="0" applyNumberFormat="1" applyFont="1" applyBorder="1"/>
    <xf numFmtId="165" fontId="0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/>
    <xf numFmtId="171" fontId="7" fillId="4" borderId="19" xfId="0" applyNumberFormat="1" applyFont="1" applyFill="1" applyBorder="1" applyAlignment="1">
      <alignment horizontal="center"/>
    </xf>
    <xf numFmtId="171" fontId="7" fillId="4" borderId="8" xfId="0" applyNumberFormat="1" applyFont="1" applyFill="1" applyBorder="1" applyAlignment="1">
      <alignment horizontal="center"/>
    </xf>
    <xf numFmtId="0" fontId="0" fillId="0" borderId="0" xfId="0" applyBorder="1"/>
    <xf numFmtId="2" fontId="0" fillId="0" borderId="4" xfId="0" applyNumberFormat="1" applyBorder="1"/>
    <xf numFmtId="2" fontId="4" fillId="0" borderId="4" xfId="0" applyNumberFormat="1" applyFont="1" applyBorder="1"/>
    <xf numFmtId="2" fontId="0" fillId="0" borderId="0" xfId="0" applyNumberFormat="1"/>
    <xf numFmtId="165" fontId="4" fillId="0" borderId="4" xfId="1" applyFont="1" applyBorder="1"/>
    <xf numFmtId="0" fontId="6" fillId="2" borderId="5" xfId="0" applyFont="1" applyFill="1" applyBorder="1" applyAlignment="1">
      <alignment horizontal="center" vertical="center"/>
    </xf>
    <xf numFmtId="172" fontId="7" fillId="5" borderId="22" xfId="1" applyNumberFormat="1" applyFont="1" applyFill="1" applyBorder="1"/>
    <xf numFmtId="2" fontId="0" fillId="0" borderId="0" xfId="0" applyNumberFormat="1" applyFont="1"/>
    <xf numFmtId="0" fontId="12" fillId="0" borderId="0" xfId="0" applyFont="1" applyFill="1" applyBorder="1" applyAlignment="1">
      <alignment vertical="center"/>
    </xf>
    <xf numFmtId="165" fontId="0" fillId="0" borderId="0" xfId="0" applyNumberFormat="1"/>
    <xf numFmtId="170" fontId="0" fillId="0" borderId="4" xfId="0" applyNumberFormat="1" applyBorder="1"/>
    <xf numFmtId="0" fontId="0" fillId="0" borderId="4" xfId="0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2" fontId="13" fillId="5" borderId="4" xfId="0" applyNumberFormat="1" applyFont="1" applyFill="1" applyBorder="1"/>
    <xf numFmtId="165" fontId="6" fillId="5" borderId="4" xfId="1" applyFont="1" applyFill="1" applyBorder="1"/>
    <xf numFmtId="0" fontId="0" fillId="0" borderId="6" xfId="0" applyFill="1" applyBorder="1" applyAlignment="1"/>
    <xf numFmtId="0" fontId="0" fillId="0" borderId="6" xfId="0" applyFill="1" applyBorder="1"/>
    <xf numFmtId="164" fontId="16" fillId="0" borderId="0" xfId="2" applyFont="1" applyBorder="1"/>
    <xf numFmtId="0" fontId="0" fillId="5" borderId="4" xfId="0" applyFont="1" applyFill="1" applyBorder="1"/>
    <xf numFmtId="2" fontId="6" fillId="0" borderId="4" xfId="1" applyNumberFormat="1" applyFont="1" applyFill="1" applyBorder="1" applyAlignment="1">
      <alignment horizontal="right"/>
    </xf>
    <xf numFmtId="0" fontId="0" fillId="8" borderId="5" xfId="0" applyFill="1" applyBorder="1"/>
    <xf numFmtId="4" fontId="6" fillId="0" borderId="4" xfId="0" applyNumberFormat="1" applyFont="1" applyBorder="1"/>
    <xf numFmtId="4" fontId="0" fillId="0" borderId="4" xfId="0" applyNumberFormat="1" applyBorder="1"/>
    <xf numFmtId="165" fontId="0" fillId="0" borderId="4" xfId="0" applyNumberFormat="1" applyBorder="1"/>
    <xf numFmtId="4" fontId="0" fillId="5" borderId="4" xfId="0" applyNumberFormat="1" applyFill="1" applyBorder="1"/>
    <xf numFmtId="0" fontId="0" fillId="5" borderId="4" xfId="0" applyFill="1" applyBorder="1"/>
    <xf numFmtId="0" fontId="6" fillId="5" borderId="4" xfId="0" applyFont="1" applyFill="1" applyBorder="1" applyAlignment="1">
      <alignment horizontal="left" vertical="distributed"/>
    </xf>
    <xf numFmtId="0" fontId="6" fillId="0" borderId="6" xfId="0" applyFont="1" applyFill="1" applyBorder="1" applyAlignment="1"/>
    <xf numFmtId="171" fontId="7" fillId="4" borderId="4" xfId="0" applyNumberFormat="1" applyFont="1" applyFill="1" applyBorder="1" applyAlignment="1">
      <alignment horizontal="center"/>
    </xf>
    <xf numFmtId="165" fontId="0" fillId="5" borderId="4" xfId="0" applyNumberFormat="1" applyFill="1" applyBorder="1"/>
    <xf numFmtId="170" fontId="6" fillId="0" borderId="6" xfId="0" applyNumberFormat="1" applyFont="1" applyBorder="1"/>
    <xf numFmtId="0" fontId="17" fillId="4" borderId="4" xfId="0" applyFont="1" applyFill="1" applyBorder="1" applyAlignment="1">
      <alignment horizontal="center" wrapText="1"/>
    </xf>
    <xf numFmtId="171" fontId="18" fillId="4" borderId="4" xfId="0" applyNumberFormat="1" applyFont="1" applyFill="1" applyBorder="1" applyAlignment="1">
      <alignment horizontal="center" wrapText="1"/>
    </xf>
    <xf numFmtId="166" fontId="6" fillId="0" borderId="9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0" fillId="0" borderId="4" xfId="0" applyFont="1" applyBorder="1"/>
    <xf numFmtId="0" fontId="0" fillId="0" borderId="0" xfId="0" applyFont="1"/>
    <xf numFmtId="0" fontId="0" fillId="0" borderId="4" xfId="0" applyFill="1" applyBorder="1"/>
    <xf numFmtId="0" fontId="0" fillId="0" borderId="4" xfId="0" applyFill="1" applyBorder="1" applyAlignment="1"/>
    <xf numFmtId="165" fontId="0" fillId="0" borderId="4" xfId="1" applyFont="1" applyBorder="1"/>
    <xf numFmtId="0" fontId="0" fillId="8" borderId="5" xfId="0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27" xfId="0" applyNumberFormat="1" applyFont="1" applyFill="1" applyBorder="1"/>
    <xf numFmtId="4" fontId="1" fillId="0" borderId="28" xfId="0" applyNumberFormat="1" applyFont="1" applyFill="1" applyBorder="1"/>
    <xf numFmtId="4" fontId="1" fillId="0" borderId="0" xfId="0" applyNumberFormat="1" applyFont="1" applyFill="1"/>
    <xf numFmtId="0" fontId="1" fillId="0" borderId="25" xfId="0" applyFont="1" applyFill="1" applyBorder="1"/>
    <xf numFmtId="0" fontId="1" fillId="0" borderId="26" xfId="0" applyFont="1" applyFill="1" applyBorder="1"/>
    <xf numFmtId="0" fontId="1" fillId="0" borderId="0" xfId="0" applyFont="1" applyFill="1" applyBorder="1"/>
    <xf numFmtId="4" fontId="1" fillId="0" borderId="29" xfId="0" applyNumberFormat="1" applyFont="1" applyFill="1" applyBorder="1"/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170" fontId="6" fillId="5" borderId="4" xfId="1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1" fillId="0" borderId="0" xfId="0" applyFont="1"/>
    <xf numFmtId="165" fontId="0" fillId="0" borderId="7" xfId="0" applyNumberFormat="1" applyBorder="1"/>
    <xf numFmtId="0" fontId="21" fillId="9" borderId="34" xfId="0" applyFont="1" applyFill="1" applyBorder="1" applyAlignment="1">
      <alignment horizontal="center"/>
    </xf>
    <xf numFmtId="0" fontId="14" fillId="0" borderId="4" xfId="0" applyFont="1" applyBorder="1"/>
    <xf numFmtId="0" fontId="24" fillId="0" borderId="4" xfId="0" applyFont="1" applyFill="1" applyBorder="1" applyAlignment="1">
      <alignment horizontal="center"/>
    </xf>
    <xf numFmtId="0" fontId="21" fillId="0" borderId="4" xfId="0" applyFont="1" applyBorder="1"/>
    <xf numFmtId="0" fontId="0" fillId="0" borderId="4" xfId="0" applyBorder="1" applyAlignment="1">
      <alignment vertical="center"/>
    </xf>
    <xf numFmtId="170" fontId="0" fillId="0" borderId="0" xfId="0" applyNumberFormat="1"/>
    <xf numFmtId="0" fontId="0" fillId="10" borderId="0" xfId="0" applyFill="1"/>
    <xf numFmtId="0" fontId="0" fillId="11" borderId="0" xfId="0" applyFill="1"/>
    <xf numFmtId="170" fontId="0" fillId="11" borderId="0" xfId="0" applyNumberFormat="1" applyFill="1"/>
    <xf numFmtId="4" fontId="0" fillId="0" borderId="0" xfId="0" applyNumberFormat="1"/>
    <xf numFmtId="4" fontId="0" fillId="10" borderId="0" xfId="0" applyNumberFormat="1" applyFill="1"/>
    <xf numFmtId="4" fontId="0" fillId="11" borderId="0" xfId="0" applyNumberFormat="1" applyFill="1"/>
    <xf numFmtId="43" fontId="0" fillId="11" borderId="0" xfId="0" applyNumberFormat="1" applyFill="1"/>
    <xf numFmtId="0" fontId="6" fillId="0" borderId="4" xfId="1" applyNumberFormat="1" applyFont="1" applyFill="1" applyBorder="1" applyAlignment="1">
      <alignment horizontal="right"/>
    </xf>
    <xf numFmtId="4" fontId="7" fillId="5" borderId="21" xfId="1" applyNumberFormat="1" applyFont="1" applyFill="1" applyBorder="1"/>
    <xf numFmtId="0" fontId="0" fillId="0" borderId="0" xfId="0" applyFont="1" applyAlignment="1">
      <alignment wrapText="1"/>
    </xf>
    <xf numFmtId="165" fontId="6" fillId="6" borderId="5" xfId="1" applyFont="1" applyFill="1" applyBorder="1" applyAlignment="1">
      <alignment wrapText="1"/>
    </xf>
    <xf numFmtId="165" fontId="6" fillId="6" borderId="5" xfId="1" applyFont="1" applyFill="1" applyBorder="1" applyAlignment="1">
      <alignment horizontal="center" wrapText="1"/>
    </xf>
    <xf numFmtId="165" fontId="6" fillId="6" borderId="4" xfId="1" applyFont="1" applyFill="1" applyBorder="1" applyAlignment="1">
      <alignment horizontal="center" wrapText="1"/>
    </xf>
    <xf numFmtId="0" fontId="0" fillId="0" borderId="6" xfId="0" applyBorder="1"/>
    <xf numFmtId="0" fontId="0" fillId="0" borderId="35" xfId="0" applyBorder="1"/>
    <xf numFmtId="0" fontId="20" fillId="0" borderId="21" xfId="0" applyFont="1" applyBorder="1"/>
    <xf numFmtId="4" fontId="20" fillId="0" borderId="21" xfId="0" applyNumberFormat="1" applyFont="1" applyBorder="1" applyAlignment="1">
      <alignment horizontal="center"/>
    </xf>
    <xf numFmtId="4" fontId="20" fillId="5" borderId="21" xfId="0" applyNumberFormat="1" applyFont="1" applyFill="1" applyBorder="1" applyAlignment="1">
      <alignment horizontal="center"/>
    </xf>
    <xf numFmtId="4" fontId="20" fillId="0" borderId="39" xfId="0" applyNumberFormat="1" applyFont="1" applyBorder="1" applyAlignment="1">
      <alignment horizontal="center"/>
    </xf>
    <xf numFmtId="2" fontId="0" fillId="0" borderId="4" xfId="1" applyNumberFormat="1" applyFont="1" applyBorder="1" applyAlignment="1">
      <alignment horizontal="center" vertical="center"/>
    </xf>
    <xf numFmtId="165" fontId="6" fillId="0" borderId="4" xfId="1" applyFont="1" applyBorder="1" applyAlignment="1">
      <alignment horizontal="center" vertical="center"/>
    </xf>
    <xf numFmtId="2" fontId="7" fillId="0" borderId="9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Fill="1" applyBorder="1" applyAlignment="1"/>
    <xf numFmtId="0" fontId="6" fillId="0" borderId="0" xfId="0" applyFont="1" applyFill="1" applyBorder="1"/>
    <xf numFmtId="0" fontId="6" fillId="0" borderId="13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0" fillId="0" borderId="7" xfId="0" applyBorder="1"/>
    <xf numFmtId="0" fontId="6" fillId="0" borderId="7" xfId="0" applyFont="1" applyBorder="1"/>
    <xf numFmtId="0" fontId="6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5" fontId="18" fillId="0" borderId="4" xfId="1" quotePrefix="1" applyFont="1" applyFill="1" applyBorder="1" applyAlignment="1"/>
    <xf numFmtId="170" fontId="7" fillId="0" borderId="4" xfId="0" applyNumberFormat="1" applyFont="1" applyBorder="1"/>
    <xf numFmtId="170" fontId="5" fillId="0" borderId="4" xfId="0" applyNumberFormat="1" applyFont="1" applyBorder="1"/>
    <xf numFmtId="0" fontId="5" fillId="0" borderId="0" xfId="0" applyFont="1"/>
    <xf numFmtId="171" fontId="26" fillId="5" borderId="4" xfId="0" applyNumberFormat="1" applyFont="1" applyFill="1" applyBorder="1"/>
    <xf numFmtId="0" fontId="15" fillId="5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165" fontId="6" fillId="0" borderId="7" xfId="1" applyNumberFormat="1" applyFont="1" applyFill="1" applyBorder="1" applyAlignment="1">
      <alignment horizontal="right"/>
    </xf>
    <xf numFmtId="165" fontId="0" fillId="0" borderId="0" xfId="1" applyNumberFormat="1" applyFont="1" applyBorder="1"/>
    <xf numFmtId="165" fontId="0" fillId="0" borderId="0" xfId="1" applyNumberFormat="1" applyFont="1"/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2" fillId="9" borderId="41" xfId="0" applyFont="1" applyFill="1" applyBorder="1" applyAlignment="1">
      <alignment horizontal="center"/>
    </xf>
    <xf numFmtId="0" fontId="22" fillId="9" borderId="34" xfId="0" applyFont="1" applyFill="1" applyBorder="1" applyAlignment="1">
      <alignment horizontal="center"/>
    </xf>
    <xf numFmtId="0" fontId="7" fillId="4" borderId="6" xfId="0" applyFont="1" applyFill="1" applyBorder="1" applyAlignment="1"/>
    <xf numFmtId="0" fontId="7" fillId="4" borderId="35" xfId="0" applyFont="1" applyFill="1" applyBorder="1" applyAlignment="1"/>
    <xf numFmtId="0" fontId="7" fillId="4" borderId="7" xfId="0" applyFont="1" applyFill="1" applyBorder="1" applyAlignment="1"/>
    <xf numFmtId="0" fontId="25" fillId="0" borderId="0" xfId="0" applyFont="1" applyAlignment="1"/>
    <xf numFmtId="0" fontId="7" fillId="2" borderId="5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0" fillId="0" borderId="2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8" fillId="0" borderId="0" xfId="0" applyFont="1"/>
    <xf numFmtId="170" fontId="6" fillId="0" borderId="4" xfId="0" applyNumberFormat="1" applyFont="1" applyBorder="1" applyAlignment="1">
      <alignment horizontal="right" wrapText="1"/>
    </xf>
    <xf numFmtId="170" fontId="6" fillId="0" borderId="7" xfId="2" applyNumberFormat="1" applyFont="1" applyBorder="1" applyAlignment="1">
      <alignment horizontal="right"/>
    </xf>
    <xf numFmtId="170" fontId="6" fillId="0" borderId="0" xfId="0" applyNumberFormat="1" applyFont="1" applyAlignment="1">
      <alignment horizontal="right" wrapText="1"/>
    </xf>
    <xf numFmtId="170" fontId="0" fillId="0" borderId="35" xfId="0" applyNumberForma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17" fillId="0" borderId="24" xfId="0" applyFont="1" applyBorder="1"/>
    <xf numFmtId="168" fontId="17" fillId="0" borderId="9" xfId="0" applyNumberFormat="1" applyFont="1" applyBorder="1"/>
    <xf numFmtId="170" fontId="17" fillId="0" borderId="9" xfId="0" applyNumberFormat="1" applyFont="1" applyBorder="1"/>
    <xf numFmtId="168" fontId="17" fillId="0" borderId="4" xfId="0" applyNumberFormat="1" applyFont="1" applyBorder="1"/>
    <xf numFmtId="168" fontId="17" fillId="0" borderId="4" xfId="4" applyNumberFormat="1" applyFont="1" applyBorder="1"/>
    <xf numFmtId="0" fontId="18" fillId="0" borderId="24" xfId="0" applyFont="1" applyBorder="1"/>
    <xf numFmtId="168" fontId="18" fillId="0" borderId="4" xfId="4" applyNumberFormat="1" applyFont="1" applyBorder="1"/>
    <xf numFmtId="0" fontId="17" fillId="0" borderId="4" xfId="0" applyFont="1" applyBorder="1"/>
    <xf numFmtId="0" fontId="17" fillId="0" borderId="4" xfId="3" applyFont="1" applyBorder="1"/>
    <xf numFmtId="0" fontId="17" fillId="0" borderId="4" xfId="3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8" fillId="0" borderId="23" xfId="0" applyFont="1" applyBorder="1" applyAlignment="1">
      <alignment horizontal="center"/>
    </xf>
    <xf numFmtId="0" fontId="17" fillId="0" borderId="0" xfId="0" applyFont="1"/>
    <xf numFmtId="165" fontId="6" fillId="0" borderId="0" xfId="0" applyNumberFormat="1" applyFont="1"/>
    <xf numFmtId="166" fontId="6" fillId="0" borderId="4" xfId="0" applyNumberFormat="1" applyFont="1" applyBorder="1" applyAlignment="1">
      <alignment horizontal="right"/>
    </xf>
    <xf numFmtId="170" fontId="0" fillId="5" borderId="4" xfId="1" applyNumberFormat="1" applyFont="1" applyFill="1" applyBorder="1"/>
    <xf numFmtId="170" fontId="7" fillId="0" borderId="6" xfId="0" applyNumberFormat="1" applyFont="1" applyBorder="1"/>
    <xf numFmtId="170" fontId="7" fillId="0" borderId="6" xfId="1" applyNumberFormat="1" applyFont="1" applyBorder="1"/>
    <xf numFmtId="170" fontId="7" fillId="5" borderId="6" xfId="1" applyNumberFormat="1" applyFont="1" applyFill="1" applyBorder="1"/>
    <xf numFmtId="170" fontId="7" fillId="0" borderId="4" xfId="1" applyNumberFormat="1" applyFont="1" applyBorder="1"/>
    <xf numFmtId="0" fontId="0" fillId="2" borderId="4" xfId="0" applyFill="1" applyBorder="1" applyAlignment="1">
      <alignment horizontal="center" vertical="center"/>
    </xf>
    <xf numFmtId="0" fontId="2" fillId="0" borderId="0" xfId="0" applyFont="1"/>
    <xf numFmtId="2" fontId="0" fillId="0" borderId="9" xfId="1" applyNumberFormat="1" applyFont="1" applyBorder="1" applyAlignment="1">
      <alignment horizontal="center" vertical="center"/>
    </xf>
    <xf numFmtId="0" fontId="29" fillId="0" borderId="4" xfId="0" applyFont="1" applyBorder="1"/>
    <xf numFmtId="0" fontId="29" fillId="0" borderId="13" xfId="0" applyFont="1" applyBorder="1"/>
    <xf numFmtId="2" fontId="7" fillId="0" borderId="4" xfId="0" applyNumberFormat="1" applyFont="1" applyFill="1" applyBorder="1"/>
    <xf numFmtId="43" fontId="6" fillId="0" borderId="4" xfId="0" applyNumberFormat="1" applyFont="1" applyBorder="1"/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" xfId="0" applyBorder="1" applyAlignment="1">
      <alignment wrapText="1"/>
    </xf>
    <xf numFmtId="0" fontId="0" fillId="5" borderId="4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5" borderId="11" xfId="0" applyFill="1" applyBorder="1" applyAlignment="1">
      <alignment wrapText="1"/>
    </xf>
    <xf numFmtId="4" fontId="20" fillId="0" borderId="39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0" borderId="28" xfId="0" applyBorder="1"/>
    <xf numFmtId="0" fontId="1" fillId="0" borderId="28" xfId="0" applyFont="1" applyBorder="1"/>
    <xf numFmtId="4" fontId="1" fillId="0" borderId="28" xfId="0" applyNumberFormat="1" applyFont="1" applyBorder="1"/>
    <xf numFmtId="4" fontId="0" fillId="0" borderId="28" xfId="0" applyNumberFormat="1" applyBorder="1"/>
    <xf numFmtId="4" fontId="0" fillId="0" borderId="42" xfId="0" applyNumberFormat="1" applyBorder="1"/>
    <xf numFmtId="0" fontId="0" fillId="5" borderId="28" xfId="0" applyFill="1" applyBorder="1"/>
    <xf numFmtId="0" fontId="0" fillId="0" borderId="29" xfId="0" applyBorder="1"/>
    <xf numFmtId="4" fontId="1" fillId="0" borderId="29" xfId="0" applyNumberFormat="1" applyFont="1" applyBorder="1"/>
    <xf numFmtId="4" fontId="0" fillId="0" borderId="29" xfId="0" applyNumberFormat="1" applyBorder="1"/>
    <xf numFmtId="0" fontId="6" fillId="0" borderId="43" xfId="0" applyFont="1" applyBorder="1"/>
    <xf numFmtId="0" fontId="6" fillId="0" borderId="44" xfId="0" applyFont="1" applyBorder="1"/>
    <xf numFmtId="4" fontId="6" fillId="0" borderId="44" xfId="0" applyNumberFormat="1" applyFont="1" applyBorder="1"/>
    <xf numFmtId="0" fontId="0" fillId="0" borderId="27" xfId="0" applyBorder="1"/>
    <xf numFmtId="4" fontId="1" fillId="0" borderId="27" xfId="0" applyNumberFormat="1" applyFont="1" applyBorder="1"/>
    <xf numFmtId="4" fontId="0" fillId="0" borderId="27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" fillId="0" borderId="0" xfId="0" applyFont="1" applyFill="1" applyBorder="1" applyAlignment="1">
      <alignment horizontal="right"/>
    </xf>
    <xf numFmtId="4" fontId="0" fillId="0" borderId="36" xfId="0" applyNumberFormat="1" applyFont="1" applyBorder="1" applyAlignment="1">
      <alignment horizontal="center"/>
    </xf>
    <xf numFmtId="4" fontId="0" fillId="0" borderId="37" xfId="0" applyNumberFormat="1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4" fontId="0" fillId="0" borderId="38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5" borderId="4" xfId="0" applyNumberFormat="1" applyFont="1" applyFill="1" applyBorder="1" applyAlignment="1">
      <alignment horizontal="center"/>
    </xf>
    <xf numFmtId="4" fontId="0" fillId="5" borderId="6" xfId="0" applyNumberFormat="1" applyFont="1" applyFill="1" applyBorder="1" applyAlignment="1">
      <alignment horizontal="center"/>
    </xf>
    <xf numFmtId="4" fontId="0" fillId="5" borderId="11" xfId="0" applyNumberFormat="1" applyFont="1" applyFill="1" applyBorder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8" fillId="0" borderId="0" xfId="0" applyFont="1" applyBorder="1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2" fontId="6" fillId="0" borderId="4" xfId="0" applyNumberFormat="1" applyFont="1" applyBorder="1" applyAlignment="1">
      <alignment wrapText="1"/>
    </xf>
    <xf numFmtId="0" fontId="5" fillId="4" borderId="6" xfId="0" applyFont="1" applyFill="1" applyBorder="1" applyAlignment="1">
      <alignment horizontal="center" wrapText="1"/>
    </xf>
    <xf numFmtId="171" fontId="17" fillId="4" borderId="4" xfId="0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wrapText="1"/>
    </xf>
    <xf numFmtId="171" fontId="5" fillId="4" borderId="4" xfId="0" applyNumberFormat="1" applyFont="1" applyFill="1" applyBorder="1" applyAlignment="1">
      <alignment horizontal="center"/>
    </xf>
    <xf numFmtId="0" fontId="25" fillId="0" borderId="0" xfId="0" applyFont="1"/>
    <xf numFmtId="169" fontId="3" fillId="0" borderId="4" xfId="3" quotePrefix="1" applyNumberFormat="1" applyFont="1" applyFill="1" applyBorder="1" applyAlignment="1">
      <alignment horizontal="right"/>
    </xf>
    <xf numFmtId="171" fontId="3" fillId="0" borderId="4" xfId="3" quotePrefix="1" applyNumberFormat="1" applyFont="1" applyFill="1" applyBorder="1" applyAlignment="1"/>
    <xf numFmtId="171" fontId="3" fillId="0" borderId="4" xfId="0" applyNumberFormat="1" applyFont="1" applyFill="1" applyBorder="1" applyAlignment="1"/>
    <xf numFmtId="165" fontId="6" fillId="0" borderId="7" xfId="1" applyFont="1" applyBorder="1"/>
    <xf numFmtId="165" fontId="0" fillId="0" borderId="9" xfId="1" applyFont="1" applyBorder="1"/>
    <xf numFmtId="4" fontId="0" fillId="0" borderId="9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170" fontId="6" fillId="0" borderId="4" xfId="0" applyNumberFormat="1" applyFont="1" applyBorder="1" applyAlignment="1">
      <alignment horizontal="center" wrapText="1"/>
    </xf>
    <xf numFmtId="172" fontId="18" fillId="5" borderId="9" xfId="1" applyNumberFormat="1" applyFont="1" applyFill="1" applyBorder="1"/>
    <xf numFmtId="172" fontId="18" fillId="5" borderId="4" xfId="1" applyNumberFormat="1" applyFont="1" applyFill="1" applyBorder="1"/>
    <xf numFmtId="170" fontId="18" fillId="0" borderId="4" xfId="0" applyNumberFormat="1" applyFont="1" applyBorder="1"/>
    <xf numFmtId="170" fontId="17" fillId="0" borderId="4" xfId="0" applyNumberFormat="1" applyFont="1" applyBorder="1"/>
    <xf numFmtId="170" fontId="18" fillId="0" borderId="9" xfId="0" applyNumberFormat="1" applyFont="1" applyBorder="1"/>
    <xf numFmtId="170" fontId="6" fillId="0" borderId="48" xfId="0" applyNumberFormat="1" applyFont="1" applyBorder="1"/>
    <xf numFmtId="171" fontId="26" fillId="5" borderId="9" xfId="0" applyNumberFormat="1" applyFont="1" applyFill="1" applyBorder="1"/>
    <xf numFmtId="171" fontId="26" fillId="3" borderId="4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right"/>
    </xf>
    <xf numFmtId="0" fontId="0" fillId="0" borderId="4" xfId="0" applyBorder="1" applyAlignment="1">
      <alignment vertical="top"/>
    </xf>
    <xf numFmtId="2" fontId="0" fillId="0" borderId="4" xfId="0" applyNumberFormat="1" applyBorder="1" applyAlignment="1">
      <alignment vertical="top"/>
    </xf>
    <xf numFmtId="0" fontId="6" fillId="2" borderId="4" xfId="0" applyFont="1" applyFill="1" applyBorder="1" applyAlignment="1">
      <alignment horizontal="center" vertical="center"/>
    </xf>
    <xf numFmtId="4" fontId="0" fillId="5" borderId="6" xfId="0" applyNumberFormat="1" applyFill="1" applyBorder="1"/>
    <xf numFmtId="4" fontId="1" fillId="5" borderId="4" xfId="1" applyNumberFormat="1" applyFont="1" applyFill="1" applyBorder="1"/>
    <xf numFmtId="4" fontId="0" fillId="5" borderId="4" xfId="0" applyNumberFormat="1" applyFont="1" applyFill="1" applyBorder="1"/>
    <xf numFmtId="4" fontId="0" fillId="5" borderId="6" xfId="0" applyNumberFormat="1" applyFont="1" applyFill="1" applyBorder="1"/>
    <xf numFmtId="4" fontId="6" fillId="0" borderId="6" xfId="0" applyNumberFormat="1" applyFont="1" applyBorder="1"/>
    <xf numFmtId="4" fontId="6" fillId="0" borderId="4" xfId="1" applyNumberFormat="1" applyFont="1" applyFill="1" applyBorder="1" applyAlignment="1">
      <alignment horizontal="right"/>
    </xf>
    <xf numFmtId="4" fontId="0" fillId="0" borderId="4" xfId="1" applyNumberFormat="1" applyFont="1" applyBorder="1"/>
    <xf numFmtId="4" fontId="0" fillId="0" borderId="28" xfId="0" applyNumberFormat="1" applyFont="1" applyBorder="1"/>
    <xf numFmtId="0" fontId="0" fillId="5" borderId="29" xfId="0" applyFill="1" applyBorder="1"/>
    <xf numFmtId="4" fontId="1" fillId="0" borderId="49" xfId="0" applyNumberFormat="1" applyFont="1" applyFill="1" applyBorder="1"/>
    <xf numFmtId="0" fontId="0" fillId="0" borderId="28" xfId="0" applyFont="1" applyBorder="1"/>
    <xf numFmtId="4" fontId="0" fillId="0" borderId="42" xfId="0" applyNumberFormat="1" applyFont="1" applyFill="1" applyBorder="1"/>
    <xf numFmtId="0" fontId="0" fillId="0" borderId="2" xfId="0" applyBorder="1"/>
    <xf numFmtId="0" fontId="0" fillId="12" borderId="4" xfId="0" applyFill="1" applyBorder="1"/>
    <xf numFmtId="2" fontId="0" fillId="0" borderId="4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12" borderId="4" xfId="0" applyNumberFormat="1" applyFill="1" applyBorder="1" applyAlignment="1">
      <alignment horizontal="center"/>
    </xf>
    <xf numFmtId="165" fontId="33" fillId="0" borderId="51" xfId="0" applyNumberFormat="1" applyFont="1" applyBorder="1" applyAlignment="1">
      <alignment horizontal="right"/>
    </xf>
    <xf numFmtId="165" fontId="33" fillId="0" borderId="50" xfId="0" applyNumberFormat="1" applyFont="1" applyBorder="1" applyAlignment="1">
      <alignment horizontal="right"/>
    </xf>
    <xf numFmtId="165" fontId="33" fillId="0" borderId="51" xfId="1" applyFont="1" applyBorder="1" applyAlignment="1">
      <alignment horizontal="right"/>
    </xf>
    <xf numFmtId="165" fontId="33" fillId="0" borderId="50" xfId="1" applyFont="1" applyBorder="1" applyAlignment="1">
      <alignment horizontal="right"/>
    </xf>
    <xf numFmtId="4" fontId="0" fillId="7" borderId="1" xfId="0" applyNumberFormat="1" applyFill="1" applyBorder="1" applyAlignment="1">
      <alignment vertical="center"/>
    </xf>
    <xf numFmtId="4" fontId="6" fillId="5" borderId="4" xfId="1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ont="1"/>
    <xf numFmtId="4" fontId="0" fillId="5" borderId="0" xfId="0" applyNumberFormat="1" applyFill="1"/>
    <xf numFmtId="4" fontId="5" fillId="7" borderId="1" xfId="0" applyNumberFormat="1" applyFont="1" applyFill="1" applyBorder="1"/>
    <xf numFmtId="4" fontId="0" fillId="5" borderId="11" xfId="0" applyNumberFormat="1" applyFill="1" applyBorder="1"/>
    <xf numFmtId="4" fontId="0" fillId="0" borderId="11" xfId="0" applyNumberFormat="1" applyBorder="1"/>
    <xf numFmtId="4" fontId="0" fillId="7" borderId="5" xfId="0" applyNumberFormat="1" applyFill="1" applyBorder="1" applyAlignment="1">
      <alignment vertical="center"/>
    </xf>
    <xf numFmtId="4" fontId="0" fillId="7" borderId="5" xfId="0" applyNumberFormat="1" applyFill="1" applyBorder="1"/>
    <xf numFmtId="4" fontId="0" fillId="0" borderId="11" xfId="0" applyNumberFormat="1" applyFont="1" applyFill="1" applyBorder="1"/>
    <xf numFmtId="4" fontId="5" fillId="7" borderId="5" xfId="0" applyNumberFormat="1" applyFont="1" applyFill="1" applyBorder="1"/>
    <xf numFmtId="4" fontId="6" fillId="5" borderId="4" xfId="0" applyNumberFormat="1" applyFont="1" applyFill="1" applyBorder="1"/>
    <xf numFmtId="4" fontId="5" fillId="5" borderId="4" xfId="0" applyNumberFormat="1" applyFont="1" applyFill="1" applyBorder="1"/>
    <xf numFmtId="4" fontId="6" fillId="0" borderId="5" xfId="0" applyNumberFormat="1" applyFont="1" applyBorder="1" applyAlignment="1">
      <alignment vertical="center"/>
    </xf>
    <xf numFmtId="4" fontId="6" fillId="3" borderId="0" xfId="0" applyNumberFormat="1" applyFont="1" applyFill="1"/>
    <xf numFmtId="4" fontId="6" fillId="0" borderId="4" xfId="1" applyNumberFormat="1" applyFont="1" applyBorder="1"/>
    <xf numFmtId="4" fontId="0" fillId="0" borderId="9" xfId="0" applyNumberFormat="1" applyBorder="1" applyAlignment="1">
      <alignment vertical="center"/>
    </xf>
    <xf numFmtId="4" fontId="32" fillId="0" borderId="12" xfId="0" applyNumberFormat="1" applyFont="1" applyBorder="1"/>
    <xf numFmtId="4" fontId="0" fillId="0" borderId="4" xfId="0" applyNumberFormat="1" applyBorder="1" applyAlignment="1">
      <alignment horizontal="right"/>
    </xf>
    <xf numFmtId="4" fontId="6" fillId="5" borderId="5" xfId="1" applyNumberFormat="1" applyFont="1" applyFill="1" applyBorder="1"/>
    <xf numFmtId="4" fontId="0" fillId="0" borderId="0" xfId="0" applyNumberFormat="1" applyBorder="1" applyAlignment="1">
      <alignment vertical="center"/>
    </xf>
    <xf numFmtId="4" fontId="32" fillId="0" borderId="6" xfId="0" applyNumberFormat="1" applyFont="1" applyFill="1" applyBorder="1"/>
    <xf numFmtId="4" fontId="0" fillId="0" borderId="4" xfId="0" applyNumberFormat="1" applyFont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32" fillId="5" borderId="6" xfId="0" applyNumberFormat="1" applyFont="1" applyFill="1" applyBorder="1"/>
    <xf numFmtId="4" fontId="32" fillId="0" borderId="6" xfId="0" applyNumberFormat="1" applyFont="1" applyBorder="1"/>
    <xf numFmtId="4" fontId="6" fillId="0" borderId="9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24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/>
    <xf numFmtId="4" fontId="0" fillId="3" borderId="4" xfId="0" applyNumberFormat="1" applyFill="1" applyBorder="1" applyAlignment="1">
      <alignment horizontal="right"/>
    </xf>
    <xf numFmtId="4" fontId="3" fillId="0" borderId="45" xfId="7" applyNumberFormat="1" applyFont="1" applyFill="1" applyBorder="1" applyAlignment="1">
      <alignment horizontal="right"/>
    </xf>
    <xf numFmtId="4" fontId="3" fillId="5" borderId="45" xfId="6" applyNumberFormat="1" applyFont="1" applyFill="1" applyBorder="1"/>
    <xf numFmtId="4" fontId="3" fillId="5" borderId="45" xfId="7" applyNumberFormat="1" applyFont="1" applyFill="1" applyBorder="1" applyAlignment="1">
      <alignment horizontal="right"/>
    </xf>
    <xf numFmtId="4" fontId="3" fillId="5" borderId="45" xfId="6" applyNumberFormat="1" applyFont="1" applyFill="1" applyBorder="1" applyAlignment="1">
      <alignment horizontal="center"/>
    </xf>
    <xf numFmtId="4" fontId="17" fillId="5" borderId="4" xfId="1" applyNumberFormat="1" applyFont="1" applyFill="1" applyBorder="1"/>
    <xf numFmtId="0" fontId="0" fillId="13" borderId="4" xfId="0" applyFill="1" applyBorder="1"/>
    <xf numFmtId="0" fontId="0" fillId="13" borderId="4" xfId="0" applyFill="1" applyBorder="1" applyAlignment="1">
      <alignment wrapText="1"/>
    </xf>
    <xf numFmtId="0" fontId="0" fillId="13" borderId="6" xfId="0" applyFill="1" applyBorder="1" applyAlignment="1">
      <alignment wrapText="1"/>
    </xf>
    <xf numFmtId="170" fontId="0" fillId="5" borderId="4" xfId="0" applyNumberFormat="1" applyFill="1" applyBorder="1"/>
    <xf numFmtId="0" fontId="0" fillId="8" borderId="4" xfId="0" applyFill="1" applyBorder="1" applyAlignment="1">
      <alignment vertical="center"/>
    </xf>
    <xf numFmtId="2" fontId="0" fillId="0" borderId="4" xfId="0" applyNumberFormat="1" applyFill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/>
    </xf>
    <xf numFmtId="2" fontId="0" fillId="12" borderId="4" xfId="0" applyNumberFormat="1" applyFill="1" applyBorder="1" applyAlignment="1">
      <alignment horizontal="right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distributed"/>
    </xf>
    <xf numFmtId="0" fontId="7" fillId="2" borderId="5" xfId="0" applyFont="1" applyFill="1" applyBorder="1" applyAlignment="1">
      <alignment horizontal="center" vertical="distributed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distributed"/>
    </xf>
    <xf numFmtId="0" fontId="9" fillId="2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distributed"/>
    </xf>
    <xf numFmtId="0" fontId="9" fillId="2" borderId="5" xfId="0" applyFont="1" applyFill="1" applyBorder="1" applyAlignment="1">
      <alignment horizontal="center" vertical="distributed"/>
    </xf>
    <xf numFmtId="0" fontId="28" fillId="0" borderId="0" xfId="0" applyFont="1" applyAlignment="1">
      <alignment horizontal="center" vertical="center"/>
    </xf>
    <xf numFmtId="165" fontId="6" fillId="0" borderId="6" xfId="1" applyNumberFormat="1" applyFont="1" applyFill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7" fillId="6" borderId="4" xfId="0" applyFont="1" applyFill="1" applyBorder="1" applyAlignment="1">
      <alignment horizontal="center" vertical="distributed"/>
    </xf>
    <xf numFmtId="0" fontId="12" fillId="0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distributed"/>
    </xf>
    <xf numFmtId="0" fontId="7" fillId="2" borderId="1" xfId="0" applyFont="1" applyFill="1" applyBorder="1" applyAlignment="1">
      <alignment horizontal="center" vertical="distributed"/>
    </xf>
    <xf numFmtId="0" fontId="6" fillId="9" borderId="15" xfId="0" applyFont="1" applyFill="1" applyBorder="1" applyAlignment="1">
      <alignment horizontal="center" wrapText="1"/>
    </xf>
    <xf numFmtId="0" fontId="6" fillId="9" borderId="32" xfId="0" applyFont="1" applyFill="1" applyBorder="1" applyAlignment="1">
      <alignment horizontal="center" wrapText="1"/>
    </xf>
    <xf numFmtId="0" fontId="21" fillId="0" borderId="4" xfId="0" applyFont="1" applyBorder="1" applyAlignment="1">
      <alignment horizontal="right"/>
    </xf>
    <xf numFmtId="0" fontId="21" fillId="9" borderId="15" xfId="0" applyFont="1" applyFill="1" applyBorder="1" applyAlignment="1">
      <alignment horizontal="center"/>
    </xf>
    <xf numFmtId="0" fontId="21" fillId="9" borderId="32" xfId="0" applyFont="1" applyFill="1" applyBorder="1" applyAlignment="1">
      <alignment horizontal="center"/>
    </xf>
    <xf numFmtId="0" fontId="22" fillId="9" borderId="15" xfId="0" applyFont="1" applyFill="1" applyBorder="1" applyAlignment="1">
      <alignment horizontal="center"/>
    </xf>
    <xf numFmtId="0" fontId="22" fillId="9" borderId="32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0" fontId="21" fillId="9" borderId="31" xfId="0" applyFont="1" applyFill="1" applyBorder="1" applyAlignment="1">
      <alignment horizontal="center"/>
    </xf>
    <xf numFmtId="0" fontId="21" fillId="9" borderId="30" xfId="0" applyFont="1" applyFill="1" applyBorder="1" applyAlignment="1">
      <alignment horizontal="center"/>
    </xf>
    <xf numFmtId="0" fontId="23" fillId="9" borderId="15" xfId="0" applyFont="1" applyFill="1" applyBorder="1" applyAlignment="1">
      <alignment horizontal="center" wrapText="1"/>
    </xf>
    <xf numFmtId="0" fontId="23" fillId="9" borderId="32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7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171" fontId="7" fillId="4" borderId="16" xfId="0" applyNumberFormat="1" applyFont="1" applyFill="1" applyBorder="1" applyAlignment="1">
      <alignment horizontal="center"/>
    </xf>
    <xf numFmtId="171" fontId="7" fillId="4" borderId="17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6" borderId="24" xfId="0" applyFont="1" applyFill="1" applyBorder="1" applyAlignment="1">
      <alignment horizontal="center" wrapText="1"/>
    </xf>
    <xf numFmtId="0" fontId="7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distributed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7" fillId="2" borderId="5" xfId="0" applyFont="1" applyFill="1" applyBorder="1" applyAlignment="1">
      <alignment horizontal="center" vertical="distributed"/>
    </xf>
    <xf numFmtId="0" fontId="27" fillId="2" borderId="9" xfId="0" applyFont="1" applyFill="1" applyBorder="1" applyAlignment="1">
      <alignment horizontal="center" vertical="distributed"/>
    </xf>
    <xf numFmtId="0" fontId="5" fillId="4" borderId="1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28" fillId="0" borderId="2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distributed"/>
    </xf>
    <xf numFmtId="0" fontId="28" fillId="0" borderId="0" xfId="0" applyFont="1" applyAlignment="1">
      <alignment horizontal="center"/>
    </xf>
  </cellXfs>
  <cellStyles count="8">
    <cellStyle name="Millares" xfId="1" builtinId="3"/>
    <cellStyle name="Moneda" xfId="2" builtinId="4"/>
    <cellStyle name="Normal" xfId="0" builtinId="0"/>
    <cellStyle name="Normal 2" xfId="4"/>
    <cellStyle name="Normal 2 2" xfId="7"/>
    <cellStyle name="Normal 2 4" xfId="5"/>
    <cellStyle name="Normal 3" xfId="6"/>
    <cellStyle name="Normal 4" xfId="3"/>
  </cellStyles>
  <dxfs count="0"/>
  <tableStyles count="0" defaultTableStyle="TableStyleMedium2" defaultPivotStyle="PivotStyleLight16"/>
  <colors>
    <mruColors>
      <color rgb="FF339933"/>
      <color rgb="FF866E40"/>
      <color rgb="FF00CC00"/>
      <color rgb="FFBEFDAD"/>
      <color rgb="FF99FF33"/>
      <color rgb="FFB6F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lang="es-SV"/>
            </a:pPr>
            <a:r>
              <a:rPr lang="en-US"/>
              <a:t>PROMEDIO DIA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'CONSOLIDADO RELLENOS (2)'!$A$6:$A$22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KALI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'CONSOLIDADO RELLENOS (2)'!$D$6:$D$22</c:f>
              <c:numCache>
                <c:formatCode>#,##0.00</c:formatCode>
                <c:ptCount val="17"/>
                <c:pt idx="0">
                  <c:v>9.3068493150684937</c:v>
                </c:pt>
                <c:pt idx="1">
                  <c:v>26.609506849315071</c:v>
                </c:pt>
                <c:pt idx="2">
                  <c:v>273.83616438356165</c:v>
                </c:pt>
                <c:pt idx="3">
                  <c:v>410.49301369863008</c:v>
                </c:pt>
                <c:pt idx="4">
                  <c:v>0.11205479452054797</c:v>
                </c:pt>
                <c:pt idx="5">
                  <c:v>172.10580630136988</c:v>
                </c:pt>
                <c:pt idx="6">
                  <c:v>1735.5423408446247</c:v>
                </c:pt>
                <c:pt idx="7">
                  <c:v>0</c:v>
                </c:pt>
                <c:pt idx="8">
                  <c:v>0.41369863013698627</c:v>
                </c:pt>
                <c:pt idx="9">
                  <c:v>8.117808219178082</c:v>
                </c:pt>
                <c:pt idx="10">
                  <c:v>185.03772054794518</c:v>
                </c:pt>
                <c:pt idx="11">
                  <c:v>159.92409589041097</c:v>
                </c:pt>
                <c:pt idx="12">
                  <c:v>59.669561643835628</c:v>
                </c:pt>
                <c:pt idx="13">
                  <c:v>4.4693611111111116</c:v>
                </c:pt>
                <c:pt idx="14">
                  <c:v>1.178082191780822</c:v>
                </c:pt>
                <c:pt idx="15">
                  <c:v>1360.05</c:v>
                </c:pt>
                <c:pt idx="16">
                  <c:v>5.3263561643835615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04-4CE1-8D0C-2EC1E7B5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3253504"/>
        <c:axId val="373255856"/>
        <c:axId val="0"/>
      </c:bar3DChart>
      <c:catAx>
        <c:axId val="37325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73255856"/>
        <c:crosses val="autoZero"/>
        <c:auto val="1"/>
        <c:lblAlgn val="ctr"/>
        <c:lblOffset val="100"/>
        <c:noMultiLvlLbl val="0"/>
      </c:catAx>
      <c:valAx>
        <c:axId val="373255856"/>
        <c:scaling>
          <c:orientation val="minMax"/>
        </c:scaling>
        <c:delete val="0"/>
        <c:axPos val="l"/>
        <c:majorGridlines/>
        <c:title>
          <c:layout/>
          <c:overlay val="0"/>
          <c:txPr>
            <a:bodyPr/>
            <a:lstStyle/>
            <a:p>
              <a:pPr>
                <a:defRPr lang="es-SV"/>
              </a:pPr>
              <a:endParaRPr lang="es-SV"/>
            </a:p>
          </c:txPr>
        </c:title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732535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SV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lang="es-SV"/>
            </a:pPr>
            <a:r>
              <a:rPr lang="es-SV"/>
              <a:t>TOTAL DEPOSITADO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'CONSOLIDADO RELLENOS (2)'!$A$6:$A$22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KALI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'CONSOLIDADO RELLENOS (2)'!$B$6:$B$22</c:f>
              <c:numCache>
                <c:formatCode>#,##0.00</c:formatCode>
                <c:ptCount val="17"/>
                <c:pt idx="0">
                  <c:v>3397</c:v>
                </c:pt>
                <c:pt idx="1">
                  <c:v>9712.4700000000012</c:v>
                </c:pt>
                <c:pt idx="2">
                  <c:v>99950.200000000012</c:v>
                </c:pt>
                <c:pt idx="3">
                  <c:v>149829.94999999998</c:v>
                </c:pt>
                <c:pt idx="4">
                  <c:v>40.900000000000006</c:v>
                </c:pt>
                <c:pt idx="5">
                  <c:v>62818.619300000006</c:v>
                </c:pt>
                <c:pt idx="6">
                  <c:v>633472.954408288</c:v>
                </c:pt>
                <c:pt idx="7">
                  <c:v>0</c:v>
                </c:pt>
                <c:pt idx="8">
                  <c:v>151</c:v>
                </c:pt>
                <c:pt idx="9">
                  <c:v>2963</c:v>
                </c:pt>
                <c:pt idx="10">
                  <c:v>67538.767999999982</c:v>
                </c:pt>
                <c:pt idx="11">
                  <c:v>58372.295000000006</c:v>
                </c:pt>
                <c:pt idx="12">
                  <c:v>21779.390000000003</c:v>
                </c:pt>
                <c:pt idx="13">
                  <c:v>1608.97</c:v>
                </c:pt>
                <c:pt idx="14">
                  <c:v>718</c:v>
                </c:pt>
                <c:pt idx="15">
                  <c:v>12904.1</c:v>
                </c:pt>
                <c:pt idx="16">
                  <c:v>1944.12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45-4B08-86EE-82A1C652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993816"/>
        <c:axId val="185995384"/>
        <c:axId val="0"/>
      </c:bar3DChart>
      <c:catAx>
        <c:axId val="185993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185995384"/>
        <c:crosses val="autoZero"/>
        <c:auto val="1"/>
        <c:lblAlgn val="ctr"/>
        <c:lblOffset val="100"/>
        <c:noMultiLvlLbl val="0"/>
      </c:catAx>
      <c:valAx>
        <c:axId val="185995384"/>
        <c:scaling>
          <c:orientation val="minMax"/>
        </c:scaling>
        <c:delete val="0"/>
        <c:axPos val="l"/>
        <c:majorGridlines/>
        <c:title>
          <c:layout/>
          <c:overlay val="0"/>
          <c:txPr>
            <a:bodyPr/>
            <a:lstStyle/>
            <a:p>
              <a:pPr>
                <a:defRPr lang="es-SV"/>
              </a:pPr>
              <a:endParaRPr lang="es-SV"/>
            </a:p>
          </c:txPr>
        </c:title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1859938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SV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s-SV"/>
            </a:pPr>
            <a:r>
              <a:rPr lang="es-SV"/>
              <a:t>TOTAL DEPOSITADO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145198831278145E-2"/>
          <c:y val="0.12985317670557925"/>
          <c:w val="0.56871589164561964"/>
          <c:h val="0.83921880994574038"/>
        </c:manualLayout>
      </c:layout>
      <c:doughnut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AAB-4CD9-B15B-2649F349FD8F}"/>
              </c:ext>
            </c:extLst>
          </c:dPt>
          <c:dPt>
            <c:idx val="15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AB-4CD9-B15B-2649F349FD8F}"/>
              </c:ext>
            </c:extLst>
          </c:dPt>
          <c:cat>
            <c:strRef>
              <c:f>'CONSOLIDADO RELLENOS (2)'!$A$6:$A$22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KALI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'CONSOLIDADO RELLENOS (2)'!$B$6:$B$22</c:f>
              <c:numCache>
                <c:formatCode>#,##0.00</c:formatCode>
                <c:ptCount val="17"/>
                <c:pt idx="0">
                  <c:v>3397</c:v>
                </c:pt>
                <c:pt idx="1">
                  <c:v>9712.4700000000012</c:v>
                </c:pt>
                <c:pt idx="2">
                  <c:v>99950.200000000012</c:v>
                </c:pt>
                <c:pt idx="3">
                  <c:v>149829.94999999998</c:v>
                </c:pt>
                <c:pt idx="4">
                  <c:v>40.900000000000006</c:v>
                </c:pt>
                <c:pt idx="5">
                  <c:v>62818.619300000006</c:v>
                </c:pt>
                <c:pt idx="6">
                  <c:v>633472.954408288</c:v>
                </c:pt>
                <c:pt idx="7">
                  <c:v>0</c:v>
                </c:pt>
                <c:pt idx="8">
                  <c:v>151</c:v>
                </c:pt>
                <c:pt idx="9">
                  <c:v>2963</c:v>
                </c:pt>
                <c:pt idx="10">
                  <c:v>67538.767999999982</c:v>
                </c:pt>
                <c:pt idx="11">
                  <c:v>58372.295000000006</c:v>
                </c:pt>
                <c:pt idx="12">
                  <c:v>21779.390000000003</c:v>
                </c:pt>
                <c:pt idx="13">
                  <c:v>1608.97</c:v>
                </c:pt>
                <c:pt idx="14">
                  <c:v>718</c:v>
                </c:pt>
                <c:pt idx="15">
                  <c:v>12904.1</c:v>
                </c:pt>
                <c:pt idx="16">
                  <c:v>1944.12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00-4DAF-9EE0-773810127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8392710345169161"/>
          <c:y val="3.2419072615923417E-2"/>
          <c:w val="0.22124416051767212"/>
          <c:h val="0.93980314960629918"/>
        </c:manualLayout>
      </c:layout>
      <c:overlay val="0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zero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4</xdr:row>
      <xdr:rowOff>104775</xdr:rowOff>
    </xdr:from>
    <xdr:to>
      <xdr:col>17</xdr:col>
      <xdr:colOff>752474</xdr:colOff>
      <xdr:row>18</xdr:row>
      <xdr:rowOff>180975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xmlns="" id="{20EC2515-5170-4C08-AFCA-7A1D10C64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24</xdr:row>
      <xdr:rowOff>0</xdr:rowOff>
    </xdr:from>
    <xdr:to>
      <xdr:col>20</xdr:col>
      <xdr:colOff>419100</xdr:colOff>
      <xdr:row>38</xdr:row>
      <xdr:rowOff>76200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E90A98E2-A85A-4974-94DE-2668C5061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95249</xdr:colOff>
      <xdr:row>39</xdr:row>
      <xdr:rowOff>180975</xdr:rowOff>
    </xdr:from>
    <xdr:to>
      <xdr:col>18</xdr:col>
      <xdr:colOff>38100</xdr:colOff>
      <xdr:row>67</xdr:row>
      <xdr:rowOff>57150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AFE57E66-BF67-4A2C-AE07-066832621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zoomScale="90" zoomScaleNormal="90" workbookViewId="0">
      <selection sqref="A1:XFD2"/>
    </sheetView>
  </sheetViews>
  <sheetFormatPr baseColWidth="10" defaultRowHeight="15" x14ac:dyDescent="0.25"/>
  <cols>
    <col min="1" max="1" width="25.85546875" style="94" customWidth="1"/>
    <col min="2" max="2" width="17.140625" style="94" customWidth="1"/>
    <col min="3" max="3" width="14.7109375" style="94" bestFit="1" customWidth="1"/>
    <col min="4" max="4" width="12.85546875" style="94" customWidth="1"/>
    <col min="5" max="5" width="14.7109375" style="94" customWidth="1"/>
    <col min="6" max="16384" width="11.42578125" style="94"/>
  </cols>
  <sheetData>
    <row r="1" spans="1:19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x14ac:dyDescent="0.25">
      <c r="A3" s="94" t="s">
        <v>367</v>
      </c>
    </row>
    <row r="4" spans="1:19" ht="30" x14ac:dyDescent="0.25">
      <c r="A4" s="341" t="s">
        <v>123</v>
      </c>
      <c r="B4" s="342" t="str">
        <f>'Sn Fco. Menendez'!P5</f>
        <v>TOTAL DEPOSITADO</v>
      </c>
      <c r="C4" s="342" t="str">
        <f>'Sn Fco. Menendez'!Q5</f>
        <v>PROMEDIO MENSUAL</v>
      </c>
      <c r="D4" s="343" t="str">
        <f>'Sn Fco. Menendez'!R5</f>
        <v>PROMEDIO DIA</v>
      </c>
      <c r="E4" s="342" t="s">
        <v>141</v>
      </c>
    </row>
    <row r="5" spans="1:19" x14ac:dyDescent="0.25">
      <c r="E5" s="36"/>
    </row>
    <row r="6" spans="1:19" x14ac:dyDescent="0.25">
      <c r="A6" s="3" t="s">
        <v>120</v>
      </c>
      <c r="B6" s="60">
        <f>'Sn Fco. Menendez'!P7</f>
        <v>3397</v>
      </c>
      <c r="C6" s="60">
        <f>'Sn Fco. Menendez'!Q7</f>
        <v>283.08333333333331</v>
      </c>
      <c r="D6" s="278">
        <f>'Sn Fco. Menendez'!R7</f>
        <v>9.3068493150684937</v>
      </c>
      <c r="E6" s="344">
        <f>SUM(100*B6/B23)</f>
        <v>0.30136575285273182</v>
      </c>
    </row>
    <row r="7" spans="1:19" x14ac:dyDescent="0.25">
      <c r="A7" s="3" t="s">
        <v>121</v>
      </c>
      <c r="B7" s="60">
        <f>Atiquizaya!P12</f>
        <v>9712.4700000000012</v>
      </c>
      <c r="C7" s="60">
        <f>Atiquizaya!Q12</f>
        <v>809.37250000000006</v>
      </c>
      <c r="D7" s="278">
        <f>Atiquizaya!R12</f>
        <v>26.609506849315071</v>
      </c>
      <c r="E7" s="344">
        <f>SUM(100*B7/B23)</f>
        <v>0.86164434312910576</v>
      </c>
    </row>
    <row r="8" spans="1:19" x14ac:dyDescent="0.25">
      <c r="A8" s="61" t="s">
        <v>87</v>
      </c>
      <c r="B8" s="60">
        <f>'SANTA ANA'!P21</f>
        <v>99950.200000000012</v>
      </c>
      <c r="C8" s="60">
        <f>'SANTA ANA'!Q21</f>
        <v>8329.1833333333343</v>
      </c>
      <c r="D8" s="278">
        <f>'SANTA ANA'!R21</f>
        <v>273.83616438356165</v>
      </c>
      <c r="E8" s="344">
        <f>SUM(100*B8/B23)</f>
        <v>8.8671084105920279</v>
      </c>
    </row>
    <row r="9" spans="1:19" x14ac:dyDescent="0.25">
      <c r="A9" s="61" t="s">
        <v>85</v>
      </c>
      <c r="B9" s="60">
        <f>'LA LIBERTAD'!P75</f>
        <v>149829.94999999998</v>
      </c>
      <c r="C9" s="60">
        <f>'LA LIBERTAD'!Q75</f>
        <v>12485.829166666665</v>
      </c>
      <c r="D9" s="278">
        <f>'LA LIBERTAD'!R75</f>
        <v>410.49301369863008</v>
      </c>
      <c r="E9" s="344">
        <f>SUM(100*B9/B23)</f>
        <v>13.292203615436314</v>
      </c>
    </row>
    <row r="10" spans="1:19" x14ac:dyDescent="0.25">
      <c r="A10" s="61" t="s">
        <v>122</v>
      </c>
      <c r="B10" s="60">
        <f>Ishuatan!P7</f>
        <v>40.900000000000006</v>
      </c>
      <c r="C10" s="60">
        <f>Ishuatan!Q7</f>
        <v>3.4083333333333337</v>
      </c>
      <c r="D10" s="278">
        <f>Ishuatan!R7</f>
        <v>0.11205479452054797</v>
      </c>
      <c r="E10" s="344">
        <f>SUM(100*B10/B23)</f>
        <v>3.6284543101786082E-3</v>
      </c>
    </row>
    <row r="11" spans="1:19" x14ac:dyDescent="0.25">
      <c r="A11" s="61" t="s">
        <v>279</v>
      </c>
      <c r="B11" s="60">
        <f>'SONSONATE-KALI'!P63</f>
        <v>62818.619300000006</v>
      </c>
      <c r="C11" s="60">
        <f>'SONSONATE-KALI'!Q63</f>
        <v>5234.8849416666671</v>
      </c>
      <c r="D11" s="278">
        <f>'SONSONATE-KALI'!R63</f>
        <v>172.10580630136988</v>
      </c>
      <c r="E11" s="344">
        <f>SUM(100*B11/B23)</f>
        <v>5.5729704146345744</v>
      </c>
    </row>
    <row r="12" spans="1:19" x14ac:dyDescent="0.25">
      <c r="A12" s="61" t="s">
        <v>124</v>
      </c>
      <c r="B12" s="60">
        <f>MIDES!P77</f>
        <v>633472.954408288</v>
      </c>
      <c r="C12" s="60">
        <f>MIDES!Q77</f>
        <v>52789.412867357336</v>
      </c>
      <c r="D12" s="278">
        <f>MIDES!R77</f>
        <v>1735.5423408446247</v>
      </c>
      <c r="E12" s="344">
        <f>SUM(100*B12/B23)</f>
        <v>56.198720582012939</v>
      </c>
    </row>
    <row r="13" spans="1:19" x14ac:dyDescent="0.25">
      <c r="A13" s="61" t="s">
        <v>125</v>
      </c>
      <c r="B13" s="279">
        <f>Meanguera!P9</f>
        <v>0</v>
      </c>
      <c r="C13" s="280">
        <f>Meanguera!Q9</f>
        <v>0</v>
      </c>
      <c r="D13" s="281">
        <f>Meanguera!R9</f>
        <v>0</v>
      </c>
      <c r="E13" s="344">
        <f>SUM(100*B13/B23)</f>
        <v>0</v>
      </c>
    </row>
    <row r="14" spans="1:19" x14ac:dyDescent="0.25">
      <c r="A14" s="61" t="s">
        <v>126</v>
      </c>
      <c r="B14" s="280">
        <f>Perquin!P9</f>
        <v>151</v>
      </c>
      <c r="C14" s="280">
        <f>Perquin!Q9</f>
        <v>12.583333333333334</v>
      </c>
      <c r="D14" s="281">
        <f>Perquin!R9</f>
        <v>0.41369863013698627</v>
      </c>
      <c r="E14" s="344">
        <f>SUM(100*B14/B23)</f>
        <v>1.3396004910439359E-2</v>
      </c>
    </row>
    <row r="15" spans="1:19" x14ac:dyDescent="0.25">
      <c r="A15" s="61" t="s">
        <v>127</v>
      </c>
      <c r="B15" s="279">
        <f>CORINTO!P9</f>
        <v>2963</v>
      </c>
      <c r="C15" s="280">
        <f>CORINTO!Q9</f>
        <v>246.91666666666666</v>
      </c>
      <c r="D15" s="281">
        <f>CORINTO!R9</f>
        <v>8.117808219178082</v>
      </c>
      <c r="E15" s="344">
        <f>SUM(100*B15/B23)</f>
        <v>0.26286332814325708</v>
      </c>
    </row>
    <row r="16" spans="1:19" x14ac:dyDescent="0.25">
      <c r="A16" s="61" t="s">
        <v>128</v>
      </c>
      <c r="B16" s="280">
        <f>SOCINUS!P83</f>
        <v>67538.767999999982</v>
      </c>
      <c r="C16" s="280">
        <f>SOCINUS!Q83</f>
        <v>5628.2306666666673</v>
      </c>
      <c r="D16" s="281">
        <f>SOCINUS!R83</f>
        <v>185.03772054794518</v>
      </c>
      <c r="E16" s="344">
        <f>SUM(100*B16/B23)</f>
        <v>5.9917196541259887</v>
      </c>
    </row>
    <row r="17" spans="1:5" x14ac:dyDescent="0.25">
      <c r="A17" s="61" t="s">
        <v>86</v>
      </c>
      <c r="B17" s="280">
        <f>'San Miguel'!P12</f>
        <v>58372.295000000006</v>
      </c>
      <c r="C17" s="280">
        <f>'San Miguel'!Q12</f>
        <v>4864.3579166666668</v>
      </c>
      <c r="D17" s="281">
        <f>'San Miguel'!R12</f>
        <v>159.92409589041097</v>
      </c>
      <c r="E17" s="344">
        <f>SUM(100*B17/B23)</f>
        <v>5.1785135791630132</v>
      </c>
    </row>
    <row r="18" spans="1:5" x14ac:dyDescent="0.25">
      <c r="A18" s="61" t="s">
        <v>129</v>
      </c>
      <c r="B18" s="280">
        <f>'SANTA ROSA DE LIMA (ASINORLU)'!P37</f>
        <v>21779.390000000003</v>
      </c>
      <c r="C18" s="280">
        <f>'SANTA ROSA DE LIMA (ASINORLU)'!Q37</f>
        <v>1814.949166666667</v>
      </c>
      <c r="D18" s="281">
        <f>'SANTA ROSA DE LIMA (ASINORLU)'!R37</f>
        <v>59.669561643835628</v>
      </c>
      <c r="E18" s="344">
        <f>SUM(100*B18/B23)</f>
        <v>1.932164340307112</v>
      </c>
    </row>
    <row r="19" spans="1:5" x14ac:dyDescent="0.25">
      <c r="A19" s="61" t="s">
        <v>93</v>
      </c>
      <c r="B19" s="280">
        <f>Suchitoto!P11</f>
        <v>1608.97</v>
      </c>
      <c r="C19" s="280">
        <f>Suchitoto!Q11</f>
        <v>134.08083333333335</v>
      </c>
      <c r="D19" s="281">
        <f>Suchitoto!R11</f>
        <v>4.4693611111111116</v>
      </c>
      <c r="E19" s="344">
        <f>SUM(100*B19/B23)</f>
        <v>0.14274019881291136</v>
      </c>
    </row>
    <row r="20" spans="1:5" x14ac:dyDescent="0.25">
      <c r="A20" s="61" t="s">
        <v>131</v>
      </c>
      <c r="B20" s="280">
        <f>CINQUERA!P20</f>
        <v>718</v>
      </c>
      <c r="C20" s="280">
        <f>CINQUERA!Q10</f>
        <v>35.833333333333336</v>
      </c>
      <c r="D20" s="281">
        <f>CINQUERA!R10</f>
        <v>1.178082191780822</v>
      </c>
      <c r="E20" s="344">
        <f>SUM(100*B20/B23)</f>
        <v>6.3697559772817616E-2</v>
      </c>
    </row>
    <row r="21" spans="1:5" x14ac:dyDescent="0.25">
      <c r="A21" s="61" t="s">
        <v>135</v>
      </c>
      <c r="B21" s="279">
        <f>CHALATENANGO!P15</f>
        <v>12904.1</v>
      </c>
      <c r="C21" s="280">
        <f>CHALATENANGO!N15</f>
        <v>1317.8200000000002</v>
      </c>
      <c r="D21" s="281">
        <f>CHALATENANGO!O15</f>
        <v>1360.05</v>
      </c>
      <c r="E21" s="344">
        <f>SUM(100*B21/B23)</f>
        <v>1.1447906421509968</v>
      </c>
    </row>
    <row r="22" spans="1:5" x14ac:dyDescent="0.25">
      <c r="A22" s="61" t="s">
        <v>139</v>
      </c>
      <c r="B22" s="279">
        <f>AMUCHADES!P22</f>
        <v>1944.12</v>
      </c>
      <c r="C22" s="280">
        <f>AMUCHADES!Q22</f>
        <v>162.01</v>
      </c>
      <c r="D22" s="281">
        <f>AMUCHADES!R22</f>
        <v>5.3263561643835615</v>
      </c>
      <c r="E22" s="344">
        <f>SUM(100*B22/B23)</f>
        <v>0.1724731196455852</v>
      </c>
    </row>
    <row r="23" spans="1:5" x14ac:dyDescent="0.25">
      <c r="A23" s="3"/>
      <c r="B23" s="57">
        <f>SUM(B6:B22)</f>
        <v>1127201.7367082881</v>
      </c>
      <c r="C23" s="57">
        <f t="shared" ref="C23:E23" si="0">SUM(C6:C22)</f>
        <v>94151.95639235733</v>
      </c>
      <c r="D23" s="282">
        <f t="shared" si="0"/>
        <v>4412.1924205858732</v>
      </c>
      <c r="E23" s="57">
        <f t="shared" si="0"/>
        <v>99.999999999999986</v>
      </c>
    </row>
    <row r="26" spans="1:5" x14ac:dyDescent="0.25">
      <c r="A26" s="94" t="s">
        <v>233</v>
      </c>
      <c r="B26" s="94" t="s">
        <v>235</v>
      </c>
    </row>
    <row r="27" spans="1:5" x14ac:dyDescent="0.25">
      <c r="A27" s="103" t="s">
        <v>139</v>
      </c>
      <c r="B27" s="107">
        <f>B22</f>
        <v>1944.12</v>
      </c>
      <c r="C27" s="109"/>
    </row>
    <row r="28" spans="1:5" x14ac:dyDescent="0.25">
      <c r="A28" s="103" t="s">
        <v>232</v>
      </c>
      <c r="B28" s="107">
        <f>B21</f>
        <v>12904.1</v>
      </c>
    </row>
    <row r="29" spans="1:5" x14ac:dyDescent="0.25">
      <c r="A29" s="103" t="s">
        <v>129</v>
      </c>
      <c r="B29" s="107">
        <f>B18</f>
        <v>21779.390000000003</v>
      </c>
    </row>
    <row r="30" spans="1:5" x14ac:dyDescent="0.25">
      <c r="A30" s="103" t="s">
        <v>20</v>
      </c>
      <c r="B30" s="107">
        <f>B7</f>
        <v>9712.4700000000012</v>
      </c>
    </row>
    <row r="31" spans="1:5" x14ac:dyDescent="0.25">
      <c r="A31" s="104" t="s">
        <v>279</v>
      </c>
      <c r="B31" s="108">
        <f>B11</f>
        <v>62818.619300000006</v>
      </c>
      <c r="C31" s="102"/>
    </row>
    <row r="32" spans="1:5" x14ac:dyDescent="0.25">
      <c r="A32" s="103" t="s">
        <v>79</v>
      </c>
      <c r="B32" s="107">
        <f>B20</f>
        <v>718</v>
      </c>
    </row>
    <row r="33" spans="1:3" x14ac:dyDescent="0.25">
      <c r="A33" s="103" t="s">
        <v>84</v>
      </c>
      <c r="B33" s="107">
        <f>B15</f>
        <v>2963</v>
      </c>
    </row>
    <row r="34" spans="1:3" x14ac:dyDescent="0.25">
      <c r="A34" s="103" t="s">
        <v>19</v>
      </c>
      <c r="B34" s="107">
        <f>B9</f>
        <v>149829.94999999998</v>
      </c>
    </row>
    <row r="35" spans="1:3" x14ac:dyDescent="0.25">
      <c r="A35" s="103" t="s">
        <v>158</v>
      </c>
      <c r="B35" s="107">
        <f>B13</f>
        <v>0</v>
      </c>
    </row>
    <row r="36" spans="1:3" x14ac:dyDescent="0.25">
      <c r="A36" s="103" t="s">
        <v>124</v>
      </c>
      <c r="B36" s="107">
        <f>B12</f>
        <v>633472.954408288</v>
      </c>
    </row>
    <row r="37" spans="1:3" x14ac:dyDescent="0.25">
      <c r="A37" s="103" t="s">
        <v>160</v>
      </c>
      <c r="B37" s="107">
        <f>B14</f>
        <v>151</v>
      </c>
    </row>
    <row r="38" spans="1:3" x14ac:dyDescent="0.25">
      <c r="A38" s="103" t="s">
        <v>17</v>
      </c>
      <c r="B38" s="107">
        <f>B6</f>
        <v>3397</v>
      </c>
    </row>
    <row r="39" spans="1:3" x14ac:dyDescent="0.25">
      <c r="A39" s="103" t="s">
        <v>56</v>
      </c>
      <c r="B39" s="107">
        <f>B17</f>
        <v>58372.295000000006</v>
      </c>
    </row>
    <row r="40" spans="1:3" x14ac:dyDescent="0.25">
      <c r="A40" s="103" t="s">
        <v>28</v>
      </c>
      <c r="B40" s="107">
        <f>B8</f>
        <v>99950.200000000012</v>
      </c>
      <c r="C40" s="105"/>
    </row>
    <row r="41" spans="1:3" x14ac:dyDescent="0.25">
      <c r="A41" s="103" t="s">
        <v>27</v>
      </c>
      <c r="B41" s="107">
        <f>B10</f>
        <v>40.900000000000006</v>
      </c>
    </row>
    <row r="42" spans="1:3" x14ac:dyDescent="0.25">
      <c r="A42" s="103" t="s">
        <v>128</v>
      </c>
      <c r="B42" s="107">
        <f>B16</f>
        <v>67538.767999999982</v>
      </c>
    </row>
    <row r="43" spans="1:3" x14ac:dyDescent="0.25">
      <c r="A43" s="103" t="s">
        <v>231</v>
      </c>
      <c r="B43" s="107">
        <f>B19</f>
        <v>1608.97</v>
      </c>
    </row>
    <row r="44" spans="1:3" x14ac:dyDescent="0.25">
      <c r="A44" s="94" t="s">
        <v>234</v>
      </c>
      <c r="B44" s="106">
        <f>+SUM(B27:B43)</f>
        <v>1127201.7367082878</v>
      </c>
    </row>
    <row r="46" spans="1:3" x14ac:dyDescent="0.25">
      <c r="B46" s="102">
        <f>+B23-B44</f>
        <v>0</v>
      </c>
    </row>
    <row r="54" spans="1:3" x14ac:dyDescent="0.25">
      <c r="A54" s="104"/>
      <c r="B54" s="104"/>
      <c r="C54" s="104"/>
    </row>
    <row r="67" spans="5:5" x14ac:dyDescent="0.25">
      <c r="E67" s="102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sqref="A1:XFD2"/>
    </sheetView>
  </sheetViews>
  <sheetFormatPr baseColWidth="10" defaultRowHeight="15" x14ac:dyDescent="0.25"/>
  <cols>
    <col min="1" max="1" width="17.140625" customWidth="1"/>
    <col min="3" max="3" width="11.42578125" style="94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A3" s="246"/>
      <c r="B3" s="402" t="s">
        <v>62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3"/>
    </row>
    <row r="4" spans="1:19" x14ac:dyDescent="0.25">
      <c r="A4" s="16"/>
      <c r="B4" s="16"/>
      <c r="C4" s="1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x14ac:dyDescent="0.25">
      <c r="A5" s="360" t="s">
        <v>1</v>
      </c>
      <c r="B5" s="359" t="s">
        <v>2</v>
      </c>
      <c r="C5" s="126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1" t="s">
        <v>3</v>
      </c>
      <c r="Q5" s="352" t="s">
        <v>66</v>
      </c>
      <c r="R5" s="352" t="s">
        <v>119</v>
      </c>
    </row>
    <row r="6" spans="1:19" x14ac:dyDescent="0.25">
      <c r="A6" s="360"/>
      <c r="B6" s="360"/>
      <c r="C6" s="127"/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0" t="s">
        <v>15</v>
      </c>
      <c r="P6" s="361"/>
      <c r="Q6" s="353"/>
      <c r="R6" s="353"/>
    </row>
    <row r="7" spans="1:19" x14ac:dyDescent="0.25">
      <c r="A7" s="4" t="s">
        <v>58</v>
      </c>
      <c r="B7" s="3" t="s">
        <v>63</v>
      </c>
      <c r="C7" s="200" t="s">
        <v>307</v>
      </c>
      <c r="D7" s="122">
        <v>3</v>
      </c>
      <c r="E7" s="122">
        <v>3</v>
      </c>
      <c r="F7" s="122">
        <v>2</v>
      </c>
      <c r="G7" s="122">
        <v>1.5</v>
      </c>
      <c r="H7" s="122">
        <v>1.5</v>
      </c>
      <c r="I7" s="122">
        <v>2</v>
      </c>
      <c r="J7" s="122">
        <v>2.5</v>
      </c>
      <c r="K7" s="122">
        <v>2.5</v>
      </c>
      <c r="L7" s="122">
        <v>3</v>
      </c>
      <c r="M7" s="122">
        <v>3.5</v>
      </c>
      <c r="N7" s="122">
        <v>4</v>
      </c>
      <c r="O7" s="122">
        <v>7</v>
      </c>
      <c r="P7" s="123">
        <f>SUM(D7:O7)</f>
        <v>35.5</v>
      </c>
      <c r="Q7" s="59">
        <f>SUM(P7/12)</f>
        <v>2.9583333333333335</v>
      </c>
      <c r="R7" s="59">
        <f>SUM(P7/365)</f>
        <v>9.7260273972602743E-2</v>
      </c>
    </row>
    <row r="8" spans="1:19" s="94" customFormat="1" x14ac:dyDescent="0.25">
      <c r="A8" s="5"/>
      <c r="B8" s="137"/>
      <c r="C8" s="201" t="s">
        <v>308</v>
      </c>
      <c r="D8" s="199">
        <v>11</v>
      </c>
      <c r="E8" s="199">
        <v>10</v>
      </c>
      <c r="F8" s="199">
        <v>8.5</v>
      </c>
      <c r="G8" s="199">
        <v>10</v>
      </c>
      <c r="H8" s="199">
        <v>6.5</v>
      </c>
      <c r="I8" s="199">
        <v>7</v>
      </c>
      <c r="J8" s="199">
        <v>8</v>
      </c>
      <c r="K8" s="199">
        <v>9</v>
      </c>
      <c r="L8" s="199">
        <v>10</v>
      </c>
      <c r="M8" s="199">
        <v>9.5</v>
      </c>
      <c r="N8" s="199">
        <v>11</v>
      </c>
      <c r="O8" s="199">
        <v>15</v>
      </c>
      <c r="P8" s="123">
        <f>SUM(D8:O8)</f>
        <v>115.5</v>
      </c>
      <c r="Q8" s="59">
        <f>SUM(P8/12)</f>
        <v>9.625</v>
      </c>
      <c r="R8" s="59">
        <f>SUM(P8/365)</f>
        <v>0.31643835616438354</v>
      </c>
    </row>
    <row r="9" spans="1:19" x14ac:dyDescent="0.25">
      <c r="A9" s="400" t="s">
        <v>61</v>
      </c>
      <c r="B9" s="401"/>
      <c r="C9" s="135"/>
      <c r="D9" s="124">
        <f>SUM(D7:D8)</f>
        <v>14</v>
      </c>
      <c r="E9" s="124">
        <f t="shared" ref="E9:O9" si="0">SUM(E7:E8)</f>
        <v>13</v>
      </c>
      <c r="F9" s="124">
        <f t="shared" si="0"/>
        <v>10.5</v>
      </c>
      <c r="G9" s="124">
        <f t="shared" si="0"/>
        <v>11.5</v>
      </c>
      <c r="H9" s="124">
        <f t="shared" si="0"/>
        <v>8</v>
      </c>
      <c r="I9" s="124">
        <f t="shared" si="0"/>
        <v>9</v>
      </c>
      <c r="J9" s="124">
        <f t="shared" si="0"/>
        <v>10.5</v>
      </c>
      <c r="K9" s="124">
        <f t="shared" si="0"/>
        <v>11.5</v>
      </c>
      <c r="L9" s="124">
        <f t="shared" si="0"/>
        <v>13</v>
      </c>
      <c r="M9" s="124">
        <f t="shared" si="0"/>
        <v>13</v>
      </c>
      <c r="N9" s="124">
        <f t="shared" si="0"/>
        <v>15</v>
      </c>
      <c r="O9" s="124">
        <f t="shared" si="0"/>
        <v>22</v>
      </c>
      <c r="P9" s="124">
        <f>SUM(P7:P8)</f>
        <v>151</v>
      </c>
      <c r="Q9" s="202">
        <f t="shared" ref="Q9:R9" si="1">SUM(Q7:Q8)</f>
        <v>12.583333333333334</v>
      </c>
      <c r="R9" s="202">
        <f t="shared" si="1"/>
        <v>0.41369863013698627</v>
      </c>
    </row>
    <row r="14" spans="1:19" x14ac:dyDescent="0.25">
      <c r="D14" s="15"/>
    </row>
  </sheetData>
  <mergeCells count="10">
    <mergeCell ref="A1:S1"/>
    <mergeCell ref="A2:S2"/>
    <mergeCell ref="R5:R6"/>
    <mergeCell ref="A9:B9"/>
    <mergeCell ref="B3:Q3"/>
    <mergeCell ref="A5:A6"/>
    <mergeCell ref="B5:B6"/>
    <mergeCell ref="D5:O5"/>
    <mergeCell ref="P5:P6"/>
    <mergeCell ref="Q5:Q6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sqref="A1:XFD2"/>
    </sheetView>
  </sheetViews>
  <sheetFormatPr baseColWidth="10" defaultColWidth="11.42578125" defaultRowHeight="15" x14ac:dyDescent="0.25"/>
  <cols>
    <col min="1" max="1" width="17.140625" style="15" customWidth="1"/>
    <col min="2" max="2" width="11.42578125" style="15"/>
    <col min="3" max="3" width="11.42578125" style="94"/>
    <col min="4" max="16384" width="11.42578125" style="15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A3" s="246"/>
      <c r="B3" s="402" t="s">
        <v>136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3"/>
    </row>
    <row r="4" spans="1:19" x14ac:dyDescent="0.25">
      <c r="A4" s="16"/>
      <c r="B4" s="16"/>
      <c r="C4" s="1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x14ac:dyDescent="0.25">
      <c r="A5" s="360" t="s">
        <v>1</v>
      </c>
      <c r="B5" s="359" t="s">
        <v>2</v>
      </c>
      <c r="C5" s="153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1" t="s">
        <v>3</v>
      </c>
      <c r="Q5" s="352" t="s">
        <v>66</v>
      </c>
      <c r="R5" s="352" t="s">
        <v>119</v>
      </c>
    </row>
    <row r="6" spans="1:19" x14ac:dyDescent="0.25">
      <c r="A6" s="360"/>
      <c r="B6" s="360"/>
      <c r="C6" s="154"/>
      <c r="D6" s="232" t="s">
        <v>4</v>
      </c>
      <c r="E6" s="232" t="s">
        <v>5</v>
      </c>
      <c r="F6" s="232" t="s">
        <v>6</v>
      </c>
      <c r="G6" s="232" t="s">
        <v>7</v>
      </c>
      <c r="H6" s="232" t="s">
        <v>8</v>
      </c>
      <c r="I6" s="232" t="s">
        <v>9</v>
      </c>
      <c r="J6" s="232" t="s">
        <v>10</v>
      </c>
      <c r="K6" s="232" t="s">
        <v>11</v>
      </c>
      <c r="L6" s="232" t="s">
        <v>12</v>
      </c>
      <c r="M6" s="232" t="s">
        <v>13</v>
      </c>
      <c r="N6" s="232" t="s">
        <v>14</v>
      </c>
      <c r="O6" s="232" t="s">
        <v>15</v>
      </c>
      <c r="P6" s="361"/>
      <c r="Q6" s="353"/>
      <c r="R6" s="353"/>
    </row>
    <row r="7" spans="1:19" x14ac:dyDescent="0.25">
      <c r="A7" s="4" t="s">
        <v>58</v>
      </c>
      <c r="B7" s="3" t="s">
        <v>84</v>
      </c>
      <c r="C7" s="36" t="s">
        <v>298</v>
      </c>
      <c r="D7" s="37">
        <v>282.5</v>
      </c>
      <c r="E7" s="37">
        <v>245.5</v>
      </c>
      <c r="F7" s="37">
        <v>255</v>
      </c>
      <c r="G7" s="37">
        <v>242.5</v>
      </c>
      <c r="H7" s="37">
        <v>225.5</v>
      </c>
      <c r="I7" s="37">
        <v>237.5</v>
      </c>
      <c r="J7" s="37">
        <v>245.5</v>
      </c>
      <c r="K7" s="37">
        <v>235.5</v>
      </c>
      <c r="L7" s="37">
        <v>245</v>
      </c>
      <c r="M7" s="37">
        <v>251</v>
      </c>
      <c r="N7" s="37">
        <v>233.5</v>
      </c>
      <c r="O7" s="37">
        <v>264</v>
      </c>
      <c r="P7" s="258">
        <f>SUM(D7:O7)</f>
        <v>2963</v>
      </c>
      <c r="Q7" s="59">
        <f>SUM(P7/12)</f>
        <v>246.91666666666666</v>
      </c>
      <c r="R7" s="59">
        <f>SUM(P7/365)</f>
        <v>8.117808219178082</v>
      </c>
    </row>
    <row r="8" spans="1:19" x14ac:dyDescent="0.25">
      <c r="A8" s="5"/>
      <c r="B8" s="3"/>
      <c r="C8" s="3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9">
        <f>SUM(D8:O8)</f>
        <v>0</v>
      </c>
    </row>
    <row r="9" spans="1:19" x14ac:dyDescent="0.25">
      <c r="A9" s="400" t="s">
        <v>61</v>
      </c>
      <c r="B9" s="401"/>
      <c r="C9" s="156"/>
      <c r="D9" s="124">
        <f t="shared" ref="D9" si="0">SUM(D7:D8)</f>
        <v>282.5</v>
      </c>
      <c r="E9" s="124">
        <f t="shared" ref="E9" si="1">SUM(E7:E8)</f>
        <v>245.5</v>
      </c>
      <c r="F9" s="124">
        <f t="shared" ref="F9" si="2">SUM(F7:F8)</f>
        <v>255</v>
      </c>
      <c r="G9" s="124">
        <f t="shared" ref="G9" si="3">SUM(G7:G8)</f>
        <v>242.5</v>
      </c>
      <c r="H9" s="124">
        <f t="shared" ref="H9" si="4">SUM(H7:H8)</f>
        <v>225.5</v>
      </c>
      <c r="I9" s="124">
        <f t="shared" ref="I9" si="5">SUM(I7:I8)</f>
        <v>237.5</v>
      </c>
      <c r="J9" s="124">
        <f t="shared" ref="J9" si="6">SUM(J7:J8)</f>
        <v>245.5</v>
      </c>
      <c r="K9" s="124">
        <f t="shared" ref="K9" si="7">SUM(K7:K8)</f>
        <v>235.5</v>
      </c>
      <c r="L9" s="124">
        <f t="shared" ref="L9" si="8">SUM(L7:L8)</f>
        <v>245</v>
      </c>
      <c r="M9" s="124">
        <f t="shared" ref="M9" si="9">SUM(M7:M8)</f>
        <v>251</v>
      </c>
      <c r="N9" s="124">
        <f t="shared" ref="N9" si="10">SUM(N7:N8)</f>
        <v>233.5</v>
      </c>
      <c r="O9" s="124">
        <f t="shared" ref="O9" si="11">SUM(O7:O8)</f>
        <v>264</v>
      </c>
      <c r="P9" s="124">
        <f t="shared" ref="P9" si="12">SUM(P7:P8)</f>
        <v>2963</v>
      </c>
      <c r="Q9" s="59">
        <f>SUM(P9/12)</f>
        <v>246.91666666666666</v>
      </c>
      <c r="R9" s="59">
        <f>SUM(P9/365)</f>
        <v>8.117808219178082</v>
      </c>
    </row>
  </sheetData>
  <mergeCells count="10">
    <mergeCell ref="A1:S1"/>
    <mergeCell ref="A2:S2"/>
    <mergeCell ref="A9:B9"/>
    <mergeCell ref="Q5:Q6"/>
    <mergeCell ref="R5:R6"/>
    <mergeCell ref="B3:Q3"/>
    <mergeCell ref="A5:A6"/>
    <mergeCell ref="B5:B6"/>
    <mergeCell ref="D5:O5"/>
    <mergeCell ref="P5:P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workbookViewId="0">
      <pane xSplit="2" ySplit="3" topLeftCell="E4" activePane="bottomRight" state="frozen"/>
      <selection pane="topRight" activeCell="C1" sqref="C1"/>
      <selection pane="bottomLeft" activeCell="A2" sqref="A2"/>
      <selection pane="bottomRight" sqref="A1:XFD2"/>
    </sheetView>
  </sheetViews>
  <sheetFormatPr baseColWidth="10" defaultRowHeight="15" x14ac:dyDescent="0.25"/>
  <cols>
    <col min="1" max="1" width="18.5703125" style="72" customWidth="1"/>
    <col min="2" max="2" width="27.140625" style="72" customWidth="1"/>
    <col min="3" max="3" width="15.7109375" style="72" customWidth="1"/>
    <col min="4" max="5" width="9.85546875" style="72" customWidth="1"/>
    <col min="6" max="7" width="9.5703125" style="72" customWidth="1"/>
    <col min="8" max="9" width="10.42578125" style="72" bestFit="1" customWidth="1"/>
    <col min="10" max="11" width="11.42578125" style="72"/>
    <col min="12" max="13" width="9.85546875" style="72" customWidth="1"/>
    <col min="14" max="14" width="10.28515625" style="72" customWidth="1"/>
    <col min="15" max="15" width="10.140625" style="72" customWidth="1"/>
    <col min="16" max="16" width="10.5703125" style="72" customWidth="1"/>
    <col min="17" max="17" width="9.85546875" style="72" customWidth="1"/>
    <col min="18" max="18" width="9.140625" style="72" customWidth="1"/>
    <col min="19" max="16384" width="11.42578125" style="72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A3" s="164"/>
      <c r="B3" s="370" t="s">
        <v>301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2"/>
      <c r="Q3" s="233"/>
    </row>
    <row r="4" spans="1:19" ht="2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0"/>
    </row>
    <row r="5" spans="1:19" x14ac:dyDescent="0.25">
      <c r="A5" s="161"/>
      <c r="B5" s="162"/>
      <c r="C5" s="162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162"/>
      <c r="Q5" s="163"/>
    </row>
    <row r="6" spans="1:19" x14ac:dyDescent="0.25">
      <c r="A6" s="360" t="s">
        <v>1</v>
      </c>
      <c r="B6" s="375" t="s">
        <v>2</v>
      </c>
      <c r="C6" s="375" t="s">
        <v>270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  <c r="N6" s="24" t="s">
        <v>14</v>
      </c>
      <c r="O6" s="24" t="s">
        <v>15</v>
      </c>
      <c r="P6" s="13" t="s">
        <v>24</v>
      </c>
      <c r="Q6" s="14" t="s">
        <v>24</v>
      </c>
    </row>
    <row r="7" spans="1:19" ht="27" customHeight="1" x14ac:dyDescent="0.25">
      <c r="A7" s="360"/>
      <c r="B7" s="360"/>
      <c r="C7" s="36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 t="s">
        <v>65</v>
      </c>
      <c r="Q7" s="67" t="s">
        <v>66</v>
      </c>
      <c r="R7" s="68" t="s">
        <v>95</v>
      </c>
    </row>
    <row r="8" spans="1:19" x14ac:dyDescent="0.25">
      <c r="A8" s="177" t="s">
        <v>161</v>
      </c>
      <c r="B8" s="178" t="s">
        <v>161</v>
      </c>
      <c r="C8" s="177" t="s">
        <v>270</v>
      </c>
      <c r="D8" s="179">
        <v>1146.3699999999999</v>
      </c>
      <c r="E8" s="179">
        <v>1018.295</v>
      </c>
      <c r="F8" s="179">
        <v>999.91</v>
      </c>
      <c r="G8" s="179">
        <v>874.20500000000004</v>
      </c>
      <c r="H8" s="179">
        <v>863.01499999999999</v>
      </c>
      <c r="I8" s="179">
        <v>989.05499999999995</v>
      </c>
      <c r="J8" s="179">
        <v>990.83</v>
      </c>
      <c r="K8" s="179">
        <v>905.39499999999998</v>
      </c>
      <c r="L8" s="179">
        <v>1028.925</v>
      </c>
      <c r="M8" s="179">
        <v>1157.31</v>
      </c>
      <c r="N8" s="179">
        <v>1060.694</v>
      </c>
      <c r="O8" s="179">
        <v>1080.175</v>
      </c>
      <c r="P8" s="179">
        <f t="shared" ref="P8:P61" si="0">SUM(D8:O8)</f>
        <v>12114.178999999998</v>
      </c>
      <c r="Q8" s="8">
        <f t="shared" ref="Q8:Q61" si="1">SUM(P8/12)</f>
        <v>1009.5149166666665</v>
      </c>
      <c r="R8" s="46">
        <f t="shared" ref="R8:R61" si="2">SUM(P8/365)</f>
        <v>33.189531506849313</v>
      </c>
    </row>
    <row r="9" spans="1:19" x14ac:dyDescent="0.25">
      <c r="A9" s="177" t="s">
        <v>161</v>
      </c>
      <c r="B9" s="180" t="s">
        <v>162</v>
      </c>
      <c r="C9" s="177" t="s">
        <v>270</v>
      </c>
      <c r="D9" s="179">
        <v>153.78</v>
      </c>
      <c r="E9" s="179">
        <v>138.93</v>
      </c>
      <c r="F9" s="179">
        <v>156.125</v>
      </c>
      <c r="G9" s="179">
        <v>192.76499999999999</v>
      </c>
      <c r="H9" s="179">
        <v>182.065</v>
      </c>
      <c r="I9" s="179">
        <v>153.94</v>
      </c>
      <c r="J9" s="179">
        <v>183.45</v>
      </c>
      <c r="K9" s="179">
        <v>177.87</v>
      </c>
      <c r="L9" s="179">
        <v>158.96</v>
      </c>
      <c r="M9" s="179">
        <v>197.09</v>
      </c>
      <c r="N9" s="179">
        <v>175.77500000000001</v>
      </c>
      <c r="O9" s="179">
        <v>165.64500000000001</v>
      </c>
      <c r="P9" s="179">
        <f t="shared" si="0"/>
        <v>2036.3950000000002</v>
      </c>
      <c r="Q9" s="8">
        <f t="shared" si="1"/>
        <v>169.69958333333335</v>
      </c>
      <c r="R9" s="46">
        <f t="shared" si="2"/>
        <v>5.5791643835616442</v>
      </c>
    </row>
    <row r="10" spans="1:19" x14ac:dyDescent="0.25">
      <c r="A10" s="177" t="s">
        <v>161</v>
      </c>
      <c r="B10" s="180" t="s">
        <v>163</v>
      </c>
      <c r="C10" s="177" t="s">
        <v>270</v>
      </c>
      <c r="D10" s="179">
        <v>64.91</v>
      </c>
      <c r="E10" s="179">
        <v>56.715000000000003</v>
      </c>
      <c r="F10" s="179">
        <v>67.265000000000001</v>
      </c>
      <c r="G10" s="179">
        <v>79.344999999999999</v>
      </c>
      <c r="H10" s="179">
        <v>81.734999999999999</v>
      </c>
      <c r="I10" s="179">
        <v>74.209999999999994</v>
      </c>
      <c r="J10" s="179">
        <v>71.84</v>
      </c>
      <c r="K10" s="179">
        <v>68.14</v>
      </c>
      <c r="L10" s="179">
        <v>73.004999999999995</v>
      </c>
      <c r="M10" s="179">
        <v>74.55</v>
      </c>
      <c r="N10" s="179">
        <v>76.27</v>
      </c>
      <c r="O10" s="179">
        <v>67.685000000000002</v>
      </c>
      <c r="P10" s="179">
        <f t="shared" si="0"/>
        <v>855.66999999999985</v>
      </c>
      <c r="Q10" s="8">
        <f t="shared" si="1"/>
        <v>71.305833333333325</v>
      </c>
      <c r="R10" s="46">
        <f t="shared" si="2"/>
        <v>2.3443013698630133</v>
      </c>
    </row>
    <row r="11" spans="1:19" x14ac:dyDescent="0.25">
      <c r="A11" s="177" t="s">
        <v>161</v>
      </c>
      <c r="B11" s="180" t="s">
        <v>164</v>
      </c>
      <c r="C11" s="177" t="s">
        <v>270</v>
      </c>
      <c r="D11" s="179">
        <v>83.935000000000002</v>
      </c>
      <c r="E11" s="179">
        <v>74.275000000000006</v>
      </c>
      <c r="F11" s="179">
        <v>83.38</v>
      </c>
      <c r="G11" s="179">
        <v>83.185000000000002</v>
      </c>
      <c r="H11" s="179">
        <v>88.22</v>
      </c>
      <c r="I11" s="179">
        <v>97.754999999999995</v>
      </c>
      <c r="J11" s="179">
        <v>129.10499999999999</v>
      </c>
      <c r="K11" s="179">
        <v>145.37</v>
      </c>
      <c r="L11" s="179">
        <v>99.05</v>
      </c>
      <c r="M11" s="179">
        <v>122.95</v>
      </c>
      <c r="N11" s="179">
        <v>108.23</v>
      </c>
      <c r="O11" s="179">
        <v>114.81</v>
      </c>
      <c r="P11" s="179">
        <f t="shared" si="0"/>
        <v>1230.2649999999999</v>
      </c>
      <c r="Q11" s="8">
        <f t="shared" si="1"/>
        <v>102.52208333333333</v>
      </c>
      <c r="R11" s="46">
        <f t="shared" si="2"/>
        <v>3.3705890410958901</v>
      </c>
    </row>
    <row r="12" spans="1:19" x14ac:dyDescent="0.25">
      <c r="A12" s="177" t="s">
        <v>161</v>
      </c>
      <c r="B12" s="180" t="s">
        <v>165</v>
      </c>
      <c r="C12" s="177" t="s">
        <v>270</v>
      </c>
      <c r="D12" s="179">
        <v>258.35500000000002</v>
      </c>
      <c r="E12" s="179">
        <v>254.215</v>
      </c>
      <c r="F12" s="179">
        <v>218.76499999999999</v>
      </c>
      <c r="G12" s="179">
        <v>196.88499999999999</v>
      </c>
      <c r="H12" s="179">
        <v>246.64</v>
      </c>
      <c r="I12" s="179">
        <v>216.17500000000001</v>
      </c>
      <c r="J12" s="179">
        <v>263.86500000000001</v>
      </c>
      <c r="K12" s="179">
        <v>226.89500000000001</v>
      </c>
      <c r="L12" s="179">
        <v>254.565</v>
      </c>
      <c r="M12" s="179">
        <v>252.22</v>
      </c>
      <c r="N12" s="179">
        <v>240.52</v>
      </c>
      <c r="O12" s="179">
        <v>242.55500000000001</v>
      </c>
      <c r="P12" s="179">
        <f t="shared" si="0"/>
        <v>2871.6549999999997</v>
      </c>
      <c r="Q12" s="8">
        <f t="shared" si="1"/>
        <v>239.30458333333331</v>
      </c>
      <c r="R12" s="46">
        <f t="shared" si="2"/>
        <v>7.8675479452054784</v>
      </c>
    </row>
    <row r="13" spans="1:19" x14ac:dyDescent="0.25">
      <c r="A13" s="177" t="s">
        <v>161</v>
      </c>
      <c r="B13" s="180" t="s">
        <v>166</v>
      </c>
      <c r="C13" s="177" t="s">
        <v>270</v>
      </c>
      <c r="D13" s="179">
        <v>66.52</v>
      </c>
      <c r="E13" s="179">
        <v>64.704999999999998</v>
      </c>
      <c r="F13" s="179">
        <v>50.965000000000003</v>
      </c>
      <c r="G13" s="179">
        <v>42.625</v>
      </c>
      <c r="H13" s="179">
        <v>43.734999999999999</v>
      </c>
      <c r="I13" s="179">
        <v>61.32</v>
      </c>
      <c r="J13" s="179">
        <v>54.92</v>
      </c>
      <c r="K13" s="179">
        <v>57.79</v>
      </c>
      <c r="L13" s="179">
        <v>59.965000000000003</v>
      </c>
      <c r="M13" s="179">
        <v>56.18</v>
      </c>
      <c r="N13" s="179">
        <v>52.8</v>
      </c>
      <c r="O13" s="179">
        <v>57.36</v>
      </c>
      <c r="P13" s="179">
        <f t="shared" si="0"/>
        <v>668.88499999999999</v>
      </c>
      <c r="Q13" s="8">
        <f t="shared" si="1"/>
        <v>55.740416666666668</v>
      </c>
      <c r="R13" s="46">
        <f t="shared" si="2"/>
        <v>1.8325616438356165</v>
      </c>
    </row>
    <row r="14" spans="1:19" x14ac:dyDescent="0.25">
      <c r="A14" s="177" t="s">
        <v>161</v>
      </c>
      <c r="B14" s="180" t="s">
        <v>167</v>
      </c>
      <c r="C14" s="177" t="s">
        <v>270</v>
      </c>
      <c r="D14" s="179">
        <v>163.065</v>
      </c>
      <c r="E14" s="179">
        <v>135.69999999999999</v>
      </c>
      <c r="F14" s="179">
        <v>131.30500000000001</v>
      </c>
      <c r="G14" s="179">
        <v>73.569999999999993</v>
      </c>
      <c r="H14" s="179">
        <v>119.61</v>
      </c>
      <c r="I14" s="179">
        <v>131.35</v>
      </c>
      <c r="J14" s="179">
        <v>175.3</v>
      </c>
      <c r="K14" s="179">
        <v>179.655</v>
      </c>
      <c r="L14" s="179">
        <v>195.95500000000001</v>
      </c>
      <c r="M14" s="179">
        <v>184.21</v>
      </c>
      <c r="N14" s="179">
        <v>146.03</v>
      </c>
      <c r="O14" s="179">
        <v>181.46</v>
      </c>
      <c r="P14" s="179">
        <f t="shared" si="0"/>
        <v>1817.21</v>
      </c>
      <c r="Q14" s="8">
        <f t="shared" si="1"/>
        <v>151.43416666666667</v>
      </c>
      <c r="R14" s="46">
        <f t="shared" si="2"/>
        <v>4.9786575342465751</v>
      </c>
    </row>
    <row r="15" spans="1:19" x14ac:dyDescent="0.25">
      <c r="A15" s="177" t="s">
        <v>161</v>
      </c>
      <c r="B15" s="180" t="s">
        <v>212</v>
      </c>
      <c r="C15" s="177" t="s">
        <v>270</v>
      </c>
      <c r="D15" s="179">
        <v>23.515000000000001</v>
      </c>
      <c r="E15" s="179">
        <v>21.32</v>
      </c>
      <c r="F15" s="179">
        <v>24.745000000000001</v>
      </c>
      <c r="G15" s="179">
        <v>29.5</v>
      </c>
      <c r="H15" s="179">
        <v>29.375</v>
      </c>
      <c r="I15" s="179">
        <v>28.05</v>
      </c>
      <c r="J15" s="179">
        <v>32.28</v>
      </c>
      <c r="K15" s="179">
        <v>28.12</v>
      </c>
      <c r="L15" s="179">
        <v>26.77</v>
      </c>
      <c r="M15" s="179">
        <v>32.770000000000003</v>
      </c>
      <c r="N15" s="179">
        <v>21.795000000000002</v>
      </c>
      <c r="O15" s="179">
        <v>31.635000000000002</v>
      </c>
      <c r="P15" s="179">
        <f t="shared" si="0"/>
        <v>329.875</v>
      </c>
      <c r="Q15" s="8">
        <f t="shared" si="1"/>
        <v>27.489583333333332</v>
      </c>
      <c r="R15" s="46">
        <f t="shared" si="2"/>
        <v>0.90376712328767128</v>
      </c>
    </row>
    <row r="16" spans="1:19" x14ac:dyDescent="0.25">
      <c r="A16" s="177" t="s">
        <v>161</v>
      </c>
      <c r="B16" s="180" t="s">
        <v>168</v>
      </c>
      <c r="C16" s="177" t="s">
        <v>270</v>
      </c>
      <c r="D16" s="179">
        <v>23.65</v>
      </c>
      <c r="E16" s="179">
        <v>20.614999999999998</v>
      </c>
      <c r="F16" s="179">
        <v>22.855</v>
      </c>
      <c r="G16" s="179">
        <v>21.41</v>
      </c>
      <c r="H16" s="179">
        <v>33.085000000000001</v>
      </c>
      <c r="I16" s="179">
        <v>27.795000000000002</v>
      </c>
      <c r="J16" s="179">
        <v>25.434999999999999</v>
      </c>
      <c r="K16" s="179">
        <v>27.045000000000002</v>
      </c>
      <c r="L16" s="179">
        <v>25.25</v>
      </c>
      <c r="M16" s="179">
        <v>29.77</v>
      </c>
      <c r="N16" s="179">
        <v>24.035</v>
      </c>
      <c r="O16" s="179">
        <v>23.715</v>
      </c>
      <c r="P16" s="179">
        <f t="shared" si="0"/>
        <v>304.66000000000003</v>
      </c>
      <c r="Q16" s="8">
        <f t="shared" si="1"/>
        <v>25.388333333333335</v>
      </c>
      <c r="R16" s="46">
        <f t="shared" si="2"/>
        <v>0.83468493150684941</v>
      </c>
    </row>
    <row r="17" spans="1:18" x14ac:dyDescent="0.25">
      <c r="A17" s="177" t="s">
        <v>161</v>
      </c>
      <c r="B17" s="180" t="s">
        <v>169</v>
      </c>
      <c r="C17" s="177" t="s">
        <v>270</v>
      </c>
      <c r="D17" s="179">
        <v>329.17500000000001</v>
      </c>
      <c r="E17" s="179">
        <v>299.93</v>
      </c>
      <c r="F17" s="179">
        <v>309.36500000000001</v>
      </c>
      <c r="G17" s="179">
        <v>285.16000000000003</v>
      </c>
      <c r="H17" s="179">
        <v>319.39499999999998</v>
      </c>
      <c r="I17" s="179">
        <v>383.04500000000002</v>
      </c>
      <c r="J17" s="179">
        <v>363.16</v>
      </c>
      <c r="K17" s="179">
        <v>347.59500000000003</v>
      </c>
      <c r="L17" s="179">
        <v>347.19</v>
      </c>
      <c r="M17" s="179">
        <v>353.875</v>
      </c>
      <c r="N17" s="179">
        <v>319.87</v>
      </c>
      <c r="O17" s="179">
        <v>342.64499999999998</v>
      </c>
      <c r="P17" s="179">
        <f t="shared" si="0"/>
        <v>4000.4049999999997</v>
      </c>
      <c r="Q17" s="8">
        <f t="shared" si="1"/>
        <v>333.36708333333331</v>
      </c>
      <c r="R17" s="46">
        <f t="shared" si="2"/>
        <v>10.960013698630137</v>
      </c>
    </row>
    <row r="18" spans="1:18" x14ac:dyDescent="0.25">
      <c r="A18" s="177" t="s">
        <v>161</v>
      </c>
      <c r="B18" s="180" t="s">
        <v>170</v>
      </c>
      <c r="C18" s="177" t="s">
        <v>270</v>
      </c>
      <c r="D18" s="179">
        <v>121.72499999999999</v>
      </c>
      <c r="E18" s="179">
        <v>110.11499999999999</v>
      </c>
      <c r="F18" s="179">
        <v>119.565</v>
      </c>
      <c r="G18" s="179">
        <v>120.515</v>
      </c>
      <c r="H18" s="179">
        <v>139.91999999999999</v>
      </c>
      <c r="I18" s="179">
        <v>146.48500000000001</v>
      </c>
      <c r="J18" s="179">
        <v>134.07</v>
      </c>
      <c r="K18" s="179">
        <v>141.02500000000001</v>
      </c>
      <c r="L18" s="179">
        <v>141.68</v>
      </c>
      <c r="M18" s="179">
        <v>146.535</v>
      </c>
      <c r="N18" s="179">
        <v>134.42500000000001</v>
      </c>
      <c r="O18" s="179">
        <v>141.37</v>
      </c>
      <c r="P18" s="179">
        <f t="shared" si="0"/>
        <v>1597.4300000000003</v>
      </c>
      <c r="Q18" s="8">
        <f t="shared" si="1"/>
        <v>133.1191666666667</v>
      </c>
      <c r="R18" s="46">
        <f t="shared" si="2"/>
        <v>4.3765205479452058</v>
      </c>
    </row>
    <row r="19" spans="1:18" x14ac:dyDescent="0.25">
      <c r="A19" s="177" t="s">
        <v>56</v>
      </c>
      <c r="B19" s="180" t="s">
        <v>171</v>
      </c>
      <c r="C19" s="177" t="s">
        <v>270</v>
      </c>
      <c r="D19" s="179">
        <v>48.05</v>
      </c>
      <c r="E19" s="179">
        <v>41.51</v>
      </c>
      <c r="F19" s="179">
        <v>48.33</v>
      </c>
      <c r="G19" s="179">
        <v>36.950000000000003</v>
      </c>
      <c r="H19" s="179">
        <v>41.49</v>
      </c>
      <c r="I19" s="179">
        <v>41.05</v>
      </c>
      <c r="J19" s="179">
        <v>41</v>
      </c>
      <c r="K19" s="179">
        <v>38.875</v>
      </c>
      <c r="L19" s="179">
        <v>32.945</v>
      </c>
      <c r="M19" s="179">
        <v>43.02</v>
      </c>
      <c r="N19" s="179">
        <v>43.19</v>
      </c>
      <c r="O19" s="179">
        <v>43.81</v>
      </c>
      <c r="P19" s="179">
        <f t="shared" si="0"/>
        <v>500.21999999999997</v>
      </c>
      <c r="Q19" s="8">
        <f t="shared" si="1"/>
        <v>41.684999999999995</v>
      </c>
      <c r="R19" s="46">
        <f t="shared" si="2"/>
        <v>1.3704657534246574</v>
      </c>
    </row>
    <row r="20" spans="1:18" x14ac:dyDescent="0.25">
      <c r="A20" s="177" t="s">
        <v>161</v>
      </c>
      <c r="B20" s="180" t="s">
        <v>172</v>
      </c>
      <c r="C20" s="177" t="s">
        <v>270</v>
      </c>
      <c r="D20" s="179">
        <v>54.515000000000001</v>
      </c>
      <c r="E20" s="179">
        <v>48.23</v>
      </c>
      <c r="F20" s="179">
        <v>49.164999999999999</v>
      </c>
      <c r="G20" s="179">
        <v>49.765000000000001</v>
      </c>
      <c r="H20" s="179">
        <v>52.72</v>
      </c>
      <c r="I20" s="179">
        <v>56.835000000000001</v>
      </c>
      <c r="J20" s="179">
        <v>61.03</v>
      </c>
      <c r="K20" s="179">
        <v>59.835000000000001</v>
      </c>
      <c r="L20" s="179">
        <v>56.104999999999997</v>
      </c>
      <c r="M20" s="179">
        <v>64.709999999999994</v>
      </c>
      <c r="N20" s="179">
        <v>61.57</v>
      </c>
      <c r="O20" s="179">
        <v>55.55</v>
      </c>
      <c r="P20" s="179">
        <f t="shared" si="0"/>
        <v>670.03</v>
      </c>
      <c r="Q20" s="8">
        <f t="shared" si="1"/>
        <v>55.835833333333333</v>
      </c>
      <c r="R20" s="46">
        <f t="shared" si="2"/>
        <v>1.8356986301369862</v>
      </c>
    </row>
    <row r="21" spans="1:18" x14ac:dyDescent="0.25">
      <c r="A21" s="177" t="s">
        <v>161</v>
      </c>
      <c r="B21" s="180" t="s">
        <v>173</v>
      </c>
      <c r="C21" s="177" t="s">
        <v>270</v>
      </c>
      <c r="D21" s="179">
        <v>28.25</v>
      </c>
      <c r="E21" s="179">
        <v>17.760000000000002</v>
      </c>
      <c r="F21" s="179">
        <v>15.725</v>
      </c>
      <c r="G21" s="179">
        <v>21.24</v>
      </c>
      <c r="H21" s="179">
        <v>22.504999999999999</v>
      </c>
      <c r="I21" s="179">
        <v>21.34</v>
      </c>
      <c r="J21" s="179">
        <v>25.035</v>
      </c>
      <c r="K21" s="179">
        <v>20.2</v>
      </c>
      <c r="L21" s="179">
        <v>25.475000000000001</v>
      </c>
      <c r="M21" s="179">
        <v>19.72</v>
      </c>
      <c r="N21" s="179">
        <v>24.324999999999999</v>
      </c>
      <c r="O21" s="179">
        <v>25.34</v>
      </c>
      <c r="P21" s="179">
        <f t="shared" si="0"/>
        <v>266.91499999999996</v>
      </c>
      <c r="Q21" s="8">
        <f t="shared" si="1"/>
        <v>22.242916666666662</v>
      </c>
      <c r="R21" s="46">
        <f t="shared" si="2"/>
        <v>0.73127397260273963</v>
      </c>
    </row>
    <row r="22" spans="1:18" x14ac:dyDescent="0.25">
      <c r="A22" s="177" t="s">
        <v>56</v>
      </c>
      <c r="B22" s="180" t="s">
        <v>174</v>
      </c>
      <c r="C22" s="177" t="s">
        <v>270</v>
      </c>
      <c r="D22" s="179">
        <v>76.7</v>
      </c>
      <c r="E22" s="179">
        <v>75.424999999999997</v>
      </c>
      <c r="F22" s="179">
        <v>47.5</v>
      </c>
      <c r="G22" s="179">
        <v>62.53</v>
      </c>
      <c r="H22" s="179">
        <v>78.39</v>
      </c>
      <c r="I22" s="179">
        <v>77.790000000000006</v>
      </c>
      <c r="J22" s="179">
        <v>73.245000000000005</v>
      </c>
      <c r="K22" s="179">
        <v>86.525000000000006</v>
      </c>
      <c r="L22" s="179">
        <v>81.855000000000004</v>
      </c>
      <c r="M22" s="179">
        <v>83.834999999999994</v>
      </c>
      <c r="N22" s="179">
        <v>67.905000000000001</v>
      </c>
      <c r="O22" s="179">
        <v>83.265000000000001</v>
      </c>
      <c r="P22" s="179">
        <f t="shared" si="0"/>
        <v>894.96500000000003</v>
      </c>
      <c r="Q22" s="8">
        <f t="shared" si="1"/>
        <v>74.580416666666665</v>
      </c>
      <c r="R22" s="46">
        <f t="shared" si="2"/>
        <v>2.4519589041095893</v>
      </c>
    </row>
    <row r="23" spans="1:18" x14ac:dyDescent="0.25">
      <c r="A23" s="177" t="s">
        <v>56</v>
      </c>
      <c r="B23" s="180" t="s">
        <v>175</v>
      </c>
      <c r="C23" s="177" t="s">
        <v>270</v>
      </c>
      <c r="D23" s="179">
        <v>102.29</v>
      </c>
      <c r="E23" s="179">
        <v>92.844999999999999</v>
      </c>
      <c r="F23" s="179">
        <v>104.145</v>
      </c>
      <c r="G23" s="179">
        <v>94.43</v>
      </c>
      <c r="H23" s="179">
        <v>121.16500000000001</v>
      </c>
      <c r="I23" s="179">
        <v>131.36000000000001</v>
      </c>
      <c r="J23" s="179">
        <v>129.245</v>
      </c>
      <c r="K23" s="179">
        <v>116.03</v>
      </c>
      <c r="L23" s="179">
        <v>112.03</v>
      </c>
      <c r="M23" s="179">
        <v>120.05</v>
      </c>
      <c r="N23" s="179">
        <v>113.515</v>
      </c>
      <c r="O23" s="179">
        <v>114.32</v>
      </c>
      <c r="P23" s="179">
        <f t="shared" si="0"/>
        <v>1351.425</v>
      </c>
      <c r="Q23" s="8">
        <f t="shared" si="1"/>
        <v>112.61874999999999</v>
      </c>
      <c r="R23" s="46">
        <f t="shared" si="2"/>
        <v>3.7025342465753424</v>
      </c>
    </row>
    <row r="24" spans="1:18" x14ac:dyDescent="0.25">
      <c r="A24" s="177" t="s">
        <v>271</v>
      </c>
      <c r="B24" s="180" t="s">
        <v>176</v>
      </c>
      <c r="C24" s="177" t="s">
        <v>270</v>
      </c>
      <c r="D24" s="179">
        <v>47.085000000000001</v>
      </c>
      <c r="E24" s="179">
        <v>48.48</v>
      </c>
      <c r="F24" s="179">
        <v>44.61</v>
      </c>
      <c r="G24" s="179">
        <v>44.914999999999999</v>
      </c>
      <c r="H24" s="179">
        <v>46.77</v>
      </c>
      <c r="I24" s="179">
        <v>50.46</v>
      </c>
      <c r="J24" s="179">
        <v>47.21</v>
      </c>
      <c r="K24" s="179">
        <v>50.075000000000003</v>
      </c>
      <c r="L24" s="179">
        <v>46.024999999999999</v>
      </c>
      <c r="M24" s="179">
        <v>48.3</v>
      </c>
      <c r="N24" s="179">
        <v>47.701999999999998</v>
      </c>
      <c r="O24" s="179">
        <v>50.295000000000002</v>
      </c>
      <c r="P24" s="179">
        <f t="shared" si="0"/>
        <v>571.92699999999991</v>
      </c>
      <c r="Q24" s="8">
        <f t="shared" si="1"/>
        <v>47.660583333333328</v>
      </c>
      <c r="R24" s="46">
        <f t="shared" si="2"/>
        <v>1.5669232876712327</v>
      </c>
    </row>
    <row r="25" spans="1:18" x14ac:dyDescent="0.25">
      <c r="A25" s="177" t="s">
        <v>161</v>
      </c>
      <c r="B25" s="180" t="s">
        <v>177</v>
      </c>
      <c r="C25" s="177" t="s">
        <v>270</v>
      </c>
      <c r="D25" s="179">
        <v>60.255000000000003</v>
      </c>
      <c r="E25" s="179">
        <v>54.39</v>
      </c>
      <c r="F25" s="179">
        <v>57.284999999999997</v>
      </c>
      <c r="G25" s="179">
        <v>57.875</v>
      </c>
      <c r="H25" s="179">
        <v>83.12</v>
      </c>
      <c r="I25" s="179">
        <v>84.6</v>
      </c>
      <c r="J25" s="179">
        <v>83.605000000000004</v>
      </c>
      <c r="K25" s="179">
        <v>83.834999999999994</v>
      </c>
      <c r="L25" s="179">
        <v>62.49</v>
      </c>
      <c r="M25" s="179">
        <v>66.599999999999994</v>
      </c>
      <c r="N25" s="179">
        <v>71.930000000000007</v>
      </c>
      <c r="O25" s="179">
        <v>63.1</v>
      </c>
      <c r="P25" s="179">
        <f t="shared" si="0"/>
        <v>829.08500000000015</v>
      </c>
      <c r="Q25" s="8">
        <f t="shared" si="1"/>
        <v>69.090416666666684</v>
      </c>
      <c r="R25" s="46">
        <f t="shared" si="2"/>
        <v>2.2714657534246578</v>
      </c>
    </row>
    <row r="26" spans="1:18" x14ac:dyDescent="0.25">
      <c r="A26" s="177" t="s">
        <v>161</v>
      </c>
      <c r="B26" s="180" t="s">
        <v>178</v>
      </c>
      <c r="C26" s="177" t="s">
        <v>270</v>
      </c>
      <c r="D26" s="179">
        <v>66.305000000000007</v>
      </c>
      <c r="E26" s="179">
        <v>51.104999999999997</v>
      </c>
      <c r="F26" s="179">
        <v>46.18</v>
      </c>
      <c r="G26" s="179">
        <v>38.465000000000003</v>
      </c>
      <c r="H26" s="179">
        <v>50.92</v>
      </c>
      <c r="I26" s="179">
        <v>54.71</v>
      </c>
      <c r="J26" s="179">
        <v>57.58</v>
      </c>
      <c r="K26" s="179">
        <v>55.21</v>
      </c>
      <c r="L26" s="179">
        <v>57.435000000000002</v>
      </c>
      <c r="M26" s="179">
        <v>59.19</v>
      </c>
      <c r="N26" s="179">
        <v>57.01</v>
      </c>
      <c r="O26" s="179">
        <v>56.134999999999998</v>
      </c>
      <c r="P26" s="179">
        <f t="shared" si="0"/>
        <v>650.24499999999989</v>
      </c>
      <c r="Q26" s="8">
        <f t="shared" si="1"/>
        <v>54.187083333333327</v>
      </c>
      <c r="R26" s="46">
        <f t="shared" si="2"/>
        <v>1.7814931506849312</v>
      </c>
    </row>
    <row r="27" spans="1:18" x14ac:dyDescent="0.25">
      <c r="A27" s="177" t="s">
        <v>56</v>
      </c>
      <c r="B27" s="180" t="s">
        <v>179</v>
      </c>
      <c r="C27" s="177" t="s">
        <v>270</v>
      </c>
      <c r="D27" s="179">
        <v>61.314999999999998</v>
      </c>
      <c r="E27" s="179">
        <v>79</v>
      </c>
      <c r="F27" s="179">
        <v>68.405000000000001</v>
      </c>
      <c r="G27" s="179">
        <v>62.03</v>
      </c>
      <c r="H27" s="179">
        <v>77.64</v>
      </c>
      <c r="I27" s="179">
        <v>79.025000000000006</v>
      </c>
      <c r="J27" s="179">
        <v>76.674999999999997</v>
      </c>
      <c r="K27" s="179">
        <v>73.06</v>
      </c>
      <c r="L27" s="179">
        <v>73.215000000000003</v>
      </c>
      <c r="M27" s="179">
        <v>75.935000000000002</v>
      </c>
      <c r="N27" s="179">
        <v>75.42</v>
      </c>
      <c r="O27" s="179">
        <v>63.555</v>
      </c>
      <c r="P27" s="179">
        <f t="shared" si="0"/>
        <v>865.27499999999986</v>
      </c>
      <c r="Q27" s="8">
        <f t="shared" si="1"/>
        <v>72.106249999999989</v>
      </c>
      <c r="R27" s="46">
        <f t="shared" si="2"/>
        <v>2.3706164383561639</v>
      </c>
    </row>
    <row r="28" spans="1:18" x14ac:dyDescent="0.25">
      <c r="A28" s="177" t="s">
        <v>56</v>
      </c>
      <c r="B28" s="180" t="s">
        <v>180</v>
      </c>
      <c r="C28" s="177" t="s">
        <v>270</v>
      </c>
      <c r="D28" s="179">
        <v>131.85499999999999</v>
      </c>
      <c r="E28" s="179">
        <v>133.6</v>
      </c>
      <c r="F28" s="179">
        <v>126.485</v>
      </c>
      <c r="G28" s="179">
        <v>118.55</v>
      </c>
      <c r="H28" s="179">
        <v>150.02000000000001</v>
      </c>
      <c r="I28" s="179">
        <v>152.66999999999999</v>
      </c>
      <c r="J28" s="179">
        <v>142.065</v>
      </c>
      <c r="K28" s="179">
        <v>137.55500000000001</v>
      </c>
      <c r="L28" s="179">
        <v>137.245</v>
      </c>
      <c r="M28" s="179">
        <v>135.14500000000001</v>
      </c>
      <c r="N28" s="179">
        <v>127.785</v>
      </c>
      <c r="O28" s="179">
        <v>147.12</v>
      </c>
      <c r="P28" s="179">
        <f t="shared" si="0"/>
        <v>1640.0950000000003</v>
      </c>
      <c r="Q28" s="8">
        <f t="shared" si="1"/>
        <v>136.67458333333335</v>
      </c>
      <c r="R28" s="46">
        <f t="shared" si="2"/>
        <v>4.4934109589041107</v>
      </c>
    </row>
    <row r="29" spans="1:18" x14ac:dyDescent="0.25">
      <c r="A29" s="177" t="s">
        <v>161</v>
      </c>
      <c r="B29" s="180" t="s">
        <v>181</v>
      </c>
      <c r="C29" s="177" t="s">
        <v>270</v>
      </c>
      <c r="D29" s="179">
        <v>21.11</v>
      </c>
      <c r="E29" s="179">
        <v>20.74</v>
      </c>
      <c r="F29" s="179">
        <v>22.274999999999999</v>
      </c>
      <c r="G29" s="179">
        <v>24.355</v>
      </c>
      <c r="H29" s="179">
        <v>28.45</v>
      </c>
      <c r="I29" s="179">
        <v>24.86</v>
      </c>
      <c r="J29" s="179">
        <v>22.4</v>
      </c>
      <c r="K29" s="179">
        <v>21.41</v>
      </c>
      <c r="L29" s="179">
        <v>20.395</v>
      </c>
      <c r="M29" s="179">
        <v>23.58</v>
      </c>
      <c r="N29" s="179">
        <v>22.324999999999999</v>
      </c>
      <c r="O29" s="179">
        <v>22.164999999999999</v>
      </c>
      <c r="P29" s="179">
        <f t="shared" si="0"/>
        <v>274.06500000000005</v>
      </c>
      <c r="Q29" s="8">
        <f t="shared" si="1"/>
        <v>22.838750000000005</v>
      </c>
      <c r="R29" s="46">
        <f t="shared" si="2"/>
        <v>0.75086301369863029</v>
      </c>
    </row>
    <row r="30" spans="1:18" x14ac:dyDescent="0.25">
      <c r="A30" s="177" t="s">
        <v>56</v>
      </c>
      <c r="B30" s="180" t="s">
        <v>182</v>
      </c>
      <c r="C30" s="177" t="s">
        <v>270</v>
      </c>
      <c r="D30" s="179">
        <v>58.88</v>
      </c>
      <c r="E30" s="179">
        <v>54.72</v>
      </c>
      <c r="F30" s="179">
        <v>46.1</v>
      </c>
      <c r="G30" s="179">
        <v>42.354999999999997</v>
      </c>
      <c r="H30" s="179">
        <v>47.94</v>
      </c>
      <c r="I30" s="179">
        <v>44.935000000000002</v>
      </c>
      <c r="J30" s="179">
        <v>51.38</v>
      </c>
      <c r="K30" s="179">
        <v>45.734999999999999</v>
      </c>
      <c r="L30" s="179">
        <v>54.155000000000001</v>
      </c>
      <c r="M30" s="179">
        <v>50.82</v>
      </c>
      <c r="N30" s="179">
        <v>47.8</v>
      </c>
      <c r="O30" s="179">
        <v>50.414999999999999</v>
      </c>
      <c r="P30" s="179">
        <f t="shared" si="0"/>
        <v>595.2349999999999</v>
      </c>
      <c r="Q30" s="8">
        <f t="shared" si="1"/>
        <v>49.602916666666658</v>
      </c>
      <c r="R30" s="46">
        <f t="shared" si="2"/>
        <v>1.6307808219178079</v>
      </c>
    </row>
    <row r="31" spans="1:18" x14ac:dyDescent="0.25">
      <c r="A31" s="177" t="s">
        <v>161</v>
      </c>
      <c r="B31" s="180" t="s">
        <v>183</v>
      </c>
      <c r="C31" s="177" t="s">
        <v>270</v>
      </c>
      <c r="D31" s="179">
        <v>239.125</v>
      </c>
      <c r="E31" s="179">
        <v>217.63</v>
      </c>
      <c r="F31" s="179">
        <v>221.95500000000001</v>
      </c>
      <c r="G31" s="179">
        <v>207.655</v>
      </c>
      <c r="H31" s="179">
        <v>256.78500000000003</v>
      </c>
      <c r="I31" s="179">
        <v>261.66000000000003</v>
      </c>
      <c r="J31" s="179">
        <v>252.28</v>
      </c>
      <c r="K31" s="179">
        <v>258.22000000000003</v>
      </c>
      <c r="L31" s="179">
        <v>251.80500000000001</v>
      </c>
      <c r="M31" s="179">
        <v>265.16500000000002</v>
      </c>
      <c r="N31" s="179">
        <v>254.34</v>
      </c>
      <c r="O31" s="179">
        <v>259.92</v>
      </c>
      <c r="P31" s="179">
        <f t="shared" si="0"/>
        <v>2946.5400000000004</v>
      </c>
      <c r="Q31" s="8">
        <f t="shared" si="1"/>
        <v>245.54500000000004</v>
      </c>
      <c r="R31" s="46">
        <f t="shared" si="2"/>
        <v>8.0727123287671247</v>
      </c>
    </row>
    <row r="32" spans="1:18" x14ac:dyDescent="0.25">
      <c r="A32" s="177" t="s">
        <v>56</v>
      </c>
      <c r="B32" s="180" t="s">
        <v>184</v>
      </c>
      <c r="C32" s="177" t="s">
        <v>270</v>
      </c>
      <c r="D32" s="179">
        <v>43.39</v>
      </c>
      <c r="E32" s="179">
        <v>42.734999999999999</v>
      </c>
      <c r="F32" s="179">
        <v>41.76</v>
      </c>
      <c r="G32" s="179">
        <v>40.685000000000002</v>
      </c>
      <c r="H32" s="179">
        <v>48.225000000000001</v>
      </c>
      <c r="I32" s="179">
        <v>50.61</v>
      </c>
      <c r="J32" s="179">
        <v>49.17</v>
      </c>
      <c r="K32" s="179">
        <v>50.15</v>
      </c>
      <c r="L32" s="179">
        <v>51.17</v>
      </c>
      <c r="M32" s="179">
        <v>50.98</v>
      </c>
      <c r="N32" s="179">
        <v>41.7</v>
      </c>
      <c r="O32" s="179">
        <v>50.465000000000003</v>
      </c>
      <c r="P32" s="179">
        <f t="shared" si="0"/>
        <v>561.04</v>
      </c>
      <c r="Q32" s="8">
        <f t="shared" si="1"/>
        <v>46.75333333333333</v>
      </c>
      <c r="R32" s="46">
        <f t="shared" si="2"/>
        <v>1.5370958904109588</v>
      </c>
    </row>
    <row r="33" spans="1:18" x14ac:dyDescent="0.25">
      <c r="A33" s="177" t="s">
        <v>161</v>
      </c>
      <c r="B33" s="180" t="s">
        <v>185</v>
      </c>
      <c r="C33" s="177" t="s">
        <v>270</v>
      </c>
      <c r="D33" s="179">
        <v>104.9</v>
      </c>
      <c r="E33" s="179">
        <v>88.305000000000007</v>
      </c>
      <c r="F33" s="179">
        <v>89.46</v>
      </c>
      <c r="G33" s="179">
        <v>70.87</v>
      </c>
      <c r="H33" s="179">
        <v>93.62</v>
      </c>
      <c r="I33" s="179">
        <v>95.73</v>
      </c>
      <c r="J33" s="179">
        <v>99.805000000000007</v>
      </c>
      <c r="K33" s="179">
        <v>91.935000000000002</v>
      </c>
      <c r="L33" s="179">
        <v>93.63</v>
      </c>
      <c r="M33" s="179">
        <v>103.255</v>
      </c>
      <c r="N33" s="179">
        <v>79.894999999999996</v>
      </c>
      <c r="O33" s="179">
        <v>108.645</v>
      </c>
      <c r="P33" s="179">
        <f t="shared" si="0"/>
        <v>1120.05</v>
      </c>
      <c r="Q33" s="8">
        <f t="shared" si="1"/>
        <v>93.337499999999991</v>
      </c>
      <c r="R33" s="46">
        <f t="shared" si="2"/>
        <v>3.0686301369863012</v>
      </c>
    </row>
    <row r="34" spans="1:18" x14ac:dyDescent="0.25">
      <c r="A34" s="177" t="s">
        <v>56</v>
      </c>
      <c r="B34" s="180" t="s">
        <v>186</v>
      </c>
      <c r="C34" s="177" t="s">
        <v>270</v>
      </c>
      <c r="D34" s="179">
        <v>128.27000000000001</v>
      </c>
      <c r="E34" s="179">
        <v>118.65</v>
      </c>
      <c r="F34" s="179">
        <v>103.38500000000001</v>
      </c>
      <c r="G34" s="179">
        <v>36.630000000000003</v>
      </c>
      <c r="H34" s="179">
        <v>89.385000000000005</v>
      </c>
      <c r="I34" s="179">
        <v>104.48</v>
      </c>
      <c r="J34" s="179">
        <v>199.255</v>
      </c>
      <c r="K34" s="179">
        <v>203.87</v>
      </c>
      <c r="L34" s="179">
        <v>180.11500000000001</v>
      </c>
      <c r="M34" s="179">
        <v>178.79499999999999</v>
      </c>
      <c r="N34" s="179">
        <v>172.44</v>
      </c>
      <c r="O34" s="179">
        <v>196.32</v>
      </c>
      <c r="P34" s="179">
        <f t="shared" si="0"/>
        <v>1711.595</v>
      </c>
      <c r="Q34" s="8">
        <f t="shared" si="1"/>
        <v>142.63291666666666</v>
      </c>
      <c r="R34" s="46">
        <f t="shared" si="2"/>
        <v>4.6893013698630135</v>
      </c>
    </row>
    <row r="35" spans="1:18" x14ac:dyDescent="0.25">
      <c r="A35" s="177" t="s">
        <v>161</v>
      </c>
      <c r="B35" s="180" t="s">
        <v>187</v>
      </c>
      <c r="C35" s="177" t="s">
        <v>270</v>
      </c>
      <c r="D35" s="179">
        <v>71.239999999999995</v>
      </c>
      <c r="E35" s="179">
        <v>63.085000000000001</v>
      </c>
      <c r="F35" s="179">
        <v>59.06</v>
      </c>
      <c r="G35" s="179">
        <v>64.91</v>
      </c>
      <c r="H35" s="179">
        <v>87.74</v>
      </c>
      <c r="I35" s="179">
        <v>116.3</v>
      </c>
      <c r="J35" s="179">
        <v>81.685000000000002</v>
      </c>
      <c r="K35" s="179">
        <v>82.385000000000005</v>
      </c>
      <c r="L35" s="179">
        <v>70.87</v>
      </c>
      <c r="M35" s="179">
        <v>72</v>
      </c>
      <c r="N35" s="179">
        <v>109.505</v>
      </c>
      <c r="O35" s="179">
        <v>90.614999999999995</v>
      </c>
      <c r="P35" s="179">
        <f t="shared" si="0"/>
        <v>969.39499999999998</v>
      </c>
      <c r="Q35" s="8">
        <f t="shared" si="1"/>
        <v>80.782916666666665</v>
      </c>
      <c r="R35" s="46">
        <f t="shared" si="2"/>
        <v>2.6558767123287672</v>
      </c>
    </row>
    <row r="36" spans="1:18" x14ac:dyDescent="0.25">
      <c r="A36" s="177" t="s">
        <v>56</v>
      </c>
      <c r="B36" s="180" t="s">
        <v>188</v>
      </c>
      <c r="C36" s="177" t="s">
        <v>270</v>
      </c>
      <c r="D36" s="179">
        <v>87.275000000000006</v>
      </c>
      <c r="E36" s="179">
        <v>87.12</v>
      </c>
      <c r="F36" s="179">
        <v>88.984999999999999</v>
      </c>
      <c r="G36" s="179">
        <v>90.944999999999993</v>
      </c>
      <c r="H36" s="179">
        <v>113.46</v>
      </c>
      <c r="I36" s="179">
        <v>101.605</v>
      </c>
      <c r="J36" s="179">
        <v>102.03</v>
      </c>
      <c r="K36" s="179">
        <v>102.69499999999999</v>
      </c>
      <c r="L36" s="179">
        <v>95.04</v>
      </c>
      <c r="M36" s="179">
        <v>134.54</v>
      </c>
      <c r="N36" s="179">
        <v>104.575</v>
      </c>
      <c r="O36" s="179">
        <v>101.39</v>
      </c>
      <c r="P36" s="179">
        <f t="shared" si="0"/>
        <v>1209.6600000000001</v>
      </c>
      <c r="Q36" s="8">
        <f t="shared" si="1"/>
        <v>100.80500000000001</v>
      </c>
      <c r="R36" s="46">
        <f t="shared" si="2"/>
        <v>3.3141369863013699</v>
      </c>
    </row>
    <row r="37" spans="1:18" x14ac:dyDescent="0.25">
      <c r="A37" s="177" t="s">
        <v>161</v>
      </c>
      <c r="B37" s="180" t="s">
        <v>189</v>
      </c>
      <c r="C37" s="177" t="s">
        <v>270</v>
      </c>
      <c r="D37" s="179">
        <v>16.63</v>
      </c>
      <c r="E37" s="179">
        <v>16.63</v>
      </c>
      <c r="F37" s="179">
        <v>18.5</v>
      </c>
      <c r="G37" s="179">
        <v>19.875</v>
      </c>
      <c r="H37" s="179">
        <v>20.5</v>
      </c>
      <c r="I37" s="179">
        <v>22.6</v>
      </c>
      <c r="J37" s="179">
        <v>19.594999999999999</v>
      </c>
      <c r="K37" s="179">
        <v>21.39</v>
      </c>
      <c r="L37" s="179">
        <v>20.114999999999998</v>
      </c>
      <c r="M37" s="179">
        <v>20.795000000000002</v>
      </c>
      <c r="N37" s="179">
        <v>19.954999999999998</v>
      </c>
      <c r="O37" s="179">
        <v>18.855</v>
      </c>
      <c r="P37" s="179">
        <f t="shared" si="0"/>
        <v>235.43999999999997</v>
      </c>
      <c r="Q37" s="8">
        <f t="shared" si="1"/>
        <v>19.619999999999997</v>
      </c>
      <c r="R37" s="46">
        <f t="shared" si="2"/>
        <v>0.64504109589041092</v>
      </c>
    </row>
    <row r="38" spans="1:18" x14ac:dyDescent="0.25">
      <c r="A38" s="177" t="s">
        <v>56</v>
      </c>
      <c r="B38" s="180" t="s">
        <v>190</v>
      </c>
      <c r="C38" s="177" t="s">
        <v>270</v>
      </c>
      <c r="D38" s="179">
        <v>215.6</v>
      </c>
      <c r="E38" s="179">
        <v>195.83500000000001</v>
      </c>
      <c r="F38" s="179">
        <v>203.18</v>
      </c>
      <c r="G38" s="179">
        <v>191.78</v>
      </c>
      <c r="H38" s="179">
        <v>202.995</v>
      </c>
      <c r="I38" s="179">
        <v>187.125</v>
      </c>
      <c r="J38" s="179">
        <v>202.98500000000001</v>
      </c>
      <c r="K38" s="179">
        <v>189.60499999999999</v>
      </c>
      <c r="L38" s="179">
        <v>199.08</v>
      </c>
      <c r="M38" s="179">
        <v>172.38</v>
      </c>
      <c r="N38" s="179">
        <v>187.91499999999999</v>
      </c>
      <c r="O38" s="179">
        <v>198.315</v>
      </c>
      <c r="P38" s="179">
        <f t="shared" si="0"/>
        <v>2346.7950000000001</v>
      </c>
      <c r="Q38" s="8">
        <f t="shared" si="1"/>
        <v>195.56625</v>
      </c>
      <c r="R38" s="46">
        <f t="shared" si="2"/>
        <v>6.4295753424657534</v>
      </c>
    </row>
    <row r="39" spans="1:18" x14ac:dyDescent="0.25">
      <c r="A39" s="177" t="s">
        <v>161</v>
      </c>
      <c r="B39" s="180" t="s">
        <v>191</v>
      </c>
      <c r="C39" s="177" t="s">
        <v>270</v>
      </c>
      <c r="D39" s="179">
        <v>232</v>
      </c>
      <c r="E39" s="179">
        <v>203.42</v>
      </c>
      <c r="F39" s="179">
        <v>208.66499999999999</v>
      </c>
      <c r="G39" s="179">
        <v>207.12</v>
      </c>
      <c r="H39" s="179">
        <v>229.55</v>
      </c>
      <c r="I39" s="179">
        <v>266.94</v>
      </c>
      <c r="J39" s="179">
        <v>263.52</v>
      </c>
      <c r="K39" s="179">
        <v>257.32499999999999</v>
      </c>
      <c r="L39" s="179">
        <v>254.26499999999999</v>
      </c>
      <c r="M39" s="179">
        <v>255.66499999999999</v>
      </c>
      <c r="N39" s="179">
        <v>245.07</v>
      </c>
      <c r="O39" s="179">
        <v>246.435</v>
      </c>
      <c r="P39" s="179">
        <f t="shared" si="0"/>
        <v>2869.9749999999999</v>
      </c>
      <c r="Q39" s="8">
        <f t="shared" si="1"/>
        <v>239.16458333333333</v>
      </c>
      <c r="R39" s="46">
        <f t="shared" si="2"/>
        <v>7.862945205479452</v>
      </c>
    </row>
    <row r="40" spans="1:18" x14ac:dyDescent="0.25">
      <c r="A40" s="177" t="s">
        <v>161</v>
      </c>
      <c r="B40" s="180" t="s">
        <v>192</v>
      </c>
      <c r="C40" s="177" t="s">
        <v>270</v>
      </c>
      <c r="D40" s="179">
        <v>25.07</v>
      </c>
      <c r="E40" s="179">
        <v>21.11</v>
      </c>
      <c r="F40" s="179">
        <v>19.850000000000001</v>
      </c>
      <c r="G40" s="179">
        <v>22.28</v>
      </c>
      <c r="H40" s="179">
        <v>30.164999999999999</v>
      </c>
      <c r="I40" s="179">
        <v>27.13</v>
      </c>
      <c r="J40" s="179">
        <v>31.9</v>
      </c>
      <c r="K40" s="179">
        <v>26.27</v>
      </c>
      <c r="L40" s="179">
        <v>28.295000000000002</v>
      </c>
      <c r="M40" s="179">
        <v>35.06</v>
      </c>
      <c r="N40" s="179">
        <v>30.664999999999999</v>
      </c>
      <c r="O40" s="179">
        <v>30.035</v>
      </c>
      <c r="P40" s="179">
        <f t="shared" si="0"/>
        <v>327.83000000000004</v>
      </c>
      <c r="Q40" s="8">
        <f t="shared" si="1"/>
        <v>27.319166666666671</v>
      </c>
      <c r="R40" s="46">
        <f t="shared" si="2"/>
        <v>0.89816438356164396</v>
      </c>
    </row>
    <row r="41" spans="1:18" x14ac:dyDescent="0.25">
      <c r="A41" s="177" t="s">
        <v>161</v>
      </c>
      <c r="B41" s="180" t="s">
        <v>193</v>
      </c>
      <c r="C41" s="177" t="s">
        <v>270</v>
      </c>
      <c r="D41" s="179">
        <v>62.774999999999999</v>
      </c>
      <c r="E41" s="179">
        <v>53.86</v>
      </c>
      <c r="F41" s="179">
        <v>53.274999999999999</v>
      </c>
      <c r="G41" s="179">
        <v>43.32</v>
      </c>
      <c r="H41" s="179">
        <v>57.86</v>
      </c>
      <c r="I41" s="179">
        <v>57.924999999999997</v>
      </c>
      <c r="J41" s="179">
        <v>60.35</v>
      </c>
      <c r="K41" s="179">
        <v>60.27</v>
      </c>
      <c r="L41" s="179">
        <v>51.66</v>
      </c>
      <c r="M41" s="179">
        <v>59.945</v>
      </c>
      <c r="N41" s="179">
        <v>59.954999999999998</v>
      </c>
      <c r="O41" s="179">
        <v>57.1</v>
      </c>
      <c r="P41" s="179">
        <f t="shared" si="0"/>
        <v>678.29500000000007</v>
      </c>
      <c r="Q41" s="8">
        <f t="shared" si="1"/>
        <v>56.524583333333339</v>
      </c>
      <c r="R41" s="46">
        <f t="shared" si="2"/>
        <v>1.8583424657534249</v>
      </c>
    </row>
    <row r="42" spans="1:18" x14ac:dyDescent="0.25">
      <c r="A42" s="177" t="s">
        <v>22</v>
      </c>
      <c r="B42" s="180" t="s">
        <v>194</v>
      </c>
      <c r="C42" s="177" t="s">
        <v>270</v>
      </c>
      <c r="D42" s="179">
        <v>38.31</v>
      </c>
      <c r="E42" s="179">
        <v>29.184999999999999</v>
      </c>
      <c r="F42" s="179">
        <v>29.335000000000001</v>
      </c>
      <c r="G42" s="179">
        <v>27</v>
      </c>
      <c r="H42" s="179">
        <v>32.435000000000002</v>
      </c>
      <c r="I42" s="179">
        <v>32.015000000000001</v>
      </c>
      <c r="J42" s="179">
        <v>36.395000000000003</v>
      </c>
      <c r="K42" s="179">
        <v>34.909999999999997</v>
      </c>
      <c r="L42" s="179">
        <v>33.844999999999999</v>
      </c>
      <c r="M42" s="179">
        <v>35.700000000000003</v>
      </c>
      <c r="N42" s="179">
        <v>34.869999999999997</v>
      </c>
      <c r="O42" s="179">
        <v>33.630000000000003</v>
      </c>
      <c r="P42" s="179">
        <f t="shared" si="0"/>
        <v>397.63000000000005</v>
      </c>
      <c r="Q42" s="8">
        <f t="shared" si="1"/>
        <v>33.135833333333338</v>
      </c>
      <c r="R42" s="46">
        <f t="shared" si="2"/>
        <v>1.0893972602739728</v>
      </c>
    </row>
    <row r="43" spans="1:18" x14ac:dyDescent="0.25">
      <c r="A43" s="177" t="s">
        <v>56</v>
      </c>
      <c r="B43" s="180" t="s">
        <v>195</v>
      </c>
      <c r="C43" s="177" t="s">
        <v>270</v>
      </c>
      <c r="D43" s="179">
        <v>46.655000000000001</v>
      </c>
      <c r="E43" s="179">
        <v>39.130000000000003</v>
      </c>
      <c r="F43" s="179">
        <v>39</v>
      </c>
      <c r="G43" s="179">
        <v>34.17</v>
      </c>
      <c r="H43" s="179">
        <v>41.59</v>
      </c>
      <c r="I43" s="179">
        <v>43.21</v>
      </c>
      <c r="J43" s="179">
        <v>45.454999999999998</v>
      </c>
      <c r="K43" s="179">
        <v>43.145000000000003</v>
      </c>
      <c r="L43" s="179">
        <v>41.875</v>
      </c>
      <c r="M43" s="179">
        <v>43.07</v>
      </c>
      <c r="N43" s="179">
        <v>42.384999999999998</v>
      </c>
      <c r="O43" s="179">
        <v>38.76</v>
      </c>
      <c r="P43" s="179">
        <f t="shared" si="0"/>
        <v>498.44499999999994</v>
      </c>
      <c r="Q43" s="8">
        <f t="shared" si="1"/>
        <v>41.537083333333328</v>
      </c>
      <c r="R43" s="46">
        <f t="shared" si="2"/>
        <v>1.3656027397260273</v>
      </c>
    </row>
    <row r="44" spans="1:18" x14ac:dyDescent="0.25">
      <c r="A44" s="177" t="s">
        <v>22</v>
      </c>
      <c r="B44" s="180" t="s">
        <v>196</v>
      </c>
      <c r="C44" s="177" t="s">
        <v>270</v>
      </c>
      <c r="D44" s="179">
        <v>230.095</v>
      </c>
      <c r="E44" s="179">
        <v>211.43</v>
      </c>
      <c r="F44" s="179">
        <v>249.9</v>
      </c>
      <c r="G44" s="179">
        <v>238.08</v>
      </c>
      <c r="H44" s="179">
        <v>278.38499999999999</v>
      </c>
      <c r="I44" s="179">
        <v>283.5</v>
      </c>
      <c r="J44" s="179">
        <v>313.995</v>
      </c>
      <c r="K44" s="179">
        <v>303.01</v>
      </c>
      <c r="L44" s="179">
        <v>320.14999999999998</v>
      </c>
      <c r="M44" s="179">
        <v>319.29000000000002</v>
      </c>
      <c r="N44" s="179">
        <v>295.7</v>
      </c>
      <c r="O44" s="179">
        <v>300.02499999999998</v>
      </c>
      <c r="P44" s="179">
        <f t="shared" si="0"/>
        <v>3343.5599999999995</v>
      </c>
      <c r="Q44" s="8">
        <f t="shared" si="1"/>
        <v>278.62999999999994</v>
      </c>
      <c r="R44" s="46">
        <f t="shared" si="2"/>
        <v>9.1604383561643825</v>
      </c>
    </row>
    <row r="45" spans="1:18" x14ac:dyDescent="0.25">
      <c r="A45" s="177" t="s">
        <v>56</v>
      </c>
      <c r="B45" s="180" t="s">
        <v>197</v>
      </c>
      <c r="C45" s="177" t="s">
        <v>270</v>
      </c>
      <c r="D45" s="179">
        <v>159.76499999999999</v>
      </c>
      <c r="E45" s="179">
        <v>137.88</v>
      </c>
      <c r="F45" s="179">
        <v>136.34</v>
      </c>
      <c r="G45" s="179">
        <v>111.785</v>
      </c>
      <c r="H45" s="179">
        <v>124.06</v>
      </c>
      <c r="I45" s="179">
        <v>132.93</v>
      </c>
      <c r="J45" s="179">
        <v>141.47999999999999</v>
      </c>
      <c r="K45" s="179">
        <v>133.93</v>
      </c>
      <c r="L45" s="179">
        <v>145.04499999999999</v>
      </c>
      <c r="M45" s="179">
        <v>166.19499999999999</v>
      </c>
      <c r="N45" s="179">
        <v>153.66499999999999</v>
      </c>
      <c r="O45" s="179">
        <v>151.73500000000001</v>
      </c>
      <c r="P45" s="179">
        <f t="shared" si="0"/>
        <v>1694.81</v>
      </c>
      <c r="Q45" s="8">
        <f t="shared" si="1"/>
        <v>141.23416666666665</v>
      </c>
      <c r="R45" s="46">
        <f t="shared" si="2"/>
        <v>4.6433150684931501</v>
      </c>
    </row>
    <row r="46" spans="1:18" x14ac:dyDescent="0.25">
      <c r="A46" s="177" t="s">
        <v>58</v>
      </c>
      <c r="B46" s="180" t="s">
        <v>198</v>
      </c>
      <c r="C46" s="177" t="s">
        <v>270</v>
      </c>
      <c r="D46" s="179">
        <v>415.73500000000001</v>
      </c>
      <c r="E46" s="179">
        <v>369.47</v>
      </c>
      <c r="F46" s="179">
        <v>362.61</v>
      </c>
      <c r="G46" s="179">
        <v>299.10500000000002</v>
      </c>
      <c r="H46" s="179">
        <v>317.04000000000002</v>
      </c>
      <c r="I46" s="179">
        <v>329.95499999999998</v>
      </c>
      <c r="J46" s="179">
        <v>329.19</v>
      </c>
      <c r="K46" s="179">
        <v>363.18</v>
      </c>
      <c r="L46" s="179">
        <v>417.05500000000001</v>
      </c>
      <c r="M46" s="179">
        <v>409.29</v>
      </c>
      <c r="N46" s="179">
        <v>407.47500000000002</v>
      </c>
      <c r="O46" s="179">
        <v>413.39</v>
      </c>
      <c r="P46" s="179">
        <f t="shared" si="0"/>
        <v>4433.4949999999999</v>
      </c>
      <c r="Q46" s="8">
        <f t="shared" si="1"/>
        <v>369.45791666666668</v>
      </c>
      <c r="R46" s="46">
        <f t="shared" si="2"/>
        <v>12.146561643835616</v>
      </c>
    </row>
    <row r="47" spans="1:18" x14ac:dyDescent="0.25">
      <c r="A47" s="177" t="s">
        <v>159</v>
      </c>
      <c r="B47" s="181" t="s">
        <v>213</v>
      </c>
      <c r="C47" s="177" t="s">
        <v>270</v>
      </c>
      <c r="D47" s="179">
        <v>80.63</v>
      </c>
      <c r="E47" s="179">
        <v>73.745000000000005</v>
      </c>
      <c r="F47" s="179">
        <v>92.7</v>
      </c>
      <c r="G47" s="179">
        <v>60.05</v>
      </c>
      <c r="H47" s="179">
        <v>78</v>
      </c>
      <c r="I47" s="179">
        <v>69.45</v>
      </c>
      <c r="J47" s="179">
        <v>71.265000000000001</v>
      </c>
      <c r="K47" s="179">
        <v>69.765000000000001</v>
      </c>
      <c r="L47" s="179">
        <v>70.364999999999995</v>
      </c>
      <c r="M47" s="179">
        <v>85.08</v>
      </c>
      <c r="N47" s="179">
        <v>73.454999999999998</v>
      </c>
      <c r="O47" s="179">
        <v>77.11</v>
      </c>
      <c r="P47" s="179">
        <f t="shared" si="0"/>
        <v>901.61500000000012</v>
      </c>
      <c r="Q47" s="8">
        <f t="shared" si="1"/>
        <v>75.134583333333339</v>
      </c>
      <c r="R47" s="46">
        <f t="shared" si="2"/>
        <v>2.4701780821917811</v>
      </c>
    </row>
    <row r="48" spans="1:18" x14ac:dyDescent="0.25">
      <c r="A48" s="177" t="s">
        <v>58</v>
      </c>
      <c r="B48" s="180" t="s">
        <v>199</v>
      </c>
      <c r="C48" s="177" t="s">
        <v>270</v>
      </c>
      <c r="D48" s="179">
        <v>44.85</v>
      </c>
      <c r="E48" s="179">
        <v>38.58</v>
      </c>
      <c r="F48" s="179">
        <v>41.65</v>
      </c>
      <c r="G48" s="179">
        <v>40.005000000000003</v>
      </c>
      <c r="H48" s="179">
        <v>42.555</v>
      </c>
      <c r="I48" s="179">
        <v>41.945</v>
      </c>
      <c r="J48" s="179">
        <v>43.604999999999997</v>
      </c>
      <c r="K48" s="179">
        <v>44.8</v>
      </c>
      <c r="L48" s="179">
        <v>41.3</v>
      </c>
      <c r="M48" s="179">
        <v>49.844999999999999</v>
      </c>
      <c r="N48" s="179">
        <v>45.42</v>
      </c>
      <c r="O48" s="179">
        <v>45.32</v>
      </c>
      <c r="P48" s="179">
        <f t="shared" si="0"/>
        <v>519.875</v>
      </c>
      <c r="Q48" s="8">
        <f t="shared" si="1"/>
        <v>43.322916666666664</v>
      </c>
      <c r="R48" s="46">
        <f t="shared" si="2"/>
        <v>1.4243150684931507</v>
      </c>
    </row>
    <row r="49" spans="1:18" x14ac:dyDescent="0.25">
      <c r="A49" s="177" t="s">
        <v>58</v>
      </c>
      <c r="B49" s="180" t="s">
        <v>200</v>
      </c>
      <c r="C49" s="177" t="s">
        <v>270</v>
      </c>
      <c r="D49" s="179">
        <v>37.814999999999998</v>
      </c>
      <c r="E49" s="179">
        <v>32.844999999999999</v>
      </c>
      <c r="F49" s="179">
        <v>33.69</v>
      </c>
      <c r="G49" s="179">
        <v>34.895000000000003</v>
      </c>
      <c r="H49" s="179">
        <v>40.94</v>
      </c>
      <c r="I49" s="179">
        <v>40.784999999999997</v>
      </c>
      <c r="J49" s="179">
        <v>39.08</v>
      </c>
      <c r="K49" s="179">
        <v>37.094999999999999</v>
      </c>
      <c r="L49" s="179">
        <v>35.42</v>
      </c>
      <c r="M49" s="179">
        <v>35.905000000000001</v>
      </c>
      <c r="N49" s="179">
        <v>36.604999999999997</v>
      </c>
      <c r="O49" s="179">
        <v>37.204999999999998</v>
      </c>
      <c r="P49" s="179">
        <f t="shared" si="0"/>
        <v>442.28000000000003</v>
      </c>
      <c r="Q49" s="8">
        <f t="shared" si="1"/>
        <v>36.856666666666669</v>
      </c>
      <c r="R49" s="46">
        <f t="shared" si="2"/>
        <v>1.2117260273972603</v>
      </c>
    </row>
    <row r="50" spans="1:18" x14ac:dyDescent="0.25">
      <c r="A50" s="177" t="s">
        <v>58</v>
      </c>
      <c r="B50" s="180" t="s">
        <v>201</v>
      </c>
      <c r="C50" s="177" t="s">
        <v>270</v>
      </c>
      <c r="D50" s="179">
        <v>22.085000000000001</v>
      </c>
      <c r="E50" s="179">
        <v>18.864999999999998</v>
      </c>
      <c r="F50" s="179">
        <v>21.72</v>
      </c>
      <c r="G50" s="179">
        <v>21.02</v>
      </c>
      <c r="H50" s="179">
        <v>21.61</v>
      </c>
      <c r="I50" s="179">
        <v>24.655000000000001</v>
      </c>
      <c r="J50" s="179">
        <v>23.25</v>
      </c>
      <c r="K50" s="179">
        <v>25.54</v>
      </c>
      <c r="L50" s="179">
        <v>23.934999999999999</v>
      </c>
      <c r="M50" s="179">
        <v>28.38</v>
      </c>
      <c r="N50" s="179">
        <v>28.515000000000001</v>
      </c>
      <c r="O50" s="179">
        <v>21.63</v>
      </c>
      <c r="P50" s="179">
        <f t="shared" si="0"/>
        <v>281.20499999999998</v>
      </c>
      <c r="Q50" s="8">
        <f t="shared" si="1"/>
        <v>23.43375</v>
      </c>
      <c r="R50" s="46">
        <f t="shared" si="2"/>
        <v>0.77042465753424649</v>
      </c>
    </row>
    <row r="51" spans="1:18" x14ac:dyDescent="0.25">
      <c r="A51" s="177" t="s">
        <v>58</v>
      </c>
      <c r="B51" s="180" t="s">
        <v>202</v>
      </c>
      <c r="C51" s="177" t="s">
        <v>270</v>
      </c>
      <c r="D51" s="179">
        <v>17.434999999999999</v>
      </c>
      <c r="E51" s="179">
        <v>13.835000000000001</v>
      </c>
      <c r="F51" s="179">
        <v>13.88</v>
      </c>
      <c r="G51" s="179">
        <v>14.6</v>
      </c>
      <c r="H51" s="179">
        <v>17.885000000000002</v>
      </c>
      <c r="I51" s="179">
        <v>22.445</v>
      </c>
      <c r="J51" s="179">
        <v>22.87</v>
      </c>
      <c r="K51" s="179">
        <v>23.05</v>
      </c>
      <c r="L51" s="179">
        <v>19.399999999999999</v>
      </c>
      <c r="M51" s="179">
        <v>18.22</v>
      </c>
      <c r="N51" s="179">
        <v>20.295000000000002</v>
      </c>
      <c r="O51" s="179">
        <v>17.484999999999999</v>
      </c>
      <c r="P51" s="179">
        <f t="shared" si="0"/>
        <v>221.40000000000003</v>
      </c>
      <c r="Q51" s="8">
        <f t="shared" si="1"/>
        <v>18.450000000000003</v>
      </c>
      <c r="R51" s="46">
        <f t="shared" si="2"/>
        <v>0.60657534246575351</v>
      </c>
    </row>
    <row r="52" spans="1:18" x14ac:dyDescent="0.25">
      <c r="A52" s="177" t="s">
        <v>58</v>
      </c>
      <c r="B52" s="180" t="s">
        <v>204</v>
      </c>
      <c r="C52" s="177" t="s">
        <v>270</v>
      </c>
      <c r="D52" s="179">
        <v>39.825000000000003</v>
      </c>
      <c r="E52" s="179">
        <v>41.79</v>
      </c>
      <c r="F52" s="179">
        <v>34.585000000000001</v>
      </c>
      <c r="G52" s="179">
        <v>31.42</v>
      </c>
      <c r="H52" s="179">
        <v>34.145000000000003</v>
      </c>
      <c r="I52" s="179">
        <v>34.524999999999999</v>
      </c>
      <c r="J52" s="179">
        <v>40.045000000000002</v>
      </c>
      <c r="K52" s="179">
        <v>34.674999999999997</v>
      </c>
      <c r="L52" s="179">
        <v>39.674999999999997</v>
      </c>
      <c r="M52" s="179">
        <v>45.51</v>
      </c>
      <c r="N52" s="179">
        <v>47.884999999999998</v>
      </c>
      <c r="O52" s="179">
        <v>48.2</v>
      </c>
      <c r="P52" s="179">
        <f t="shared" si="0"/>
        <v>472.28000000000003</v>
      </c>
      <c r="Q52" s="8">
        <f t="shared" si="1"/>
        <v>39.356666666666669</v>
      </c>
      <c r="R52" s="46">
        <f t="shared" si="2"/>
        <v>1.2939178082191782</v>
      </c>
    </row>
    <row r="53" spans="1:18" x14ac:dyDescent="0.25">
      <c r="A53" s="177" t="s">
        <v>58</v>
      </c>
      <c r="B53" s="180" t="s">
        <v>205</v>
      </c>
      <c r="C53" s="177" t="s">
        <v>270</v>
      </c>
      <c r="D53" s="179">
        <v>5.9850000000000003</v>
      </c>
      <c r="E53" s="179">
        <v>5.94</v>
      </c>
      <c r="F53" s="179">
        <v>6.4349999999999996</v>
      </c>
      <c r="G53" s="179">
        <v>4.4950000000000001</v>
      </c>
      <c r="H53" s="179">
        <v>4.9550000000000001</v>
      </c>
      <c r="I53" s="179">
        <v>6.5350000000000001</v>
      </c>
      <c r="J53" s="179">
        <v>6.61</v>
      </c>
      <c r="K53" s="179">
        <v>6.6449999999999996</v>
      </c>
      <c r="L53" s="179">
        <v>5.8849999999999998</v>
      </c>
      <c r="M53" s="179">
        <v>6.54</v>
      </c>
      <c r="N53" s="179">
        <v>7.89</v>
      </c>
      <c r="O53" s="179">
        <v>5.9450000000000003</v>
      </c>
      <c r="P53" s="179">
        <f t="shared" si="0"/>
        <v>73.859999999999985</v>
      </c>
      <c r="Q53" s="8">
        <f t="shared" si="1"/>
        <v>6.1549999999999985</v>
      </c>
      <c r="R53" s="46">
        <f t="shared" si="2"/>
        <v>0.2023561643835616</v>
      </c>
    </row>
    <row r="54" spans="1:18" x14ac:dyDescent="0.25">
      <c r="A54" s="177" t="s">
        <v>56</v>
      </c>
      <c r="B54" s="180" t="s">
        <v>206</v>
      </c>
      <c r="C54" s="177" t="s">
        <v>270</v>
      </c>
      <c r="D54" s="179">
        <v>28.725000000000001</v>
      </c>
      <c r="E54" s="179">
        <v>30.065000000000001</v>
      </c>
      <c r="F54" s="179">
        <v>29.234999999999999</v>
      </c>
      <c r="G54" s="179">
        <v>26.122</v>
      </c>
      <c r="H54" s="179">
        <v>41.94</v>
      </c>
      <c r="I54" s="179">
        <v>32.74</v>
      </c>
      <c r="J54" s="179">
        <v>29.085000000000001</v>
      </c>
      <c r="K54" s="179">
        <v>30.495000000000001</v>
      </c>
      <c r="L54" s="179">
        <v>33.354999999999997</v>
      </c>
      <c r="M54" s="179">
        <v>39.57</v>
      </c>
      <c r="N54" s="179">
        <v>43.26</v>
      </c>
      <c r="O54" s="179">
        <v>37.125</v>
      </c>
      <c r="P54" s="179">
        <f t="shared" si="0"/>
        <v>401.71699999999998</v>
      </c>
      <c r="Q54" s="8">
        <f t="shared" si="1"/>
        <v>33.476416666666665</v>
      </c>
      <c r="R54" s="46">
        <f t="shared" si="2"/>
        <v>1.1005945205479453</v>
      </c>
    </row>
    <row r="55" spans="1:18" s="145" customFormat="1" x14ac:dyDescent="0.25">
      <c r="A55" s="177" t="s">
        <v>56</v>
      </c>
      <c r="B55" s="180" t="s">
        <v>207</v>
      </c>
      <c r="C55" s="177" t="s">
        <v>270</v>
      </c>
      <c r="D55" s="179">
        <v>36.17</v>
      </c>
      <c r="E55" s="179">
        <v>28.15</v>
      </c>
      <c r="F55" s="179">
        <v>28.3</v>
      </c>
      <c r="G55" s="179">
        <v>36.299999999999997</v>
      </c>
      <c r="H55" s="179">
        <v>31.355</v>
      </c>
      <c r="I55" s="179">
        <v>29.2</v>
      </c>
      <c r="J55" s="179">
        <v>34.9</v>
      </c>
      <c r="K55" s="179">
        <v>28.385000000000002</v>
      </c>
      <c r="L55" s="179">
        <v>28.95</v>
      </c>
      <c r="M55" s="179">
        <v>37.484999999999999</v>
      </c>
      <c r="N55" s="179">
        <v>33.164999999999999</v>
      </c>
      <c r="O55" s="179">
        <v>33.994999999999997</v>
      </c>
      <c r="P55" s="179">
        <f t="shared" si="0"/>
        <v>386.35500000000002</v>
      </c>
      <c r="Q55" s="143">
        <f t="shared" si="1"/>
        <v>32.196249999999999</v>
      </c>
      <c r="R55" s="144">
        <f t="shared" si="2"/>
        <v>1.0585068493150684</v>
      </c>
    </row>
    <row r="56" spans="1:18" x14ac:dyDescent="0.25">
      <c r="A56" s="177" t="s">
        <v>159</v>
      </c>
      <c r="B56" s="180" t="s">
        <v>208</v>
      </c>
      <c r="C56" s="177" t="s">
        <v>270</v>
      </c>
      <c r="D56" s="179">
        <v>31.545000000000002</v>
      </c>
      <c r="E56" s="179">
        <v>26.18</v>
      </c>
      <c r="F56" s="179">
        <v>29.715</v>
      </c>
      <c r="G56" s="179">
        <v>26.57</v>
      </c>
      <c r="H56" s="179">
        <v>35.35</v>
      </c>
      <c r="I56" s="179">
        <v>28.43</v>
      </c>
      <c r="J56" s="179">
        <v>28.01</v>
      </c>
      <c r="K56" s="179">
        <v>27.45</v>
      </c>
      <c r="L56" s="179">
        <v>32.284999999999997</v>
      </c>
      <c r="M56" s="179">
        <v>28.875</v>
      </c>
      <c r="N56" s="179">
        <v>28.885000000000002</v>
      </c>
      <c r="O56" s="179">
        <v>33.215000000000003</v>
      </c>
      <c r="P56" s="179">
        <f t="shared" si="0"/>
        <v>356.51</v>
      </c>
      <c r="Q56" s="8">
        <f t="shared" si="1"/>
        <v>29.709166666666665</v>
      </c>
      <c r="R56" s="46">
        <f t="shared" si="2"/>
        <v>0.97673972602739723</v>
      </c>
    </row>
    <row r="57" spans="1:18" x14ac:dyDescent="0.25">
      <c r="A57" s="177" t="s">
        <v>56</v>
      </c>
      <c r="B57" s="180" t="s">
        <v>209</v>
      </c>
      <c r="C57" s="177" t="s">
        <v>270</v>
      </c>
      <c r="D57" s="179">
        <v>5.6550000000000002</v>
      </c>
      <c r="E57" s="179">
        <v>7.66</v>
      </c>
      <c r="F57" s="179">
        <v>5.1100000000000003</v>
      </c>
      <c r="G57" s="179">
        <v>5.27</v>
      </c>
      <c r="H57" s="179">
        <v>8.68</v>
      </c>
      <c r="I57" s="179">
        <v>7.7949999999999999</v>
      </c>
      <c r="J57" s="179">
        <v>7.8250000000000002</v>
      </c>
      <c r="K57" s="179">
        <v>8.1300000000000008</v>
      </c>
      <c r="L57" s="179">
        <v>6.665</v>
      </c>
      <c r="M57" s="179">
        <v>8.1649999999999991</v>
      </c>
      <c r="N57" s="179">
        <v>7.09</v>
      </c>
      <c r="O57" s="179">
        <v>6.26</v>
      </c>
      <c r="P57" s="179">
        <f t="shared" si="0"/>
        <v>84.305000000000021</v>
      </c>
      <c r="Q57" s="8">
        <f t="shared" si="1"/>
        <v>7.0254166666666684</v>
      </c>
      <c r="R57" s="46">
        <f t="shared" si="2"/>
        <v>0.23097260273972609</v>
      </c>
    </row>
    <row r="58" spans="1:18" x14ac:dyDescent="0.25">
      <c r="A58" s="177" t="s">
        <v>58</v>
      </c>
      <c r="B58" s="181" t="s">
        <v>210</v>
      </c>
      <c r="C58" s="177" t="s">
        <v>270</v>
      </c>
      <c r="D58" s="179">
        <v>8.58</v>
      </c>
      <c r="E58" s="179">
        <v>7.02</v>
      </c>
      <c r="F58" s="179">
        <v>6.2249999999999996</v>
      </c>
      <c r="G58" s="179">
        <v>6.12</v>
      </c>
      <c r="H58" s="179">
        <v>8.9250000000000007</v>
      </c>
      <c r="I58" s="179">
        <v>7.2</v>
      </c>
      <c r="J58" s="179">
        <v>7.6349999999999998</v>
      </c>
      <c r="K58" s="179">
        <v>6.4</v>
      </c>
      <c r="L58" s="179">
        <v>6.86</v>
      </c>
      <c r="M58" s="179">
        <v>9.6150000000000002</v>
      </c>
      <c r="N58" s="179">
        <v>8.1349999999999998</v>
      </c>
      <c r="O58" s="179">
        <v>6.88</v>
      </c>
      <c r="P58" s="179">
        <f t="shared" si="0"/>
        <v>89.594999999999999</v>
      </c>
      <c r="Q58" s="8">
        <f t="shared" si="1"/>
        <v>7.4662499999999996</v>
      </c>
      <c r="R58" s="46">
        <f t="shared" si="2"/>
        <v>0.24546575342465754</v>
      </c>
    </row>
    <row r="59" spans="1:18" x14ac:dyDescent="0.25">
      <c r="A59" s="177" t="s">
        <v>159</v>
      </c>
      <c r="B59" s="181" t="s">
        <v>269</v>
      </c>
      <c r="C59" s="177" t="s">
        <v>270</v>
      </c>
      <c r="D59" s="179">
        <v>34.9</v>
      </c>
      <c r="E59" s="179">
        <v>34.04</v>
      </c>
      <c r="F59" s="179">
        <v>27.71</v>
      </c>
      <c r="G59" s="179">
        <v>23.105</v>
      </c>
      <c r="H59" s="179">
        <v>28.344999999999999</v>
      </c>
      <c r="I59" s="179">
        <v>31.69</v>
      </c>
      <c r="J59" s="179">
        <v>31.535</v>
      </c>
      <c r="K59" s="179">
        <v>29.145</v>
      </c>
      <c r="L59" s="179">
        <v>32.234999999999999</v>
      </c>
      <c r="M59" s="179">
        <v>37.44</v>
      </c>
      <c r="N59" s="179">
        <v>36.880000000000003</v>
      </c>
      <c r="O59" s="179">
        <v>33.335000000000001</v>
      </c>
      <c r="P59" s="179">
        <f t="shared" si="0"/>
        <v>380.36</v>
      </c>
      <c r="Q59" s="8">
        <f t="shared" si="1"/>
        <v>31.696666666666669</v>
      </c>
      <c r="R59" s="46">
        <f t="shared" si="2"/>
        <v>1.0420821917808221</v>
      </c>
    </row>
    <row r="60" spans="1:18" x14ac:dyDescent="0.25">
      <c r="A60" s="177" t="s">
        <v>58</v>
      </c>
      <c r="B60" s="181" t="s">
        <v>211</v>
      </c>
      <c r="C60" s="177" t="s">
        <v>270</v>
      </c>
      <c r="D60" s="179">
        <v>0</v>
      </c>
      <c r="E60" s="179">
        <v>0</v>
      </c>
      <c r="F60" s="179">
        <v>2.4700000000000002</v>
      </c>
      <c r="G60" s="179">
        <v>0</v>
      </c>
      <c r="H60" s="179">
        <v>0</v>
      </c>
      <c r="I60" s="179">
        <v>0</v>
      </c>
      <c r="J60" s="179">
        <v>0</v>
      </c>
      <c r="K60" s="179">
        <v>0</v>
      </c>
      <c r="L60" s="179">
        <v>3.3650000000000002</v>
      </c>
      <c r="M60" s="179">
        <v>0</v>
      </c>
      <c r="N60" s="179">
        <v>0</v>
      </c>
      <c r="O60" s="179">
        <v>0</v>
      </c>
      <c r="P60" s="179">
        <f t="shared" si="0"/>
        <v>5.8350000000000009</v>
      </c>
      <c r="Q60" s="8">
        <f t="shared" si="1"/>
        <v>0.48625000000000007</v>
      </c>
      <c r="R60" s="46">
        <f t="shared" si="2"/>
        <v>1.5986301369863017E-2</v>
      </c>
    </row>
    <row r="61" spans="1:18" x14ac:dyDescent="0.25">
      <c r="A61" s="177" t="s">
        <v>58</v>
      </c>
      <c r="B61" s="181" t="s">
        <v>55</v>
      </c>
      <c r="C61" s="177" t="s">
        <v>270</v>
      </c>
      <c r="D61" s="179">
        <v>0</v>
      </c>
      <c r="E61" s="179">
        <v>0</v>
      </c>
      <c r="F61" s="179">
        <v>0</v>
      </c>
      <c r="G61" s="179">
        <v>0</v>
      </c>
      <c r="H61" s="179">
        <v>0</v>
      </c>
      <c r="I61" s="179">
        <v>0</v>
      </c>
      <c r="J61" s="179">
        <v>0</v>
      </c>
      <c r="K61" s="179">
        <v>2.5350000000000001</v>
      </c>
      <c r="L61" s="179">
        <v>3.89</v>
      </c>
      <c r="M61" s="179">
        <v>2.36</v>
      </c>
      <c r="N61" s="179">
        <v>0</v>
      </c>
      <c r="O61" s="179">
        <v>13.835000000000001</v>
      </c>
      <c r="P61" s="179">
        <f t="shared" si="0"/>
        <v>22.62</v>
      </c>
      <c r="Q61" s="8">
        <f t="shared" si="1"/>
        <v>1.885</v>
      </c>
      <c r="R61" s="46">
        <f t="shared" si="2"/>
        <v>6.1972602739726032E-2</v>
      </c>
    </row>
    <row r="62" spans="1:18" s="16" customFormat="1" x14ac:dyDescent="0.25">
      <c r="A62" s="182"/>
      <c r="B62" s="183" t="s">
        <v>272</v>
      </c>
      <c r="C62" s="183"/>
      <c r="D62" s="142">
        <f>SUM(D8:D61)</f>
        <v>5702.6449999999995</v>
      </c>
      <c r="E62" s="142">
        <f>SUM(E8:E61)</f>
        <v>5166.8099999999995</v>
      </c>
      <c r="F62" s="142">
        <f t="shared" ref="F62:Q62" si="3">SUM(F8:F61)</f>
        <v>5159.1349999999993</v>
      </c>
      <c r="G62" s="142">
        <f t="shared" si="3"/>
        <v>4688.8070000000025</v>
      </c>
      <c r="H62" s="142">
        <f t="shared" si="3"/>
        <v>5366.4049999999997</v>
      </c>
      <c r="I62" s="142">
        <f t="shared" si="3"/>
        <v>5619.9249999999993</v>
      </c>
      <c r="J62" s="142">
        <f t="shared" si="3"/>
        <v>5849.53</v>
      </c>
      <c r="K62" s="142">
        <f t="shared" si="3"/>
        <v>5689.6450000000041</v>
      </c>
      <c r="L62" s="142">
        <f t="shared" si="3"/>
        <v>5808.2849999999989</v>
      </c>
      <c r="M62" s="142">
        <f t="shared" si="3"/>
        <v>6153.4799999999987</v>
      </c>
      <c r="N62" s="142">
        <f t="shared" si="3"/>
        <v>5778.5110000000022</v>
      </c>
      <c r="O62" s="142">
        <f t="shared" si="3"/>
        <v>5937.2999999999993</v>
      </c>
      <c r="P62" s="142">
        <f t="shared" si="3"/>
        <v>66920.477999999988</v>
      </c>
      <c r="Q62" s="142">
        <f t="shared" si="3"/>
        <v>5576.7065000000002</v>
      </c>
      <c r="R62" s="142">
        <f>SUM(R8:R61)</f>
        <v>183.34377534246573</v>
      </c>
    </row>
    <row r="63" spans="1:18" x14ac:dyDescent="0.25">
      <c r="A63" s="101" t="s">
        <v>266</v>
      </c>
      <c r="B63" s="184" t="s">
        <v>69</v>
      </c>
      <c r="C63" s="177" t="s">
        <v>270</v>
      </c>
      <c r="D63" s="257">
        <v>10.085000000000001</v>
      </c>
      <c r="E63" s="179">
        <v>5.31</v>
      </c>
      <c r="F63" s="179">
        <v>5.29</v>
      </c>
      <c r="G63" s="179">
        <v>4.99</v>
      </c>
      <c r="H63" s="179">
        <v>7.16</v>
      </c>
      <c r="I63" s="179">
        <v>6.79</v>
      </c>
      <c r="J63" s="179">
        <v>6.8650000000000002</v>
      </c>
      <c r="K63" s="179">
        <v>6.27</v>
      </c>
      <c r="L63" s="179">
        <v>5.43</v>
      </c>
      <c r="M63" s="179">
        <v>5.63</v>
      </c>
      <c r="N63" s="179">
        <v>10.185</v>
      </c>
      <c r="O63" s="179">
        <v>8.3699999999999992</v>
      </c>
      <c r="P63" s="179">
        <f t="shared" ref="P63:P80" si="4">SUM(D63:O63)</f>
        <v>82.375</v>
      </c>
      <c r="Q63" s="8">
        <f t="shared" ref="Q63:Q80" si="5">SUM(P63/12)</f>
        <v>6.864583333333333</v>
      </c>
      <c r="R63" s="46">
        <f t="shared" ref="R63:R80" si="6">SUM(P63/365)</f>
        <v>0.22568493150684932</v>
      </c>
    </row>
    <row r="64" spans="1:18" x14ac:dyDescent="0.25">
      <c r="A64" s="101" t="s">
        <v>266</v>
      </c>
      <c r="B64" s="184" t="s">
        <v>70</v>
      </c>
      <c r="C64" s="177" t="s">
        <v>270</v>
      </c>
      <c r="D64" s="256">
        <v>7.2050000000000001</v>
      </c>
      <c r="E64" s="179">
        <v>5.3650000000000002</v>
      </c>
      <c r="F64" s="179">
        <v>1.81</v>
      </c>
      <c r="G64" s="179">
        <v>0.41</v>
      </c>
      <c r="H64" s="179">
        <v>0</v>
      </c>
      <c r="I64" s="179">
        <v>0.375</v>
      </c>
      <c r="J64" s="179">
        <v>0</v>
      </c>
      <c r="K64" s="179">
        <v>0</v>
      </c>
      <c r="L64" s="179">
        <v>6.83</v>
      </c>
      <c r="M64" s="179">
        <v>3.3149999999999999</v>
      </c>
      <c r="N64" s="179">
        <v>3.3</v>
      </c>
      <c r="O64" s="179">
        <v>0.72499999999999998</v>
      </c>
      <c r="P64" s="179">
        <f t="shared" si="4"/>
        <v>29.335000000000004</v>
      </c>
      <c r="Q64" s="8">
        <f t="shared" si="5"/>
        <v>2.4445833333333336</v>
      </c>
      <c r="R64" s="46">
        <f t="shared" si="6"/>
        <v>8.0369863013698639E-2</v>
      </c>
    </row>
    <row r="65" spans="1:18" x14ac:dyDescent="0.25">
      <c r="A65" s="101" t="s">
        <v>266</v>
      </c>
      <c r="B65" s="184" t="s">
        <v>67</v>
      </c>
      <c r="C65" s="177" t="s">
        <v>270</v>
      </c>
      <c r="D65" s="256">
        <v>18.925000000000001</v>
      </c>
      <c r="E65" s="179">
        <v>41.91</v>
      </c>
      <c r="F65" s="179">
        <v>7.2149999999999999</v>
      </c>
      <c r="G65" s="179">
        <v>49.134999999999998</v>
      </c>
      <c r="H65" s="179">
        <v>34.945</v>
      </c>
      <c r="I65" s="179">
        <v>30.52</v>
      </c>
      <c r="J65" s="179">
        <v>31.225000000000001</v>
      </c>
      <c r="K65" s="179">
        <v>23.6</v>
      </c>
      <c r="L65" s="179">
        <v>43.274999999999999</v>
      </c>
      <c r="M65" s="179">
        <v>19.36</v>
      </c>
      <c r="N65" s="179">
        <v>34.15</v>
      </c>
      <c r="O65" s="179">
        <v>6.8849999999999998</v>
      </c>
      <c r="P65" s="179">
        <f t="shared" si="4"/>
        <v>341.14499999999998</v>
      </c>
      <c r="Q65" s="8">
        <f t="shared" si="5"/>
        <v>28.428749999999997</v>
      </c>
      <c r="R65" s="46">
        <f t="shared" si="6"/>
        <v>0.93464383561643827</v>
      </c>
    </row>
    <row r="66" spans="1:18" x14ac:dyDescent="0.25">
      <c r="A66" s="101" t="s">
        <v>266</v>
      </c>
      <c r="B66" s="184" t="s">
        <v>94</v>
      </c>
      <c r="C66" s="177" t="s">
        <v>270</v>
      </c>
      <c r="D66" s="256">
        <v>2.0550000000000002</v>
      </c>
      <c r="E66" s="179">
        <v>3.36</v>
      </c>
      <c r="F66" s="179">
        <v>4.41</v>
      </c>
      <c r="G66" s="179">
        <v>3.585</v>
      </c>
      <c r="H66" s="179">
        <v>8.6199999999999992</v>
      </c>
      <c r="I66" s="179">
        <v>5.33</v>
      </c>
      <c r="J66" s="179">
        <v>4.22</v>
      </c>
      <c r="K66" s="179">
        <v>2.2050000000000001</v>
      </c>
      <c r="L66" s="179">
        <v>5.9450000000000003</v>
      </c>
      <c r="M66" s="179">
        <v>10.02</v>
      </c>
      <c r="N66" s="179">
        <v>2.895</v>
      </c>
      <c r="O66" s="179">
        <v>5.04</v>
      </c>
      <c r="P66" s="179">
        <f t="shared" si="4"/>
        <v>57.685000000000002</v>
      </c>
      <c r="Q66" s="8">
        <f t="shared" si="5"/>
        <v>4.8070833333333338</v>
      </c>
      <c r="R66" s="46">
        <f t="shared" si="6"/>
        <v>0.15804109589041096</v>
      </c>
    </row>
    <row r="67" spans="1:18" x14ac:dyDescent="0.25">
      <c r="A67" s="101" t="s">
        <v>266</v>
      </c>
      <c r="B67" s="184" t="s">
        <v>68</v>
      </c>
      <c r="C67" s="177" t="s">
        <v>270</v>
      </c>
      <c r="D67" s="255">
        <v>0</v>
      </c>
      <c r="E67" s="179">
        <v>9.0850000000000009</v>
      </c>
      <c r="F67" s="179">
        <v>0</v>
      </c>
      <c r="G67" s="179">
        <v>0</v>
      </c>
      <c r="H67" s="179">
        <v>0</v>
      </c>
      <c r="I67" s="179">
        <v>0</v>
      </c>
      <c r="J67" s="179">
        <v>0</v>
      </c>
      <c r="K67" s="179">
        <v>22.614999999999998</v>
      </c>
      <c r="L67" s="179">
        <v>0</v>
      </c>
      <c r="M67" s="179">
        <v>9.92</v>
      </c>
      <c r="N67" s="179">
        <v>0</v>
      </c>
      <c r="O67" s="179">
        <v>16.375</v>
      </c>
      <c r="P67" s="179">
        <f t="shared" si="4"/>
        <v>57.994999999999997</v>
      </c>
      <c r="Q67" s="8">
        <f t="shared" si="5"/>
        <v>4.8329166666666667</v>
      </c>
      <c r="R67" s="46">
        <f t="shared" si="6"/>
        <v>0.1588904109589041</v>
      </c>
    </row>
    <row r="68" spans="1:18" x14ac:dyDescent="0.25">
      <c r="A68" s="101" t="s">
        <v>266</v>
      </c>
      <c r="B68" s="185" t="s">
        <v>156</v>
      </c>
      <c r="C68" s="177" t="s">
        <v>270</v>
      </c>
      <c r="D68" s="257">
        <v>0</v>
      </c>
      <c r="E68" s="179">
        <v>0</v>
      </c>
      <c r="F68" s="179">
        <v>0</v>
      </c>
      <c r="G68" s="179">
        <v>0</v>
      </c>
      <c r="H68" s="179">
        <v>0</v>
      </c>
      <c r="I68" s="179">
        <v>0</v>
      </c>
      <c r="J68" s="179">
        <v>0</v>
      </c>
      <c r="K68" s="179">
        <v>0</v>
      </c>
      <c r="L68" s="179">
        <v>2.165</v>
      </c>
      <c r="M68" s="179">
        <v>0</v>
      </c>
      <c r="N68" s="179">
        <v>0</v>
      </c>
      <c r="O68" s="179">
        <v>0</v>
      </c>
      <c r="P68" s="179">
        <f t="shared" si="4"/>
        <v>2.165</v>
      </c>
      <c r="Q68" s="8">
        <f t="shared" si="5"/>
        <v>0.18041666666666667</v>
      </c>
      <c r="R68" s="46">
        <f t="shared" si="6"/>
        <v>5.9315068493150684E-3</v>
      </c>
    </row>
    <row r="69" spans="1:18" x14ac:dyDescent="0.25">
      <c r="A69" s="101" t="s">
        <v>266</v>
      </c>
      <c r="B69" s="186" t="s">
        <v>303</v>
      </c>
      <c r="C69" s="177" t="s">
        <v>270</v>
      </c>
      <c r="D69" s="257">
        <v>2.16</v>
      </c>
      <c r="E69" s="179">
        <v>4.32</v>
      </c>
      <c r="F69" s="179">
        <v>0.23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179">
        <v>0</v>
      </c>
      <c r="P69" s="179">
        <f t="shared" si="4"/>
        <v>6.7100000000000009</v>
      </c>
      <c r="Q69" s="8">
        <f t="shared" si="5"/>
        <v>0.5591666666666667</v>
      </c>
      <c r="R69" s="46">
        <f t="shared" si="6"/>
        <v>1.838356164383562E-2</v>
      </c>
    </row>
    <row r="70" spans="1:18" x14ac:dyDescent="0.25">
      <c r="A70" s="101" t="s">
        <v>266</v>
      </c>
      <c r="B70" s="186" t="s">
        <v>304</v>
      </c>
      <c r="C70" s="177" t="s">
        <v>270</v>
      </c>
      <c r="D70" s="257">
        <v>0</v>
      </c>
      <c r="E70" s="179">
        <v>0.12</v>
      </c>
      <c r="F70" s="179">
        <v>0</v>
      </c>
      <c r="G70" s="179">
        <v>0</v>
      </c>
      <c r="H70" s="179">
        <v>0.6</v>
      </c>
      <c r="I70" s="179">
        <v>0.36499999999999999</v>
      </c>
      <c r="J70" s="179">
        <v>0</v>
      </c>
      <c r="K70" s="179">
        <v>1.9450000000000001</v>
      </c>
      <c r="L70" s="179">
        <v>0.9</v>
      </c>
      <c r="M70" s="179">
        <v>0</v>
      </c>
      <c r="N70" s="179">
        <v>0</v>
      </c>
      <c r="O70" s="179">
        <v>0</v>
      </c>
      <c r="P70" s="179">
        <f t="shared" si="4"/>
        <v>3.93</v>
      </c>
      <c r="Q70" s="8">
        <f t="shared" si="5"/>
        <v>0.32750000000000001</v>
      </c>
      <c r="R70" s="46">
        <f t="shared" si="6"/>
        <v>1.0767123287671234E-2</v>
      </c>
    </row>
    <row r="71" spans="1:18" x14ac:dyDescent="0.25">
      <c r="A71" s="101" t="s">
        <v>266</v>
      </c>
      <c r="B71" s="186" t="s">
        <v>305</v>
      </c>
      <c r="C71" s="177" t="s">
        <v>270</v>
      </c>
      <c r="D71" s="257">
        <v>0.23499999999999999</v>
      </c>
      <c r="E71" s="179">
        <v>2.4900000000000002</v>
      </c>
      <c r="F71" s="179">
        <v>0.255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0</v>
      </c>
      <c r="N71" s="179">
        <v>0</v>
      </c>
      <c r="O71" s="179">
        <v>0</v>
      </c>
      <c r="P71" s="179">
        <f t="shared" si="4"/>
        <v>2.98</v>
      </c>
      <c r="Q71" s="8">
        <f t="shared" si="5"/>
        <v>0.24833333333333332</v>
      </c>
      <c r="R71" s="46">
        <f t="shared" si="6"/>
        <v>8.1643835616438364E-3</v>
      </c>
    </row>
    <row r="72" spans="1:18" x14ac:dyDescent="0.25">
      <c r="A72" s="101" t="s">
        <v>266</v>
      </c>
      <c r="B72" s="186" t="s">
        <v>325</v>
      </c>
      <c r="C72" s="177" t="s">
        <v>270</v>
      </c>
      <c r="D72" s="257">
        <v>0</v>
      </c>
      <c r="E72" s="179">
        <v>0.71499999999999997</v>
      </c>
      <c r="F72" s="179">
        <v>0.66</v>
      </c>
      <c r="G72" s="179">
        <v>0</v>
      </c>
      <c r="H72" s="179">
        <v>0.88500000000000001</v>
      </c>
      <c r="I72" s="179">
        <v>0.58499999999999996</v>
      </c>
      <c r="J72" s="179">
        <v>0</v>
      </c>
      <c r="K72" s="179">
        <v>0</v>
      </c>
      <c r="L72" s="179">
        <v>0</v>
      </c>
      <c r="M72" s="179">
        <v>1.085</v>
      </c>
      <c r="N72" s="179">
        <v>0</v>
      </c>
      <c r="O72" s="179">
        <v>0</v>
      </c>
      <c r="P72" s="179">
        <f t="shared" si="4"/>
        <v>3.9299999999999997</v>
      </c>
      <c r="Q72" s="8">
        <f t="shared" si="5"/>
        <v>0.32749999999999996</v>
      </c>
      <c r="R72" s="46">
        <f t="shared" si="6"/>
        <v>1.0767123287671232E-2</v>
      </c>
    </row>
    <row r="73" spans="1:18" x14ac:dyDescent="0.25">
      <c r="A73" s="101" t="s">
        <v>266</v>
      </c>
      <c r="B73" s="186" t="s">
        <v>326</v>
      </c>
      <c r="C73" s="177" t="s">
        <v>270</v>
      </c>
      <c r="D73" s="257">
        <v>0</v>
      </c>
      <c r="E73" s="179">
        <v>0.81</v>
      </c>
      <c r="F73" s="179">
        <v>0.69499999999999995</v>
      </c>
      <c r="G73" s="179">
        <v>0</v>
      </c>
      <c r="H73" s="179">
        <v>0.61499999999999999</v>
      </c>
      <c r="I73" s="179">
        <v>0.89</v>
      </c>
      <c r="J73" s="179">
        <v>0.995</v>
      </c>
      <c r="K73" s="179">
        <v>0.67500000000000004</v>
      </c>
      <c r="L73" s="179">
        <v>0</v>
      </c>
      <c r="M73" s="179">
        <v>0</v>
      </c>
      <c r="N73" s="179">
        <v>1.02</v>
      </c>
      <c r="O73" s="179">
        <v>0</v>
      </c>
      <c r="P73" s="179">
        <f t="shared" si="4"/>
        <v>5.6999999999999993</v>
      </c>
      <c r="Q73" s="8">
        <f t="shared" si="5"/>
        <v>0.47499999999999992</v>
      </c>
      <c r="R73" s="46">
        <f t="shared" si="6"/>
        <v>1.5616438356164381E-2</v>
      </c>
    </row>
    <row r="74" spans="1:18" x14ac:dyDescent="0.25">
      <c r="A74" s="101" t="s">
        <v>266</v>
      </c>
      <c r="B74" s="186" t="s">
        <v>327</v>
      </c>
      <c r="C74" s="177" t="s">
        <v>270</v>
      </c>
      <c r="D74" s="257">
        <v>0</v>
      </c>
      <c r="E74" s="179">
        <v>0.71</v>
      </c>
      <c r="F74" s="179">
        <v>0</v>
      </c>
      <c r="G74" s="179">
        <v>1.1850000000000001</v>
      </c>
      <c r="H74" s="179">
        <v>0.85</v>
      </c>
      <c r="I74" s="179">
        <v>1.165</v>
      </c>
      <c r="J74" s="179">
        <v>0.73499999999999999</v>
      </c>
      <c r="K74" s="179">
        <v>0.755</v>
      </c>
      <c r="L74" s="179">
        <v>0.90500000000000003</v>
      </c>
      <c r="M74" s="179">
        <v>0</v>
      </c>
      <c r="N74" s="179">
        <v>1.71</v>
      </c>
      <c r="O74" s="179">
        <v>1.26</v>
      </c>
      <c r="P74" s="179">
        <f t="shared" si="4"/>
        <v>9.2750000000000004</v>
      </c>
      <c r="Q74" s="8">
        <f t="shared" si="5"/>
        <v>0.7729166666666667</v>
      </c>
      <c r="R74" s="46">
        <f t="shared" si="6"/>
        <v>2.541095890410959E-2</v>
      </c>
    </row>
    <row r="75" spans="1:18" x14ac:dyDescent="0.25">
      <c r="A75" s="101" t="s">
        <v>266</v>
      </c>
      <c r="B75" s="186" t="s">
        <v>328</v>
      </c>
      <c r="C75" s="177" t="s">
        <v>270</v>
      </c>
      <c r="D75" s="257">
        <v>0</v>
      </c>
      <c r="E75" s="179">
        <v>0</v>
      </c>
      <c r="F75" s="179">
        <v>0.33</v>
      </c>
      <c r="G75" s="179">
        <v>0</v>
      </c>
      <c r="H75" s="179">
        <v>0</v>
      </c>
      <c r="I75" s="179">
        <v>0</v>
      </c>
      <c r="J75" s="179">
        <v>0</v>
      </c>
      <c r="K75" s="179">
        <v>0</v>
      </c>
      <c r="L75" s="179">
        <v>0</v>
      </c>
      <c r="M75" s="179">
        <v>0.38500000000000001</v>
      </c>
      <c r="N75" s="179">
        <v>0</v>
      </c>
      <c r="O75" s="179">
        <v>0</v>
      </c>
      <c r="P75" s="179">
        <f t="shared" si="4"/>
        <v>0.71500000000000008</v>
      </c>
      <c r="Q75" s="8">
        <f t="shared" si="5"/>
        <v>5.9583333333333342E-2</v>
      </c>
      <c r="R75" s="46">
        <f t="shared" si="6"/>
        <v>1.9589041095890414E-3</v>
      </c>
    </row>
    <row r="76" spans="1:18" x14ac:dyDescent="0.25">
      <c r="A76" s="101" t="s">
        <v>266</v>
      </c>
      <c r="B76" s="186" t="s">
        <v>329</v>
      </c>
      <c r="C76" s="177" t="s">
        <v>270</v>
      </c>
      <c r="D76" s="257">
        <v>0</v>
      </c>
      <c r="E76" s="179">
        <v>0</v>
      </c>
      <c r="F76" s="179">
        <v>0</v>
      </c>
      <c r="G76" s="179">
        <v>0</v>
      </c>
      <c r="H76" s="179">
        <v>0</v>
      </c>
      <c r="I76" s="179">
        <v>0</v>
      </c>
      <c r="J76" s="179">
        <v>2.5499999999999998</v>
      </c>
      <c r="K76" s="179">
        <v>0</v>
      </c>
      <c r="L76" s="179">
        <v>1.58</v>
      </c>
      <c r="M76" s="179">
        <v>0</v>
      </c>
      <c r="N76" s="179">
        <v>0</v>
      </c>
      <c r="O76" s="179">
        <v>1.25</v>
      </c>
      <c r="P76" s="179">
        <f t="shared" si="4"/>
        <v>5.38</v>
      </c>
      <c r="Q76" s="8">
        <f t="shared" si="5"/>
        <v>0.44833333333333331</v>
      </c>
      <c r="R76" s="46">
        <f t="shared" si="6"/>
        <v>1.473972602739726E-2</v>
      </c>
    </row>
    <row r="77" spans="1:18" x14ac:dyDescent="0.25">
      <c r="A77" s="101" t="s">
        <v>266</v>
      </c>
      <c r="B77" s="186" t="s">
        <v>330</v>
      </c>
      <c r="C77" s="177" t="s">
        <v>270</v>
      </c>
      <c r="D77" s="257">
        <v>0</v>
      </c>
      <c r="E77" s="179">
        <v>0</v>
      </c>
      <c r="F77" s="179">
        <v>0</v>
      </c>
      <c r="G77" s="179">
        <v>0</v>
      </c>
      <c r="H77" s="179">
        <v>0</v>
      </c>
      <c r="I77" s="179">
        <v>0</v>
      </c>
      <c r="J77" s="179">
        <v>0.22</v>
      </c>
      <c r="K77" s="179">
        <v>0.505</v>
      </c>
      <c r="L77" s="179">
        <v>0.64</v>
      </c>
      <c r="M77" s="179">
        <v>1.355</v>
      </c>
      <c r="N77" s="179">
        <v>1.1950000000000001</v>
      </c>
      <c r="O77" s="179">
        <v>1.7649999999999999</v>
      </c>
      <c r="P77" s="179">
        <f t="shared" si="4"/>
        <v>5.68</v>
      </c>
      <c r="Q77" s="8">
        <f t="shared" si="5"/>
        <v>0.47333333333333333</v>
      </c>
      <c r="R77" s="46">
        <f t="shared" si="6"/>
        <v>1.5561643835616437E-2</v>
      </c>
    </row>
    <row r="78" spans="1:18" x14ac:dyDescent="0.25">
      <c r="A78" s="101" t="s">
        <v>266</v>
      </c>
      <c r="B78" s="186" t="s">
        <v>331</v>
      </c>
      <c r="C78" s="177" t="s">
        <v>270</v>
      </c>
      <c r="D78" s="257">
        <v>0</v>
      </c>
      <c r="E78" s="179">
        <v>0</v>
      </c>
      <c r="F78" s="179">
        <v>0</v>
      </c>
      <c r="G78" s="179">
        <v>0</v>
      </c>
      <c r="H78" s="179">
        <v>0</v>
      </c>
      <c r="I78" s="179">
        <v>0</v>
      </c>
      <c r="J78" s="179">
        <v>0</v>
      </c>
      <c r="K78" s="179">
        <v>0</v>
      </c>
      <c r="L78" s="179">
        <v>0.77500000000000002</v>
      </c>
      <c r="M78" s="179">
        <v>0</v>
      </c>
      <c r="N78" s="179">
        <v>0</v>
      </c>
      <c r="O78" s="179">
        <v>0</v>
      </c>
      <c r="P78" s="179">
        <f t="shared" si="4"/>
        <v>0.77500000000000002</v>
      </c>
      <c r="Q78" s="8">
        <f t="shared" si="5"/>
        <v>6.458333333333334E-2</v>
      </c>
      <c r="R78" s="46">
        <f t="shared" si="6"/>
        <v>2.1232876712328768E-3</v>
      </c>
    </row>
    <row r="79" spans="1:18" x14ac:dyDescent="0.25">
      <c r="A79" s="101" t="s">
        <v>266</v>
      </c>
      <c r="B79" s="186" t="s">
        <v>332</v>
      </c>
      <c r="C79" s="177" t="s">
        <v>270</v>
      </c>
      <c r="D79" s="257">
        <v>0</v>
      </c>
      <c r="E79" s="179">
        <v>0</v>
      </c>
      <c r="F79" s="179">
        <v>0</v>
      </c>
      <c r="G79" s="179">
        <v>0</v>
      </c>
      <c r="H79" s="179">
        <v>0</v>
      </c>
      <c r="I79" s="179">
        <v>0</v>
      </c>
      <c r="J79" s="179">
        <v>0</v>
      </c>
      <c r="K79" s="179">
        <v>0</v>
      </c>
      <c r="L79" s="179">
        <v>0.255</v>
      </c>
      <c r="M79" s="179">
        <v>0</v>
      </c>
      <c r="N79" s="179">
        <v>0.3</v>
      </c>
      <c r="O79" s="179">
        <v>1.835</v>
      </c>
      <c r="P79" s="179">
        <f t="shared" si="4"/>
        <v>2.3899999999999997</v>
      </c>
      <c r="Q79" s="8">
        <f t="shared" si="5"/>
        <v>0.19916666666666663</v>
      </c>
      <c r="R79" s="46">
        <f t="shared" si="6"/>
        <v>6.5479452054794515E-3</v>
      </c>
    </row>
    <row r="80" spans="1:18" x14ac:dyDescent="0.25">
      <c r="A80" s="101" t="s">
        <v>266</v>
      </c>
      <c r="B80" s="186" t="s">
        <v>333</v>
      </c>
      <c r="C80" s="177" t="s">
        <v>270</v>
      </c>
      <c r="D80" s="257">
        <v>0</v>
      </c>
      <c r="E80" s="179">
        <v>0</v>
      </c>
      <c r="F80" s="179">
        <v>0</v>
      </c>
      <c r="G80" s="179">
        <v>0</v>
      </c>
      <c r="H80" s="179">
        <v>0</v>
      </c>
      <c r="I80" s="179">
        <v>0</v>
      </c>
      <c r="J80" s="179">
        <v>0</v>
      </c>
      <c r="K80" s="179">
        <v>0</v>
      </c>
      <c r="L80" s="179">
        <v>0</v>
      </c>
      <c r="M80" s="179">
        <v>0</v>
      </c>
      <c r="N80" s="179">
        <v>0</v>
      </c>
      <c r="O80" s="179">
        <v>0.125</v>
      </c>
      <c r="P80" s="179">
        <f t="shared" si="4"/>
        <v>0.125</v>
      </c>
      <c r="Q80" s="8">
        <f t="shared" si="5"/>
        <v>1.0416666666666666E-2</v>
      </c>
      <c r="R80" s="46">
        <f t="shared" si="6"/>
        <v>3.4246575342465754E-4</v>
      </c>
    </row>
    <row r="81" spans="1:18" ht="15.75" thickBot="1" x14ac:dyDescent="0.3">
      <c r="A81" s="187"/>
      <c r="B81" s="188" t="s">
        <v>273</v>
      </c>
      <c r="C81" s="189"/>
      <c r="D81" s="142">
        <f t="shared" ref="D81:R81" si="7">SUM(D63:D80)</f>
        <v>40.665000000000006</v>
      </c>
      <c r="E81" s="142">
        <f t="shared" si="7"/>
        <v>74.194999999999993</v>
      </c>
      <c r="F81" s="142">
        <f t="shared" si="7"/>
        <v>20.895</v>
      </c>
      <c r="G81" s="142">
        <f t="shared" si="7"/>
        <v>59.305</v>
      </c>
      <c r="H81" s="142">
        <f t="shared" si="7"/>
        <v>53.675000000000004</v>
      </c>
      <c r="I81" s="142">
        <f t="shared" si="7"/>
        <v>46.02</v>
      </c>
      <c r="J81" s="142">
        <f t="shared" si="7"/>
        <v>46.809999999999995</v>
      </c>
      <c r="K81" s="142">
        <f t="shared" si="7"/>
        <v>58.57</v>
      </c>
      <c r="L81" s="142">
        <f t="shared" si="7"/>
        <v>68.7</v>
      </c>
      <c r="M81" s="142">
        <f t="shared" si="7"/>
        <v>51.07</v>
      </c>
      <c r="N81" s="142">
        <f t="shared" si="7"/>
        <v>54.755000000000003</v>
      </c>
      <c r="O81" s="142">
        <f t="shared" si="7"/>
        <v>43.629999999999995</v>
      </c>
      <c r="P81" s="142">
        <f t="shared" si="7"/>
        <v>618.28999999999985</v>
      </c>
      <c r="Q81" s="142">
        <f t="shared" si="7"/>
        <v>51.524166666666666</v>
      </c>
      <c r="R81" s="142">
        <f t="shared" si="7"/>
        <v>1.6939452054794524</v>
      </c>
    </row>
    <row r="82" spans="1:18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</row>
    <row r="83" spans="1:18" x14ac:dyDescent="0.25">
      <c r="A83" s="16"/>
      <c r="B83" s="16" t="s">
        <v>289</v>
      </c>
      <c r="C83" s="16"/>
      <c r="D83" s="190">
        <f t="shared" ref="D83:R83" si="8">D62+D81</f>
        <v>5743.3099999999995</v>
      </c>
      <c r="E83" s="190">
        <f t="shared" si="8"/>
        <v>5241.0049999999992</v>
      </c>
      <c r="F83" s="190">
        <f t="shared" si="8"/>
        <v>5180.03</v>
      </c>
      <c r="G83" s="190">
        <f t="shared" si="8"/>
        <v>4748.1120000000028</v>
      </c>
      <c r="H83" s="190">
        <f t="shared" si="8"/>
        <v>5420.08</v>
      </c>
      <c r="I83" s="190">
        <f t="shared" si="8"/>
        <v>5665.9449999999997</v>
      </c>
      <c r="J83" s="190">
        <f t="shared" si="8"/>
        <v>5896.34</v>
      </c>
      <c r="K83" s="190">
        <f t="shared" si="8"/>
        <v>5748.2150000000038</v>
      </c>
      <c r="L83" s="190">
        <f t="shared" si="8"/>
        <v>5876.9849999999988</v>
      </c>
      <c r="M83" s="190">
        <f t="shared" si="8"/>
        <v>6204.5499999999984</v>
      </c>
      <c r="N83" s="190">
        <f t="shared" si="8"/>
        <v>5833.2660000000024</v>
      </c>
      <c r="O83" s="190">
        <f t="shared" si="8"/>
        <v>5980.9299999999994</v>
      </c>
      <c r="P83" s="190">
        <f t="shared" si="8"/>
        <v>67538.767999999982</v>
      </c>
      <c r="Q83" s="190">
        <f t="shared" si="8"/>
        <v>5628.2306666666673</v>
      </c>
      <c r="R83" s="190">
        <f t="shared" si="8"/>
        <v>185.03772054794518</v>
      </c>
    </row>
  </sheetData>
  <mergeCells count="7">
    <mergeCell ref="A1:S1"/>
    <mergeCell ref="A2:S2"/>
    <mergeCell ref="A6:A7"/>
    <mergeCell ref="B6:B7"/>
    <mergeCell ref="C6:C7"/>
    <mergeCell ref="D5:O5"/>
    <mergeCell ref="B3:P3"/>
  </mergeCells>
  <conditionalFormatting sqref="B81">
    <cfRule type="dataBar" priority="1">
      <dataBar>
        <cfvo type="min"/>
        <cfvo type="max"/>
        <color rgb="FFFF555A"/>
      </dataBar>
    </cfRule>
  </conditionalFormatting>
  <pageMargins left="0.25" right="0.25" top="0.75" bottom="0.75" header="0.3" footer="0.3"/>
  <pageSetup paperSize="12" scale="82" fitToHeight="0" orientation="landscape" r:id="rId1"/>
  <headerFooter>
    <oddFooter>&amp;C&amp;N&amp;R&amp;A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zoomScaleNormal="100" workbookViewId="0">
      <pane xSplit="2" ySplit="3" topLeftCell="G4" activePane="bottomRight" state="frozen"/>
      <selection pane="topRight" activeCell="B1" sqref="B1"/>
      <selection pane="bottomLeft" activeCell="A4" sqref="A4"/>
      <selection pane="bottomRight" sqref="A1:XFD2"/>
    </sheetView>
  </sheetViews>
  <sheetFormatPr baseColWidth="10" defaultColWidth="11.5703125" defaultRowHeight="15" x14ac:dyDescent="0.25"/>
  <cols>
    <col min="1" max="1" width="21.28515625" style="72" customWidth="1"/>
    <col min="2" max="2" width="25.5703125" style="72" customWidth="1"/>
    <col min="3" max="3" width="18.42578125" style="72" customWidth="1"/>
    <col min="4" max="4" width="11.5703125" style="72"/>
    <col min="5" max="5" width="12" style="72" bestFit="1" customWidth="1"/>
    <col min="6" max="6" width="11.5703125" style="72"/>
    <col min="7" max="7" width="12" style="72" bestFit="1" customWidth="1"/>
    <col min="8" max="10" width="11.5703125" style="72"/>
    <col min="11" max="14" width="12" style="72" bestFit="1" customWidth="1"/>
    <col min="15" max="15" width="12.42578125" style="72" bestFit="1" customWidth="1"/>
    <col min="16" max="16" width="15.28515625" style="72" customWidth="1"/>
    <col min="17" max="17" width="14.42578125" style="72" customWidth="1"/>
    <col min="18" max="18" width="13.140625" style="72" customWidth="1"/>
    <col min="19" max="16384" width="11.5703125" style="72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B3" s="410" t="s">
        <v>321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254"/>
    </row>
    <row r="4" spans="1:19" ht="15.75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9" ht="15" customHeight="1" x14ac:dyDescent="0.25">
      <c r="A5" s="406" t="s">
        <v>1</v>
      </c>
      <c r="B5" s="404" t="s">
        <v>2</v>
      </c>
      <c r="C5" s="408"/>
      <c r="D5" s="411" t="s">
        <v>322</v>
      </c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130" t="s">
        <v>24</v>
      </c>
      <c r="Q5" s="404" t="s">
        <v>66</v>
      </c>
      <c r="R5" s="404" t="s">
        <v>95</v>
      </c>
    </row>
    <row r="6" spans="1:19" ht="18.75" customHeight="1" thickBot="1" x14ac:dyDescent="0.3">
      <c r="A6" s="407"/>
      <c r="B6" s="405"/>
      <c r="C6" s="409"/>
      <c r="D6" s="34" t="s">
        <v>4</v>
      </c>
      <c r="E6" s="35" t="s">
        <v>5</v>
      </c>
      <c r="F6" s="35" t="s">
        <v>6</v>
      </c>
      <c r="G6" s="35" t="s">
        <v>7</v>
      </c>
      <c r="H6" s="35" t="s">
        <v>8</v>
      </c>
      <c r="I6" s="35" t="s">
        <v>9</v>
      </c>
      <c r="J6" s="35" t="s">
        <v>10</v>
      </c>
      <c r="K6" s="35" t="s">
        <v>11</v>
      </c>
      <c r="L6" s="35" t="s">
        <v>71</v>
      </c>
      <c r="M6" s="35" t="s">
        <v>13</v>
      </c>
      <c r="N6" s="35" t="s">
        <v>72</v>
      </c>
      <c r="O6" s="35" t="s">
        <v>73</v>
      </c>
      <c r="P6" s="131" t="s">
        <v>74</v>
      </c>
      <c r="Q6" s="405"/>
      <c r="R6" s="405"/>
    </row>
    <row r="7" spans="1:19" x14ac:dyDescent="0.25">
      <c r="A7" s="71" t="s">
        <v>56</v>
      </c>
      <c r="B7" s="271" t="s">
        <v>56</v>
      </c>
      <c r="C7" s="146" t="s">
        <v>275</v>
      </c>
      <c r="D7" s="336">
        <v>4723.5150000000003</v>
      </c>
      <c r="E7" s="337">
        <v>4524.5200000000004</v>
      </c>
      <c r="F7" s="337">
        <v>4435.8050000000003</v>
      </c>
      <c r="G7" s="337">
        <v>3956.2649999999999</v>
      </c>
      <c r="H7" s="337">
        <v>4116.5450000000001</v>
      </c>
      <c r="I7" s="337">
        <v>4433.2849999999999</v>
      </c>
      <c r="J7" s="337">
        <v>4477.3500000000004</v>
      </c>
      <c r="K7" s="337">
        <v>4695.38</v>
      </c>
      <c r="L7" s="336">
        <v>4769.09</v>
      </c>
      <c r="M7" s="338">
        <v>5049.0450000000001</v>
      </c>
      <c r="N7" s="337">
        <v>5042.0550000000003</v>
      </c>
      <c r="O7" s="338">
        <v>5215.74</v>
      </c>
      <c r="P7" s="265">
        <f t="shared" ref="P7:P12" si="0">SUM(D7:O7)</f>
        <v>55438.595000000001</v>
      </c>
      <c r="Q7" s="269">
        <f>SUM(P7/12)</f>
        <v>4619.8829166666665</v>
      </c>
      <c r="R7" s="179">
        <f>SUM(P7/365)</f>
        <v>151.88656164383562</v>
      </c>
    </row>
    <row r="8" spans="1:19" x14ac:dyDescent="0.25">
      <c r="A8" s="7" t="s">
        <v>250</v>
      </c>
      <c r="B8" s="272" t="s">
        <v>146</v>
      </c>
      <c r="C8" s="146" t="s">
        <v>275</v>
      </c>
      <c r="D8" s="336">
        <v>80.959999999999994</v>
      </c>
      <c r="E8" s="337">
        <v>76.405000000000001</v>
      </c>
      <c r="F8" s="337">
        <v>92.924999999999997</v>
      </c>
      <c r="G8" s="337">
        <v>56.034999999999997</v>
      </c>
      <c r="H8" s="337">
        <v>63.26</v>
      </c>
      <c r="I8" s="337">
        <v>89.885000000000005</v>
      </c>
      <c r="J8" s="337">
        <v>105.83</v>
      </c>
      <c r="K8" s="337">
        <v>83.68</v>
      </c>
      <c r="L8" s="336">
        <v>95.27</v>
      </c>
      <c r="M8" s="338">
        <v>93.754999999999995</v>
      </c>
      <c r="N8" s="337">
        <v>100.495</v>
      </c>
      <c r="O8" s="338">
        <v>100.125</v>
      </c>
      <c r="P8" s="265">
        <f t="shared" ref="P8:P9" si="1">SUM(D8:O8)</f>
        <v>1038.625</v>
      </c>
      <c r="Q8" s="267">
        <f t="shared" ref="Q8:Q9" si="2">SUM(P8/12)</f>
        <v>86.552083333333329</v>
      </c>
      <c r="R8" s="268">
        <f t="shared" ref="R8:R9" si="3">SUM(P8/365)</f>
        <v>2.8455479452054795</v>
      </c>
    </row>
    <row r="9" spans="1:19" x14ac:dyDescent="0.25">
      <c r="A9" s="7" t="s">
        <v>266</v>
      </c>
      <c r="B9" s="146" t="s">
        <v>60</v>
      </c>
      <c r="C9" s="146" t="s">
        <v>275</v>
      </c>
      <c r="D9" s="336">
        <v>61.085000000000001</v>
      </c>
      <c r="E9" s="337">
        <v>61.22</v>
      </c>
      <c r="F9" s="337">
        <v>50.685000000000002</v>
      </c>
      <c r="G9" s="337">
        <v>73.834999999999994</v>
      </c>
      <c r="H9" s="337">
        <v>66.2</v>
      </c>
      <c r="I9" s="337">
        <v>57.204999999999998</v>
      </c>
      <c r="J9" s="337">
        <v>67.734999999999999</v>
      </c>
      <c r="K9" s="337">
        <v>86.034999999999997</v>
      </c>
      <c r="L9" s="336">
        <v>64.015000000000001</v>
      </c>
      <c r="M9" s="338">
        <v>65.795000000000002</v>
      </c>
      <c r="N9" s="337">
        <v>58.67</v>
      </c>
      <c r="O9" s="338">
        <v>43.58</v>
      </c>
      <c r="P9" s="265">
        <f t="shared" si="1"/>
        <v>756.06</v>
      </c>
      <c r="Q9" s="267">
        <f t="shared" si="2"/>
        <v>63.004999999999995</v>
      </c>
      <c r="R9" s="268">
        <f t="shared" si="3"/>
        <v>2.0713972602739723</v>
      </c>
    </row>
    <row r="10" spans="1:19" x14ac:dyDescent="0.25">
      <c r="A10" s="71" t="s">
        <v>266</v>
      </c>
      <c r="B10" s="146" t="s">
        <v>59</v>
      </c>
      <c r="C10" s="146" t="s">
        <v>275</v>
      </c>
      <c r="D10" s="336">
        <v>90.385000000000005</v>
      </c>
      <c r="E10" s="337">
        <v>99.02</v>
      </c>
      <c r="F10" s="337">
        <v>97.234999999999999</v>
      </c>
      <c r="G10" s="337">
        <v>52.8</v>
      </c>
      <c r="H10" s="337">
        <v>60.7</v>
      </c>
      <c r="I10" s="337">
        <v>69.819999999999993</v>
      </c>
      <c r="J10" s="337">
        <v>88.78</v>
      </c>
      <c r="K10" s="337">
        <v>93.034999999999997</v>
      </c>
      <c r="L10" s="336">
        <v>83.07</v>
      </c>
      <c r="M10" s="338">
        <v>97.04</v>
      </c>
      <c r="N10" s="337">
        <v>135.77000000000001</v>
      </c>
      <c r="O10" s="338">
        <v>135.01</v>
      </c>
      <c r="P10" s="266">
        <f t="shared" si="0"/>
        <v>1102.665</v>
      </c>
      <c r="Q10" s="267">
        <f t="shared" ref="Q10" si="4">SUM(P10/12)</f>
        <v>91.888750000000002</v>
      </c>
      <c r="R10" s="268">
        <f t="shared" ref="R10:R12" si="5">SUM(P10/365)</f>
        <v>3.0209999999999999</v>
      </c>
    </row>
    <row r="11" spans="1:19" ht="15.75" thickBot="1" x14ac:dyDescent="0.3">
      <c r="A11" s="71" t="s">
        <v>58</v>
      </c>
      <c r="B11" s="146" t="s">
        <v>214</v>
      </c>
      <c r="C11" s="146" t="s">
        <v>275</v>
      </c>
      <c r="D11" s="336">
        <v>4.2249999999999996</v>
      </c>
      <c r="E11" s="337">
        <v>2.14</v>
      </c>
      <c r="F11" s="337">
        <v>3.6549999999999998</v>
      </c>
      <c r="G11" s="337">
        <v>1.9350000000000001</v>
      </c>
      <c r="H11" s="337">
        <v>1.49</v>
      </c>
      <c r="I11" s="337">
        <v>2.2400000000000002</v>
      </c>
      <c r="J11" s="339" t="s">
        <v>335</v>
      </c>
      <c r="K11" s="337">
        <v>5.38</v>
      </c>
      <c r="L11" s="336">
        <v>2.7450000000000001</v>
      </c>
      <c r="M11" s="338">
        <v>4.4400000000000004</v>
      </c>
      <c r="N11" s="337">
        <v>8.1</v>
      </c>
      <c r="O11" s="340">
        <v>0</v>
      </c>
      <c r="P11" s="266">
        <f t="shared" si="0"/>
        <v>36.35</v>
      </c>
      <c r="Q11" s="267">
        <f t="shared" ref="Q11" si="6">SUM(P11/12)</f>
        <v>3.0291666666666668</v>
      </c>
      <c r="R11" s="268">
        <f t="shared" si="5"/>
        <v>9.958904109589041E-2</v>
      </c>
    </row>
    <row r="12" spans="1:19" ht="15.75" thickBot="1" x14ac:dyDescent="0.3">
      <c r="B12" s="27" t="s">
        <v>75</v>
      </c>
      <c r="C12" s="136"/>
      <c r="D12" s="111">
        <f t="shared" ref="D12:O12" si="7">SUM(D7:D11)</f>
        <v>4960.170000000001</v>
      </c>
      <c r="E12" s="111">
        <f t="shared" si="7"/>
        <v>4763.3050000000012</v>
      </c>
      <c r="F12" s="111">
        <f t="shared" si="7"/>
        <v>4680.3050000000003</v>
      </c>
      <c r="G12" s="111">
        <f t="shared" si="7"/>
        <v>4140.87</v>
      </c>
      <c r="H12" s="111">
        <f t="shared" si="7"/>
        <v>4308.1949999999997</v>
      </c>
      <c r="I12" s="111">
        <f t="shared" si="7"/>
        <v>4652.4349999999995</v>
      </c>
      <c r="J12" s="111">
        <f t="shared" si="7"/>
        <v>4739.6949999999997</v>
      </c>
      <c r="K12" s="111">
        <f t="shared" si="7"/>
        <v>4963.51</v>
      </c>
      <c r="L12" s="111">
        <f t="shared" si="7"/>
        <v>5014.1900000000005</v>
      </c>
      <c r="M12" s="111">
        <f t="shared" si="7"/>
        <v>5310.0749999999998</v>
      </c>
      <c r="N12" s="111">
        <f t="shared" si="7"/>
        <v>5345.0900000000011</v>
      </c>
      <c r="O12" s="111">
        <f t="shared" si="7"/>
        <v>5494.4549999999999</v>
      </c>
      <c r="P12" s="42">
        <f t="shared" si="0"/>
        <v>58372.295000000006</v>
      </c>
      <c r="Q12" s="270">
        <f t="shared" ref="Q12" si="8">SUM(P12/12)</f>
        <v>4864.3579166666668</v>
      </c>
      <c r="R12" s="270">
        <f t="shared" si="5"/>
        <v>159.92409589041097</v>
      </c>
    </row>
  </sheetData>
  <mergeCells count="9">
    <mergeCell ref="A1:S1"/>
    <mergeCell ref="A2:S2"/>
    <mergeCell ref="Q5:Q6"/>
    <mergeCell ref="R5:R6"/>
    <mergeCell ref="A5:A6"/>
    <mergeCell ref="C5:C6"/>
    <mergeCell ref="B3:O3"/>
    <mergeCell ref="B5:B6"/>
    <mergeCell ref="D5:O5"/>
  </mergeCells>
  <pageMargins left="0.25" right="0.25" top="0.75" bottom="0.75" header="0.3" footer="0.3"/>
  <pageSetup paperSize="12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pane xSplit="2" ySplit="3" topLeftCell="H4" activePane="bottomRight" state="frozen"/>
      <selection pane="topRight" activeCell="B1" sqref="B1"/>
      <selection pane="bottomLeft" activeCell="A2" sqref="A2"/>
      <selection pane="bottomRight" sqref="A1:XFD2"/>
    </sheetView>
  </sheetViews>
  <sheetFormatPr baseColWidth="10" defaultColWidth="11.5703125" defaultRowHeight="15" x14ac:dyDescent="0.25"/>
  <cols>
    <col min="1" max="1" width="18.140625" style="112" customWidth="1"/>
    <col min="2" max="2" width="22.85546875" style="112" customWidth="1"/>
    <col min="3" max="3" width="13.7109375" style="112" customWidth="1"/>
    <col min="4" max="11" width="13.42578125" style="112" bestFit="1" customWidth="1"/>
    <col min="12" max="12" width="13.42578125" style="112" customWidth="1"/>
    <col min="13" max="13" width="13.42578125" style="112" bestFit="1" customWidth="1"/>
    <col min="14" max="14" width="13.140625" style="112" customWidth="1"/>
    <col min="15" max="15" width="12.7109375" style="112" customWidth="1"/>
    <col min="16" max="16" width="11.5703125" style="112"/>
    <col min="17" max="17" width="12" style="112" customWidth="1"/>
    <col min="18" max="18" width="13.5703125" style="112" customWidth="1"/>
    <col min="19" max="16384" width="11.5703125" style="112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247" customFormat="1" ht="21" customHeight="1" x14ac:dyDescent="0.35">
      <c r="A3" s="350"/>
      <c r="B3" s="413" t="s">
        <v>76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</row>
    <row r="4" spans="1:19" ht="15.75" thickBo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9" ht="15" customHeight="1" x14ac:dyDescent="0.25">
      <c r="A5" s="414" t="s">
        <v>319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130" t="s">
        <v>24</v>
      </c>
      <c r="Q5" s="416" t="s">
        <v>66</v>
      </c>
      <c r="R5" s="404" t="s">
        <v>95</v>
      </c>
    </row>
    <row r="6" spans="1:19" ht="15.75" thickBot="1" x14ac:dyDescent="0.3">
      <c r="A6" s="113" t="s">
        <v>1</v>
      </c>
      <c r="B6" s="113" t="s">
        <v>2</v>
      </c>
      <c r="C6" s="113" t="s">
        <v>276</v>
      </c>
      <c r="D6" s="114" t="s">
        <v>4</v>
      </c>
      <c r="E6" s="114" t="s">
        <v>5</v>
      </c>
      <c r="F6" s="114" t="s">
        <v>6</v>
      </c>
      <c r="G6" s="114" t="s">
        <v>7</v>
      </c>
      <c r="H6" s="114" t="s">
        <v>8</v>
      </c>
      <c r="I6" s="114" t="s">
        <v>9</v>
      </c>
      <c r="J6" s="114" t="s">
        <v>10</v>
      </c>
      <c r="K6" s="114" t="s">
        <v>11</v>
      </c>
      <c r="L6" s="114" t="s">
        <v>12</v>
      </c>
      <c r="M6" s="115" t="s">
        <v>13</v>
      </c>
      <c r="N6" s="115" t="s">
        <v>14</v>
      </c>
      <c r="O6" s="115" t="s">
        <v>15</v>
      </c>
      <c r="P6" s="131" t="s">
        <v>74</v>
      </c>
      <c r="Q6" s="417"/>
      <c r="R6" s="405"/>
    </row>
    <row r="7" spans="1:19" x14ac:dyDescent="0.25">
      <c r="A7" s="3" t="s">
        <v>159</v>
      </c>
      <c r="B7" s="3" t="s">
        <v>290</v>
      </c>
      <c r="C7" s="137" t="s">
        <v>276</v>
      </c>
      <c r="D7" s="260">
        <f>94140/1000</f>
        <v>94.14</v>
      </c>
      <c r="E7" s="260">
        <f>89945/1000</f>
        <v>89.944999999999993</v>
      </c>
      <c r="F7" s="260">
        <f>84745/1000</f>
        <v>84.745000000000005</v>
      </c>
      <c r="G7" s="260">
        <f>63915/1000</f>
        <v>63.914999999999999</v>
      </c>
      <c r="H7" s="260">
        <f>73785/1000</f>
        <v>73.784999999999997</v>
      </c>
      <c r="I7" s="260">
        <f>79435/1000</f>
        <v>79.435000000000002</v>
      </c>
      <c r="J7" s="260">
        <f>72330/1000</f>
        <v>72.33</v>
      </c>
      <c r="K7" s="260">
        <f>84275/1000</f>
        <v>84.275000000000006</v>
      </c>
      <c r="L7" s="260">
        <f>82835/1000</f>
        <v>82.834999999999994</v>
      </c>
      <c r="M7" s="260">
        <f>85490/1000</f>
        <v>85.49</v>
      </c>
      <c r="N7" s="260">
        <f>76930/1000</f>
        <v>76.930000000000007</v>
      </c>
      <c r="O7" s="260">
        <f>102290/1000</f>
        <v>102.29</v>
      </c>
      <c r="P7" s="265">
        <f>SUM(D7:O7)</f>
        <v>990.11500000000001</v>
      </c>
      <c r="Q7" s="269">
        <f>SUM(P7/12)</f>
        <v>82.509583333333339</v>
      </c>
      <c r="R7" s="179">
        <f>SUM(P7/365)</f>
        <v>2.7126438356164382</v>
      </c>
    </row>
    <row r="8" spans="1:19" x14ac:dyDescent="0.25">
      <c r="A8" s="3" t="s">
        <v>159</v>
      </c>
      <c r="B8" s="3" t="s">
        <v>280</v>
      </c>
      <c r="C8" s="137" t="s">
        <v>276</v>
      </c>
      <c r="D8" s="261">
        <f>20730/1000</f>
        <v>20.73</v>
      </c>
      <c r="E8" s="261">
        <v>16.66</v>
      </c>
      <c r="F8" s="260">
        <v>15.695</v>
      </c>
      <c r="G8" s="260">
        <v>18.285</v>
      </c>
      <c r="H8" s="260">
        <v>14.02</v>
      </c>
      <c r="I8" s="260">
        <v>18.170000000000002</v>
      </c>
      <c r="J8" s="260">
        <v>14.875</v>
      </c>
      <c r="K8" s="260">
        <v>18.73</v>
      </c>
      <c r="L8" s="260">
        <v>15.975</v>
      </c>
      <c r="M8" s="260">
        <v>23.114999999999998</v>
      </c>
      <c r="N8" s="260">
        <v>19.405000000000001</v>
      </c>
      <c r="O8" s="260">
        <v>16.954999999999998</v>
      </c>
      <c r="P8" s="265">
        <f t="shared" ref="P8:P34" si="0">SUM(D8:O8)</f>
        <v>212.61500000000001</v>
      </c>
      <c r="Q8" s="269">
        <f t="shared" ref="Q8:Q37" si="1">SUM(P8/12)</f>
        <v>17.717916666666667</v>
      </c>
      <c r="R8" s="179">
        <f t="shared" ref="R8:R34" si="2">SUM(P8/365)</f>
        <v>0.58250684931506846</v>
      </c>
    </row>
    <row r="9" spans="1:19" x14ac:dyDescent="0.25">
      <c r="A9" s="3" t="s">
        <v>159</v>
      </c>
      <c r="B9" s="3" t="s">
        <v>281</v>
      </c>
      <c r="C9" s="137" t="s">
        <v>276</v>
      </c>
      <c r="D9" s="261">
        <f>34755/1000</f>
        <v>34.755000000000003</v>
      </c>
      <c r="E9" s="261">
        <v>23.555</v>
      </c>
      <c r="F9" s="260">
        <v>24.91</v>
      </c>
      <c r="G9" s="260">
        <v>18.535</v>
      </c>
      <c r="H9" s="260">
        <v>23.015000000000001</v>
      </c>
      <c r="I9" s="260">
        <v>21.87</v>
      </c>
      <c r="J9" s="260">
        <v>20.664999999999999</v>
      </c>
      <c r="K9" s="260">
        <v>20.9</v>
      </c>
      <c r="L9" s="260">
        <v>21.72</v>
      </c>
      <c r="M9" s="260">
        <f>36425/1000</f>
        <v>36.424999999999997</v>
      </c>
      <c r="N9" s="260">
        <v>28.52</v>
      </c>
      <c r="O9" s="260">
        <v>25.855</v>
      </c>
      <c r="P9" s="265">
        <f t="shared" si="0"/>
        <v>300.72499999999997</v>
      </c>
      <c r="Q9" s="269">
        <f t="shared" si="1"/>
        <v>25.060416666666665</v>
      </c>
      <c r="R9" s="179">
        <f t="shared" si="2"/>
        <v>0.82390410958904103</v>
      </c>
    </row>
    <row r="10" spans="1:19" x14ac:dyDescent="0.25">
      <c r="A10" s="3" t="s">
        <v>159</v>
      </c>
      <c r="B10" s="3" t="s">
        <v>215</v>
      </c>
      <c r="C10" s="137" t="s">
        <v>276</v>
      </c>
      <c r="D10" s="261">
        <v>25.695</v>
      </c>
      <c r="E10" s="261">
        <v>24.48</v>
      </c>
      <c r="F10" s="260">
        <v>20.565000000000001</v>
      </c>
      <c r="G10" s="260">
        <v>15.47</v>
      </c>
      <c r="H10" s="260">
        <v>16.96</v>
      </c>
      <c r="I10" s="260">
        <v>18.21</v>
      </c>
      <c r="J10" s="260">
        <v>19.425000000000001</v>
      </c>
      <c r="K10" s="260">
        <v>17.399999999999999</v>
      </c>
      <c r="L10" s="260">
        <v>28.85</v>
      </c>
      <c r="M10" s="260">
        <v>24.675000000000001</v>
      </c>
      <c r="N10" s="260">
        <v>25.87</v>
      </c>
      <c r="O10" s="260">
        <v>25.184999999999999</v>
      </c>
      <c r="P10" s="265">
        <f t="shared" si="0"/>
        <v>262.78500000000003</v>
      </c>
      <c r="Q10" s="269">
        <f t="shared" si="1"/>
        <v>21.898750000000003</v>
      </c>
      <c r="R10" s="179">
        <f t="shared" si="2"/>
        <v>0.71995890410958907</v>
      </c>
    </row>
    <row r="11" spans="1:19" x14ac:dyDescent="0.25">
      <c r="A11" s="3" t="s">
        <v>159</v>
      </c>
      <c r="B11" s="3" t="s">
        <v>216</v>
      </c>
      <c r="C11" s="137" t="s">
        <v>276</v>
      </c>
      <c r="D11" s="261">
        <v>23.93</v>
      </c>
      <c r="E11" s="261">
        <v>23.59</v>
      </c>
      <c r="F11" s="260">
        <v>18.545000000000002</v>
      </c>
      <c r="G11" s="260">
        <v>16.73</v>
      </c>
      <c r="H11" s="260">
        <v>17.670000000000002</v>
      </c>
      <c r="I11" s="260">
        <v>18.79</v>
      </c>
      <c r="J11" s="260">
        <v>21.164999999999999</v>
      </c>
      <c r="K11" s="260">
        <v>20.105</v>
      </c>
      <c r="L11" s="260">
        <v>22.16</v>
      </c>
      <c r="M11" s="260">
        <v>28.98</v>
      </c>
      <c r="N11" s="260">
        <v>26.5</v>
      </c>
      <c r="O11" s="260">
        <v>27.875</v>
      </c>
      <c r="P11" s="265">
        <f t="shared" si="0"/>
        <v>266.03999999999996</v>
      </c>
      <c r="Q11" s="269">
        <f t="shared" si="1"/>
        <v>22.169999999999998</v>
      </c>
      <c r="R11" s="179">
        <f t="shared" si="2"/>
        <v>0.72887671232876705</v>
      </c>
    </row>
    <row r="12" spans="1:19" x14ac:dyDescent="0.25">
      <c r="A12" s="3" t="s">
        <v>159</v>
      </c>
      <c r="B12" s="3" t="s">
        <v>217</v>
      </c>
      <c r="C12" s="137" t="s">
        <v>276</v>
      </c>
      <c r="D12" s="261">
        <v>29.515000000000001</v>
      </c>
      <c r="E12" s="261">
        <v>24.99</v>
      </c>
      <c r="F12" s="260">
        <v>27.93</v>
      </c>
      <c r="G12" s="260">
        <v>22.585000000000001</v>
      </c>
      <c r="H12" s="260">
        <v>27.524999999999999</v>
      </c>
      <c r="I12" s="260">
        <v>28.004999999999999</v>
      </c>
      <c r="J12" s="260">
        <v>24.57</v>
      </c>
      <c r="K12" s="260">
        <v>20.350000000000001</v>
      </c>
      <c r="L12" s="260">
        <v>26.844999999999999</v>
      </c>
      <c r="M12" s="260">
        <v>29.25</v>
      </c>
      <c r="N12" s="260">
        <v>30.79</v>
      </c>
      <c r="O12" s="260">
        <f>33830/1000</f>
        <v>33.83</v>
      </c>
      <c r="P12" s="265">
        <f t="shared" si="0"/>
        <v>326.185</v>
      </c>
      <c r="Q12" s="269">
        <f t="shared" si="1"/>
        <v>27.182083333333335</v>
      </c>
      <c r="R12" s="179">
        <f t="shared" si="2"/>
        <v>0.89365753424657535</v>
      </c>
    </row>
    <row r="13" spans="1:19" x14ac:dyDescent="0.25">
      <c r="A13" s="3" t="s">
        <v>159</v>
      </c>
      <c r="B13" s="3" t="s">
        <v>282</v>
      </c>
      <c r="C13" s="137" t="s">
        <v>276</v>
      </c>
      <c r="D13" s="261">
        <v>29.34</v>
      </c>
      <c r="E13" s="261">
        <f>33065/1000</f>
        <v>33.064999999999998</v>
      </c>
      <c r="F13" s="260">
        <f>39620/1000</f>
        <v>39.619999999999997</v>
      </c>
      <c r="G13" s="260">
        <v>21.905000000000001</v>
      </c>
      <c r="H13" s="260">
        <v>28.074999999999999</v>
      </c>
      <c r="I13" s="260">
        <v>30.835000000000001</v>
      </c>
      <c r="J13" s="260">
        <v>28.535</v>
      </c>
      <c r="K13" s="260">
        <f>34510/1000</f>
        <v>34.51</v>
      </c>
      <c r="L13" s="260">
        <f>34490/1000</f>
        <v>34.49</v>
      </c>
      <c r="M13" s="260">
        <v>31.975000000000001</v>
      </c>
      <c r="N13" s="260">
        <v>18.32</v>
      </c>
      <c r="O13" s="260">
        <v>25.885000000000002</v>
      </c>
      <c r="P13" s="265">
        <f t="shared" si="0"/>
        <v>356.55500000000001</v>
      </c>
      <c r="Q13" s="269">
        <f t="shared" si="1"/>
        <v>29.712916666666668</v>
      </c>
      <c r="R13" s="179">
        <f t="shared" si="2"/>
        <v>0.97686301369863016</v>
      </c>
    </row>
    <row r="14" spans="1:19" x14ac:dyDescent="0.25">
      <c r="A14" s="3" t="s">
        <v>159</v>
      </c>
      <c r="B14" s="3" t="s">
        <v>283</v>
      </c>
      <c r="C14" s="137" t="s">
        <v>276</v>
      </c>
      <c r="D14" s="261">
        <v>19.88</v>
      </c>
      <c r="E14" s="261">
        <v>17.3</v>
      </c>
      <c r="F14" s="260">
        <v>20.975000000000001</v>
      </c>
      <c r="G14" s="260">
        <v>16.454999999999998</v>
      </c>
      <c r="H14" s="260">
        <v>20.84</v>
      </c>
      <c r="I14" s="260">
        <v>20.914999999999999</v>
      </c>
      <c r="J14" s="260">
        <v>17.649999999999999</v>
      </c>
      <c r="K14" s="260">
        <v>16.55</v>
      </c>
      <c r="L14" s="260">
        <v>18.704999999999998</v>
      </c>
      <c r="M14" s="260">
        <v>19.95</v>
      </c>
      <c r="N14" s="260">
        <v>22.725000000000001</v>
      </c>
      <c r="O14" s="260">
        <v>28.295000000000002</v>
      </c>
      <c r="P14" s="265">
        <f t="shared" si="0"/>
        <v>240.24</v>
      </c>
      <c r="Q14" s="269">
        <f t="shared" si="1"/>
        <v>20.02</v>
      </c>
      <c r="R14" s="179">
        <f t="shared" si="2"/>
        <v>0.65819178082191787</v>
      </c>
    </row>
    <row r="15" spans="1:19" x14ac:dyDescent="0.25">
      <c r="A15" s="3" t="s">
        <v>159</v>
      </c>
      <c r="B15" s="3" t="s">
        <v>218</v>
      </c>
      <c r="C15" s="137" t="s">
        <v>276</v>
      </c>
      <c r="D15" s="261">
        <f>475685/1000</f>
        <v>475.685</v>
      </c>
      <c r="E15" s="261">
        <f>438245/1000</f>
        <v>438.245</v>
      </c>
      <c r="F15" s="260">
        <f>402935/1000</f>
        <v>402.935</v>
      </c>
      <c r="G15" s="260">
        <f>281975/1000</f>
        <v>281.97500000000002</v>
      </c>
      <c r="H15" s="260">
        <f>288930/1000</f>
        <v>288.93</v>
      </c>
      <c r="I15" s="260">
        <f>394310/1000</f>
        <v>394.31</v>
      </c>
      <c r="J15" s="260">
        <f>359865/1000</f>
        <v>359.86500000000001</v>
      </c>
      <c r="K15" s="260">
        <f>423535/1000</f>
        <v>423.53500000000003</v>
      </c>
      <c r="L15" s="260">
        <f>436225/1000</f>
        <v>436.22500000000002</v>
      </c>
      <c r="M15" s="260">
        <f>446450/1000</f>
        <v>446.45</v>
      </c>
      <c r="N15" s="260">
        <f>379815/1000</f>
        <v>379.815</v>
      </c>
      <c r="O15" s="260">
        <f>416940/1000</f>
        <v>416.94</v>
      </c>
      <c r="P15" s="265">
        <f t="shared" si="0"/>
        <v>4744.91</v>
      </c>
      <c r="Q15" s="269">
        <f t="shared" si="1"/>
        <v>395.40916666666664</v>
      </c>
      <c r="R15" s="179">
        <f t="shared" si="2"/>
        <v>12.999753424657534</v>
      </c>
    </row>
    <row r="16" spans="1:19" x14ac:dyDescent="0.25">
      <c r="A16" s="3" t="s">
        <v>58</v>
      </c>
      <c r="B16" s="3" t="s">
        <v>219</v>
      </c>
      <c r="C16" s="137" t="s">
        <v>276</v>
      </c>
      <c r="D16" s="261">
        <v>11.39</v>
      </c>
      <c r="E16" s="261">
        <v>7.2549999999999999</v>
      </c>
      <c r="F16" s="260">
        <v>6.28</v>
      </c>
      <c r="G16" s="260">
        <v>5.3449999999999998</v>
      </c>
      <c r="H16" s="260">
        <v>7.5049999999999999</v>
      </c>
      <c r="I16" s="260">
        <v>6.2050000000000001</v>
      </c>
      <c r="J16" s="260">
        <v>9.1649999999999991</v>
      </c>
      <c r="K16" s="260">
        <v>7.335</v>
      </c>
      <c r="L16" s="260">
        <v>9.1349999999999998</v>
      </c>
      <c r="M16" s="260">
        <v>11.96</v>
      </c>
      <c r="N16" s="260">
        <v>9.8350000000000009</v>
      </c>
      <c r="O16" s="260">
        <v>9.65</v>
      </c>
      <c r="P16" s="265">
        <f t="shared" si="0"/>
        <v>101.06</v>
      </c>
      <c r="Q16" s="269">
        <f t="shared" si="1"/>
        <v>8.4216666666666669</v>
      </c>
      <c r="R16" s="179">
        <f t="shared" si="2"/>
        <v>0.27687671232876715</v>
      </c>
    </row>
    <row r="17" spans="1:18" x14ac:dyDescent="0.25">
      <c r="A17" s="3" t="s">
        <v>56</v>
      </c>
      <c r="B17" s="3" t="s">
        <v>285</v>
      </c>
      <c r="C17" s="137" t="s">
        <v>276</v>
      </c>
      <c r="D17" s="261">
        <v>11.685</v>
      </c>
      <c r="E17" s="261">
        <v>5.6550000000000002</v>
      </c>
      <c r="F17" s="260">
        <v>8.5399999999999991</v>
      </c>
      <c r="G17" s="260">
        <v>6.1550000000000002</v>
      </c>
      <c r="H17" s="260">
        <v>7.86</v>
      </c>
      <c r="I17" s="260">
        <v>8.25</v>
      </c>
      <c r="J17" s="260">
        <v>7.9550000000000001</v>
      </c>
      <c r="K17" s="260">
        <v>6.3049999999999997</v>
      </c>
      <c r="L17" s="260">
        <v>8.5250000000000004</v>
      </c>
      <c r="M17" s="260">
        <v>11.83</v>
      </c>
      <c r="N17" s="260">
        <v>8.86</v>
      </c>
      <c r="O17" s="260">
        <v>11.164999999999999</v>
      </c>
      <c r="P17" s="265">
        <f t="shared" si="0"/>
        <v>102.785</v>
      </c>
      <c r="Q17" s="269">
        <f t="shared" si="1"/>
        <v>8.5654166666666658</v>
      </c>
      <c r="R17" s="179">
        <f t="shared" si="2"/>
        <v>0.2816027397260274</v>
      </c>
    </row>
    <row r="18" spans="1:18" x14ac:dyDescent="0.25">
      <c r="A18" s="3" t="s">
        <v>159</v>
      </c>
      <c r="B18" s="3" t="s">
        <v>203</v>
      </c>
      <c r="C18" s="137" t="s">
        <v>276</v>
      </c>
      <c r="D18" s="261">
        <f>166100/1000</f>
        <v>166.1</v>
      </c>
      <c r="E18" s="261">
        <f>147400/1000</f>
        <v>147.4</v>
      </c>
      <c r="F18" s="260">
        <f>136295/1000</f>
        <v>136.29499999999999</v>
      </c>
      <c r="G18" s="260">
        <f>116430/1000</f>
        <v>116.43</v>
      </c>
      <c r="H18" s="260">
        <f>119970/1000</f>
        <v>119.97</v>
      </c>
      <c r="I18" s="260">
        <f>135770/1000</f>
        <v>135.77000000000001</v>
      </c>
      <c r="J18" s="260">
        <f>128785/1000</f>
        <v>128.785</v>
      </c>
      <c r="K18" s="260">
        <f>160290/1000</f>
        <v>160.29</v>
      </c>
      <c r="L18" s="260">
        <f>156280/1000</f>
        <v>156.28</v>
      </c>
      <c r="M18" s="260">
        <f>146305/1000</f>
        <v>146.30500000000001</v>
      </c>
      <c r="N18" s="260">
        <f>138960/1000</f>
        <v>138.96</v>
      </c>
      <c r="O18" s="260">
        <f>163590/1000</f>
        <v>163.59</v>
      </c>
      <c r="P18" s="265">
        <f t="shared" si="0"/>
        <v>1716.175</v>
      </c>
      <c r="Q18" s="269">
        <f t="shared" si="1"/>
        <v>143.01458333333332</v>
      </c>
      <c r="R18" s="179">
        <f t="shared" si="2"/>
        <v>4.7018493150684932</v>
      </c>
    </row>
    <row r="19" spans="1:18" x14ac:dyDescent="0.25">
      <c r="A19" s="3" t="s">
        <v>58</v>
      </c>
      <c r="B19" s="3" t="s">
        <v>284</v>
      </c>
      <c r="C19" s="137" t="s">
        <v>276</v>
      </c>
      <c r="D19" s="261">
        <v>21.08</v>
      </c>
      <c r="E19" s="261">
        <v>19.855</v>
      </c>
      <c r="F19" s="260">
        <v>21.71</v>
      </c>
      <c r="G19" s="260">
        <v>18.829999999999998</v>
      </c>
      <c r="H19" s="260">
        <v>21.4</v>
      </c>
      <c r="I19" s="260">
        <v>22.975000000000001</v>
      </c>
      <c r="J19" s="260">
        <v>24.645</v>
      </c>
      <c r="K19" s="260">
        <v>20.8</v>
      </c>
      <c r="L19" s="260">
        <v>23.48</v>
      </c>
      <c r="M19" s="260">
        <v>24.754999999999999</v>
      </c>
      <c r="N19" s="260">
        <v>21.32</v>
      </c>
      <c r="O19" s="260">
        <v>27.69</v>
      </c>
      <c r="P19" s="265">
        <f t="shared" si="0"/>
        <v>268.54000000000002</v>
      </c>
      <c r="Q19" s="269">
        <f t="shared" si="1"/>
        <v>22.378333333333334</v>
      </c>
      <c r="R19" s="179">
        <f t="shared" si="2"/>
        <v>0.73572602739726034</v>
      </c>
    </row>
    <row r="20" spans="1:18" x14ac:dyDescent="0.25">
      <c r="A20" s="3" t="s">
        <v>58</v>
      </c>
      <c r="B20" s="3" t="s">
        <v>220</v>
      </c>
      <c r="C20" s="137" t="s">
        <v>276</v>
      </c>
      <c r="D20" s="261">
        <v>23.87</v>
      </c>
      <c r="E20" s="261">
        <v>21.164999999999999</v>
      </c>
      <c r="F20" s="260">
        <v>22.925000000000001</v>
      </c>
      <c r="G20" s="260">
        <v>20.7</v>
      </c>
      <c r="H20" s="260">
        <v>25.35</v>
      </c>
      <c r="I20" s="260">
        <v>29.15</v>
      </c>
      <c r="J20" s="260">
        <v>26.52</v>
      </c>
      <c r="K20" s="260">
        <v>27.315000000000001</v>
      </c>
      <c r="L20" s="260">
        <v>27.055</v>
      </c>
      <c r="M20" s="260">
        <v>24.375</v>
      </c>
      <c r="N20" s="260">
        <v>27.984999999999999</v>
      </c>
      <c r="O20" s="260">
        <v>27.875</v>
      </c>
      <c r="P20" s="265">
        <f t="shared" si="0"/>
        <v>304.28500000000003</v>
      </c>
      <c r="Q20" s="269">
        <f t="shared" si="1"/>
        <v>25.357083333333335</v>
      </c>
      <c r="R20" s="179">
        <f t="shared" si="2"/>
        <v>0.8336575342465754</v>
      </c>
    </row>
    <row r="21" spans="1:18" x14ac:dyDescent="0.25">
      <c r="A21" s="3" t="s">
        <v>58</v>
      </c>
      <c r="B21" s="3" t="s">
        <v>221</v>
      </c>
      <c r="C21" s="137" t="s">
        <v>276</v>
      </c>
      <c r="D21" s="261">
        <v>2.1749999999999998</v>
      </c>
      <c r="E21" s="261">
        <v>2.12</v>
      </c>
      <c r="F21" s="260">
        <v>1.0249999999999999</v>
      </c>
      <c r="G21" s="260">
        <v>1</v>
      </c>
      <c r="H21" s="260">
        <v>0</v>
      </c>
      <c r="I21" s="260">
        <v>4.57</v>
      </c>
      <c r="J21" s="260">
        <v>1.5</v>
      </c>
      <c r="K21" s="260">
        <v>2.35</v>
      </c>
      <c r="L21" s="260">
        <v>2.8</v>
      </c>
      <c r="M21" s="260">
        <v>0</v>
      </c>
      <c r="N21" s="260">
        <v>5.78</v>
      </c>
      <c r="O21" s="260">
        <v>1.9750000000000001</v>
      </c>
      <c r="P21" s="265">
        <f t="shared" si="0"/>
        <v>25.295000000000002</v>
      </c>
      <c r="Q21" s="269">
        <f t="shared" si="1"/>
        <v>2.1079166666666667</v>
      </c>
      <c r="R21" s="179">
        <f t="shared" si="2"/>
        <v>6.9301369863013704E-2</v>
      </c>
    </row>
    <row r="22" spans="1:18" x14ac:dyDescent="0.25">
      <c r="A22" s="3" t="s">
        <v>58</v>
      </c>
      <c r="B22" s="3" t="s">
        <v>222</v>
      </c>
      <c r="C22" s="137" t="s">
        <v>276</v>
      </c>
      <c r="D22" s="261">
        <v>13.565</v>
      </c>
      <c r="E22" s="261">
        <v>9.625</v>
      </c>
      <c r="F22" s="260">
        <v>10.285</v>
      </c>
      <c r="G22" s="260">
        <v>8.34</v>
      </c>
      <c r="H22" s="260">
        <v>9.7100000000000009</v>
      </c>
      <c r="I22" s="260">
        <v>13.83</v>
      </c>
      <c r="J22" s="260">
        <v>10.32</v>
      </c>
      <c r="K22" s="260">
        <v>11.42</v>
      </c>
      <c r="L22" s="260">
        <v>14.43</v>
      </c>
      <c r="M22" s="260">
        <v>13.27</v>
      </c>
      <c r="N22" s="260">
        <v>12.265000000000001</v>
      </c>
      <c r="O22" s="260">
        <v>15.695</v>
      </c>
      <c r="P22" s="265">
        <f t="shared" si="0"/>
        <v>142.755</v>
      </c>
      <c r="Q22" s="269">
        <f t="shared" si="1"/>
        <v>11.89625</v>
      </c>
      <c r="R22" s="179">
        <f t="shared" si="2"/>
        <v>0.39110958904109588</v>
      </c>
    </row>
    <row r="23" spans="1:18" x14ac:dyDescent="0.25">
      <c r="A23" s="3" t="s">
        <v>58</v>
      </c>
      <c r="B23" s="3" t="s">
        <v>223</v>
      </c>
      <c r="C23" s="137" t="s">
        <v>276</v>
      </c>
      <c r="D23" s="261">
        <v>23.12</v>
      </c>
      <c r="E23" s="261">
        <v>18.8</v>
      </c>
      <c r="F23" s="260">
        <v>18.574999999999999</v>
      </c>
      <c r="G23" s="260">
        <v>21.74</v>
      </c>
      <c r="H23" s="260">
        <v>18.085000000000001</v>
      </c>
      <c r="I23" s="260">
        <v>24.324999999999999</v>
      </c>
      <c r="J23" s="260">
        <v>20.9</v>
      </c>
      <c r="K23" s="260">
        <v>24.84</v>
      </c>
      <c r="L23" s="260">
        <v>25.195</v>
      </c>
      <c r="M23" s="260">
        <v>26.3</v>
      </c>
      <c r="N23" s="260">
        <v>25.72</v>
      </c>
      <c r="O23" s="260">
        <v>26.62</v>
      </c>
      <c r="P23" s="265">
        <f t="shared" si="0"/>
        <v>274.21999999999997</v>
      </c>
      <c r="Q23" s="269">
        <f t="shared" si="1"/>
        <v>22.851666666666663</v>
      </c>
      <c r="R23" s="179">
        <f t="shared" si="2"/>
        <v>0.75128767123287665</v>
      </c>
    </row>
    <row r="24" spans="1:18" x14ac:dyDescent="0.25">
      <c r="A24" s="3" t="s">
        <v>58</v>
      </c>
      <c r="B24" s="3" t="s">
        <v>224</v>
      </c>
      <c r="C24" s="137" t="s">
        <v>276</v>
      </c>
      <c r="D24" s="261">
        <f>76780/1000</f>
        <v>76.78</v>
      </c>
      <c r="E24" s="261">
        <f>74665/1000</f>
        <v>74.665000000000006</v>
      </c>
      <c r="F24" s="260">
        <f>70295/1000</f>
        <v>70.295000000000002</v>
      </c>
      <c r="G24" s="260">
        <f>60575/1000</f>
        <v>60.575000000000003</v>
      </c>
      <c r="H24" s="260">
        <f>64950/1000</f>
        <v>64.95</v>
      </c>
      <c r="I24" s="260">
        <f>62095/1000</f>
        <v>62.094999999999999</v>
      </c>
      <c r="J24" s="260">
        <f>67700/1000</f>
        <v>67.7</v>
      </c>
      <c r="K24" s="260">
        <f>72030/1000</f>
        <v>72.03</v>
      </c>
      <c r="L24" s="260">
        <f>72850/1000</f>
        <v>72.849999999999994</v>
      </c>
      <c r="M24" s="260">
        <f>87620/1000</f>
        <v>87.62</v>
      </c>
      <c r="N24" s="260">
        <f>81125/1000</f>
        <v>81.125</v>
      </c>
      <c r="O24" s="260">
        <f>70550/1000</f>
        <v>70.55</v>
      </c>
      <c r="P24" s="265">
        <f t="shared" si="0"/>
        <v>861.23500000000001</v>
      </c>
      <c r="Q24" s="269">
        <f t="shared" si="1"/>
        <v>71.76958333333333</v>
      </c>
      <c r="R24" s="179">
        <f t="shared" si="2"/>
        <v>2.3595479452054793</v>
      </c>
    </row>
    <row r="25" spans="1:18" x14ac:dyDescent="0.25">
      <c r="A25" s="3" t="s">
        <v>159</v>
      </c>
      <c r="B25" s="3" t="s">
        <v>159</v>
      </c>
      <c r="C25" s="137" t="s">
        <v>276</v>
      </c>
      <c r="D25" s="261">
        <f>553305/1000</f>
        <v>553.30499999999995</v>
      </c>
      <c r="E25" s="261">
        <f>536680/1000</f>
        <v>536.67999999999995</v>
      </c>
      <c r="F25" s="260">
        <f>574665/1000</f>
        <v>574.66499999999996</v>
      </c>
      <c r="G25" s="260">
        <f>403950/1000</f>
        <v>403.95</v>
      </c>
      <c r="H25" s="260">
        <f>387885/1000</f>
        <v>387.88499999999999</v>
      </c>
      <c r="I25" s="260">
        <f>631930/1000</f>
        <v>631.92999999999995</v>
      </c>
      <c r="J25" s="260">
        <f>486370/1000</f>
        <v>486.37</v>
      </c>
      <c r="K25" s="260">
        <f>574705/1000</f>
        <v>574.70500000000004</v>
      </c>
      <c r="L25" s="260">
        <f>588935/1000</f>
        <v>588.93499999999995</v>
      </c>
      <c r="M25" s="260">
        <f>556910/1000</f>
        <v>556.91</v>
      </c>
      <c r="N25" s="260">
        <f>433435/1000</f>
        <v>433.435</v>
      </c>
      <c r="O25" s="260">
        <f>579585/1000</f>
        <v>579.58500000000004</v>
      </c>
      <c r="P25" s="265">
        <f t="shared" si="0"/>
        <v>6308.3549999999996</v>
      </c>
      <c r="Q25" s="269">
        <f t="shared" si="1"/>
        <v>525.69624999999996</v>
      </c>
      <c r="R25" s="179">
        <f t="shared" si="2"/>
        <v>17.283164383561644</v>
      </c>
    </row>
    <row r="26" spans="1:18" x14ac:dyDescent="0.25">
      <c r="A26" s="3" t="s">
        <v>58</v>
      </c>
      <c r="B26" s="3" t="s">
        <v>225</v>
      </c>
      <c r="C26" s="137" t="s">
        <v>276</v>
      </c>
      <c r="D26" s="261">
        <v>24.045000000000002</v>
      </c>
      <c r="E26" s="261">
        <v>24.54</v>
      </c>
      <c r="F26" s="260">
        <v>17.535</v>
      </c>
      <c r="G26" s="260">
        <v>14.53</v>
      </c>
      <c r="H26" s="260">
        <v>19.489999999999998</v>
      </c>
      <c r="I26" s="260">
        <v>19.100000000000001</v>
      </c>
      <c r="J26" s="260">
        <v>15.375</v>
      </c>
      <c r="K26" s="260">
        <v>14.824999999999999</v>
      </c>
      <c r="L26" s="260">
        <v>14.03</v>
      </c>
      <c r="M26" s="260">
        <v>22.675000000000001</v>
      </c>
      <c r="N26" s="260">
        <v>18.734999999999999</v>
      </c>
      <c r="O26" s="260">
        <v>21.645</v>
      </c>
      <c r="P26" s="265">
        <f t="shared" si="0"/>
        <v>226.52500000000001</v>
      </c>
      <c r="Q26" s="269">
        <f t="shared" si="1"/>
        <v>18.877083333333335</v>
      </c>
      <c r="R26" s="179">
        <f t="shared" si="2"/>
        <v>0.62061643835616442</v>
      </c>
    </row>
    <row r="27" spans="1:18" x14ac:dyDescent="0.25">
      <c r="A27" s="3" t="s">
        <v>58</v>
      </c>
      <c r="B27" s="3" t="s">
        <v>226</v>
      </c>
      <c r="C27" s="137" t="s">
        <v>276</v>
      </c>
      <c r="D27" s="261">
        <f>66865/1000</f>
        <v>66.864999999999995</v>
      </c>
      <c r="E27" s="261">
        <f>52490/1000</f>
        <v>52.49</v>
      </c>
      <c r="F27" s="260">
        <f>49370/1000</f>
        <v>49.37</v>
      </c>
      <c r="G27" s="260">
        <f>44590/1000</f>
        <v>44.59</v>
      </c>
      <c r="H27" s="260">
        <f>50790/1000</f>
        <v>50.79</v>
      </c>
      <c r="I27" s="260">
        <f>55085/1000</f>
        <v>55.085000000000001</v>
      </c>
      <c r="J27" s="260">
        <f>57610/1000</f>
        <v>57.61</v>
      </c>
      <c r="K27" s="260">
        <f>56935/1000</f>
        <v>56.935000000000002</v>
      </c>
      <c r="L27" s="260">
        <f>57390/1000</f>
        <v>57.39</v>
      </c>
      <c r="M27" s="260">
        <f>66900/1000</f>
        <v>66.900000000000006</v>
      </c>
      <c r="N27" s="260">
        <f>66900/1000</f>
        <v>66.900000000000006</v>
      </c>
      <c r="O27" s="260">
        <f>62785/1000</f>
        <v>62.784999999999997</v>
      </c>
      <c r="P27" s="265">
        <f t="shared" si="0"/>
        <v>687.70999999999992</v>
      </c>
      <c r="Q27" s="269">
        <f t="shared" si="1"/>
        <v>57.309166666666663</v>
      </c>
      <c r="R27" s="179">
        <f t="shared" si="2"/>
        <v>1.8841369863013697</v>
      </c>
    </row>
    <row r="28" spans="1:18" x14ac:dyDescent="0.25">
      <c r="A28" s="3" t="s">
        <v>159</v>
      </c>
      <c r="B28" s="3" t="s">
        <v>227</v>
      </c>
      <c r="C28" s="137" t="s">
        <v>276</v>
      </c>
      <c r="D28" s="261">
        <f>146450/1000</f>
        <v>146.44999999999999</v>
      </c>
      <c r="E28" s="261">
        <f>124495/1000</f>
        <v>124.495</v>
      </c>
      <c r="F28" s="260">
        <f>124195/1000</f>
        <v>124.19499999999999</v>
      </c>
      <c r="G28" s="260">
        <f>88560/1000</f>
        <v>88.56</v>
      </c>
      <c r="H28" s="260">
        <f>96890/1000</f>
        <v>96.89</v>
      </c>
      <c r="I28" s="260">
        <f>105075/1000</f>
        <v>105.075</v>
      </c>
      <c r="J28" s="260">
        <f>117730/1000</f>
        <v>117.73</v>
      </c>
      <c r="K28" s="260">
        <f>129115/1000</f>
        <v>129.11500000000001</v>
      </c>
      <c r="L28" s="260">
        <f>146115/1000</f>
        <v>146.11500000000001</v>
      </c>
      <c r="M28" s="260">
        <f>169965/1000</f>
        <v>169.965</v>
      </c>
      <c r="N28" s="260">
        <f>152485/1000</f>
        <v>152.48500000000001</v>
      </c>
      <c r="O28" s="260">
        <f>168165/1000</f>
        <v>168.16499999999999</v>
      </c>
      <c r="P28" s="265">
        <f t="shared" si="0"/>
        <v>1569.2399999999998</v>
      </c>
      <c r="Q28" s="269">
        <f t="shared" si="1"/>
        <v>130.76999999999998</v>
      </c>
      <c r="R28" s="179">
        <f t="shared" si="2"/>
        <v>4.299287671232876</v>
      </c>
    </row>
    <row r="29" spans="1:18" x14ac:dyDescent="0.25">
      <c r="A29" s="3" t="s">
        <v>159</v>
      </c>
      <c r="B29" s="3" t="s">
        <v>228</v>
      </c>
      <c r="C29" s="137" t="s">
        <v>276</v>
      </c>
      <c r="D29" s="261">
        <f>90590/1000</f>
        <v>90.59</v>
      </c>
      <c r="E29" s="261">
        <f>62935/1000</f>
        <v>62.935000000000002</v>
      </c>
      <c r="F29" s="260">
        <f>64000/1000</f>
        <v>64</v>
      </c>
      <c r="G29" s="260">
        <f>55175/1000</f>
        <v>55.174999999999997</v>
      </c>
      <c r="H29" s="260">
        <f>55830/1000</f>
        <v>55.83</v>
      </c>
      <c r="I29" s="260">
        <f>63325/1000</f>
        <v>63.325000000000003</v>
      </c>
      <c r="J29" s="260">
        <f>61135/1000</f>
        <v>61.134999999999998</v>
      </c>
      <c r="K29" s="260">
        <f>62075/1000</f>
        <v>62.075000000000003</v>
      </c>
      <c r="L29" s="260">
        <f>66300/1000</f>
        <v>66.3</v>
      </c>
      <c r="M29" s="260">
        <f>65710/1000</f>
        <v>65.709999999999994</v>
      </c>
      <c r="N29" s="260">
        <f>62825/1000</f>
        <v>62.825000000000003</v>
      </c>
      <c r="O29" s="260">
        <f>66020/1000</f>
        <v>66.02</v>
      </c>
      <c r="P29" s="265">
        <f t="shared" si="0"/>
        <v>775.92</v>
      </c>
      <c r="Q29" s="269">
        <f t="shared" si="1"/>
        <v>64.66</v>
      </c>
      <c r="R29" s="179">
        <f t="shared" si="2"/>
        <v>2.125808219178082</v>
      </c>
    </row>
    <row r="30" spans="1:18" x14ac:dyDescent="0.25">
      <c r="A30" s="3" t="s">
        <v>58</v>
      </c>
      <c r="B30" s="3" t="s">
        <v>52</v>
      </c>
      <c r="C30" s="137" t="s">
        <v>276</v>
      </c>
      <c r="D30" s="261">
        <v>10.515000000000001</v>
      </c>
      <c r="E30" s="261">
        <v>4.49</v>
      </c>
      <c r="F30" s="260">
        <v>7.4</v>
      </c>
      <c r="G30" s="260">
        <v>7.32</v>
      </c>
      <c r="H30" s="260">
        <v>6.79</v>
      </c>
      <c r="I30" s="260">
        <v>7.78</v>
      </c>
      <c r="J30" s="260">
        <v>8.9250000000000007</v>
      </c>
      <c r="K30" s="260">
        <v>6.98</v>
      </c>
      <c r="L30" s="260">
        <v>6.585</v>
      </c>
      <c r="M30" s="260">
        <v>8.6999999999999993</v>
      </c>
      <c r="N30" s="260">
        <v>7.4349999999999996</v>
      </c>
      <c r="O30" s="260">
        <v>8.83</v>
      </c>
      <c r="P30" s="265">
        <f t="shared" si="0"/>
        <v>91.75</v>
      </c>
      <c r="Q30" s="269">
        <f t="shared" si="1"/>
        <v>7.645833333333333</v>
      </c>
      <c r="R30" s="179">
        <f t="shared" si="2"/>
        <v>0.25136986301369862</v>
      </c>
    </row>
    <row r="31" spans="1:18" x14ac:dyDescent="0.25">
      <c r="A31" s="3" t="s">
        <v>58</v>
      </c>
      <c r="B31" s="3" t="s">
        <v>55</v>
      </c>
      <c r="C31" s="137" t="s">
        <v>276</v>
      </c>
      <c r="D31" s="261">
        <v>5.415</v>
      </c>
      <c r="E31" s="261">
        <v>4.415</v>
      </c>
      <c r="F31" s="260">
        <v>5.94</v>
      </c>
      <c r="G31" s="260">
        <v>0</v>
      </c>
      <c r="H31" s="260">
        <v>7.1849999999999996</v>
      </c>
      <c r="I31" s="260">
        <v>14.7</v>
      </c>
      <c r="J31" s="260">
        <v>2.76</v>
      </c>
      <c r="K31" s="260">
        <v>7.2249999999999996</v>
      </c>
      <c r="L31" s="260">
        <v>0</v>
      </c>
      <c r="M31" s="260">
        <v>0</v>
      </c>
      <c r="N31" s="260">
        <v>0</v>
      </c>
      <c r="O31" s="260">
        <v>0</v>
      </c>
      <c r="P31" s="265">
        <f t="shared" si="0"/>
        <v>47.64</v>
      </c>
      <c r="Q31" s="269">
        <f t="shared" si="1"/>
        <v>3.97</v>
      </c>
      <c r="R31" s="179">
        <f t="shared" si="2"/>
        <v>0.13052054794520548</v>
      </c>
    </row>
    <row r="32" spans="1:18" x14ac:dyDescent="0.25">
      <c r="A32" s="3" t="s">
        <v>58</v>
      </c>
      <c r="B32" s="3" t="s">
        <v>229</v>
      </c>
      <c r="C32" s="137" t="s">
        <v>276</v>
      </c>
      <c r="D32" s="261">
        <v>22.22</v>
      </c>
      <c r="E32" s="261">
        <v>20.754999999999999</v>
      </c>
      <c r="F32" s="260">
        <v>21.274999999999999</v>
      </c>
      <c r="G32" s="260">
        <v>19.63</v>
      </c>
      <c r="H32" s="260">
        <v>17.824999999999999</v>
      </c>
      <c r="I32" s="260">
        <v>22.05</v>
      </c>
      <c r="J32" s="260">
        <v>20.34</v>
      </c>
      <c r="K32" s="260">
        <v>21.98</v>
      </c>
      <c r="L32" s="260">
        <v>21.305</v>
      </c>
      <c r="M32" s="260">
        <v>23.305</v>
      </c>
      <c r="N32" s="260">
        <v>22.6</v>
      </c>
      <c r="O32" s="260">
        <v>22.245000000000001</v>
      </c>
      <c r="P32" s="265">
        <f t="shared" si="0"/>
        <v>255.53</v>
      </c>
      <c r="Q32" s="269">
        <f t="shared" si="1"/>
        <v>21.294166666666666</v>
      </c>
      <c r="R32" s="179">
        <f t="shared" si="2"/>
        <v>0.70008219178082187</v>
      </c>
    </row>
    <row r="33" spans="1:18" x14ac:dyDescent="0.25">
      <c r="A33" s="3" t="s">
        <v>58</v>
      </c>
      <c r="B33" s="3" t="s">
        <v>274</v>
      </c>
      <c r="C33" s="137" t="s">
        <v>276</v>
      </c>
      <c r="D33" s="261">
        <v>6.8949999999999996</v>
      </c>
      <c r="E33" s="261">
        <v>2.17</v>
      </c>
      <c r="F33" s="260">
        <v>4.18</v>
      </c>
      <c r="G33" s="260">
        <v>5.53</v>
      </c>
      <c r="H33" s="260">
        <v>5.46</v>
      </c>
      <c r="I33" s="260">
        <v>4.915</v>
      </c>
      <c r="J33" s="260">
        <v>4.7949999999999999</v>
      </c>
      <c r="K33" s="260">
        <v>4.5750000000000002</v>
      </c>
      <c r="L33" s="260">
        <v>2.67</v>
      </c>
      <c r="M33" s="260">
        <v>6.05</v>
      </c>
      <c r="N33" s="260">
        <v>8.4649999999999999</v>
      </c>
      <c r="O33" s="260">
        <v>2.5150000000000001</v>
      </c>
      <c r="P33" s="265">
        <f t="shared" si="0"/>
        <v>58.22</v>
      </c>
      <c r="Q33" s="269">
        <f t="shared" si="1"/>
        <v>4.8516666666666666</v>
      </c>
      <c r="R33" s="179">
        <f t="shared" si="2"/>
        <v>0.15950684931506848</v>
      </c>
    </row>
    <row r="34" spans="1:18" x14ac:dyDescent="0.25">
      <c r="A34" s="3" t="s">
        <v>58</v>
      </c>
      <c r="B34" s="3" t="s">
        <v>230</v>
      </c>
      <c r="C34" s="137" t="s">
        <v>276</v>
      </c>
      <c r="D34" s="261">
        <v>9.11</v>
      </c>
      <c r="E34" s="261">
        <v>7.82</v>
      </c>
      <c r="F34" s="260">
        <v>9.4700000000000006</v>
      </c>
      <c r="G34" s="260">
        <v>9.4</v>
      </c>
      <c r="H34" s="260">
        <v>8.6649999999999991</v>
      </c>
      <c r="I34" s="260">
        <v>6.34</v>
      </c>
      <c r="J34" s="260">
        <v>8.7449999999999992</v>
      </c>
      <c r="K34" s="260">
        <v>7.7850000000000001</v>
      </c>
      <c r="L34" s="260">
        <v>5.77</v>
      </c>
      <c r="M34" s="260">
        <v>9.8800000000000008</v>
      </c>
      <c r="N34" s="260">
        <v>7.2</v>
      </c>
      <c r="O34" s="260">
        <v>8.2050000000000001</v>
      </c>
      <c r="P34" s="265">
        <f t="shared" si="0"/>
        <v>98.389999999999986</v>
      </c>
      <c r="Q34" s="269">
        <f t="shared" si="1"/>
        <v>8.1991666666666649</v>
      </c>
      <c r="R34" s="179">
        <f t="shared" si="2"/>
        <v>0.26956164383561643</v>
      </c>
    </row>
    <row r="35" spans="1:18" s="139" customFormat="1" x14ac:dyDescent="0.25">
      <c r="A35" s="10"/>
      <c r="B35" s="10" t="s">
        <v>287</v>
      </c>
      <c r="C35" s="138" t="s">
        <v>276</v>
      </c>
      <c r="D35" s="171">
        <f t="shared" ref="D35:O35" si="3">SUM(D7:D34)</f>
        <v>2038.8449999999998</v>
      </c>
      <c r="E35" s="171">
        <f t="shared" si="3"/>
        <v>1839.1599999999999</v>
      </c>
      <c r="F35" s="171">
        <f t="shared" si="3"/>
        <v>1829.88</v>
      </c>
      <c r="G35" s="171">
        <f t="shared" si="3"/>
        <v>1383.6550000000002</v>
      </c>
      <c r="H35" s="171">
        <f t="shared" si="3"/>
        <v>1442.4600000000003</v>
      </c>
      <c r="I35" s="171">
        <f t="shared" si="3"/>
        <v>1868.01</v>
      </c>
      <c r="J35" s="171">
        <f t="shared" si="3"/>
        <v>1660.3549999999998</v>
      </c>
      <c r="K35" s="171">
        <f t="shared" si="3"/>
        <v>1875.24</v>
      </c>
      <c r="L35" s="171">
        <f t="shared" si="3"/>
        <v>1936.655</v>
      </c>
      <c r="M35" s="171">
        <f t="shared" si="3"/>
        <v>2002.82</v>
      </c>
      <c r="N35" s="171">
        <f t="shared" si="3"/>
        <v>1740.8050000000001</v>
      </c>
      <c r="O35" s="171">
        <f t="shared" si="3"/>
        <v>1997.915</v>
      </c>
      <c r="P35" s="265">
        <f t="shared" ref="P35:P36" si="4">SUM(D35:O35)</f>
        <v>21615.800000000003</v>
      </c>
      <c r="Q35" s="269">
        <f t="shared" si="1"/>
        <v>1801.3166666666668</v>
      </c>
      <c r="R35" s="179">
        <f t="shared" ref="R35:R37" si="5">SUM(P35/365)</f>
        <v>59.221369863013706</v>
      </c>
    </row>
    <row r="36" spans="1:18" x14ac:dyDescent="0.25">
      <c r="A36" s="3" t="s">
        <v>286</v>
      </c>
      <c r="B36" s="3" t="s">
        <v>143</v>
      </c>
      <c r="C36" s="137" t="s">
        <v>276</v>
      </c>
      <c r="D36" s="261">
        <v>21.824999999999999</v>
      </c>
      <c r="E36" s="262">
        <v>23.59</v>
      </c>
      <c r="F36" s="263">
        <v>14.775</v>
      </c>
      <c r="G36" s="263">
        <v>8.4049999999999994</v>
      </c>
      <c r="H36" s="263">
        <v>8.4700000000000006</v>
      </c>
      <c r="I36" s="263">
        <v>7.4</v>
      </c>
      <c r="J36" s="263">
        <v>12.79</v>
      </c>
      <c r="K36" s="263">
        <v>8.44</v>
      </c>
      <c r="L36" s="263">
        <v>13.87</v>
      </c>
      <c r="M36" s="263">
        <v>15.75</v>
      </c>
      <c r="N36" s="263">
        <v>14.154999999999999</v>
      </c>
      <c r="O36" s="263">
        <v>14.12</v>
      </c>
      <c r="P36" s="265">
        <f t="shared" si="4"/>
        <v>163.59</v>
      </c>
      <c r="Q36" s="269">
        <f t="shared" si="1"/>
        <v>13.6325</v>
      </c>
      <c r="R36" s="179">
        <f t="shared" si="5"/>
        <v>0.4481917808219178</v>
      </c>
    </row>
    <row r="37" spans="1:18" s="139" customFormat="1" x14ac:dyDescent="0.25">
      <c r="B37" s="139" t="s">
        <v>288</v>
      </c>
      <c r="C37" s="138" t="s">
        <v>276</v>
      </c>
      <c r="D37" s="172">
        <f t="shared" ref="D37:O37" si="6">SUM(D36:D36)</f>
        <v>21.824999999999999</v>
      </c>
      <c r="E37" s="170">
        <f t="shared" si="6"/>
        <v>23.59</v>
      </c>
      <c r="F37" s="170">
        <f t="shared" si="6"/>
        <v>14.775</v>
      </c>
      <c r="G37" s="264">
        <f t="shared" si="6"/>
        <v>8.4049999999999994</v>
      </c>
      <c r="H37" s="264">
        <f t="shared" si="6"/>
        <v>8.4700000000000006</v>
      </c>
      <c r="I37" s="264">
        <f t="shared" si="6"/>
        <v>7.4</v>
      </c>
      <c r="J37" s="264">
        <f t="shared" si="6"/>
        <v>12.79</v>
      </c>
      <c r="K37" s="264">
        <f t="shared" si="6"/>
        <v>8.44</v>
      </c>
      <c r="L37" s="264">
        <f t="shared" si="6"/>
        <v>13.87</v>
      </c>
      <c r="M37" s="264">
        <f t="shared" si="6"/>
        <v>15.75</v>
      </c>
      <c r="N37" s="264">
        <f t="shared" si="6"/>
        <v>14.154999999999999</v>
      </c>
      <c r="O37" s="264">
        <f t="shared" si="6"/>
        <v>14.12</v>
      </c>
      <c r="P37" s="265">
        <f>SUM(P35:P36)</f>
        <v>21779.390000000003</v>
      </c>
      <c r="Q37" s="269">
        <f t="shared" si="1"/>
        <v>1814.949166666667</v>
      </c>
      <c r="R37" s="179">
        <f t="shared" si="5"/>
        <v>59.669561643835628</v>
      </c>
    </row>
    <row r="38" spans="1:18" x14ac:dyDescent="0.25">
      <c r="A38" s="116"/>
      <c r="B38" s="116"/>
      <c r="C38" s="117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</row>
  </sheetData>
  <mergeCells count="6">
    <mergeCell ref="A1:S1"/>
    <mergeCell ref="A2:S2"/>
    <mergeCell ref="B3:O3"/>
    <mergeCell ref="A5:O5"/>
    <mergeCell ref="Q5:Q6"/>
    <mergeCell ref="R5:R6"/>
  </mergeCells>
  <pageMargins left="0.25" right="0.25" top="0.75" bottom="0.75" header="0.3" footer="0.3"/>
  <pageSetup paperSize="12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sqref="A1:XFD2"/>
    </sheetView>
  </sheetViews>
  <sheetFormatPr baseColWidth="10" defaultColWidth="11.42578125" defaultRowHeight="15" x14ac:dyDescent="0.25"/>
  <cols>
    <col min="1" max="16384" width="11.42578125" style="94"/>
  </cols>
  <sheetData>
    <row r="1" spans="1:19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ht="18" x14ac:dyDescent="0.25">
      <c r="B3" s="355" t="s">
        <v>92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1:19" x14ac:dyDescent="0.25"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9" x14ac:dyDescent="0.25">
      <c r="A5" s="358" t="s">
        <v>1</v>
      </c>
      <c r="B5" s="358" t="s">
        <v>2</v>
      </c>
      <c r="C5" s="211"/>
      <c r="D5" s="358" t="s">
        <v>320</v>
      </c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418" t="s">
        <v>3</v>
      </c>
    </row>
    <row r="6" spans="1:19" ht="17.25" customHeight="1" x14ac:dyDescent="0.25">
      <c r="A6" s="358"/>
      <c r="B6" s="358"/>
      <c r="C6" s="211"/>
      <c r="D6" s="197" t="s">
        <v>4</v>
      </c>
      <c r="E6" s="197" t="s">
        <v>5</v>
      </c>
      <c r="F6" s="197" t="s">
        <v>6</v>
      </c>
      <c r="G6" s="197" t="s">
        <v>7</v>
      </c>
      <c r="H6" s="197" t="s">
        <v>8</v>
      </c>
      <c r="I6" s="197" t="s">
        <v>9</v>
      </c>
      <c r="J6" s="197" t="s">
        <v>10</v>
      </c>
      <c r="K6" s="197" t="s">
        <v>11</v>
      </c>
      <c r="L6" s="197" t="s">
        <v>12</v>
      </c>
      <c r="M6" s="197" t="s">
        <v>13</v>
      </c>
      <c r="N6" s="197" t="s">
        <v>14</v>
      </c>
      <c r="O6" s="197" t="s">
        <v>15</v>
      </c>
      <c r="P6" s="418"/>
      <c r="Q6" s="26" t="s">
        <v>66</v>
      </c>
      <c r="R6" s="253" t="s">
        <v>95</v>
      </c>
    </row>
    <row r="7" spans="1:19" x14ac:dyDescent="0.25">
      <c r="A7" s="4" t="s">
        <v>396</v>
      </c>
      <c r="B7" s="3" t="s">
        <v>231</v>
      </c>
      <c r="C7" s="3" t="s">
        <v>316</v>
      </c>
      <c r="D7" s="37">
        <v>77.849999999999994</v>
      </c>
      <c r="E7" s="37">
        <v>72.900000000000006</v>
      </c>
      <c r="F7" s="37">
        <v>73.8</v>
      </c>
      <c r="G7" s="37">
        <v>64.349999999999994</v>
      </c>
      <c r="H7" s="37">
        <v>93.6</v>
      </c>
      <c r="I7" s="37">
        <v>87.75</v>
      </c>
      <c r="J7" s="37">
        <v>85.5</v>
      </c>
      <c r="K7" s="37">
        <v>77.849999999999994</v>
      </c>
      <c r="L7" s="37">
        <v>79.2</v>
      </c>
      <c r="M7" s="37">
        <v>106.65</v>
      </c>
      <c r="N7" s="37">
        <v>81.900000000000006</v>
      </c>
      <c r="O7" s="37">
        <v>40.950000000000003</v>
      </c>
      <c r="P7" s="75">
        <f>SUM(D7:O7)</f>
        <v>942.30000000000007</v>
      </c>
      <c r="Q7" s="8">
        <f>SUM(P7/12)</f>
        <v>78.525000000000006</v>
      </c>
      <c r="R7" s="37">
        <f>SUM(Q7/30)</f>
        <v>2.6175000000000002</v>
      </c>
    </row>
    <row r="8" spans="1:19" x14ac:dyDescent="0.25">
      <c r="A8" s="117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9" x14ac:dyDescent="0.25">
      <c r="A9" s="4" t="s">
        <v>396</v>
      </c>
      <c r="B9" s="137" t="s">
        <v>231</v>
      </c>
      <c r="C9" s="3" t="s">
        <v>317</v>
      </c>
      <c r="D9" s="37">
        <v>63</v>
      </c>
      <c r="E9" s="37">
        <v>60.55</v>
      </c>
      <c r="F9" s="37">
        <v>60.02</v>
      </c>
      <c r="G9" s="37">
        <v>35.979999999999997</v>
      </c>
      <c r="H9" s="37">
        <v>57.75</v>
      </c>
      <c r="I9" s="37">
        <v>55.3</v>
      </c>
      <c r="J9" s="37">
        <v>62.65</v>
      </c>
      <c r="K9" s="37">
        <v>58.62</v>
      </c>
      <c r="L9" s="37">
        <v>57.05</v>
      </c>
      <c r="M9" s="37">
        <v>67.55</v>
      </c>
      <c r="N9" s="37">
        <v>59.85</v>
      </c>
      <c r="O9" s="37">
        <v>28.35</v>
      </c>
      <c r="P9" s="75">
        <f t="shared" ref="P9" si="0">SUM(D9:O9)</f>
        <v>666.67</v>
      </c>
      <c r="Q9" s="8">
        <f>SUM(P9/12)</f>
        <v>55.555833333333332</v>
      </c>
      <c r="R9" s="37">
        <f>SUM(Q9/30)</f>
        <v>1.8518611111111112</v>
      </c>
    </row>
    <row r="10" spans="1:19" x14ac:dyDescent="0.25">
      <c r="A10" s="290"/>
    </row>
    <row r="11" spans="1:19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37"/>
      <c r="N11" s="10" t="s">
        <v>311</v>
      </c>
      <c r="O11" s="3"/>
      <c r="P11" s="75">
        <f>SUM(P7+P9)</f>
        <v>1608.97</v>
      </c>
      <c r="Q11" s="8">
        <f>SUM(P11/12)</f>
        <v>134.08083333333335</v>
      </c>
      <c r="R11" s="37">
        <f>SUM(Q11/30)</f>
        <v>4.4693611111111116</v>
      </c>
    </row>
  </sheetData>
  <mergeCells count="7">
    <mergeCell ref="A1:S1"/>
    <mergeCell ref="A2:S2"/>
    <mergeCell ref="A5:A6"/>
    <mergeCell ref="B5:B6"/>
    <mergeCell ref="B3:Q3"/>
    <mergeCell ref="D5:O5"/>
    <mergeCell ref="P5:P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sqref="A1:XFD2"/>
    </sheetView>
  </sheetViews>
  <sheetFormatPr baseColWidth="10" defaultColWidth="11.42578125" defaultRowHeight="15" x14ac:dyDescent="0.25"/>
  <cols>
    <col min="1" max="1" width="11.42578125" style="15"/>
    <col min="2" max="2" width="11.5703125" style="15" customWidth="1"/>
    <col min="3" max="3" width="13.7109375" style="94" customWidth="1"/>
    <col min="4" max="17" width="11.42578125" style="15"/>
    <col min="18" max="18" width="11.42578125" style="248"/>
    <col min="19" max="16384" width="11.42578125" style="15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ht="18" x14ac:dyDescent="0.25">
      <c r="A3" s="36"/>
      <c r="B3" s="355" t="s">
        <v>130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1:19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x14ac:dyDescent="0.25">
      <c r="A5" s="358" t="s">
        <v>1</v>
      </c>
      <c r="B5" s="358" t="s">
        <v>2</v>
      </c>
      <c r="C5" s="125"/>
      <c r="D5" s="358" t="s">
        <v>320</v>
      </c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418" t="s">
        <v>3</v>
      </c>
      <c r="Q5" s="2"/>
    </row>
    <row r="6" spans="1:19" ht="18" customHeight="1" x14ac:dyDescent="0.25">
      <c r="A6" s="358"/>
      <c r="B6" s="358"/>
      <c r="C6" s="125"/>
      <c r="D6" s="90" t="s">
        <v>4</v>
      </c>
      <c r="E6" s="90" t="s">
        <v>5</v>
      </c>
      <c r="F6" s="90" t="s">
        <v>6</v>
      </c>
      <c r="G6" s="90" t="s">
        <v>7</v>
      </c>
      <c r="H6" s="90" t="s">
        <v>8</v>
      </c>
      <c r="I6" s="90" t="s">
        <v>9</v>
      </c>
      <c r="J6" s="90" t="s">
        <v>10</v>
      </c>
      <c r="K6" s="90" t="s">
        <v>11</v>
      </c>
      <c r="L6" s="90" t="s">
        <v>12</v>
      </c>
      <c r="M6" s="90" t="s">
        <v>13</v>
      </c>
      <c r="N6" s="90" t="s">
        <v>14</v>
      </c>
      <c r="O6" s="90" t="s">
        <v>15</v>
      </c>
      <c r="P6" s="418"/>
      <c r="Q6" s="250" t="s">
        <v>66</v>
      </c>
      <c r="R6" s="251" t="s">
        <v>95</v>
      </c>
    </row>
    <row r="7" spans="1:19" x14ac:dyDescent="0.25">
      <c r="A7" s="4" t="s">
        <v>54</v>
      </c>
      <c r="B7" s="3" t="s">
        <v>79</v>
      </c>
      <c r="C7" s="3" t="s">
        <v>277</v>
      </c>
      <c r="D7" s="37">
        <v>11</v>
      </c>
      <c r="E7" s="37">
        <v>10.5</v>
      </c>
      <c r="F7" s="37">
        <v>10.5</v>
      </c>
      <c r="G7" s="37">
        <v>17</v>
      </c>
      <c r="H7" s="37">
        <v>10.5</v>
      </c>
      <c r="I7" s="37">
        <v>10.5</v>
      </c>
      <c r="J7" s="37">
        <v>22.5</v>
      </c>
      <c r="K7" s="37">
        <v>13.5</v>
      </c>
      <c r="L7" s="37">
        <v>22.5</v>
      </c>
      <c r="M7" s="37">
        <v>18</v>
      </c>
      <c r="N7" s="37">
        <v>18</v>
      </c>
      <c r="O7" s="37">
        <v>20</v>
      </c>
      <c r="P7" s="75">
        <f>SUM(D7:O7)</f>
        <v>184.5</v>
      </c>
      <c r="Q7" s="66">
        <f>SUM(P7/12)</f>
        <v>15.375</v>
      </c>
      <c r="R7" s="252">
        <f>SUM(P7/365)</f>
        <v>0.5054794520547945</v>
      </c>
    </row>
    <row r="8" spans="1:19" x14ac:dyDescent="0.25">
      <c r="A8" s="4" t="s">
        <v>54</v>
      </c>
      <c r="B8" s="3" t="s">
        <v>91</v>
      </c>
      <c r="C8" s="3" t="s">
        <v>277</v>
      </c>
      <c r="D8" s="37">
        <v>17.5</v>
      </c>
      <c r="E8" s="37">
        <v>14</v>
      </c>
      <c r="F8" s="37">
        <v>14</v>
      </c>
      <c r="G8" s="37">
        <v>17.5</v>
      </c>
      <c r="H8" s="37">
        <v>14</v>
      </c>
      <c r="I8" s="37">
        <v>55</v>
      </c>
      <c r="J8" s="37">
        <v>17.5</v>
      </c>
      <c r="K8" s="37">
        <v>14</v>
      </c>
      <c r="L8" s="37">
        <v>14</v>
      </c>
      <c r="M8" s="37">
        <v>0</v>
      </c>
      <c r="N8" s="37">
        <v>0</v>
      </c>
      <c r="O8" s="37">
        <v>68</v>
      </c>
      <c r="P8" s="75">
        <f>SUM(D8:O8)</f>
        <v>245.5</v>
      </c>
      <c r="Q8" s="66">
        <f>SUM(P8/12)</f>
        <v>20.458333333333332</v>
      </c>
      <c r="R8" s="252">
        <f t="shared" ref="R8:R11" si="0">SUM(P8/365)</f>
        <v>0.67260273972602735</v>
      </c>
    </row>
    <row r="9" spans="1:19" x14ac:dyDescent="0.25">
      <c r="A9" s="5" t="s">
        <v>54</v>
      </c>
      <c r="B9" s="3"/>
      <c r="C9" s="3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5">
        <f>SUM(D9:O9)</f>
        <v>0</v>
      </c>
      <c r="Q9" s="66">
        <f t="shared" ref="Q9:Q10" si="1">SUM(P9/12)</f>
        <v>0</v>
      </c>
      <c r="R9" s="252">
        <f t="shared" si="0"/>
        <v>0</v>
      </c>
    </row>
    <row r="10" spans="1:19" x14ac:dyDescent="0.25">
      <c r="A10" s="419" t="s">
        <v>61</v>
      </c>
      <c r="B10" s="420"/>
      <c r="C10" s="17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40">
        <f t="shared" ref="P10" si="2">SUM(P7:P9)</f>
        <v>430</v>
      </c>
      <c r="Q10" s="66">
        <f t="shared" si="1"/>
        <v>35.833333333333336</v>
      </c>
      <c r="R10" s="252">
        <f t="shared" si="0"/>
        <v>1.178082191780822</v>
      </c>
    </row>
    <row r="11" spans="1:19" x14ac:dyDescent="0.25">
      <c r="A11" s="94"/>
      <c r="B11" s="94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94"/>
      <c r="R11" s="252">
        <f t="shared" si="0"/>
        <v>0</v>
      </c>
    </row>
    <row r="12" spans="1:19" x14ac:dyDescent="0.25">
      <c r="A12" s="94"/>
      <c r="B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x14ac:dyDescent="0.25">
      <c r="A13" s="358" t="s">
        <v>1</v>
      </c>
      <c r="B13" s="358" t="s">
        <v>2</v>
      </c>
      <c r="C13" s="174"/>
      <c r="D13" s="358" t="s">
        <v>306</v>
      </c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418" t="s">
        <v>3</v>
      </c>
      <c r="Q13" s="94"/>
    </row>
    <row r="14" spans="1:19" ht="30" x14ac:dyDescent="0.25">
      <c r="A14" s="358"/>
      <c r="B14" s="358"/>
      <c r="C14" s="174"/>
      <c r="D14" s="174" t="s">
        <v>4</v>
      </c>
      <c r="E14" s="174" t="s">
        <v>5</v>
      </c>
      <c r="F14" s="174" t="s">
        <v>6</v>
      </c>
      <c r="G14" s="174" t="s">
        <v>7</v>
      </c>
      <c r="H14" s="174" t="s">
        <v>8</v>
      </c>
      <c r="I14" s="174" t="s">
        <v>9</v>
      </c>
      <c r="J14" s="174" t="s">
        <v>10</v>
      </c>
      <c r="K14" s="174" t="s">
        <v>11</v>
      </c>
      <c r="L14" s="174" t="s">
        <v>12</v>
      </c>
      <c r="M14" s="174" t="s">
        <v>13</v>
      </c>
      <c r="N14" s="174" t="s">
        <v>14</v>
      </c>
      <c r="O14" s="174" t="s">
        <v>15</v>
      </c>
      <c r="P14" s="418"/>
      <c r="Q14" s="26" t="s">
        <v>66</v>
      </c>
      <c r="R14" s="26" t="s">
        <v>95</v>
      </c>
    </row>
    <row r="15" spans="1:19" x14ac:dyDescent="0.25">
      <c r="A15" s="4" t="s">
        <v>54</v>
      </c>
      <c r="B15" s="3" t="s">
        <v>79</v>
      </c>
      <c r="C15" s="3" t="s">
        <v>277</v>
      </c>
      <c r="D15" s="37">
        <v>10</v>
      </c>
      <c r="E15" s="37">
        <v>10</v>
      </c>
      <c r="F15" s="37">
        <v>10</v>
      </c>
      <c r="G15" s="37">
        <v>10</v>
      </c>
      <c r="H15" s="37">
        <v>10</v>
      </c>
      <c r="I15" s="37">
        <v>10</v>
      </c>
      <c r="J15" s="37">
        <v>10</v>
      </c>
      <c r="K15" s="37">
        <v>10</v>
      </c>
      <c r="L15" s="37">
        <v>12.5</v>
      </c>
      <c r="M15" s="37">
        <v>10</v>
      </c>
      <c r="N15" s="37">
        <v>11</v>
      </c>
      <c r="O15" s="37">
        <v>10.5</v>
      </c>
      <c r="P15" s="75">
        <f>SUM(D15:O15)</f>
        <v>124</v>
      </c>
      <c r="Q15" s="8">
        <f>SUM(P15/12)</f>
        <v>10.333333333333334</v>
      </c>
      <c r="R15" s="252">
        <f>SUM(P15/365)</f>
        <v>0.33972602739726027</v>
      </c>
    </row>
    <row r="16" spans="1:19" x14ac:dyDescent="0.25">
      <c r="A16" s="4" t="s">
        <v>54</v>
      </c>
      <c r="B16" s="3" t="s">
        <v>91</v>
      </c>
      <c r="C16" s="3" t="s">
        <v>277</v>
      </c>
      <c r="D16" s="37">
        <v>16</v>
      </c>
      <c r="E16" s="37">
        <v>16</v>
      </c>
      <c r="F16" s="37">
        <v>20</v>
      </c>
      <c r="G16" s="37">
        <v>16</v>
      </c>
      <c r="H16" s="37">
        <v>16</v>
      </c>
      <c r="I16" s="37">
        <v>20</v>
      </c>
      <c r="J16" s="37">
        <v>16</v>
      </c>
      <c r="K16" s="37">
        <v>20</v>
      </c>
      <c r="L16" s="37">
        <v>16</v>
      </c>
      <c r="M16" s="37">
        <v>0</v>
      </c>
      <c r="N16" s="37">
        <v>0</v>
      </c>
      <c r="O16" s="37">
        <v>8</v>
      </c>
      <c r="P16" s="75">
        <f>SUM(D16:O16)</f>
        <v>164</v>
      </c>
      <c r="Q16" s="8">
        <f>SUM(P16/12)</f>
        <v>13.666666666666666</v>
      </c>
      <c r="R16" s="252">
        <f t="shared" ref="R16:R18" si="3">SUM(P16/365)</f>
        <v>0.44931506849315067</v>
      </c>
    </row>
    <row r="17" spans="1:18" x14ac:dyDescent="0.25">
      <c r="A17" s="5" t="s">
        <v>54</v>
      </c>
      <c r="B17" s="3"/>
      <c r="C17" s="3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75">
        <f>SUM(D17:O17)</f>
        <v>0</v>
      </c>
      <c r="Q17" s="8">
        <f t="shared" ref="Q17:Q18" si="4">SUM(P17/12)</f>
        <v>0</v>
      </c>
      <c r="R17" s="252">
        <f t="shared" si="3"/>
        <v>0</v>
      </c>
    </row>
    <row r="18" spans="1:18" x14ac:dyDescent="0.25">
      <c r="A18" s="419" t="s">
        <v>61</v>
      </c>
      <c r="B18" s="420"/>
      <c r="C18" s="176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40">
        <f t="shared" ref="P18" si="5">SUM(P15:P17)</f>
        <v>288</v>
      </c>
      <c r="Q18" s="8">
        <f t="shared" si="4"/>
        <v>24</v>
      </c>
      <c r="R18" s="252">
        <f t="shared" si="3"/>
        <v>0.78904109589041094</v>
      </c>
    </row>
    <row r="20" spans="1:18" x14ac:dyDescent="0.25">
      <c r="N20" s="10" t="s">
        <v>311</v>
      </c>
      <c r="O20" s="10"/>
      <c r="P20" s="203">
        <f>SUM(P10+P18)</f>
        <v>718</v>
      </c>
      <c r="Q20" s="8">
        <f t="shared" ref="Q20" si="6">SUM(P20/12)</f>
        <v>59.833333333333336</v>
      </c>
      <c r="R20" s="249">
        <f t="shared" ref="R20" si="7">SUM(P20/365)</f>
        <v>1.9671232876712328</v>
      </c>
    </row>
  </sheetData>
  <mergeCells count="13">
    <mergeCell ref="A18:B18"/>
    <mergeCell ref="A10:B10"/>
    <mergeCell ref="B3:Q3"/>
    <mergeCell ref="A5:A6"/>
    <mergeCell ref="B5:B6"/>
    <mergeCell ref="D5:O5"/>
    <mergeCell ref="P5:P6"/>
    <mergeCell ref="A1:S1"/>
    <mergeCell ref="A2:S2"/>
    <mergeCell ref="A13:A14"/>
    <mergeCell ref="B13:B14"/>
    <mergeCell ref="D13:O13"/>
    <mergeCell ref="P13:P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B1" sqref="A1:XFD2"/>
    </sheetView>
  </sheetViews>
  <sheetFormatPr baseColWidth="10" defaultColWidth="11.42578125" defaultRowHeight="15" x14ac:dyDescent="0.25"/>
  <cols>
    <col min="1" max="1" width="15.7109375" style="72" customWidth="1"/>
    <col min="2" max="2" width="20.5703125" style="72" customWidth="1"/>
    <col min="3" max="3" width="13.140625" style="72" customWidth="1"/>
    <col min="4" max="16384" width="11.42578125" style="72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B3" s="425" t="s">
        <v>334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1:19" x14ac:dyDescent="0.25">
      <c r="B4" s="168"/>
      <c r="C4" s="168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9" ht="15" customHeight="1" x14ac:dyDescent="0.25">
      <c r="A5" s="382" t="s">
        <v>1</v>
      </c>
      <c r="B5" s="382" t="s">
        <v>2</v>
      </c>
      <c r="C5" s="165"/>
      <c r="D5" s="427" t="s">
        <v>320</v>
      </c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9"/>
      <c r="P5" s="421" t="s">
        <v>3</v>
      </c>
      <c r="Q5" s="423" t="s">
        <v>66</v>
      </c>
      <c r="R5" s="421" t="s">
        <v>324</v>
      </c>
    </row>
    <row r="6" spans="1:19" ht="17.25" customHeight="1" x14ac:dyDescent="0.25">
      <c r="A6" s="426"/>
      <c r="B6" s="426"/>
      <c r="C6" s="166"/>
      <c r="D6" s="175" t="s">
        <v>4</v>
      </c>
      <c r="E6" s="175" t="s">
        <v>5</v>
      </c>
      <c r="F6" s="175" t="s">
        <v>6</v>
      </c>
      <c r="G6" s="175" t="s">
        <v>7</v>
      </c>
      <c r="H6" s="175" t="s">
        <v>8</v>
      </c>
      <c r="I6" s="175" t="s">
        <v>9</v>
      </c>
      <c r="J6" s="175" t="s">
        <v>10</v>
      </c>
      <c r="K6" s="175" t="s">
        <v>11</v>
      </c>
      <c r="L6" s="175" t="s">
        <v>12</v>
      </c>
      <c r="M6" s="175" t="s">
        <v>13</v>
      </c>
      <c r="N6" s="175" t="s">
        <v>14</v>
      </c>
      <c r="O6" s="175" t="s">
        <v>15</v>
      </c>
      <c r="P6" s="422"/>
      <c r="Q6" s="424"/>
      <c r="R6" s="422" t="s">
        <v>95</v>
      </c>
    </row>
    <row r="7" spans="1:19" ht="15.75" x14ac:dyDescent="0.25">
      <c r="A7" s="71" t="s">
        <v>43</v>
      </c>
      <c r="B7" s="18" t="s">
        <v>45</v>
      </c>
      <c r="C7" s="18" t="s">
        <v>278</v>
      </c>
      <c r="D7" s="147">
        <v>199.42</v>
      </c>
      <c r="E7" s="147">
        <v>171.92</v>
      </c>
      <c r="F7" s="147">
        <v>174.28</v>
      </c>
      <c r="G7" s="147">
        <v>154.05000000000001</v>
      </c>
      <c r="H7" s="147">
        <v>168.79</v>
      </c>
      <c r="I7" s="147">
        <v>187.98</v>
      </c>
      <c r="J7" s="147">
        <v>215.38</v>
      </c>
      <c r="K7" s="147">
        <v>216.31</v>
      </c>
      <c r="L7" s="147">
        <v>225.05</v>
      </c>
      <c r="M7" s="147">
        <v>220.29</v>
      </c>
      <c r="N7" s="147">
        <v>210.75</v>
      </c>
      <c r="O7" s="147">
        <v>211.2</v>
      </c>
      <c r="P7" s="55">
        <f t="shared" ref="P7:P15" si="0">SUM(D7:O7)</f>
        <v>2355.42</v>
      </c>
      <c r="Q7" s="8">
        <f>SUM(P7/12)</f>
        <v>196.285</v>
      </c>
      <c r="R7" s="37">
        <f>SUM(P7/365)</f>
        <v>6.4532054794520546</v>
      </c>
    </row>
    <row r="8" spans="1:19" ht="15.75" x14ac:dyDescent="0.25">
      <c r="A8" s="71" t="s">
        <v>43</v>
      </c>
      <c r="B8" s="7" t="s">
        <v>134</v>
      </c>
      <c r="C8" s="18" t="s">
        <v>278</v>
      </c>
      <c r="D8" s="147">
        <v>104.12</v>
      </c>
      <c r="E8" s="147">
        <v>87.65</v>
      </c>
      <c r="F8" s="147">
        <v>93.26</v>
      </c>
      <c r="G8" s="147">
        <v>87.69</v>
      </c>
      <c r="H8" s="147">
        <v>90.54</v>
      </c>
      <c r="I8" s="147">
        <v>95.54</v>
      </c>
      <c r="J8" s="147">
        <v>105.71</v>
      </c>
      <c r="K8" s="147">
        <v>106.75</v>
      </c>
      <c r="L8" s="147">
        <v>103.21</v>
      </c>
      <c r="M8" s="147">
        <v>106.73</v>
      </c>
      <c r="N8" s="147">
        <v>105.22</v>
      </c>
      <c r="O8" s="147">
        <v>99.94</v>
      </c>
      <c r="P8" s="55">
        <f t="shared" si="0"/>
        <v>1186.3600000000001</v>
      </c>
      <c r="Q8" s="8">
        <f t="shared" ref="Q8:Q15" si="1">SUM(P8/12)</f>
        <v>98.863333333333344</v>
      </c>
      <c r="R8" s="37">
        <f t="shared" ref="R8:R15" si="2">SUM(P8/365)</f>
        <v>3.2503013698630139</v>
      </c>
    </row>
    <row r="9" spans="1:19" ht="15.75" x14ac:dyDescent="0.25">
      <c r="A9" s="71" t="s">
        <v>43</v>
      </c>
      <c r="B9" s="7" t="s">
        <v>46</v>
      </c>
      <c r="C9" s="18" t="s">
        <v>278</v>
      </c>
      <c r="D9" s="147">
        <v>67.069999999999993</v>
      </c>
      <c r="E9" s="147">
        <v>70.39</v>
      </c>
      <c r="F9" s="147">
        <v>75.349999999999994</v>
      </c>
      <c r="G9" s="147">
        <v>67.25</v>
      </c>
      <c r="H9" s="147">
        <v>59.3</v>
      </c>
      <c r="I9" s="147">
        <v>72.040000000000006</v>
      </c>
      <c r="J9" s="147">
        <v>73.319999999999993</v>
      </c>
      <c r="K9" s="147">
        <v>77.31</v>
      </c>
      <c r="L9" s="147">
        <v>71.53</v>
      </c>
      <c r="M9" s="148">
        <v>85.06</v>
      </c>
      <c r="N9" s="148">
        <v>68.39</v>
      </c>
      <c r="O9" s="148">
        <v>69.599999999999994</v>
      </c>
      <c r="P9" s="55">
        <f t="shared" si="0"/>
        <v>856.6099999999999</v>
      </c>
      <c r="Q9" s="8">
        <f t="shared" si="1"/>
        <v>71.384166666666658</v>
      </c>
      <c r="R9" s="37">
        <f t="shared" si="2"/>
        <v>2.346876712328767</v>
      </c>
    </row>
    <row r="10" spans="1:19" ht="15.75" x14ac:dyDescent="0.25">
      <c r="A10" s="71" t="s">
        <v>43</v>
      </c>
      <c r="B10" s="7" t="s">
        <v>47</v>
      </c>
      <c r="C10" s="18" t="s">
        <v>278</v>
      </c>
      <c r="D10" s="147">
        <v>87.23</v>
      </c>
      <c r="E10" s="147">
        <v>76.239999999999995</v>
      </c>
      <c r="F10" s="147">
        <v>82.62</v>
      </c>
      <c r="G10" s="147">
        <v>76.44</v>
      </c>
      <c r="H10" s="147">
        <v>77.25</v>
      </c>
      <c r="I10" s="147">
        <v>86.51</v>
      </c>
      <c r="J10" s="147">
        <v>90.36</v>
      </c>
      <c r="K10" s="147">
        <v>89.92</v>
      </c>
      <c r="L10" s="147">
        <v>89.01</v>
      </c>
      <c r="M10" s="147">
        <v>103.11</v>
      </c>
      <c r="N10" s="147">
        <v>89.64</v>
      </c>
      <c r="O10" s="147">
        <v>94.04</v>
      </c>
      <c r="P10" s="55">
        <f t="shared" si="0"/>
        <v>1042.3699999999999</v>
      </c>
      <c r="Q10" s="8">
        <f t="shared" si="1"/>
        <v>86.864166666666662</v>
      </c>
      <c r="R10" s="37">
        <f t="shared" si="2"/>
        <v>2.855808219178082</v>
      </c>
    </row>
    <row r="11" spans="1:19" ht="15.75" x14ac:dyDescent="0.25">
      <c r="A11" s="71" t="s">
        <v>43</v>
      </c>
      <c r="B11" s="7" t="s">
        <v>49</v>
      </c>
      <c r="C11" s="18" t="s">
        <v>278</v>
      </c>
      <c r="D11" s="149">
        <v>25.39</v>
      </c>
      <c r="E11" s="149">
        <v>17.66</v>
      </c>
      <c r="F11" s="149">
        <v>14.06</v>
      </c>
      <c r="G11" s="149">
        <v>18.45</v>
      </c>
      <c r="H11" s="149">
        <v>16.489999999999998</v>
      </c>
      <c r="I11" s="149">
        <v>17.5</v>
      </c>
      <c r="J11" s="149">
        <v>19.23</v>
      </c>
      <c r="K11" s="149">
        <v>20.91</v>
      </c>
      <c r="L11" s="149">
        <v>19.579999999999998</v>
      </c>
      <c r="M11" s="149">
        <v>24.08</v>
      </c>
      <c r="N11" s="149">
        <v>17.14</v>
      </c>
      <c r="O11" s="149">
        <v>16.47</v>
      </c>
      <c r="P11" s="55">
        <f t="shared" si="0"/>
        <v>226.95999999999995</v>
      </c>
      <c r="Q11" s="8">
        <f t="shared" si="1"/>
        <v>18.91333333333333</v>
      </c>
      <c r="R11" s="37">
        <f t="shared" si="2"/>
        <v>0.62180821917808204</v>
      </c>
    </row>
    <row r="12" spans="1:19" ht="15.75" x14ac:dyDescent="0.25">
      <c r="A12" s="71" t="s">
        <v>43</v>
      </c>
      <c r="B12" s="73" t="s">
        <v>44</v>
      </c>
      <c r="C12" s="18" t="s">
        <v>278</v>
      </c>
      <c r="D12" s="149">
        <v>308.81</v>
      </c>
      <c r="E12" s="149">
        <v>302.81</v>
      </c>
      <c r="F12" s="149">
        <v>270.35000000000002</v>
      </c>
      <c r="G12" s="149">
        <v>260.38</v>
      </c>
      <c r="H12" s="149">
        <v>278.58999999999997</v>
      </c>
      <c r="I12" s="149">
        <v>311.48</v>
      </c>
      <c r="J12" s="149">
        <v>323.2</v>
      </c>
      <c r="K12" s="149">
        <v>337.16</v>
      </c>
      <c r="L12" s="149">
        <v>336.19</v>
      </c>
      <c r="M12" s="149">
        <v>361.71</v>
      </c>
      <c r="N12" s="149">
        <v>327.32</v>
      </c>
      <c r="O12" s="149">
        <v>344.3</v>
      </c>
      <c r="P12" s="55">
        <f t="shared" si="0"/>
        <v>3762.3</v>
      </c>
      <c r="Q12" s="8">
        <f t="shared" si="1"/>
        <v>313.52500000000003</v>
      </c>
      <c r="R12" s="37">
        <f t="shared" si="2"/>
        <v>10.307671232876713</v>
      </c>
    </row>
    <row r="13" spans="1:19" ht="15.75" x14ac:dyDescent="0.25">
      <c r="A13" s="71" t="s">
        <v>43</v>
      </c>
      <c r="B13" s="73" t="s">
        <v>323</v>
      </c>
      <c r="C13" s="18" t="s">
        <v>278</v>
      </c>
      <c r="D13" s="149">
        <v>0</v>
      </c>
      <c r="E13" s="149">
        <v>35.35</v>
      </c>
      <c r="F13" s="149">
        <v>34.520000000000003</v>
      </c>
      <c r="G13" s="149">
        <v>32.299999999999997</v>
      </c>
      <c r="H13" s="149">
        <v>32.04</v>
      </c>
      <c r="I13" s="149">
        <v>42.33</v>
      </c>
      <c r="J13" s="149">
        <v>33.130000000000003</v>
      </c>
      <c r="K13" s="149">
        <v>43.24</v>
      </c>
      <c r="L13" s="149">
        <v>35.880000000000003</v>
      </c>
      <c r="M13" s="149">
        <v>43.56</v>
      </c>
      <c r="N13" s="149">
        <v>42.49</v>
      </c>
      <c r="O13" s="149">
        <v>35.17</v>
      </c>
      <c r="P13" s="55">
        <f t="shared" si="0"/>
        <v>410.01000000000005</v>
      </c>
      <c r="Q13" s="8">
        <f t="shared" si="1"/>
        <v>34.167500000000004</v>
      </c>
      <c r="R13" s="37">
        <f t="shared" si="2"/>
        <v>1.1233150684931508</v>
      </c>
    </row>
    <row r="14" spans="1:19" ht="15.75" x14ac:dyDescent="0.25">
      <c r="A14" s="71" t="s">
        <v>43</v>
      </c>
      <c r="B14" s="73" t="s">
        <v>42</v>
      </c>
      <c r="C14" s="18" t="s">
        <v>278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219.18</v>
      </c>
      <c r="J14" s="149">
        <v>440.51</v>
      </c>
      <c r="K14" s="149">
        <v>477.22</v>
      </c>
      <c r="L14" s="149">
        <v>476.05</v>
      </c>
      <c r="M14" s="149">
        <v>504.91</v>
      </c>
      <c r="N14" s="149">
        <v>456.87</v>
      </c>
      <c r="O14" s="149">
        <v>489.33</v>
      </c>
      <c r="P14" s="55">
        <f t="shared" si="0"/>
        <v>3064.0699999999997</v>
      </c>
      <c r="Q14" s="8">
        <f t="shared" si="1"/>
        <v>255.33916666666664</v>
      </c>
      <c r="R14" s="37">
        <f t="shared" si="2"/>
        <v>8.3947123287671221</v>
      </c>
    </row>
    <row r="15" spans="1:19" x14ac:dyDescent="0.25">
      <c r="D15" s="191">
        <f t="shared" ref="D15:O15" si="3">SUM(D7:D14)</f>
        <v>792.04</v>
      </c>
      <c r="E15" s="191">
        <f t="shared" si="3"/>
        <v>762.0200000000001</v>
      </c>
      <c r="F15" s="191">
        <f t="shared" si="3"/>
        <v>744.44</v>
      </c>
      <c r="G15" s="191">
        <f t="shared" si="3"/>
        <v>696.56</v>
      </c>
      <c r="H15" s="191">
        <f t="shared" si="3"/>
        <v>723</v>
      </c>
      <c r="I15" s="191">
        <f t="shared" si="3"/>
        <v>1032.56</v>
      </c>
      <c r="J15" s="191">
        <f t="shared" si="3"/>
        <v>1300.8400000000001</v>
      </c>
      <c r="K15" s="191">
        <f t="shared" si="3"/>
        <v>1368.8200000000002</v>
      </c>
      <c r="L15" s="191">
        <f t="shared" si="3"/>
        <v>1356.5</v>
      </c>
      <c r="M15" s="191">
        <f t="shared" si="3"/>
        <v>1449.45</v>
      </c>
      <c r="N15" s="191">
        <f t="shared" si="3"/>
        <v>1317.8200000000002</v>
      </c>
      <c r="O15" s="191">
        <f t="shared" si="3"/>
        <v>1360.05</v>
      </c>
      <c r="P15" s="12">
        <f t="shared" si="0"/>
        <v>12904.1</v>
      </c>
      <c r="Q15" s="8">
        <f t="shared" si="1"/>
        <v>1075.3416666666667</v>
      </c>
      <c r="R15" s="37">
        <f t="shared" si="2"/>
        <v>35.353698630136989</v>
      </c>
    </row>
    <row r="16" spans="1:19" x14ac:dyDescent="0.25">
      <c r="M16" s="43"/>
    </row>
  </sheetData>
  <mergeCells count="9">
    <mergeCell ref="A1:S1"/>
    <mergeCell ref="A2:S2"/>
    <mergeCell ref="R5:R6"/>
    <mergeCell ref="Q5:Q6"/>
    <mergeCell ref="P5:P6"/>
    <mergeCell ref="B3:M3"/>
    <mergeCell ref="A5:A6"/>
    <mergeCell ref="B5:B6"/>
    <mergeCell ref="D5:O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G6" sqref="G6"/>
    </sheetView>
  </sheetViews>
  <sheetFormatPr baseColWidth="10" defaultColWidth="11.42578125" defaultRowHeight="15" x14ac:dyDescent="0.25"/>
  <cols>
    <col min="1" max="1" width="15" style="72" customWidth="1"/>
    <col min="2" max="2" width="29.5703125" style="72" customWidth="1"/>
    <col min="3" max="3" width="15.28515625" style="72" customWidth="1"/>
    <col min="4" max="15" width="11.42578125" style="72" customWidth="1"/>
    <col min="16" max="16" width="16" style="72" customWidth="1"/>
    <col min="17" max="17" width="14.85546875" style="72" customWidth="1"/>
    <col min="18" max="18" width="15" style="72" customWidth="1"/>
    <col min="19" max="16384" width="11.42578125" style="72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C3" s="431" t="s">
        <v>147</v>
      </c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5" spans="1:19" x14ac:dyDescent="0.25">
      <c r="A5" s="360" t="s">
        <v>1</v>
      </c>
      <c r="B5" s="375" t="s">
        <v>2</v>
      </c>
      <c r="C5" s="128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430" t="s">
        <v>140</v>
      </c>
    </row>
    <row r="6" spans="1:19" ht="18.75" customHeight="1" thickBot="1" x14ac:dyDescent="0.3">
      <c r="A6" s="360"/>
      <c r="B6" s="360"/>
      <c r="C6" s="127"/>
      <c r="D6" s="127" t="s">
        <v>4</v>
      </c>
      <c r="E6" s="127" t="s">
        <v>5</v>
      </c>
      <c r="F6" s="127" t="s">
        <v>6</v>
      </c>
      <c r="G6" s="127" t="s">
        <v>7</v>
      </c>
      <c r="H6" s="127" t="s">
        <v>8</v>
      </c>
      <c r="I6" s="127" t="s">
        <v>9</v>
      </c>
      <c r="J6" s="127" t="s">
        <v>10</v>
      </c>
      <c r="K6" s="127" t="s">
        <v>11</v>
      </c>
      <c r="L6" s="127" t="s">
        <v>12</v>
      </c>
      <c r="M6" s="127" t="s">
        <v>13</v>
      </c>
      <c r="N6" s="127" t="s">
        <v>14</v>
      </c>
      <c r="O6" s="127" t="s">
        <v>15</v>
      </c>
      <c r="P6" s="430"/>
      <c r="Q6" s="26" t="s">
        <v>66</v>
      </c>
      <c r="R6" s="64" t="s">
        <v>95</v>
      </c>
    </row>
    <row r="7" spans="1:19" x14ac:dyDescent="0.25">
      <c r="A7" s="71" t="s">
        <v>43</v>
      </c>
      <c r="B7" s="204" t="s">
        <v>53</v>
      </c>
      <c r="C7" s="205" t="s">
        <v>139</v>
      </c>
      <c r="D7" s="235">
        <v>6.14</v>
      </c>
      <c r="E7" s="235">
        <v>6.87</v>
      </c>
      <c r="F7" s="235">
        <v>5.51</v>
      </c>
      <c r="G7" s="235">
        <v>5.26</v>
      </c>
      <c r="H7" s="235">
        <v>6.74</v>
      </c>
      <c r="I7" s="235">
        <v>6.56</v>
      </c>
      <c r="J7" s="235">
        <v>6.79</v>
      </c>
      <c r="K7" s="235">
        <v>5.56</v>
      </c>
      <c r="L7" s="236">
        <v>6.95</v>
      </c>
      <c r="M7" s="236">
        <v>9.0500000000000007</v>
      </c>
      <c r="N7" s="237">
        <v>11.15</v>
      </c>
      <c r="O7" s="238">
        <v>7</v>
      </c>
      <c r="P7" s="55">
        <f t="shared" ref="P7:P20" si="0">SUM(D7:O7)</f>
        <v>83.580000000000013</v>
      </c>
      <c r="Q7" s="8">
        <f>SUM(P7/12)</f>
        <v>6.9650000000000007</v>
      </c>
      <c r="R7" s="28">
        <f>SUM(P7/365)</f>
        <v>0.22898630136986306</v>
      </c>
    </row>
    <row r="8" spans="1:19" x14ac:dyDescent="0.25">
      <c r="A8" s="71" t="s">
        <v>43</v>
      </c>
      <c r="B8" s="47" t="s">
        <v>138</v>
      </c>
      <c r="C8" s="206" t="s">
        <v>139</v>
      </c>
      <c r="D8" s="239">
        <v>5.73</v>
      </c>
      <c r="E8" s="239">
        <v>6.05</v>
      </c>
      <c r="F8" s="239">
        <v>4.13</v>
      </c>
      <c r="G8" s="239">
        <v>4.17</v>
      </c>
      <c r="H8" s="239">
        <v>3.74</v>
      </c>
      <c r="I8" s="239">
        <v>4.7300000000000004</v>
      </c>
      <c r="J8" s="239">
        <v>3.71</v>
      </c>
      <c r="K8" s="239">
        <v>4.38</v>
      </c>
      <c r="L8" s="239">
        <v>4.72</v>
      </c>
      <c r="M8" s="239">
        <v>7.33</v>
      </c>
      <c r="N8" s="239">
        <v>7.35</v>
      </c>
      <c r="O8" s="240">
        <v>4</v>
      </c>
      <c r="P8" s="55">
        <f t="shared" si="0"/>
        <v>60.04</v>
      </c>
      <c r="Q8" s="8">
        <f t="shared" ref="Q8:Q20" si="1">SUM(P8/12)</f>
        <v>5.003333333333333</v>
      </c>
      <c r="R8" s="28">
        <f t="shared" ref="R8:R21" si="2">SUM(P8/365)</f>
        <v>0.16449315068493151</v>
      </c>
    </row>
    <row r="9" spans="1:19" x14ac:dyDescent="0.25">
      <c r="A9" s="71" t="s">
        <v>43</v>
      </c>
      <c r="B9" s="3" t="s">
        <v>50</v>
      </c>
      <c r="C9" s="47" t="s">
        <v>139</v>
      </c>
      <c r="D9" s="239">
        <v>7.07</v>
      </c>
      <c r="E9" s="239">
        <v>4.53</v>
      </c>
      <c r="F9" s="239">
        <v>7.09</v>
      </c>
      <c r="G9" s="239">
        <v>4.53</v>
      </c>
      <c r="H9" s="239">
        <v>7.72</v>
      </c>
      <c r="I9" s="239">
        <v>6.48</v>
      </c>
      <c r="J9" s="239">
        <v>6.67</v>
      </c>
      <c r="K9" s="239">
        <v>5.16</v>
      </c>
      <c r="L9" s="239">
        <v>6.01</v>
      </c>
      <c r="M9" s="239">
        <v>6.52</v>
      </c>
      <c r="N9" s="239">
        <v>8.18</v>
      </c>
      <c r="O9" s="240">
        <v>8</v>
      </c>
      <c r="P9" s="55">
        <f>SUM(D9:O9)</f>
        <v>77.960000000000008</v>
      </c>
      <c r="Q9" s="8">
        <f t="shared" si="1"/>
        <v>6.496666666666667</v>
      </c>
      <c r="R9" s="28">
        <f t="shared" si="2"/>
        <v>0.21358904109589044</v>
      </c>
    </row>
    <row r="10" spans="1:19" x14ac:dyDescent="0.25">
      <c r="A10" s="71" t="s">
        <v>43</v>
      </c>
      <c r="B10" s="61" t="s">
        <v>80</v>
      </c>
      <c r="C10" s="47" t="s">
        <v>139</v>
      </c>
      <c r="D10" s="241">
        <v>8.48</v>
      </c>
      <c r="E10" s="241">
        <v>7.72</v>
      </c>
      <c r="F10" s="241">
        <v>8.6</v>
      </c>
      <c r="G10" s="241">
        <v>10.45</v>
      </c>
      <c r="H10" s="241">
        <v>9.59</v>
      </c>
      <c r="I10" s="241">
        <v>9.17</v>
      </c>
      <c r="J10" s="241">
        <v>8.69</v>
      </c>
      <c r="K10" s="241">
        <v>11.41</v>
      </c>
      <c r="L10" s="241">
        <v>10.4</v>
      </c>
      <c r="M10" s="241">
        <v>15.96</v>
      </c>
      <c r="N10" s="241">
        <v>12.17</v>
      </c>
      <c r="O10" s="242">
        <v>8</v>
      </c>
      <c r="P10" s="55">
        <f t="shared" ref="P10:P18" si="3">SUM(D10:O10)</f>
        <v>120.64</v>
      </c>
      <c r="Q10" s="8">
        <f t="shared" ref="Q10:Q18" si="4">SUM(P10/12)</f>
        <v>10.053333333333333</v>
      </c>
      <c r="R10" s="28">
        <f t="shared" si="2"/>
        <v>0.33052054794520547</v>
      </c>
    </row>
    <row r="11" spans="1:19" x14ac:dyDescent="0.25">
      <c r="A11" s="71" t="s">
        <v>43</v>
      </c>
      <c r="B11" s="61" t="s">
        <v>51</v>
      </c>
      <c r="C11" s="47" t="s">
        <v>139</v>
      </c>
      <c r="D11" s="241">
        <v>3.65</v>
      </c>
      <c r="E11" s="241">
        <v>3.48</v>
      </c>
      <c r="F11" s="241">
        <v>3.12</v>
      </c>
      <c r="G11" s="241">
        <v>3.63</v>
      </c>
      <c r="H11" s="241">
        <v>3.97</v>
      </c>
      <c r="I11" s="241">
        <v>3.57</v>
      </c>
      <c r="J11" s="241">
        <v>3.24</v>
      </c>
      <c r="K11" s="241">
        <v>4.7699999999999996</v>
      </c>
      <c r="L11" s="241">
        <v>5.7</v>
      </c>
      <c r="M11" s="241">
        <v>5.68</v>
      </c>
      <c r="N11" s="241">
        <v>3.26</v>
      </c>
      <c r="O11" s="242">
        <v>9</v>
      </c>
      <c r="P11" s="55">
        <f t="shared" si="3"/>
        <v>53.069999999999993</v>
      </c>
      <c r="Q11" s="8">
        <f t="shared" si="4"/>
        <v>4.4224999999999994</v>
      </c>
      <c r="R11" s="28">
        <f t="shared" si="2"/>
        <v>0.1453972602739726</v>
      </c>
    </row>
    <row r="12" spans="1:19" x14ac:dyDescent="0.25">
      <c r="A12" s="71" t="s">
        <v>43</v>
      </c>
      <c r="B12" s="207" t="s">
        <v>252</v>
      </c>
      <c r="C12" s="47" t="s">
        <v>139</v>
      </c>
      <c r="D12" s="241">
        <v>5.44</v>
      </c>
      <c r="E12" s="241">
        <v>6.45</v>
      </c>
      <c r="F12" s="241">
        <v>4.21</v>
      </c>
      <c r="G12" s="241">
        <v>2.0499999999999998</v>
      </c>
      <c r="H12" s="241">
        <v>4.46</v>
      </c>
      <c r="I12" s="241">
        <v>4.97</v>
      </c>
      <c r="J12" s="241">
        <v>4.8499999999999996</v>
      </c>
      <c r="K12" s="241">
        <v>5.04</v>
      </c>
      <c r="L12" s="241">
        <v>6.49</v>
      </c>
      <c r="M12" s="241">
        <v>7.44</v>
      </c>
      <c r="N12" s="241">
        <v>6.48</v>
      </c>
      <c r="O12" s="242">
        <v>9</v>
      </c>
      <c r="P12" s="55">
        <f t="shared" ref="P12:P15" si="5">SUM(D12:O12)</f>
        <v>66.88</v>
      </c>
      <c r="Q12" s="8">
        <f t="shared" ref="Q12:Q15" si="6">SUM(P12/12)</f>
        <v>5.5733333333333333</v>
      </c>
      <c r="R12" s="28">
        <f t="shared" si="2"/>
        <v>0.18323287671232877</v>
      </c>
    </row>
    <row r="13" spans="1:19" x14ac:dyDescent="0.25">
      <c r="A13" s="71" t="s">
        <v>43</v>
      </c>
      <c r="B13" s="61" t="s">
        <v>83</v>
      </c>
      <c r="C13" s="47" t="s">
        <v>139</v>
      </c>
      <c r="D13" s="241">
        <v>5.05</v>
      </c>
      <c r="E13" s="241">
        <v>6.01</v>
      </c>
      <c r="F13" s="241">
        <v>4.13</v>
      </c>
      <c r="G13" s="241">
        <v>4.17</v>
      </c>
      <c r="H13" s="241">
        <v>3.74</v>
      </c>
      <c r="I13" s="241">
        <v>4.7300000000000004</v>
      </c>
      <c r="J13" s="241">
        <v>3.71</v>
      </c>
      <c r="K13" s="241">
        <v>4.38</v>
      </c>
      <c r="L13" s="241">
        <v>4.72</v>
      </c>
      <c r="M13" s="241">
        <v>7.33</v>
      </c>
      <c r="N13" s="241">
        <v>7.35</v>
      </c>
      <c r="O13" s="242">
        <v>4</v>
      </c>
      <c r="P13" s="55">
        <f t="shared" si="5"/>
        <v>59.32</v>
      </c>
      <c r="Q13" s="8">
        <f t="shared" si="6"/>
        <v>4.9433333333333334</v>
      </c>
      <c r="R13" s="28">
        <f t="shared" si="2"/>
        <v>0.16252054794520548</v>
      </c>
    </row>
    <row r="14" spans="1:19" x14ac:dyDescent="0.25">
      <c r="A14" s="71" t="s">
        <v>43</v>
      </c>
      <c r="B14" s="207" t="s">
        <v>82</v>
      </c>
      <c r="C14" s="47" t="s">
        <v>139</v>
      </c>
      <c r="D14" s="241">
        <v>4.62</v>
      </c>
      <c r="E14" s="241">
        <v>2.31</v>
      </c>
      <c r="F14" s="241">
        <v>4.16</v>
      </c>
      <c r="G14" s="241">
        <v>4.66</v>
      </c>
      <c r="H14" s="241">
        <v>4.3</v>
      </c>
      <c r="I14" s="241">
        <v>4.67</v>
      </c>
      <c r="J14" s="241">
        <v>3.8</v>
      </c>
      <c r="K14" s="241">
        <v>2.75</v>
      </c>
      <c r="L14" s="241">
        <v>2.97</v>
      </c>
      <c r="M14" s="241">
        <v>3.22</v>
      </c>
      <c r="N14" s="241">
        <v>3.06</v>
      </c>
      <c r="O14" s="242">
        <v>3</v>
      </c>
      <c r="P14" s="55">
        <f t="shared" si="5"/>
        <v>43.52</v>
      </c>
      <c r="Q14" s="8">
        <f t="shared" si="6"/>
        <v>3.6266666666666669</v>
      </c>
      <c r="R14" s="28">
        <f t="shared" si="2"/>
        <v>0.11923287671232878</v>
      </c>
    </row>
    <row r="15" spans="1:19" x14ac:dyDescent="0.25">
      <c r="A15" s="71" t="s">
        <v>43</v>
      </c>
      <c r="B15" s="61" t="s">
        <v>81</v>
      </c>
      <c r="C15" s="47" t="s">
        <v>139</v>
      </c>
      <c r="D15" s="241">
        <v>8.26</v>
      </c>
      <c r="E15" s="241">
        <v>9.08</v>
      </c>
      <c r="F15" s="241">
        <v>7.64</v>
      </c>
      <c r="G15" s="241">
        <v>9.5299999999999994</v>
      </c>
      <c r="H15" s="241">
        <v>8.32</v>
      </c>
      <c r="I15" s="241">
        <v>7.53</v>
      </c>
      <c r="J15" s="241">
        <v>7.06</v>
      </c>
      <c r="K15" s="241">
        <v>7.95</v>
      </c>
      <c r="L15" s="241">
        <v>8.14</v>
      </c>
      <c r="M15" s="241">
        <v>12.06</v>
      </c>
      <c r="N15" s="241">
        <v>12.19</v>
      </c>
      <c r="O15" s="242">
        <v>9</v>
      </c>
      <c r="P15" s="55">
        <f t="shared" si="5"/>
        <v>106.76</v>
      </c>
      <c r="Q15" s="8">
        <f t="shared" si="6"/>
        <v>8.8966666666666665</v>
      </c>
      <c r="R15" s="28">
        <f t="shared" si="2"/>
        <v>0.29249315068493154</v>
      </c>
    </row>
    <row r="16" spans="1:19" x14ac:dyDescent="0.25">
      <c r="A16" s="71" t="s">
        <v>43</v>
      </c>
      <c r="B16" s="61" t="s">
        <v>89</v>
      </c>
      <c r="C16" s="47" t="s">
        <v>139</v>
      </c>
      <c r="D16" s="241">
        <v>5.17</v>
      </c>
      <c r="E16" s="241">
        <v>3.21</v>
      </c>
      <c r="F16" s="241">
        <v>3.9</v>
      </c>
      <c r="G16" s="241">
        <v>4.12</v>
      </c>
      <c r="H16" s="241">
        <v>0</v>
      </c>
      <c r="I16" s="241">
        <v>3.61</v>
      </c>
      <c r="J16" s="241">
        <v>5.52</v>
      </c>
      <c r="K16" s="241">
        <v>0</v>
      </c>
      <c r="L16" s="241">
        <v>5.36</v>
      </c>
      <c r="M16" s="241">
        <v>0</v>
      </c>
      <c r="N16" s="241">
        <v>6.14</v>
      </c>
      <c r="O16" s="242">
        <v>5</v>
      </c>
      <c r="P16" s="55">
        <f t="shared" si="3"/>
        <v>42.029999999999994</v>
      </c>
      <c r="Q16" s="8">
        <f t="shared" si="4"/>
        <v>3.5024999999999995</v>
      </c>
      <c r="R16" s="28">
        <f t="shared" si="2"/>
        <v>0.11515068493150683</v>
      </c>
    </row>
    <row r="17" spans="1:18" x14ac:dyDescent="0.25">
      <c r="A17" s="71" t="s">
        <v>43</v>
      </c>
      <c r="B17" s="207" t="s">
        <v>253</v>
      </c>
      <c r="C17" s="47" t="s">
        <v>139</v>
      </c>
      <c r="D17" s="241">
        <v>10.5</v>
      </c>
      <c r="E17" s="241">
        <v>12.5</v>
      </c>
      <c r="F17" s="241">
        <v>13.07</v>
      </c>
      <c r="G17" s="241">
        <v>10.119999999999999</v>
      </c>
      <c r="H17" s="241">
        <v>11.14</v>
      </c>
      <c r="I17" s="241">
        <v>11.51</v>
      </c>
      <c r="J17" s="241">
        <v>11.51</v>
      </c>
      <c r="K17" s="241">
        <v>10.48</v>
      </c>
      <c r="L17" s="241">
        <v>12.7</v>
      </c>
      <c r="M17" s="241">
        <v>15.49</v>
      </c>
      <c r="N17" s="241">
        <v>16.059999999999999</v>
      </c>
      <c r="O17" s="242">
        <v>11</v>
      </c>
      <c r="P17" s="55">
        <f t="shared" si="3"/>
        <v>146.08000000000001</v>
      </c>
      <c r="Q17" s="8">
        <f t="shared" si="4"/>
        <v>12.173333333333334</v>
      </c>
      <c r="R17" s="28">
        <f t="shared" si="2"/>
        <v>0.40021917808219182</v>
      </c>
    </row>
    <row r="18" spans="1:18" x14ac:dyDescent="0.25">
      <c r="A18" s="71" t="s">
        <v>43</v>
      </c>
      <c r="B18" s="207" t="s">
        <v>90</v>
      </c>
      <c r="C18" s="47" t="s">
        <v>139</v>
      </c>
      <c r="D18" s="241">
        <v>2.77</v>
      </c>
      <c r="E18" s="241">
        <v>1.97</v>
      </c>
      <c r="F18" s="241">
        <v>3.01</v>
      </c>
      <c r="G18" s="241">
        <v>2.0499999999999998</v>
      </c>
      <c r="H18" s="241">
        <v>2.7</v>
      </c>
      <c r="I18" s="241">
        <v>2.66</v>
      </c>
      <c r="J18" s="241">
        <v>2.78</v>
      </c>
      <c r="K18" s="241">
        <v>2.65</v>
      </c>
      <c r="L18" s="241">
        <v>3.15</v>
      </c>
      <c r="M18" s="241">
        <v>5.78</v>
      </c>
      <c r="N18" s="241">
        <v>2.94</v>
      </c>
      <c r="O18" s="242">
        <v>4</v>
      </c>
      <c r="P18" s="55">
        <f t="shared" si="3"/>
        <v>36.46</v>
      </c>
      <c r="Q18" s="8">
        <f t="shared" si="4"/>
        <v>3.0383333333333336</v>
      </c>
      <c r="R18" s="28">
        <f t="shared" si="2"/>
        <v>9.9890410958904108E-2</v>
      </c>
    </row>
    <row r="19" spans="1:18" x14ac:dyDescent="0.25">
      <c r="A19" s="71" t="s">
        <v>43</v>
      </c>
      <c r="B19" s="61" t="s">
        <v>88</v>
      </c>
      <c r="C19" s="47" t="s">
        <v>139</v>
      </c>
      <c r="D19" s="243">
        <v>1.18</v>
      </c>
      <c r="E19" s="243">
        <v>1.21</v>
      </c>
      <c r="F19" s="243">
        <v>3.44</v>
      </c>
      <c r="G19" s="243">
        <v>0</v>
      </c>
      <c r="H19" s="243">
        <v>4.26</v>
      </c>
      <c r="I19" s="243">
        <v>1.54</v>
      </c>
      <c r="J19" s="243">
        <v>1.89</v>
      </c>
      <c r="K19" s="243">
        <v>3.31</v>
      </c>
      <c r="L19" s="241">
        <v>1.84</v>
      </c>
      <c r="M19" s="241">
        <v>1.37</v>
      </c>
      <c r="N19" s="241">
        <v>3.51</v>
      </c>
      <c r="O19" s="241">
        <v>3</v>
      </c>
      <c r="P19" s="55">
        <f t="shared" si="0"/>
        <v>26.549999999999997</v>
      </c>
      <c r="Q19" s="8">
        <f t="shared" si="1"/>
        <v>2.2124999999999999</v>
      </c>
      <c r="R19" s="28">
        <f t="shared" si="2"/>
        <v>7.2739726027397256E-2</v>
      </c>
    </row>
    <row r="20" spans="1:18" x14ac:dyDescent="0.25">
      <c r="A20" s="71" t="s">
        <v>43</v>
      </c>
      <c r="B20" s="207" t="s">
        <v>254</v>
      </c>
      <c r="C20" s="47" t="s">
        <v>139</v>
      </c>
      <c r="D20" s="241">
        <v>4.3499999999999996</v>
      </c>
      <c r="E20" s="241">
        <v>3.84</v>
      </c>
      <c r="F20" s="241">
        <v>3.4</v>
      </c>
      <c r="G20" s="241">
        <v>3.49</v>
      </c>
      <c r="H20" s="241">
        <v>3.72</v>
      </c>
      <c r="I20" s="241">
        <v>4.54</v>
      </c>
      <c r="J20" s="241">
        <v>4.62</v>
      </c>
      <c r="K20" s="241">
        <v>3.93</v>
      </c>
      <c r="L20" s="241">
        <v>3.42</v>
      </c>
      <c r="M20" s="241">
        <v>3.72</v>
      </c>
      <c r="N20" s="241">
        <v>7.14</v>
      </c>
      <c r="O20" s="241">
        <v>3</v>
      </c>
      <c r="P20" s="110">
        <f t="shared" si="0"/>
        <v>49.17</v>
      </c>
      <c r="Q20" s="8">
        <f t="shared" si="1"/>
        <v>4.0975000000000001</v>
      </c>
      <c r="R20" s="28">
        <f t="shared" si="2"/>
        <v>0.1347123287671233</v>
      </c>
    </row>
    <row r="21" spans="1:18" ht="15.75" thickBot="1" x14ac:dyDescent="0.3">
      <c r="A21" s="71" t="s">
        <v>43</v>
      </c>
      <c r="B21" s="209" t="s">
        <v>48</v>
      </c>
      <c r="C21" s="208" t="s">
        <v>139</v>
      </c>
      <c r="D21" s="241">
        <v>34.21</v>
      </c>
      <c r="E21" s="241">
        <v>35.159999999999997</v>
      </c>
      <c r="F21" s="241">
        <v>33.36</v>
      </c>
      <c r="G21" s="241">
        <v>32.04</v>
      </c>
      <c r="H21" s="241">
        <v>31.99</v>
      </c>
      <c r="I21" s="241">
        <v>32.42</v>
      </c>
      <c r="J21" s="241">
        <v>37.36</v>
      </c>
      <c r="K21" s="241">
        <v>33.36</v>
      </c>
      <c r="L21" s="241">
        <v>0</v>
      </c>
      <c r="M21" s="241">
        <v>0</v>
      </c>
      <c r="N21" s="241">
        <v>0</v>
      </c>
      <c r="O21" s="242">
        <v>22</v>
      </c>
      <c r="P21" s="11">
        <f>SUM(P7:P20)</f>
        <v>972.06</v>
      </c>
      <c r="Q21" s="11">
        <f>SUM(Q7:Q20)</f>
        <v>81.004999999999995</v>
      </c>
      <c r="R21" s="28">
        <f t="shared" si="2"/>
        <v>2.6631780821917808</v>
      </c>
    </row>
    <row r="22" spans="1:18" ht="15.75" thickBot="1" x14ac:dyDescent="0.3">
      <c r="B22" s="118" t="s">
        <v>24</v>
      </c>
      <c r="C22" s="118"/>
      <c r="D22" s="119">
        <f t="shared" ref="D22:R22" si="7">SUM(D7:D21)</f>
        <v>112.61999999999998</v>
      </c>
      <c r="E22" s="119">
        <f t="shared" si="7"/>
        <v>110.39</v>
      </c>
      <c r="F22" s="119">
        <f t="shared" si="7"/>
        <v>108.77000000000001</v>
      </c>
      <c r="G22" s="119">
        <f t="shared" si="7"/>
        <v>100.26999999999998</v>
      </c>
      <c r="H22" s="119">
        <f t="shared" si="7"/>
        <v>106.39</v>
      </c>
      <c r="I22" s="119">
        <f t="shared" si="7"/>
        <v>108.69000000000001</v>
      </c>
      <c r="J22" s="119">
        <f t="shared" si="7"/>
        <v>112.20000000000002</v>
      </c>
      <c r="K22" s="120">
        <f t="shared" si="7"/>
        <v>105.13000000000002</v>
      </c>
      <c r="L22" s="119">
        <f t="shared" si="7"/>
        <v>82.570000000000007</v>
      </c>
      <c r="M22" s="119">
        <f t="shared" si="7"/>
        <v>100.94999999999999</v>
      </c>
      <c r="N22" s="119">
        <f t="shared" si="7"/>
        <v>106.98000000000002</v>
      </c>
      <c r="O22" s="121">
        <f t="shared" si="7"/>
        <v>109</v>
      </c>
      <c r="P22" s="210">
        <f t="shared" si="7"/>
        <v>1944.12</v>
      </c>
      <c r="Q22" s="210">
        <f t="shared" si="7"/>
        <v>162.01</v>
      </c>
      <c r="R22" s="210">
        <f t="shared" si="7"/>
        <v>5.3263561643835615</v>
      </c>
    </row>
  </sheetData>
  <mergeCells count="7">
    <mergeCell ref="A1:S1"/>
    <mergeCell ref="A2:S2"/>
    <mergeCell ref="A5:A6"/>
    <mergeCell ref="B5:B6"/>
    <mergeCell ref="D5:O5"/>
    <mergeCell ref="P5:P6"/>
    <mergeCell ref="C3:P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selection activeCell="B1" sqref="A1:XFD2"/>
    </sheetView>
  </sheetViews>
  <sheetFormatPr baseColWidth="10" defaultRowHeight="15" x14ac:dyDescent="0.25"/>
  <cols>
    <col min="1" max="1" width="17.140625" customWidth="1"/>
    <col min="2" max="2" width="23" customWidth="1"/>
    <col min="3" max="3" width="19" style="94" customWidth="1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ht="18" x14ac:dyDescent="0.25">
      <c r="B3" s="354" t="s">
        <v>0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1:19" x14ac:dyDescent="0.25">
      <c r="C4" s="3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x14ac:dyDescent="0.25">
      <c r="A5" s="357" t="s">
        <v>1</v>
      </c>
      <c r="B5" s="359" t="s">
        <v>2</v>
      </c>
      <c r="C5" s="362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1" t="s">
        <v>3</v>
      </c>
      <c r="Q5" s="352" t="s">
        <v>66</v>
      </c>
      <c r="R5" s="352" t="s">
        <v>119</v>
      </c>
    </row>
    <row r="6" spans="1:19" x14ac:dyDescent="0.25">
      <c r="A6" s="358"/>
      <c r="B6" s="360"/>
      <c r="C6" s="360"/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0" t="s">
        <v>15</v>
      </c>
      <c r="P6" s="361"/>
      <c r="Q6" s="353"/>
      <c r="R6" s="353"/>
    </row>
    <row r="7" spans="1:19" x14ac:dyDescent="0.25">
      <c r="A7" s="3" t="s">
        <v>16</v>
      </c>
      <c r="B7" s="3" t="s">
        <v>17</v>
      </c>
      <c r="C7" s="51" t="s">
        <v>262</v>
      </c>
      <c r="D7" s="49">
        <v>307</v>
      </c>
      <c r="E7" s="49">
        <v>305</v>
      </c>
      <c r="F7" s="49">
        <v>302</v>
      </c>
      <c r="G7" s="49">
        <v>303</v>
      </c>
      <c r="H7" s="49">
        <v>300</v>
      </c>
      <c r="I7" s="49">
        <v>302</v>
      </c>
      <c r="J7" s="49">
        <v>229</v>
      </c>
      <c r="K7" s="49">
        <v>227</v>
      </c>
      <c r="L7" s="49">
        <v>300</v>
      </c>
      <c r="M7" s="49">
        <v>302</v>
      </c>
      <c r="N7" s="49">
        <v>227</v>
      </c>
      <c r="O7" s="49">
        <v>293</v>
      </c>
      <c r="P7" s="50">
        <f>SUM(D7:O7)</f>
        <v>3397</v>
      </c>
      <c r="Q7" s="59">
        <f>P7/12</f>
        <v>283.08333333333331</v>
      </c>
      <c r="R7" s="59">
        <f>P7/365</f>
        <v>9.3068493150684937</v>
      </c>
    </row>
  </sheetData>
  <mergeCells count="10">
    <mergeCell ref="A1:S1"/>
    <mergeCell ref="A2:S2"/>
    <mergeCell ref="R5:R6"/>
    <mergeCell ref="B3:Q3"/>
    <mergeCell ref="A5:A6"/>
    <mergeCell ref="B5:B6"/>
    <mergeCell ref="D5:O5"/>
    <mergeCell ref="P5:P6"/>
    <mergeCell ref="Q5:Q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B1" sqref="A1:XFD2"/>
    </sheetView>
  </sheetViews>
  <sheetFormatPr baseColWidth="10" defaultRowHeight="15" x14ac:dyDescent="0.25"/>
  <cols>
    <col min="1" max="1" width="16.5703125" customWidth="1"/>
    <col min="2" max="2" width="26.28515625" customWidth="1"/>
    <col min="3" max="3" width="14.7109375" style="94" customWidth="1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ht="18" x14ac:dyDescent="0.25">
      <c r="A3" s="16"/>
      <c r="B3" s="354" t="s">
        <v>18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1:19" x14ac:dyDescent="0.25">
      <c r="A4" s="1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x14ac:dyDescent="0.25">
      <c r="A5" s="360" t="s">
        <v>1</v>
      </c>
      <c r="B5" s="362" t="s">
        <v>2</v>
      </c>
      <c r="C5" s="362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5" t="s">
        <v>3</v>
      </c>
      <c r="Q5" s="352" t="s">
        <v>66</v>
      </c>
      <c r="R5" s="352" t="s">
        <v>119</v>
      </c>
    </row>
    <row r="6" spans="1:19" ht="15" customHeight="1" x14ac:dyDescent="0.25">
      <c r="A6" s="360"/>
      <c r="B6" s="360"/>
      <c r="C6" s="360"/>
      <c r="D6" s="273" t="s">
        <v>4</v>
      </c>
      <c r="E6" s="273" t="s">
        <v>5</v>
      </c>
      <c r="F6" s="273" t="s">
        <v>6</v>
      </c>
      <c r="G6" s="273" t="s">
        <v>7</v>
      </c>
      <c r="H6" s="273" t="s">
        <v>8</v>
      </c>
      <c r="I6" s="273" t="s">
        <v>9</v>
      </c>
      <c r="J6" s="273" t="s">
        <v>10</v>
      </c>
      <c r="K6" s="273" t="s">
        <v>11</v>
      </c>
      <c r="L6" s="273" t="s">
        <v>12</v>
      </c>
      <c r="M6" s="273" t="s">
        <v>13</v>
      </c>
      <c r="N6" s="273" t="s">
        <v>14</v>
      </c>
      <c r="O6" s="273" t="s">
        <v>15</v>
      </c>
      <c r="P6" s="366"/>
      <c r="Q6" s="353"/>
      <c r="R6" s="353"/>
    </row>
    <row r="7" spans="1:19" x14ac:dyDescent="0.25">
      <c r="A7" s="19" t="s">
        <v>21</v>
      </c>
      <c r="B7" s="51" t="s">
        <v>20</v>
      </c>
      <c r="C7" s="51" t="s">
        <v>261</v>
      </c>
      <c r="D7" s="276">
        <v>326.37</v>
      </c>
      <c r="E7" s="276">
        <v>309.8</v>
      </c>
      <c r="F7" s="276">
        <v>313.98</v>
      </c>
      <c r="G7" s="276">
        <v>311.7</v>
      </c>
      <c r="H7" s="276">
        <v>312.58</v>
      </c>
      <c r="I7" s="276">
        <v>323.70999999999998</v>
      </c>
      <c r="J7" s="276">
        <v>327.81</v>
      </c>
      <c r="K7" s="276">
        <v>327.19</v>
      </c>
      <c r="L7" s="276">
        <v>360.8</v>
      </c>
      <c r="M7" s="276">
        <v>299</v>
      </c>
      <c r="N7" s="276">
        <v>291</v>
      </c>
      <c r="O7" s="276">
        <v>280</v>
      </c>
      <c r="P7" s="275">
        <f t="shared" ref="P7:P9" si="0">SUM(D7:O7)</f>
        <v>3783.9400000000005</v>
      </c>
      <c r="Q7" s="276">
        <f>SUM(P7/12)</f>
        <v>315.32833333333338</v>
      </c>
      <c r="R7" s="276">
        <f>SUM(P7/365)</f>
        <v>10.366958904109591</v>
      </c>
    </row>
    <row r="8" spans="1:19" x14ac:dyDescent="0.25">
      <c r="A8" s="19" t="s">
        <v>21</v>
      </c>
      <c r="B8" s="52" t="s">
        <v>77</v>
      </c>
      <c r="C8" s="51" t="s">
        <v>261</v>
      </c>
      <c r="D8" s="276">
        <v>181.59</v>
      </c>
      <c r="E8" s="276">
        <v>168.11</v>
      </c>
      <c r="F8" s="276">
        <v>167.04</v>
      </c>
      <c r="G8" s="276">
        <v>146.72999999999999</v>
      </c>
      <c r="H8" s="276">
        <v>136.11000000000001</v>
      </c>
      <c r="I8" s="276">
        <v>145.13999999999999</v>
      </c>
      <c r="J8" s="276">
        <v>150.83000000000001</v>
      </c>
      <c r="K8" s="276">
        <v>157.76</v>
      </c>
      <c r="L8" s="276">
        <v>159.91999999999999</v>
      </c>
      <c r="M8" s="276">
        <v>162.88</v>
      </c>
      <c r="N8" s="276">
        <v>157.96</v>
      </c>
      <c r="O8" s="276">
        <v>201.14</v>
      </c>
      <c r="P8" s="275">
        <f t="shared" si="0"/>
        <v>1935.21</v>
      </c>
      <c r="Q8" s="276">
        <f t="shared" ref="Q8:Q12" si="1">SUM(P8/12)</f>
        <v>161.26750000000001</v>
      </c>
      <c r="R8" s="276">
        <f t="shared" ref="R8:R12" si="2">SUM(P8/365)</f>
        <v>5.301945205479452</v>
      </c>
    </row>
    <row r="9" spans="1:19" x14ac:dyDescent="0.25">
      <c r="A9" s="19" t="s">
        <v>21</v>
      </c>
      <c r="B9" s="52" t="s">
        <v>23</v>
      </c>
      <c r="C9" s="51" t="s">
        <v>261</v>
      </c>
      <c r="D9" s="276">
        <v>80.44</v>
      </c>
      <c r="E9" s="276">
        <v>66.86</v>
      </c>
      <c r="F9" s="276">
        <v>69.819999999999993</v>
      </c>
      <c r="G9" s="276">
        <v>66.38</v>
      </c>
      <c r="H9" s="276">
        <v>78.77</v>
      </c>
      <c r="I9" s="276">
        <v>70.41</v>
      </c>
      <c r="J9" s="276">
        <v>82.36</v>
      </c>
      <c r="K9" s="276">
        <v>69.45</v>
      </c>
      <c r="L9" s="276">
        <v>67.2</v>
      </c>
      <c r="M9" s="276">
        <v>70.239999999999995</v>
      </c>
      <c r="N9" s="276">
        <v>74.09</v>
      </c>
      <c r="O9" s="276">
        <v>77.400000000000006</v>
      </c>
      <c r="P9" s="275">
        <f t="shared" si="0"/>
        <v>873.42000000000007</v>
      </c>
      <c r="Q9" s="276">
        <f t="shared" si="1"/>
        <v>72.785000000000011</v>
      </c>
      <c r="R9" s="276">
        <f t="shared" si="2"/>
        <v>2.3929315068493153</v>
      </c>
    </row>
    <row r="10" spans="1:19" x14ac:dyDescent="0.25">
      <c r="A10" s="19" t="s">
        <v>21</v>
      </c>
      <c r="B10" s="52" t="s">
        <v>29</v>
      </c>
      <c r="C10" s="51" t="s">
        <v>261</v>
      </c>
      <c r="D10" s="276">
        <v>156.69999999999999</v>
      </c>
      <c r="E10" s="276">
        <v>161.58000000000001</v>
      </c>
      <c r="F10" s="276">
        <v>157.02000000000001</v>
      </c>
      <c r="G10" s="276">
        <v>154.96</v>
      </c>
      <c r="H10" s="276">
        <v>144.16</v>
      </c>
      <c r="I10" s="276">
        <v>156.6</v>
      </c>
      <c r="J10" s="276">
        <v>165.43</v>
      </c>
      <c r="K10" s="276">
        <v>162.88</v>
      </c>
      <c r="L10" s="276">
        <v>166.14</v>
      </c>
      <c r="M10" s="276">
        <v>168.66</v>
      </c>
      <c r="N10" s="276">
        <v>155.03</v>
      </c>
      <c r="O10" s="276">
        <v>185.97</v>
      </c>
      <c r="P10" s="276">
        <f>SUM(D10:O10)</f>
        <v>1935.1299999999999</v>
      </c>
      <c r="Q10" s="276">
        <f t="shared" si="1"/>
        <v>161.26083333333332</v>
      </c>
      <c r="R10" s="276">
        <f t="shared" si="2"/>
        <v>5.30172602739726</v>
      </c>
    </row>
    <row r="11" spans="1:19" x14ac:dyDescent="0.25">
      <c r="A11" s="17" t="s">
        <v>21</v>
      </c>
      <c r="B11" s="7" t="s">
        <v>251</v>
      </c>
      <c r="C11" s="51" t="s">
        <v>261</v>
      </c>
      <c r="D11" s="276">
        <v>100.88</v>
      </c>
      <c r="E11" s="276">
        <v>84.91</v>
      </c>
      <c r="F11" s="276">
        <v>95.98</v>
      </c>
      <c r="G11" s="276">
        <v>93.26</v>
      </c>
      <c r="H11" s="276">
        <v>96.16</v>
      </c>
      <c r="I11" s="276">
        <v>97.79</v>
      </c>
      <c r="J11" s="276">
        <v>109.4</v>
      </c>
      <c r="K11" s="276">
        <v>104.69</v>
      </c>
      <c r="L11" s="276">
        <v>102.15</v>
      </c>
      <c r="M11" s="276">
        <v>100.45</v>
      </c>
      <c r="N11" s="276">
        <v>97.92</v>
      </c>
      <c r="O11" s="276">
        <v>101.18</v>
      </c>
      <c r="P11" s="275">
        <f t="shared" ref="P11" si="3">SUM(D11:O11)</f>
        <v>1184.77</v>
      </c>
      <c r="Q11" s="276">
        <f t="shared" ref="Q11" si="4">SUM(P11/12)</f>
        <v>98.730833333333337</v>
      </c>
      <c r="R11" s="276">
        <f t="shared" ref="R11" si="5">SUM(P11/365)</f>
        <v>3.245945205479452</v>
      </c>
    </row>
    <row r="12" spans="1:19" x14ac:dyDescent="0.25">
      <c r="A12" s="363" t="s">
        <v>24</v>
      </c>
      <c r="B12" s="364"/>
      <c r="C12" s="274"/>
      <c r="D12" s="276">
        <f t="shared" ref="D12:O12" si="6">SUM(D8:D11)</f>
        <v>519.6099999999999</v>
      </c>
      <c r="E12" s="276">
        <f t="shared" si="6"/>
        <v>481.46000000000004</v>
      </c>
      <c r="F12" s="276">
        <f t="shared" si="6"/>
        <v>489.86</v>
      </c>
      <c r="G12" s="276">
        <f t="shared" si="6"/>
        <v>461.33</v>
      </c>
      <c r="H12" s="276">
        <f t="shared" si="6"/>
        <v>455.19999999999993</v>
      </c>
      <c r="I12" s="276">
        <f t="shared" si="6"/>
        <v>469.94</v>
      </c>
      <c r="J12" s="276">
        <f t="shared" si="6"/>
        <v>508.02</v>
      </c>
      <c r="K12" s="276">
        <f t="shared" si="6"/>
        <v>494.78</v>
      </c>
      <c r="L12" s="276">
        <f t="shared" si="6"/>
        <v>495.40999999999997</v>
      </c>
      <c r="M12" s="276">
        <f t="shared" si="6"/>
        <v>502.22999999999996</v>
      </c>
      <c r="N12" s="276">
        <f t="shared" si="6"/>
        <v>485.00000000000006</v>
      </c>
      <c r="O12" s="276">
        <f t="shared" si="6"/>
        <v>565.69000000000005</v>
      </c>
      <c r="P12" s="275">
        <f>SUM(P7:P11)</f>
        <v>9712.4700000000012</v>
      </c>
      <c r="Q12" s="276">
        <f t="shared" si="1"/>
        <v>809.37250000000006</v>
      </c>
      <c r="R12" s="276">
        <f t="shared" si="2"/>
        <v>26.609506849315071</v>
      </c>
    </row>
  </sheetData>
  <mergeCells count="11">
    <mergeCell ref="A1:S1"/>
    <mergeCell ref="A2:S2"/>
    <mergeCell ref="Q5:Q6"/>
    <mergeCell ref="R5:R6"/>
    <mergeCell ref="A12:B12"/>
    <mergeCell ref="B3:Q3"/>
    <mergeCell ref="A5:A6"/>
    <mergeCell ref="B5:B6"/>
    <mergeCell ref="D5:O5"/>
    <mergeCell ref="P5:P6"/>
    <mergeCell ref="C5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Normal="100" workbookViewId="0">
      <pane xSplit="2" topLeftCell="C1" activePane="topRight" state="frozen"/>
      <selection pane="topRight" sqref="A1:XFD2"/>
    </sheetView>
  </sheetViews>
  <sheetFormatPr baseColWidth="10" defaultColWidth="11.42578125" defaultRowHeight="15" x14ac:dyDescent="0.25"/>
  <cols>
    <col min="1" max="1" width="11.42578125" style="15"/>
    <col min="2" max="2" width="24.42578125" style="15" customWidth="1"/>
    <col min="3" max="3" width="12" style="94" customWidth="1"/>
    <col min="4" max="15" width="13.7109375" style="15" customWidth="1"/>
    <col min="16" max="16" width="15.5703125" style="15" customWidth="1"/>
    <col min="17" max="17" width="18.42578125" style="15" customWidth="1"/>
    <col min="18" max="18" width="14.140625" style="15" customWidth="1"/>
    <col min="19" max="16384" width="11.42578125" style="15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72" customFormat="1" ht="16.5" customHeight="1" x14ac:dyDescent="0.25">
      <c r="B3" s="367" t="s">
        <v>148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</row>
    <row r="4" spans="1:19" s="94" customFormat="1" ht="16.5" customHeight="1" x14ac:dyDescent="0.25">
      <c r="D4" s="70"/>
    </row>
    <row r="5" spans="1:19" x14ac:dyDescent="0.25">
      <c r="A5" s="360" t="s">
        <v>1</v>
      </c>
      <c r="B5" s="362" t="s">
        <v>2</v>
      </c>
      <c r="C5" s="362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5" t="s">
        <v>3</v>
      </c>
      <c r="Q5" s="352" t="s">
        <v>66</v>
      </c>
      <c r="R5" s="352" t="s">
        <v>119</v>
      </c>
      <c r="S5" s="36"/>
    </row>
    <row r="6" spans="1:19" x14ac:dyDescent="0.25">
      <c r="A6" s="360"/>
      <c r="B6" s="360"/>
      <c r="C6" s="360"/>
      <c r="D6" s="48" t="s">
        <v>4</v>
      </c>
      <c r="E6" s="48" t="s">
        <v>5</v>
      </c>
      <c r="F6" s="48" t="s">
        <v>6</v>
      </c>
      <c r="G6" s="48" t="s">
        <v>7</v>
      </c>
      <c r="H6" s="48" t="s">
        <v>8</v>
      </c>
      <c r="I6" s="48" t="s">
        <v>9</v>
      </c>
      <c r="J6" s="48" t="s">
        <v>10</v>
      </c>
      <c r="K6" s="48" t="s">
        <v>11</v>
      </c>
      <c r="L6" s="48" t="s">
        <v>12</v>
      </c>
      <c r="M6" s="48" t="s">
        <v>13</v>
      </c>
      <c r="N6" s="48" t="s">
        <v>14</v>
      </c>
      <c r="O6" s="48" t="s">
        <v>15</v>
      </c>
      <c r="P6" s="365"/>
      <c r="Q6" s="353"/>
      <c r="R6" s="353"/>
      <c r="S6" s="36"/>
    </row>
    <row r="7" spans="1:19" x14ac:dyDescent="0.25">
      <c r="A7" s="74" t="s">
        <v>28</v>
      </c>
      <c r="B7" s="74" t="s">
        <v>28</v>
      </c>
      <c r="C7" s="133" t="s">
        <v>263</v>
      </c>
      <c r="D7" s="295">
        <v>4596.0600000000004</v>
      </c>
      <c r="E7" s="295">
        <v>4190.79</v>
      </c>
      <c r="F7" s="295">
        <v>4050.93</v>
      </c>
      <c r="G7" s="295">
        <v>3532.77</v>
      </c>
      <c r="H7" s="295">
        <v>3983.88</v>
      </c>
      <c r="I7" s="295">
        <v>5272.94</v>
      </c>
      <c r="J7" s="295">
        <v>5030.6499999999996</v>
      </c>
      <c r="K7" s="295">
        <v>5067.4799999999996</v>
      </c>
      <c r="L7" s="297">
        <v>5024.5600000000004</v>
      </c>
      <c r="M7" s="297">
        <v>5149.3500000000004</v>
      </c>
      <c r="N7" s="297">
        <v>4821.99</v>
      </c>
      <c r="O7" s="297">
        <v>5168.6099999999997</v>
      </c>
      <c r="P7" s="283">
        <f t="shared" ref="P7:P20" si="0">SUM(D7:O7)</f>
        <v>55890.009999999995</v>
      </c>
      <c r="Q7" s="58">
        <f>SUM(P7/12)</f>
        <v>4657.5008333333326</v>
      </c>
      <c r="R7" s="58">
        <f>SUM(P7/365)</f>
        <v>153.12331506849313</v>
      </c>
      <c r="S7" s="36"/>
    </row>
    <row r="8" spans="1:19" x14ac:dyDescent="0.25">
      <c r="A8" s="74" t="s">
        <v>28</v>
      </c>
      <c r="B8" s="73" t="s">
        <v>39</v>
      </c>
      <c r="C8" s="133" t="s">
        <v>263</v>
      </c>
      <c r="D8" s="296">
        <v>797.86</v>
      </c>
      <c r="E8" s="296">
        <v>742.78</v>
      </c>
      <c r="F8" s="296">
        <v>677.64</v>
      </c>
      <c r="G8" s="296">
        <v>683.61</v>
      </c>
      <c r="H8" s="296">
        <v>735.75</v>
      </c>
      <c r="I8" s="296">
        <v>799.91</v>
      </c>
      <c r="J8" s="296">
        <v>838.18</v>
      </c>
      <c r="K8" s="296">
        <v>855.75</v>
      </c>
      <c r="L8" s="298">
        <v>839.39</v>
      </c>
      <c r="M8" s="298">
        <v>904.01</v>
      </c>
      <c r="N8" s="298">
        <v>829.53</v>
      </c>
      <c r="O8" s="298">
        <v>876.41</v>
      </c>
      <c r="P8" s="283">
        <f t="shared" si="0"/>
        <v>9580.8200000000015</v>
      </c>
      <c r="Q8" s="58">
        <f t="shared" ref="Q8:Q21" si="1">SUM(P8/12)</f>
        <v>798.40166666666676</v>
      </c>
      <c r="R8" s="58">
        <f t="shared" ref="R8:R21" si="2">SUM(P8/365)</f>
        <v>26.248821917808222</v>
      </c>
      <c r="S8" s="36"/>
    </row>
    <row r="9" spans="1:19" x14ac:dyDescent="0.25">
      <c r="A9" s="74" t="s">
        <v>28</v>
      </c>
      <c r="B9" s="73" t="s">
        <v>37</v>
      </c>
      <c r="C9" s="133" t="s">
        <v>263</v>
      </c>
      <c r="D9" s="296">
        <v>794.25</v>
      </c>
      <c r="E9" s="296">
        <v>724.58</v>
      </c>
      <c r="F9" s="296">
        <v>767.76</v>
      </c>
      <c r="G9" s="296">
        <v>727.16</v>
      </c>
      <c r="H9" s="296">
        <v>770.02</v>
      </c>
      <c r="I9" s="296">
        <v>952.89</v>
      </c>
      <c r="J9" s="296">
        <v>885.69</v>
      </c>
      <c r="K9" s="296">
        <v>916.36</v>
      </c>
      <c r="L9" s="298">
        <v>918.92</v>
      </c>
      <c r="M9" s="298">
        <v>899.58</v>
      </c>
      <c r="N9" s="298">
        <v>811.73</v>
      </c>
      <c r="O9" s="298">
        <v>847.44</v>
      </c>
      <c r="P9" s="283">
        <f t="shared" si="0"/>
        <v>10016.380000000001</v>
      </c>
      <c r="Q9" s="58">
        <f t="shared" si="1"/>
        <v>834.69833333333338</v>
      </c>
      <c r="R9" s="58">
        <f t="shared" si="2"/>
        <v>27.442136986301371</v>
      </c>
      <c r="S9" s="36"/>
    </row>
    <row r="10" spans="1:19" x14ac:dyDescent="0.25">
      <c r="A10" s="74" t="s">
        <v>28</v>
      </c>
      <c r="B10" s="73" t="s">
        <v>31</v>
      </c>
      <c r="C10" s="133" t="s">
        <v>263</v>
      </c>
      <c r="D10" s="296">
        <v>373.58</v>
      </c>
      <c r="E10" s="296">
        <v>328.59</v>
      </c>
      <c r="F10" s="296">
        <v>387.44</v>
      </c>
      <c r="G10" s="296">
        <v>390.97</v>
      </c>
      <c r="H10" s="296">
        <v>431.14</v>
      </c>
      <c r="I10" s="296">
        <v>524.79999999999995</v>
      </c>
      <c r="J10" s="296">
        <v>474.4</v>
      </c>
      <c r="K10" s="296">
        <v>522.14</v>
      </c>
      <c r="L10" s="298">
        <v>466.74</v>
      </c>
      <c r="M10" s="298">
        <v>452.69</v>
      </c>
      <c r="N10" s="298">
        <v>432.31</v>
      </c>
      <c r="O10" s="298">
        <v>441.42</v>
      </c>
      <c r="P10" s="283">
        <f t="shared" si="0"/>
        <v>5226.2199999999993</v>
      </c>
      <c r="Q10" s="58">
        <f t="shared" si="1"/>
        <v>435.51833333333326</v>
      </c>
      <c r="R10" s="58">
        <f t="shared" si="2"/>
        <v>14.318410958904108</v>
      </c>
      <c r="S10" s="36"/>
    </row>
    <row r="11" spans="1:19" x14ac:dyDescent="0.25">
      <c r="A11" s="74" t="s">
        <v>28</v>
      </c>
      <c r="B11" s="73" t="s">
        <v>36</v>
      </c>
      <c r="C11" s="133" t="s">
        <v>263</v>
      </c>
      <c r="D11" s="296">
        <v>401.09</v>
      </c>
      <c r="E11" s="296">
        <v>359.17</v>
      </c>
      <c r="F11" s="296">
        <v>348.65</v>
      </c>
      <c r="G11" s="296">
        <v>365.16</v>
      </c>
      <c r="H11" s="296">
        <v>341.27</v>
      </c>
      <c r="I11" s="296">
        <v>452.29</v>
      </c>
      <c r="J11" s="296">
        <v>478.54</v>
      </c>
      <c r="K11" s="296">
        <v>476.9</v>
      </c>
      <c r="L11" s="298">
        <v>474.31</v>
      </c>
      <c r="M11" s="298">
        <v>421.35</v>
      </c>
      <c r="N11" s="298">
        <v>410.17</v>
      </c>
      <c r="O11" s="298">
        <v>443.68</v>
      </c>
      <c r="P11" s="283">
        <f t="shared" si="0"/>
        <v>4972.5800000000008</v>
      </c>
      <c r="Q11" s="58">
        <f t="shared" si="1"/>
        <v>414.38166666666672</v>
      </c>
      <c r="R11" s="58">
        <f t="shared" si="2"/>
        <v>13.623506849315071</v>
      </c>
      <c r="S11" s="36"/>
    </row>
    <row r="12" spans="1:19" x14ac:dyDescent="0.25">
      <c r="A12" s="74" t="s">
        <v>28</v>
      </c>
      <c r="B12" s="73" t="s">
        <v>133</v>
      </c>
      <c r="C12" s="133" t="s">
        <v>263</v>
      </c>
      <c r="D12" s="296">
        <v>29.15</v>
      </c>
      <c r="E12" s="296">
        <v>24.42</v>
      </c>
      <c r="F12" s="296">
        <v>30.71</v>
      </c>
      <c r="G12" s="296">
        <v>26.97</v>
      </c>
      <c r="H12" s="296">
        <v>26.49</v>
      </c>
      <c r="I12" s="296">
        <v>34.83</v>
      </c>
      <c r="J12" s="296">
        <v>45.23</v>
      </c>
      <c r="K12" s="296">
        <v>38.57</v>
      </c>
      <c r="L12" s="298">
        <v>31.49</v>
      </c>
      <c r="M12" s="298">
        <v>42.09</v>
      </c>
      <c r="N12" s="298">
        <v>44</v>
      </c>
      <c r="O12" s="298">
        <v>40.54</v>
      </c>
      <c r="P12" s="283">
        <f t="shared" si="0"/>
        <v>414.49000000000007</v>
      </c>
      <c r="Q12" s="58">
        <f t="shared" si="1"/>
        <v>34.540833333333339</v>
      </c>
      <c r="R12" s="58">
        <f t="shared" si="2"/>
        <v>1.1355890410958907</v>
      </c>
      <c r="S12" s="36"/>
    </row>
    <row r="13" spans="1:19" x14ac:dyDescent="0.25">
      <c r="A13" s="74" t="s">
        <v>28</v>
      </c>
      <c r="B13" s="73" t="s">
        <v>41</v>
      </c>
      <c r="C13" s="133" t="s">
        <v>263</v>
      </c>
      <c r="D13" s="296">
        <v>102.43</v>
      </c>
      <c r="E13" s="296">
        <v>86.86</v>
      </c>
      <c r="F13" s="296">
        <v>92.35</v>
      </c>
      <c r="G13" s="296">
        <v>85.22</v>
      </c>
      <c r="H13" s="296">
        <v>80.97</v>
      </c>
      <c r="I13" s="296">
        <v>94.54</v>
      </c>
      <c r="J13" s="296">
        <v>94.34</v>
      </c>
      <c r="K13" s="296">
        <v>101.13</v>
      </c>
      <c r="L13" s="298">
        <v>96.83</v>
      </c>
      <c r="M13" s="298">
        <v>113.96</v>
      </c>
      <c r="N13" s="298">
        <v>101.97</v>
      </c>
      <c r="O13" s="298">
        <v>101.36</v>
      </c>
      <c r="P13" s="283">
        <f t="shared" si="0"/>
        <v>1151.96</v>
      </c>
      <c r="Q13" s="58">
        <f t="shared" si="1"/>
        <v>95.99666666666667</v>
      </c>
      <c r="R13" s="58">
        <f t="shared" si="2"/>
        <v>3.1560547945205482</v>
      </c>
      <c r="S13" s="36"/>
    </row>
    <row r="14" spans="1:19" x14ac:dyDescent="0.25">
      <c r="A14" s="74" t="s">
        <v>28</v>
      </c>
      <c r="B14" s="73" t="s">
        <v>30</v>
      </c>
      <c r="C14" s="133" t="s">
        <v>263</v>
      </c>
      <c r="D14" s="296">
        <v>115.82</v>
      </c>
      <c r="E14" s="296">
        <v>96.22</v>
      </c>
      <c r="F14" s="296">
        <v>103.26</v>
      </c>
      <c r="G14" s="296">
        <v>115.88</v>
      </c>
      <c r="H14" s="296">
        <v>116.02</v>
      </c>
      <c r="I14" s="296">
        <v>137.63999999999999</v>
      </c>
      <c r="J14" s="296">
        <v>128.07</v>
      </c>
      <c r="K14" s="296">
        <v>121.47</v>
      </c>
      <c r="L14" s="298">
        <v>127.34</v>
      </c>
      <c r="M14" s="298">
        <v>138.69</v>
      </c>
      <c r="N14" s="298">
        <v>105.75</v>
      </c>
      <c r="O14" s="298">
        <v>115.55</v>
      </c>
      <c r="P14" s="283">
        <f t="shared" si="0"/>
        <v>1421.71</v>
      </c>
      <c r="Q14" s="58">
        <f t="shared" si="1"/>
        <v>118.47583333333334</v>
      </c>
      <c r="R14" s="58">
        <f t="shared" si="2"/>
        <v>3.8950958904109592</v>
      </c>
      <c r="S14" s="36"/>
    </row>
    <row r="15" spans="1:19" x14ac:dyDescent="0.25">
      <c r="A15" s="74" t="s">
        <v>28</v>
      </c>
      <c r="B15" s="73" t="s">
        <v>38</v>
      </c>
      <c r="C15" s="133" t="s">
        <v>263</v>
      </c>
      <c r="D15" s="296">
        <v>17.57</v>
      </c>
      <c r="E15" s="296">
        <v>15.49</v>
      </c>
      <c r="F15" s="296">
        <v>19.489999999999998</v>
      </c>
      <c r="G15" s="296">
        <v>17.190000000000001</v>
      </c>
      <c r="H15" s="296">
        <v>17.23</v>
      </c>
      <c r="I15" s="296">
        <v>17.32</v>
      </c>
      <c r="J15" s="296">
        <v>21.3</v>
      </c>
      <c r="K15" s="296">
        <v>20.61</v>
      </c>
      <c r="L15" s="298">
        <v>20.56</v>
      </c>
      <c r="M15" s="298">
        <v>22.62</v>
      </c>
      <c r="N15" s="298">
        <v>22.56</v>
      </c>
      <c r="O15" s="298">
        <v>19.38</v>
      </c>
      <c r="P15" s="283">
        <f t="shared" si="0"/>
        <v>231.32</v>
      </c>
      <c r="Q15" s="58">
        <f t="shared" si="1"/>
        <v>19.276666666666667</v>
      </c>
      <c r="R15" s="58">
        <f t="shared" si="2"/>
        <v>0.63375342465753426</v>
      </c>
      <c r="S15" s="36"/>
    </row>
    <row r="16" spans="1:19" x14ac:dyDescent="0.25">
      <c r="A16" s="74" t="s">
        <v>28</v>
      </c>
      <c r="B16" s="73" t="s">
        <v>142</v>
      </c>
      <c r="C16" s="133" t="s">
        <v>263</v>
      </c>
      <c r="D16" s="296">
        <v>19.11</v>
      </c>
      <c r="E16" s="296">
        <v>22.82</v>
      </c>
      <c r="F16" s="296">
        <v>18.809999999999999</v>
      </c>
      <c r="G16" s="296">
        <v>16.47</v>
      </c>
      <c r="H16" s="296">
        <v>24.97</v>
      </c>
      <c r="I16" s="296">
        <v>24.65</v>
      </c>
      <c r="J16" s="296">
        <v>22.19</v>
      </c>
      <c r="K16" s="296">
        <v>24.73</v>
      </c>
      <c r="L16" s="298">
        <v>20.67</v>
      </c>
      <c r="M16" s="298">
        <v>26.65</v>
      </c>
      <c r="N16" s="298">
        <v>23.52</v>
      </c>
      <c r="O16" s="298">
        <v>29.23</v>
      </c>
      <c r="P16" s="283">
        <f t="shared" si="0"/>
        <v>273.82</v>
      </c>
      <c r="Q16" s="58">
        <f t="shared" ref="Q16:Q18" si="3">SUM(P16/12)</f>
        <v>22.818333333333332</v>
      </c>
      <c r="R16" s="58">
        <f t="shared" si="2"/>
        <v>0.75019178082191784</v>
      </c>
      <c r="S16" s="36"/>
    </row>
    <row r="17" spans="1:19" x14ac:dyDescent="0.25">
      <c r="A17" s="74" t="s">
        <v>28</v>
      </c>
      <c r="B17" s="73" t="s">
        <v>132</v>
      </c>
      <c r="C17" s="133" t="s">
        <v>263</v>
      </c>
      <c r="D17" s="296">
        <v>25.78</v>
      </c>
      <c r="E17" s="296">
        <v>14.86</v>
      </c>
      <c r="F17" s="296">
        <v>14.33</v>
      </c>
      <c r="G17" s="296">
        <v>15.09</v>
      </c>
      <c r="H17" s="296">
        <v>18.16</v>
      </c>
      <c r="I17" s="296">
        <v>24.42</v>
      </c>
      <c r="J17" s="296">
        <v>15.81</v>
      </c>
      <c r="K17" s="296">
        <v>19.72</v>
      </c>
      <c r="L17" s="298">
        <v>17.73</v>
      </c>
      <c r="M17" s="298">
        <v>25.01</v>
      </c>
      <c r="N17" s="298">
        <v>17.46</v>
      </c>
      <c r="O17" s="298">
        <v>14.78</v>
      </c>
      <c r="P17" s="283">
        <f t="shared" si="0"/>
        <v>223.14999999999998</v>
      </c>
      <c r="Q17" s="58">
        <f t="shared" si="3"/>
        <v>18.595833333333331</v>
      </c>
      <c r="R17" s="58">
        <f t="shared" si="2"/>
        <v>0.61136986301369856</v>
      </c>
      <c r="S17" s="36"/>
    </row>
    <row r="18" spans="1:19" x14ac:dyDescent="0.25">
      <c r="A18" s="74" t="s">
        <v>28</v>
      </c>
      <c r="B18" s="52" t="s">
        <v>40</v>
      </c>
      <c r="C18" s="133" t="s">
        <v>263</v>
      </c>
      <c r="D18" s="296">
        <v>19.27</v>
      </c>
      <c r="E18" s="296">
        <v>17.64</v>
      </c>
      <c r="F18" s="296">
        <v>16.93</v>
      </c>
      <c r="G18" s="296">
        <v>17.18</v>
      </c>
      <c r="H18" s="296">
        <v>19.75</v>
      </c>
      <c r="I18" s="296">
        <v>18.600000000000001</v>
      </c>
      <c r="J18" s="296">
        <v>18.850000000000001</v>
      </c>
      <c r="K18" s="296">
        <v>20.68</v>
      </c>
      <c r="L18" s="298">
        <v>17.149999999999999</v>
      </c>
      <c r="M18" s="298">
        <v>23.67</v>
      </c>
      <c r="N18" s="298">
        <v>22.29</v>
      </c>
      <c r="O18" s="298">
        <v>20.440000000000001</v>
      </c>
      <c r="P18" s="283">
        <f t="shared" si="0"/>
        <v>232.45000000000002</v>
      </c>
      <c r="Q18" s="58">
        <f t="shared" si="3"/>
        <v>19.370833333333334</v>
      </c>
      <c r="R18" s="58">
        <f t="shared" si="2"/>
        <v>0.63684931506849318</v>
      </c>
      <c r="S18" s="36"/>
    </row>
    <row r="19" spans="1:19" x14ac:dyDescent="0.25">
      <c r="A19" s="20" t="s">
        <v>21</v>
      </c>
      <c r="B19" s="52" t="s">
        <v>78</v>
      </c>
      <c r="C19" s="133" t="s">
        <v>263</v>
      </c>
      <c r="D19" s="296">
        <v>107.78</v>
      </c>
      <c r="E19" s="296">
        <v>80.89</v>
      </c>
      <c r="F19" s="296">
        <v>94.52</v>
      </c>
      <c r="G19" s="296">
        <v>98.25</v>
      </c>
      <c r="H19" s="296">
        <v>110.3</v>
      </c>
      <c r="I19" s="296">
        <v>115.69</v>
      </c>
      <c r="J19" s="296">
        <v>122.66</v>
      </c>
      <c r="K19" s="296">
        <v>124.43</v>
      </c>
      <c r="L19" s="298">
        <v>105.17</v>
      </c>
      <c r="M19" s="298">
        <v>105.5</v>
      </c>
      <c r="N19" s="298">
        <v>82.38</v>
      </c>
      <c r="O19" s="298">
        <v>105.27</v>
      </c>
      <c r="P19" s="283">
        <f t="shared" si="0"/>
        <v>1252.8400000000001</v>
      </c>
      <c r="Q19" s="58">
        <f t="shared" si="1"/>
        <v>104.40333333333335</v>
      </c>
      <c r="R19" s="58">
        <f t="shared" si="2"/>
        <v>3.4324383561643841</v>
      </c>
      <c r="S19" s="36"/>
    </row>
    <row r="20" spans="1:19" x14ac:dyDescent="0.25">
      <c r="A20" s="20"/>
      <c r="B20" s="63" t="s">
        <v>152</v>
      </c>
      <c r="C20" s="133" t="s">
        <v>263</v>
      </c>
      <c r="D20" s="296">
        <v>635.27</v>
      </c>
      <c r="E20" s="296">
        <v>938.25</v>
      </c>
      <c r="F20" s="296">
        <v>454.61</v>
      </c>
      <c r="G20" s="296">
        <v>293.81</v>
      </c>
      <c r="H20" s="296">
        <v>542.47</v>
      </c>
      <c r="I20" s="296">
        <v>726.13</v>
      </c>
      <c r="J20" s="296">
        <v>1023.52</v>
      </c>
      <c r="K20" s="296">
        <v>660.88</v>
      </c>
      <c r="L20" s="298">
        <v>1315.32</v>
      </c>
      <c r="M20" s="298">
        <v>1510.35</v>
      </c>
      <c r="N20" s="298">
        <v>476.09</v>
      </c>
      <c r="O20" s="298">
        <v>485.75</v>
      </c>
      <c r="P20" s="283">
        <f t="shared" si="0"/>
        <v>9062.4499999999989</v>
      </c>
      <c r="Q20" s="58">
        <f t="shared" si="1"/>
        <v>755.20416666666654</v>
      </c>
      <c r="R20" s="58">
        <f t="shared" si="2"/>
        <v>24.828630136986298</v>
      </c>
      <c r="S20" s="36"/>
    </row>
    <row r="21" spans="1:19" s="152" customFormat="1" x14ac:dyDescent="0.25">
      <c r="A21" s="368" t="s">
        <v>24</v>
      </c>
      <c r="B21" s="369"/>
      <c r="C21" s="150"/>
      <c r="D21" s="283">
        <f t="shared" ref="D21:P21" si="4">SUM(D7:D20)</f>
        <v>8035.0199999999986</v>
      </c>
      <c r="E21" s="283">
        <f t="shared" si="4"/>
        <v>7643.36</v>
      </c>
      <c r="F21" s="283">
        <f t="shared" si="4"/>
        <v>7077.43</v>
      </c>
      <c r="G21" s="283">
        <f t="shared" si="4"/>
        <v>6385.7300000000014</v>
      </c>
      <c r="H21" s="283">
        <f t="shared" si="4"/>
        <v>7218.42</v>
      </c>
      <c r="I21" s="283">
        <f t="shared" si="4"/>
        <v>9196.65</v>
      </c>
      <c r="J21" s="283">
        <f t="shared" si="4"/>
        <v>9199.43</v>
      </c>
      <c r="K21" s="283">
        <f t="shared" si="4"/>
        <v>8970.8499999999985</v>
      </c>
      <c r="L21" s="283">
        <f t="shared" si="4"/>
        <v>9476.18</v>
      </c>
      <c r="M21" s="283">
        <f t="shared" si="4"/>
        <v>9835.52</v>
      </c>
      <c r="N21" s="283">
        <f t="shared" si="4"/>
        <v>8201.7500000000018</v>
      </c>
      <c r="O21" s="283">
        <f t="shared" si="4"/>
        <v>8709.8599999999988</v>
      </c>
      <c r="P21" s="283">
        <f t="shared" si="4"/>
        <v>99950.200000000012</v>
      </c>
      <c r="Q21" s="284">
        <f t="shared" si="1"/>
        <v>8329.1833333333343</v>
      </c>
      <c r="R21" s="284">
        <f t="shared" si="2"/>
        <v>273.83616438356165</v>
      </c>
      <c r="S21" s="151"/>
    </row>
    <row r="22" spans="1:19" ht="15.75" x14ac:dyDescent="0.25">
      <c r="R22" s="53"/>
      <c r="S22" s="36"/>
    </row>
  </sheetData>
  <mergeCells count="11">
    <mergeCell ref="A1:S1"/>
    <mergeCell ref="A2:S2"/>
    <mergeCell ref="B3:R3"/>
    <mergeCell ref="A21:B21"/>
    <mergeCell ref="Q5:Q6"/>
    <mergeCell ref="R5:R6"/>
    <mergeCell ref="A5:A6"/>
    <mergeCell ref="B5:B6"/>
    <mergeCell ref="D5:O5"/>
    <mergeCell ref="P5:P6"/>
    <mergeCell ref="C5:C6"/>
  </mergeCells>
  <pageMargins left="0.25" right="0.25" top="0.75" bottom="0.75" header="0.3" footer="0.3"/>
  <pageSetup paperSize="12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workbookViewId="0">
      <selection sqref="A1:XFD2"/>
    </sheetView>
  </sheetViews>
  <sheetFormatPr baseColWidth="10" defaultColWidth="11.42578125" defaultRowHeight="15" x14ac:dyDescent="0.25"/>
  <cols>
    <col min="1" max="1" width="15.7109375" style="87" customWidth="1"/>
    <col min="2" max="2" width="34.140625" style="95" customWidth="1"/>
    <col min="3" max="3" width="14.28515625" style="95" customWidth="1"/>
    <col min="4" max="4" width="11.42578125" style="95" customWidth="1"/>
    <col min="5" max="9" width="11.5703125" style="95" customWidth="1"/>
    <col min="10" max="10" width="10.42578125" style="95" customWidth="1"/>
    <col min="11" max="11" width="10.85546875" style="95" customWidth="1"/>
    <col min="12" max="12" width="10.42578125" style="95" customWidth="1"/>
    <col min="13" max="13" width="10.85546875" style="77" customWidth="1"/>
    <col min="14" max="15" width="10.42578125" style="95" customWidth="1"/>
    <col min="16" max="16" width="14" style="88" customWidth="1"/>
    <col min="17" max="16384" width="11.42578125" style="95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244" customFormat="1" ht="19.5" customHeight="1" x14ac:dyDescent="0.35">
      <c r="A3" s="245"/>
      <c r="B3" s="370" t="s">
        <v>300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2"/>
      <c r="Q3" s="245"/>
      <c r="R3" s="245"/>
      <c r="S3" s="245"/>
    </row>
    <row r="4" spans="1:19" s="77" customFormat="1" ht="19.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44"/>
      <c r="R4" s="44"/>
      <c r="S4" s="44"/>
    </row>
    <row r="5" spans="1:19" s="77" customFormat="1" ht="22.9" customHeight="1" x14ac:dyDescent="0.25">
      <c r="A5" s="360" t="s">
        <v>1</v>
      </c>
      <c r="B5" s="362" t="s">
        <v>2</v>
      </c>
      <c r="C5" s="362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73" t="s">
        <v>3</v>
      </c>
      <c r="Q5" s="373" t="s">
        <v>66</v>
      </c>
      <c r="R5" s="373" t="s">
        <v>119</v>
      </c>
    </row>
    <row r="6" spans="1:19" s="79" customFormat="1" ht="30.75" customHeight="1" x14ac:dyDescent="0.25">
      <c r="A6" s="360"/>
      <c r="B6" s="360"/>
      <c r="C6" s="360"/>
      <c r="D6" s="277" t="s">
        <v>4</v>
      </c>
      <c r="E6" s="277" t="s">
        <v>5</v>
      </c>
      <c r="F6" s="277" t="s">
        <v>6</v>
      </c>
      <c r="G6" s="277" t="s">
        <v>7</v>
      </c>
      <c r="H6" s="277" t="s">
        <v>8</v>
      </c>
      <c r="I6" s="277" t="s">
        <v>9</v>
      </c>
      <c r="J6" s="277" t="s">
        <v>10</v>
      </c>
      <c r="K6" s="277" t="s">
        <v>11</v>
      </c>
      <c r="L6" s="277" t="s">
        <v>12</v>
      </c>
      <c r="M6" s="277" t="s">
        <v>13</v>
      </c>
      <c r="N6" s="277" t="s">
        <v>14</v>
      </c>
      <c r="O6" s="277" t="s">
        <v>15</v>
      </c>
      <c r="P6" s="373"/>
      <c r="Q6" s="373"/>
      <c r="R6" s="373"/>
    </row>
    <row r="7" spans="1:19" s="77" customFormat="1" ht="17.25" customHeight="1" x14ac:dyDescent="0.25">
      <c r="A7" s="212" t="s">
        <v>33</v>
      </c>
      <c r="B7" s="213" t="s">
        <v>111</v>
      </c>
      <c r="C7" s="212" t="s">
        <v>264</v>
      </c>
      <c r="D7" s="214">
        <v>73.88</v>
      </c>
      <c r="E7" s="214">
        <v>64.22</v>
      </c>
      <c r="F7" s="214">
        <v>75.900000000000006</v>
      </c>
      <c r="G7" s="214">
        <v>80.040000000000006</v>
      </c>
      <c r="H7" s="214">
        <v>88.66</v>
      </c>
      <c r="I7" s="214">
        <v>102.54</v>
      </c>
      <c r="J7" s="214">
        <v>112.48</v>
      </c>
      <c r="K7" s="214">
        <v>109.59</v>
      </c>
      <c r="L7" s="214">
        <v>94.49</v>
      </c>
      <c r="M7" s="214">
        <v>95.87</v>
      </c>
      <c r="N7" s="214">
        <v>85.18</v>
      </c>
      <c r="O7" s="214">
        <v>102.92</v>
      </c>
      <c r="P7" s="81">
        <f t="shared" ref="P7:P70" si="0">+D7+E7+F7+G7+H7+I7+J7+K7+L7+M7+N7+O7</f>
        <v>1085.7700000000002</v>
      </c>
      <c r="Q7" s="65">
        <f t="shared" ref="Q7:Q70" si="1">SUM(P7/12)</f>
        <v>90.480833333333351</v>
      </c>
      <c r="R7" s="65">
        <f t="shared" ref="R7:R70" si="2">SUM(P7/365)</f>
        <v>2.974712328767124</v>
      </c>
    </row>
    <row r="8" spans="1:19" s="77" customFormat="1" ht="17.25" customHeight="1" x14ac:dyDescent="0.25">
      <c r="A8" s="212" t="s">
        <v>33</v>
      </c>
      <c r="B8" s="213" t="s">
        <v>113</v>
      </c>
      <c r="C8" s="212" t="s">
        <v>264</v>
      </c>
      <c r="D8" s="214">
        <v>435.26</v>
      </c>
      <c r="E8" s="214">
        <v>369.75</v>
      </c>
      <c r="F8" s="214">
        <v>400.56</v>
      </c>
      <c r="G8" s="214">
        <v>394.96</v>
      </c>
      <c r="H8" s="214">
        <v>412.24</v>
      </c>
      <c r="I8" s="214">
        <v>465.48</v>
      </c>
      <c r="J8" s="214">
        <v>438.17</v>
      </c>
      <c r="K8" s="214">
        <v>496.95</v>
      </c>
      <c r="L8" s="214">
        <v>476.81</v>
      </c>
      <c r="M8" s="214">
        <v>472.01</v>
      </c>
      <c r="N8" s="214">
        <v>451.91</v>
      </c>
      <c r="O8" s="214">
        <v>461.76</v>
      </c>
      <c r="P8" s="81">
        <f t="shared" si="0"/>
        <v>5275.86</v>
      </c>
      <c r="Q8" s="65">
        <f t="shared" si="1"/>
        <v>439.65499999999997</v>
      </c>
      <c r="R8" s="65">
        <f t="shared" si="2"/>
        <v>14.454410958904109</v>
      </c>
    </row>
    <row r="9" spans="1:19" s="77" customFormat="1" ht="17.25" customHeight="1" x14ac:dyDescent="0.25">
      <c r="A9" s="212" t="s">
        <v>33</v>
      </c>
      <c r="B9" s="213" t="s">
        <v>118</v>
      </c>
      <c r="C9" s="212" t="s">
        <v>264</v>
      </c>
      <c r="D9" s="214">
        <v>410.84</v>
      </c>
      <c r="E9" s="214">
        <v>363.52</v>
      </c>
      <c r="F9" s="214">
        <v>410.35</v>
      </c>
      <c r="G9" s="214">
        <v>412.93</v>
      </c>
      <c r="H9" s="214">
        <v>446.4</v>
      </c>
      <c r="I9" s="214">
        <v>508.13</v>
      </c>
      <c r="J9" s="214">
        <v>508.33</v>
      </c>
      <c r="K9" s="214">
        <v>534.14</v>
      </c>
      <c r="L9" s="214">
        <v>516.80999999999995</v>
      </c>
      <c r="M9" s="214">
        <v>487.06</v>
      </c>
      <c r="N9" s="214">
        <v>471.05</v>
      </c>
      <c r="O9" s="214">
        <v>476.11</v>
      </c>
      <c r="P9" s="81">
        <f t="shared" si="0"/>
        <v>5545.67</v>
      </c>
      <c r="Q9" s="65">
        <f t="shared" si="1"/>
        <v>462.13916666666665</v>
      </c>
      <c r="R9" s="65">
        <f t="shared" si="2"/>
        <v>15.193616438356164</v>
      </c>
    </row>
    <row r="10" spans="1:19" s="77" customFormat="1" ht="17.25" customHeight="1" x14ac:dyDescent="0.25">
      <c r="A10" s="212" t="s">
        <v>33</v>
      </c>
      <c r="B10" s="212" t="s">
        <v>312</v>
      </c>
      <c r="C10" s="212" t="s">
        <v>264</v>
      </c>
      <c r="D10" s="214">
        <v>1359.76</v>
      </c>
      <c r="E10" s="214">
        <v>1171.42</v>
      </c>
      <c r="F10" s="214">
        <v>1258.8699999999999</v>
      </c>
      <c r="G10" s="214">
        <v>1289.54</v>
      </c>
      <c r="H10" s="214">
        <v>1338.42</v>
      </c>
      <c r="I10" s="214">
        <v>1532.33</v>
      </c>
      <c r="J10" s="214">
        <v>1462.76</v>
      </c>
      <c r="K10" s="215">
        <v>1542.15</v>
      </c>
      <c r="L10" s="214">
        <v>1480.58</v>
      </c>
      <c r="M10" s="214">
        <v>1427.1</v>
      </c>
      <c r="N10" s="214">
        <v>1328.89</v>
      </c>
      <c r="O10" s="214">
        <v>1434.35</v>
      </c>
      <c r="P10" s="81">
        <f t="shared" si="0"/>
        <v>16626.169999999998</v>
      </c>
      <c r="Q10" s="65">
        <f t="shared" si="1"/>
        <v>1385.5141666666666</v>
      </c>
      <c r="R10" s="65">
        <f t="shared" si="2"/>
        <v>45.5511506849315</v>
      </c>
    </row>
    <row r="11" spans="1:19" s="77" customFormat="1" ht="17.25" customHeight="1" x14ac:dyDescent="0.25">
      <c r="A11" s="212" t="s">
        <v>32</v>
      </c>
      <c r="B11" s="213" t="s">
        <v>151</v>
      </c>
      <c r="C11" s="212" t="s">
        <v>264</v>
      </c>
      <c r="D11" s="214">
        <v>54.46</v>
      </c>
      <c r="E11" s="214">
        <v>43.52</v>
      </c>
      <c r="F11" s="214">
        <v>50.46</v>
      </c>
      <c r="G11" s="214">
        <v>57.09</v>
      </c>
      <c r="H11" s="214">
        <v>59.34</v>
      </c>
      <c r="I11" s="214">
        <v>58.75</v>
      </c>
      <c r="J11" s="214">
        <v>55.64</v>
      </c>
      <c r="K11" s="214">
        <v>63.99</v>
      </c>
      <c r="L11" s="214">
        <v>55.68</v>
      </c>
      <c r="M11" s="214">
        <v>54.59</v>
      </c>
      <c r="N11" s="214">
        <v>51.38</v>
      </c>
      <c r="O11" s="214">
        <v>57.52</v>
      </c>
      <c r="P11" s="81">
        <f t="shared" si="0"/>
        <v>662.42</v>
      </c>
      <c r="Q11" s="65">
        <f t="shared" si="1"/>
        <v>55.201666666666661</v>
      </c>
      <c r="R11" s="65">
        <f t="shared" si="2"/>
        <v>1.814849315068493</v>
      </c>
    </row>
    <row r="12" spans="1:19" s="77" customFormat="1" ht="17.25" customHeight="1" x14ac:dyDescent="0.25">
      <c r="A12" s="212" t="s">
        <v>32</v>
      </c>
      <c r="B12" s="212" t="s">
        <v>153</v>
      </c>
      <c r="C12" s="212" t="s">
        <v>264</v>
      </c>
      <c r="D12" s="214">
        <v>830.7</v>
      </c>
      <c r="E12" s="214">
        <v>765.42</v>
      </c>
      <c r="F12" s="214">
        <v>781.89</v>
      </c>
      <c r="G12" s="214">
        <v>733</v>
      </c>
      <c r="H12" s="214">
        <v>740.45</v>
      </c>
      <c r="I12" s="214">
        <v>778.97</v>
      </c>
      <c r="J12" s="214">
        <v>790.22</v>
      </c>
      <c r="K12" s="214">
        <v>863.21</v>
      </c>
      <c r="L12" s="214">
        <v>868.83</v>
      </c>
      <c r="M12" s="214">
        <v>904.56</v>
      </c>
      <c r="N12" s="214">
        <v>837.26</v>
      </c>
      <c r="O12" s="214">
        <v>877.88</v>
      </c>
      <c r="P12" s="81">
        <f t="shared" si="0"/>
        <v>9772.39</v>
      </c>
      <c r="Q12" s="65">
        <f t="shared" si="1"/>
        <v>814.36583333333328</v>
      </c>
      <c r="R12" s="65">
        <f t="shared" si="2"/>
        <v>26.773671232876712</v>
      </c>
    </row>
    <row r="13" spans="1:19" s="77" customFormat="1" ht="17.25" customHeight="1" x14ac:dyDescent="0.25">
      <c r="A13" s="212" t="s">
        <v>33</v>
      </c>
      <c r="B13" s="213" t="s">
        <v>99</v>
      </c>
      <c r="C13" s="212" t="s">
        <v>264</v>
      </c>
      <c r="D13" s="214">
        <v>235.48</v>
      </c>
      <c r="E13" s="214">
        <v>208.8</v>
      </c>
      <c r="F13" s="214">
        <v>218.21</v>
      </c>
      <c r="G13" s="214">
        <v>226.63</v>
      </c>
      <c r="H13" s="214">
        <v>240.88</v>
      </c>
      <c r="I13" s="214">
        <v>259.16000000000003</v>
      </c>
      <c r="J13" s="214">
        <v>239.82</v>
      </c>
      <c r="K13" s="214">
        <v>272.13</v>
      </c>
      <c r="L13" s="214">
        <v>249.12</v>
      </c>
      <c r="M13" s="214">
        <v>272.27</v>
      </c>
      <c r="N13" s="214">
        <v>239.04</v>
      </c>
      <c r="O13" s="214">
        <v>254.9</v>
      </c>
      <c r="P13" s="81">
        <f t="shared" si="0"/>
        <v>2916.44</v>
      </c>
      <c r="Q13" s="65">
        <f t="shared" si="1"/>
        <v>243.03666666666666</v>
      </c>
      <c r="R13" s="65">
        <f t="shared" si="2"/>
        <v>7.9902465753424661</v>
      </c>
    </row>
    <row r="14" spans="1:19" s="77" customFormat="1" ht="17.25" customHeight="1" x14ac:dyDescent="0.25">
      <c r="A14" s="212" t="s">
        <v>32</v>
      </c>
      <c r="B14" s="213" t="s">
        <v>100</v>
      </c>
      <c r="C14" s="212" t="s">
        <v>264</v>
      </c>
      <c r="D14" s="214">
        <v>227.98</v>
      </c>
      <c r="E14" s="214">
        <v>209.22</v>
      </c>
      <c r="F14" s="214">
        <v>214.26</v>
      </c>
      <c r="G14" s="214">
        <v>173.81</v>
      </c>
      <c r="H14" s="214">
        <v>195.99</v>
      </c>
      <c r="I14" s="214">
        <v>209.09</v>
      </c>
      <c r="J14" s="214">
        <v>216.38</v>
      </c>
      <c r="K14" s="214">
        <v>233.91</v>
      </c>
      <c r="L14" s="214">
        <v>238.35</v>
      </c>
      <c r="M14" s="214">
        <v>259.37</v>
      </c>
      <c r="N14" s="214">
        <v>235.68</v>
      </c>
      <c r="O14" s="214">
        <v>253.7</v>
      </c>
      <c r="P14" s="81">
        <f t="shared" si="0"/>
        <v>2667.74</v>
      </c>
      <c r="Q14" s="65">
        <f t="shared" si="1"/>
        <v>222.31166666666664</v>
      </c>
      <c r="R14" s="65">
        <f t="shared" si="2"/>
        <v>7.3088767123287663</v>
      </c>
    </row>
    <row r="15" spans="1:19" s="77" customFormat="1" ht="17.25" customHeight="1" x14ac:dyDescent="0.25">
      <c r="A15" s="212" t="s">
        <v>32</v>
      </c>
      <c r="B15" s="213" t="s">
        <v>101</v>
      </c>
      <c r="C15" s="212" t="s">
        <v>264</v>
      </c>
      <c r="D15" s="214">
        <v>93.27</v>
      </c>
      <c r="E15" s="214">
        <v>78.86</v>
      </c>
      <c r="F15" s="214">
        <v>82.04</v>
      </c>
      <c r="G15" s="214">
        <v>75.67</v>
      </c>
      <c r="H15" s="214">
        <v>72.930000000000007</v>
      </c>
      <c r="I15" s="214">
        <v>89.92</v>
      </c>
      <c r="J15" s="214">
        <v>90.84</v>
      </c>
      <c r="K15" s="214">
        <v>92.72</v>
      </c>
      <c r="L15" s="214">
        <v>93.36</v>
      </c>
      <c r="M15" s="214">
        <v>98.69</v>
      </c>
      <c r="N15" s="214">
        <v>92.69</v>
      </c>
      <c r="O15" s="214">
        <v>100.77</v>
      </c>
      <c r="P15" s="81">
        <f t="shared" si="0"/>
        <v>1061.7600000000002</v>
      </c>
      <c r="Q15" s="65">
        <f t="shared" si="1"/>
        <v>88.480000000000018</v>
      </c>
      <c r="R15" s="65">
        <f t="shared" si="2"/>
        <v>2.9089315068493158</v>
      </c>
    </row>
    <row r="16" spans="1:19" s="77" customFormat="1" ht="17.25" customHeight="1" x14ac:dyDescent="0.25">
      <c r="A16" s="212" t="s">
        <v>32</v>
      </c>
      <c r="B16" s="213" t="s">
        <v>102</v>
      </c>
      <c r="C16" s="212" t="s">
        <v>264</v>
      </c>
      <c r="D16" s="214">
        <v>68.78</v>
      </c>
      <c r="E16" s="214">
        <v>64.48</v>
      </c>
      <c r="F16" s="214">
        <v>67.790000000000006</v>
      </c>
      <c r="G16" s="214">
        <v>64.459999999999994</v>
      </c>
      <c r="H16" s="214">
        <v>66.28</v>
      </c>
      <c r="I16" s="214">
        <v>75.790000000000006</v>
      </c>
      <c r="J16" s="214">
        <v>72.75</v>
      </c>
      <c r="K16" s="214">
        <v>74.52</v>
      </c>
      <c r="L16" s="214">
        <v>65.91</v>
      </c>
      <c r="M16" s="214">
        <v>70.540000000000006</v>
      </c>
      <c r="N16" s="214">
        <v>67.37</v>
      </c>
      <c r="O16" s="214">
        <v>67.39</v>
      </c>
      <c r="P16" s="81">
        <f t="shared" si="0"/>
        <v>826.06</v>
      </c>
      <c r="Q16" s="65">
        <f t="shared" si="1"/>
        <v>68.838333333333324</v>
      </c>
      <c r="R16" s="65">
        <f t="shared" si="2"/>
        <v>2.2631780821917808</v>
      </c>
    </row>
    <row r="17" spans="1:18" s="77" customFormat="1" ht="17.25" customHeight="1" x14ac:dyDescent="0.25">
      <c r="A17" s="212" t="s">
        <v>32</v>
      </c>
      <c r="B17" s="213" t="s">
        <v>103</v>
      </c>
      <c r="C17" s="212" t="s">
        <v>264</v>
      </c>
      <c r="D17" s="214">
        <v>144.24</v>
      </c>
      <c r="E17" s="214">
        <v>125.72</v>
      </c>
      <c r="F17" s="214">
        <v>119.63</v>
      </c>
      <c r="G17" s="214">
        <v>96.32</v>
      </c>
      <c r="H17" s="214">
        <v>127.37</v>
      </c>
      <c r="I17" s="214">
        <v>128.49</v>
      </c>
      <c r="J17" s="214">
        <v>126.98</v>
      </c>
      <c r="K17" s="214">
        <v>143.34</v>
      </c>
      <c r="L17" s="214">
        <v>142.62</v>
      </c>
      <c r="M17" s="214">
        <v>150.06</v>
      </c>
      <c r="N17" s="214">
        <v>161.05000000000001</v>
      </c>
      <c r="O17" s="214">
        <v>144.29</v>
      </c>
      <c r="P17" s="81">
        <f t="shared" si="0"/>
        <v>1610.11</v>
      </c>
      <c r="Q17" s="65">
        <f t="shared" si="1"/>
        <v>134.17583333333332</v>
      </c>
      <c r="R17" s="65">
        <f t="shared" si="2"/>
        <v>4.4112602739726023</v>
      </c>
    </row>
    <row r="18" spans="1:18" s="77" customFormat="1" ht="17.25" customHeight="1" x14ac:dyDescent="0.25">
      <c r="A18" s="212" t="s">
        <v>32</v>
      </c>
      <c r="B18" s="213" t="s">
        <v>104</v>
      </c>
      <c r="C18" s="212" t="s">
        <v>264</v>
      </c>
      <c r="D18" s="214">
        <v>207.63</v>
      </c>
      <c r="E18" s="214">
        <v>203.78</v>
      </c>
      <c r="F18" s="214">
        <v>204.51</v>
      </c>
      <c r="G18" s="214">
        <v>162.52000000000001</v>
      </c>
      <c r="H18" s="214">
        <v>193.31</v>
      </c>
      <c r="I18" s="214">
        <v>227.24</v>
      </c>
      <c r="J18" s="214">
        <v>204.91</v>
      </c>
      <c r="K18" s="214">
        <v>251.79</v>
      </c>
      <c r="L18" s="214">
        <v>235.74</v>
      </c>
      <c r="M18" s="214">
        <v>274.8</v>
      </c>
      <c r="N18" s="214">
        <v>245.34</v>
      </c>
      <c r="O18" s="214">
        <v>235.12</v>
      </c>
      <c r="P18" s="81">
        <f t="shared" si="0"/>
        <v>2646.69</v>
      </c>
      <c r="Q18" s="65">
        <f t="shared" si="1"/>
        <v>220.5575</v>
      </c>
      <c r="R18" s="65">
        <f t="shared" si="2"/>
        <v>7.2512054794520546</v>
      </c>
    </row>
    <row r="19" spans="1:18" s="77" customFormat="1" ht="17.25" customHeight="1" x14ac:dyDescent="0.25">
      <c r="A19" s="212" t="s">
        <v>32</v>
      </c>
      <c r="B19" s="213" t="s">
        <v>105</v>
      </c>
      <c r="C19" s="212" t="s">
        <v>264</v>
      </c>
      <c r="D19" s="285">
        <v>257.31</v>
      </c>
      <c r="E19" s="285">
        <v>226.34</v>
      </c>
      <c r="F19" s="214">
        <v>211.24</v>
      </c>
      <c r="G19" s="214">
        <v>150.16</v>
      </c>
      <c r="H19" s="214">
        <v>174.8</v>
      </c>
      <c r="I19" s="214">
        <v>217.13</v>
      </c>
      <c r="J19" s="214">
        <v>221.3</v>
      </c>
      <c r="K19" s="214">
        <v>276</v>
      </c>
      <c r="L19" s="214">
        <v>281.91000000000003</v>
      </c>
      <c r="M19" s="214">
        <v>303.88</v>
      </c>
      <c r="N19" s="214">
        <v>278.33999999999997</v>
      </c>
      <c r="O19" s="214">
        <v>296.18</v>
      </c>
      <c r="P19" s="81">
        <f t="shared" si="0"/>
        <v>2894.59</v>
      </c>
      <c r="Q19" s="65">
        <f t="shared" si="1"/>
        <v>241.21583333333334</v>
      </c>
      <c r="R19" s="65">
        <f t="shared" si="2"/>
        <v>7.9303835616438363</v>
      </c>
    </row>
    <row r="20" spans="1:18" s="77" customFormat="1" ht="17.25" customHeight="1" x14ac:dyDescent="0.25">
      <c r="A20" s="212" t="s">
        <v>32</v>
      </c>
      <c r="B20" s="213" t="s">
        <v>106</v>
      </c>
      <c r="C20" s="212" t="s">
        <v>264</v>
      </c>
      <c r="D20" s="214">
        <v>100.22</v>
      </c>
      <c r="E20" s="214">
        <v>92.63</v>
      </c>
      <c r="F20" s="214">
        <v>99.24</v>
      </c>
      <c r="G20" s="214">
        <v>98.19</v>
      </c>
      <c r="H20" s="214">
        <v>103.87</v>
      </c>
      <c r="I20" s="214">
        <v>112.79</v>
      </c>
      <c r="J20" s="214">
        <v>111.09</v>
      </c>
      <c r="K20" s="214">
        <v>119.93</v>
      </c>
      <c r="L20" s="214">
        <v>114.68</v>
      </c>
      <c r="M20" s="214">
        <v>121.16</v>
      </c>
      <c r="N20" s="214">
        <v>111.5</v>
      </c>
      <c r="O20" s="285">
        <v>118.3</v>
      </c>
      <c r="P20" s="81">
        <f t="shared" si="0"/>
        <v>1303.6000000000001</v>
      </c>
      <c r="Q20" s="65">
        <f t="shared" si="1"/>
        <v>108.63333333333334</v>
      </c>
      <c r="R20" s="65">
        <f t="shared" si="2"/>
        <v>3.5715068493150688</v>
      </c>
    </row>
    <row r="21" spans="1:18" s="77" customFormat="1" ht="17.25" customHeight="1" x14ac:dyDescent="0.25">
      <c r="A21" s="212" t="s">
        <v>32</v>
      </c>
      <c r="B21" s="213" t="s">
        <v>107</v>
      </c>
      <c r="C21" s="212" t="s">
        <v>264</v>
      </c>
      <c r="D21" s="214">
        <v>137.41999999999999</v>
      </c>
      <c r="E21" s="214">
        <v>128.41</v>
      </c>
      <c r="F21" s="214">
        <v>139.66999999999999</v>
      </c>
      <c r="G21" s="214">
        <v>147.06</v>
      </c>
      <c r="H21" s="214">
        <v>155.9</v>
      </c>
      <c r="I21" s="214">
        <v>164.86</v>
      </c>
      <c r="J21" s="214">
        <v>158.54</v>
      </c>
      <c r="K21" s="214">
        <v>180.46</v>
      </c>
      <c r="L21" s="214">
        <v>161.26</v>
      </c>
      <c r="M21" s="214">
        <v>175.85</v>
      </c>
      <c r="N21" s="214">
        <v>161.72</v>
      </c>
      <c r="O21" s="214">
        <v>166.1</v>
      </c>
      <c r="P21" s="81">
        <f t="shared" si="0"/>
        <v>1877.2499999999998</v>
      </c>
      <c r="Q21" s="65">
        <f t="shared" si="1"/>
        <v>156.43749999999997</v>
      </c>
      <c r="R21" s="65">
        <f t="shared" si="2"/>
        <v>5.1431506849315065</v>
      </c>
    </row>
    <row r="22" spans="1:18" s="77" customFormat="1" ht="17.25" customHeight="1" x14ac:dyDescent="0.25">
      <c r="A22" s="212" t="s">
        <v>32</v>
      </c>
      <c r="B22" s="213" t="s">
        <v>108</v>
      </c>
      <c r="C22" s="212" t="s">
        <v>264</v>
      </c>
      <c r="D22" s="214">
        <v>40.14</v>
      </c>
      <c r="E22" s="214">
        <v>35.630000000000003</v>
      </c>
      <c r="F22" s="214">
        <v>37.35</v>
      </c>
      <c r="G22" s="214">
        <v>38.64</v>
      </c>
      <c r="H22" s="214">
        <v>42.83</v>
      </c>
      <c r="I22" s="214">
        <v>38.99</v>
      </c>
      <c r="J22" s="214">
        <v>41.41</v>
      </c>
      <c r="K22" s="214">
        <v>47.7</v>
      </c>
      <c r="L22" s="214">
        <v>43.16</v>
      </c>
      <c r="M22" s="214">
        <v>46.03</v>
      </c>
      <c r="N22" s="214">
        <v>42.77</v>
      </c>
      <c r="O22" s="214">
        <v>41.47</v>
      </c>
      <c r="P22" s="81">
        <f t="shared" si="0"/>
        <v>496.12</v>
      </c>
      <c r="Q22" s="65">
        <f t="shared" si="1"/>
        <v>41.343333333333334</v>
      </c>
      <c r="R22" s="65">
        <f t="shared" si="2"/>
        <v>1.3592328767123287</v>
      </c>
    </row>
    <row r="23" spans="1:18" s="77" customFormat="1" ht="17.25" customHeight="1" x14ac:dyDescent="0.25">
      <c r="A23" s="212" t="s">
        <v>32</v>
      </c>
      <c r="B23" s="213" t="s">
        <v>110</v>
      </c>
      <c r="C23" s="212" t="s">
        <v>264</v>
      </c>
      <c r="D23" s="214">
        <v>149.4</v>
      </c>
      <c r="E23" s="214">
        <v>134.66999999999999</v>
      </c>
      <c r="F23" s="214">
        <v>140.18</v>
      </c>
      <c r="G23" s="214">
        <v>128.91</v>
      </c>
      <c r="H23" s="214">
        <v>134.47999999999999</v>
      </c>
      <c r="I23" s="214">
        <v>149.11000000000001</v>
      </c>
      <c r="J23" s="214">
        <v>156.94999999999999</v>
      </c>
      <c r="K23" s="214">
        <v>175.09</v>
      </c>
      <c r="L23" s="214">
        <v>166.43</v>
      </c>
      <c r="M23" s="214">
        <v>181.54</v>
      </c>
      <c r="N23" s="214">
        <v>172.16</v>
      </c>
      <c r="O23" s="214">
        <v>158.59</v>
      </c>
      <c r="P23" s="81">
        <f t="shared" si="0"/>
        <v>1847.51</v>
      </c>
      <c r="Q23" s="65">
        <f t="shared" si="1"/>
        <v>153.95916666666668</v>
      </c>
      <c r="R23" s="65">
        <f t="shared" si="2"/>
        <v>5.0616712328767122</v>
      </c>
    </row>
    <row r="24" spans="1:18" s="77" customFormat="1" ht="17.25" customHeight="1" x14ac:dyDescent="0.25">
      <c r="A24" s="212" t="s">
        <v>32</v>
      </c>
      <c r="B24" s="213" t="s">
        <v>114</v>
      </c>
      <c r="C24" s="212" t="s">
        <v>264</v>
      </c>
      <c r="D24" s="214">
        <v>319.27</v>
      </c>
      <c r="E24" s="214">
        <v>272.31</v>
      </c>
      <c r="F24" s="214">
        <v>299.07</v>
      </c>
      <c r="G24" s="214">
        <v>266.79000000000002</v>
      </c>
      <c r="H24" s="214">
        <v>280.32</v>
      </c>
      <c r="I24" s="214">
        <v>323.13</v>
      </c>
      <c r="J24" s="214">
        <v>316.17</v>
      </c>
      <c r="K24" s="216">
        <v>361.16</v>
      </c>
      <c r="L24" s="214">
        <v>356.13</v>
      </c>
      <c r="M24" s="214">
        <v>372.29</v>
      </c>
      <c r="N24" s="214">
        <v>355.3</v>
      </c>
      <c r="O24" s="214">
        <v>377.44</v>
      </c>
      <c r="P24" s="81">
        <f t="shared" si="0"/>
        <v>3899.38</v>
      </c>
      <c r="Q24" s="65">
        <f t="shared" si="1"/>
        <v>324.94833333333332</v>
      </c>
      <c r="R24" s="65">
        <f t="shared" si="2"/>
        <v>10.68323287671233</v>
      </c>
    </row>
    <row r="25" spans="1:18" s="77" customFormat="1" ht="17.25" customHeight="1" x14ac:dyDescent="0.25">
      <c r="A25" s="212" t="s">
        <v>32</v>
      </c>
      <c r="B25" s="212" t="s">
        <v>154</v>
      </c>
      <c r="C25" s="212" t="s">
        <v>264</v>
      </c>
      <c r="D25" s="214">
        <v>43.13</v>
      </c>
      <c r="E25" s="214">
        <v>34.29</v>
      </c>
      <c r="F25" s="214">
        <v>36.44</v>
      </c>
      <c r="G25" s="214">
        <v>37.79</v>
      </c>
      <c r="H25" s="214">
        <v>35.03</v>
      </c>
      <c r="I25" s="214">
        <v>38.43</v>
      </c>
      <c r="J25" s="214">
        <v>37.03</v>
      </c>
      <c r="K25" s="214">
        <v>41.67</v>
      </c>
      <c r="L25" s="214">
        <v>41.29</v>
      </c>
      <c r="M25" s="214">
        <v>42.14</v>
      </c>
      <c r="N25" s="214">
        <v>40.880000000000003</v>
      </c>
      <c r="O25" s="214">
        <v>45.78</v>
      </c>
      <c r="P25" s="81">
        <f t="shared" si="0"/>
        <v>473.9</v>
      </c>
      <c r="Q25" s="65">
        <f t="shared" si="1"/>
        <v>39.491666666666667</v>
      </c>
      <c r="R25" s="65">
        <f t="shared" si="2"/>
        <v>1.2983561643835615</v>
      </c>
    </row>
    <row r="26" spans="1:18" s="77" customFormat="1" ht="17.25" customHeight="1" x14ac:dyDescent="0.25">
      <c r="A26" s="212" t="s">
        <v>32</v>
      </c>
      <c r="B26" s="213" t="s">
        <v>116</v>
      </c>
      <c r="C26" s="212" t="s">
        <v>264</v>
      </c>
      <c r="D26" s="94">
        <v>162.69999999999999</v>
      </c>
      <c r="E26" s="214">
        <v>139.53</v>
      </c>
      <c r="F26" s="214">
        <v>146.30000000000001</v>
      </c>
      <c r="G26" s="214">
        <v>143.57</v>
      </c>
      <c r="H26" s="214">
        <v>147.94</v>
      </c>
      <c r="I26" s="214">
        <v>156.58000000000001</v>
      </c>
      <c r="J26" s="214">
        <v>154.02000000000001</v>
      </c>
      <c r="K26" s="214">
        <v>166.84</v>
      </c>
      <c r="L26" s="214">
        <v>161.94</v>
      </c>
      <c r="M26" s="214">
        <v>166.7</v>
      </c>
      <c r="N26" s="214">
        <v>158.33000000000001</v>
      </c>
      <c r="O26" s="214">
        <v>169.32</v>
      </c>
      <c r="P26" s="81">
        <f t="shared" si="0"/>
        <v>1873.77</v>
      </c>
      <c r="Q26" s="65">
        <f t="shared" si="1"/>
        <v>156.14750000000001</v>
      </c>
      <c r="R26" s="65">
        <f t="shared" si="2"/>
        <v>5.1336164383561647</v>
      </c>
    </row>
    <row r="27" spans="1:18" s="83" customFormat="1" ht="17.25" customHeight="1" x14ac:dyDescent="0.25">
      <c r="A27" s="212" t="s">
        <v>32</v>
      </c>
      <c r="B27" s="213" t="s">
        <v>145</v>
      </c>
      <c r="C27" s="212" t="s">
        <v>264</v>
      </c>
      <c r="D27" s="214">
        <v>18.96</v>
      </c>
      <c r="E27" s="214">
        <v>15.68</v>
      </c>
      <c r="F27" s="214">
        <v>18.309999999999999</v>
      </c>
      <c r="G27" s="214">
        <v>17.62</v>
      </c>
      <c r="H27" s="214">
        <v>21.63</v>
      </c>
      <c r="I27" s="214">
        <v>21.84</v>
      </c>
      <c r="J27" s="214">
        <v>20.53</v>
      </c>
      <c r="K27" s="214">
        <v>22.82</v>
      </c>
      <c r="L27" s="214">
        <v>18.11</v>
      </c>
      <c r="M27" s="214">
        <v>20.29</v>
      </c>
      <c r="N27" s="214">
        <v>20.059999999999999</v>
      </c>
      <c r="O27" s="214">
        <v>19.23</v>
      </c>
      <c r="P27" s="81">
        <f t="shared" si="0"/>
        <v>235.07999999999998</v>
      </c>
      <c r="Q27" s="65">
        <f t="shared" si="1"/>
        <v>19.59</v>
      </c>
      <c r="R27" s="65">
        <f t="shared" si="2"/>
        <v>0.64405479452054792</v>
      </c>
    </row>
    <row r="28" spans="1:18" s="85" customFormat="1" ht="17.25" customHeight="1" x14ac:dyDescent="0.25">
      <c r="A28" s="212" t="s">
        <v>19</v>
      </c>
      <c r="B28" s="213" t="s">
        <v>97</v>
      </c>
      <c r="C28" s="212" t="s">
        <v>264</v>
      </c>
      <c r="D28" s="214">
        <v>362.77</v>
      </c>
      <c r="E28" s="214">
        <v>326.25</v>
      </c>
      <c r="F28" s="214">
        <v>367.82</v>
      </c>
      <c r="G28" s="214">
        <v>368.29</v>
      </c>
      <c r="H28" s="214">
        <v>393.06</v>
      </c>
      <c r="I28" s="214">
        <v>469.41</v>
      </c>
      <c r="J28" s="214">
        <v>448.95</v>
      </c>
      <c r="K28" s="214">
        <v>462.61</v>
      </c>
      <c r="L28" s="214">
        <v>442.44</v>
      </c>
      <c r="M28" s="214">
        <v>420.53</v>
      </c>
      <c r="N28" s="214">
        <v>401.1</v>
      </c>
      <c r="O28" s="214">
        <v>420.27</v>
      </c>
      <c r="P28" s="81">
        <f t="shared" si="0"/>
        <v>4883.5</v>
      </c>
      <c r="Q28" s="65">
        <f t="shared" si="1"/>
        <v>406.95833333333331</v>
      </c>
      <c r="R28" s="65">
        <f t="shared" si="2"/>
        <v>13.37945205479452</v>
      </c>
    </row>
    <row r="29" spans="1:18" s="85" customFormat="1" ht="17.25" customHeight="1" x14ac:dyDescent="0.25">
      <c r="A29" s="212" t="s">
        <v>19</v>
      </c>
      <c r="B29" s="213" t="s">
        <v>98</v>
      </c>
      <c r="C29" s="212" t="s">
        <v>264</v>
      </c>
      <c r="D29" s="214">
        <v>189.61</v>
      </c>
      <c r="E29" s="214">
        <v>171.07</v>
      </c>
      <c r="F29" s="214">
        <v>148.9</v>
      </c>
      <c r="G29" s="214">
        <v>102.57</v>
      </c>
      <c r="H29" s="214">
        <v>117.15</v>
      </c>
      <c r="I29" s="214">
        <v>129.61000000000001</v>
      </c>
      <c r="J29" s="214">
        <v>122.72</v>
      </c>
      <c r="K29" s="214">
        <v>165.26</v>
      </c>
      <c r="L29" s="214">
        <v>168.13</v>
      </c>
      <c r="M29" s="214">
        <v>183.63</v>
      </c>
      <c r="N29" s="214">
        <v>180.38</v>
      </c>
      <c r="O29" s="214">
        <v>195.38</v>
      </c>
      <c r="P29" s="81">
        <f t="shared" si="0"/>
        <v>1874.4100000000003</v>
      </c>
      <c r="Q29" s="65">
        <f t="shared" si="1"/>
        <v>156.20083333333335</v>
      </c>
      <c r="R29" s="65">
        <f t="shared" si="2"/>
        <v>5.1353698630136995</v>
      </c>
    </row>
    <row r="30" spans="1:18" s="85" customFormat="1" ht="17.25" customHeight="1" x14ac:dyDescent="0.25">
      <c r="A30" s="212" t="s">
        <v>19</v>
      </c>
      <c r="B30" s="213" t="s">
        <v>109</v>
      </c>
      <c r="C30" s="212" t="s">
        <v>264</v>
      </c>
      <c r="D30" s="214">
        <v>151.04</v>
      </c>
      <c r="E30" s="214">
        <v>139.25</v>
      </c>
      <c r="F30" s="214">
        <v>155.61000000000001</v>
      </c>
      <c r="G30" s="214">
        <v>160.46</v>
      </c>
      <c r="H30" s="214">
        <v>169.27</v>
      </c>
      <c r="I30" s="214">
        <v>187.38</v>
      </c>
      <c r="J30" s="214">
        <v>192.18</v>
      </c>
      <c r="K30" s="214">
        <v>194.52</v>
      </c>
      <c r="L30" s="214">
        <v>193.83</v>
      </c>
      <c r="M30" s="214">
        <v>188.51</v>
      </c>
      <c r="N30" s="214">
        <v>172.2</v>
      </c>
      <c r="O30" s="214">
        <v>170.53</v>
      </c>
      <c r="P30" s="81">
        <f t="shared" si="0"/>
        <v>2074.7800000000002</v>
      </c>
      <c r="Q30" s="65">
        <f t="shared" si="1"/>
        <v>172.89833333333334</v>
      </c>
      <c r="R30" s="65">
        <f t="shared" si="2"/>
        <v>5.6843287671232883</v>
      </c>
    </row>
    <row r="31" spans="1:18" s="85" customFormat="1" ht="17.25" customHeight="1" x14ac:dyDescent="0.25">
      <c r="A31" s="212" t="s">
        <v>19</v>
      </c>
      <c r="B31" s="213" t="s">
        <v>112</v>
      </c>
      <c r="C31" s="212" t="s">
        <v>264</v>
      </c>
      <c r="D31" s="214">
        <v>912.65</v>
      </c>
      <c r="E31" s="214">
        <v>788.67</v>
      </c>
      <c r="F31" s="214">
        <v>726.75</v>
      </c>
      <c r="G31" s="214">
        <v>481.43</v>
      </c>
      <c r="H31" s="214">
        <v>567.41999999999996</v>
      </c>
      <c r="I31" s="214">
        <v>666.68</v>
      </c>
      <c r="J31" s="214">
        <v>703.81</v>
      </c>
      <c r="K31" s="214">
        <v>839.95</v>
      </c>
      <c r="L31" s="214">
        <v>852.07</v>
      </c>
      <c r="M31" s="214">
        <v>982.89</v>
      </c>
      <c r="N31" s="214">
        <v>874.86</v>
      </c>
      <c r="O31" s="214">
        <v>980.7</v>
      </c>
      <c r="P31" s="81">
        <f t="shared" si="0"/>
        <v>9377.880000000001</v>
      </c>
      <c r="Q31" s="65">
        <f t="shared" si="1"/>
        <v>781.49000000000012</v>
      </c>
      <c r="R31" s="65">
        <f t="shared" si="2"/>
        <v>25.692821917808221</v>
      </c>
    </row>
    <row r="32" spans="1:18" s="84" customFormat="1" ht="17.25" customHeight="1" x14ac:dyDescent="0.25">
      <c r="A32" s="212" t="s">
        <v>19</v>
      </c>
      <c r="B32" s="213" t="s">
        <v>115</v>
      </c>
      <c r="C32" s="212" t="s">
        <v>264</v>
      </c>
      <c r="D32" s="214">
        <v>34.39</v>
      </c>
      <c r="E32" s="214">
        <v>29.6</v>
      </c>
      <c r="F32" s="214">
        <v>28.87</v>
      </c>
      <c r="G32" s="214">
        <v>28.72</v>
      </c>
      <c r="H32" s="214">
        <v>29.66</v>
      </c>
      <c r="I32" s="214">
        <v>32.619999999999997</v>
      </c>
      <c r="J32" s="214">
        <v>34.729999999999997</v>
      </c>
      <c r="K32" s="214">
        <v>38.729999999999997</v>
      </c>
      <c r="L32" s="214">
        <v>36.61</v>
      </c>
      <c r="M32" s="214">
        <v>36.53</v>
      </c>
      <c r="N32" s="214">
        <v>33.07</v>
      </c>
      <c r="O32" s="214">
        <v>37.25</v>
      </c>
      <c r="P32" s="81">
        <f t="shared" si="0"/>
        <v>400.78000000000003</v>
      </c>
      <c r="Q32" s="65">
        <f t="shared" si="1"/>
        <v>33.398333333333333</v>
      </c>
      <c r="R32" s="65">
        <f t="shared" si="2"/>
        <v>1.0980273972602741</v>
      </c>
    </row>
    <row r="33" spans="1:18" s="85" customFormat="1" ht="17.25" customHeight="1" x14ac:dyDescent="0.25">
      <c r="A33" s="212" t="s">
        <v>19</v>
      </c>
      <c r="B33" s="213" t="s">
        <v>117</v>
      </c>
      <c r="C33" s="212" t="s">
        <v>264</v>
      </c>
      <c r="D33" s="214">
        <v>65.39</v>
      </c>
      <c r="E33" s="214">
        <v>58.67</v>
      </c>
      <c r="F33" s="214">
        <v>60.91</v>
      </c>
      <c r="G33" s="214">
        <v>61.48</v>
      </c>
      <c r="H33" s="214">
        <v>71.900000000000006</v>
      </c>
      <c r="I33" s="214">
        <v>71.05</v>
      </c>
      <c r="J33" s="214">
        <v>78.25</v>
      </c>
      <c r="K33" s="214">
        <v>81.33</v>
      </c>
      <c r="L33" s="214">
        <v>76.12</v>
      </c>
      <c r="M33" s="214">
        <v>74.67</v>
      </c>
      <c r="N33" s="214">
        <v>66.27</v>
      </c>
      <c r="O33" s="214">
        <v>66.680000000000007</v>
      </c>
      <c r="P33" s="81">
        <f t="shared" si="0"/>
        <v>832.72</v>
      </c>
      <c r="Q33" s="65">
        <f t="shared" si="1"/>
        <v>69.393333333333331</v>
      </c>
      <c r="R33" s="65">
        <f t="shared" si="2"/>
        <v>2.2814246575342465</v>
      </c>
    </row>
    <row r="34" spans="1:18" s="85" customFormat="1" ht="17.25" customHeight="1" x14ac:dyDescent="0.25">
      <c r="A34" s="212" t="s">
        <v>19</v>
      </c>
      <c r="B34" s="213" t="s">
        <v>144</v>
      </c>
      <c r="C34" s="212" t="s">
        <v>264</v>
      </c>
      <c r="D34" s="214">
        <v>51.49</v>
      </c>
      <c r="E34" s="214">
        <v>42.77</v>
      </c>
      <c r="F34" s="214">
        <v>49.06</v>
      </c>
      <c r="G34" s="214">
        <v>46.31</v>
      </c>
      <c r="H34" s="214">
        <v>57.79</v>
      </c>
      <c r="I34" s="214">
        <v>61.07</v>
      </c>
      <c r="J34" s="214">
        <v>62.07</v>
      </c>
      <c r="K34" s="214">
        <v>64.25</v>
      </c>
      <c r="L34" s="214">
        <v>53.95</v>
      </c>
      <c r="M34" s="214">
        <v>53.02</v>
      </c>
      <c r="N34" s="214">
        <v>49.8</v>
      </c>
      <c r="O34" s="214">
        <v>47.9</v>
      </c>
      <c r="P34" s="81">
        <f t="shared" si="0"/>
        <v>639.4799999999999</v>
      </c>
      <c r="Q34" s="65">
        <f t="shared" si="1"/>
        <v>53.289999999999992</v>
      </c>
      <c r="R34" s="65">
        <f t="shared" si="2"/>
        <v>1.7519999999999998</v>
      </c>
    </row>
    <row r="35" spans="1:18" s="85" customFormat="1" ht="17.25" customHeight="1" x14ac:dyDescent="0.25">
      <c r="A35" s="212" t="s">
        <v>19</v>
      </c>
      <c r="B35" s="212" t="s">
        <v>155</v>
      </c>
      <c r="C35" s="212" t="s">
        <v>264</v>
      </c>
      <c r="D35" s="214">
        <v>4794.8100000000004</v>
      </c>
      <c r="E35" s="214">
        <v>4374.99</v>
      </c>
      <c r="F35" s="214">
        <v>4192.54</v>
      </c>
      <c r="G35" s="214">
        <v>3551.92</v>
      </c>
      <c r="H35" s="214">
        <v>3891.26</v>
      </c>
      <c r="I35" s="214">
        <v>4736.67</v>
      </c>
      <c r="J35" s="214">
        <v>4826.41</v>
      </c>
      <c r="K35" s="214">
        <v>5033.88</v>
      </c>
      <c r="L35" s="214">
        <v>5148.95</v>
      </c>
      <c r="M35" s="214">
        <v>5443.97</v>
      </c>
      <c r="N35" s="214">
        <v>4849.74</v>
      </c>
      <c r="O35" s="214">
        <v>4991.38</v>
      </c>
      <c r="P35" s="81">
        <f t="shared" si="0"/>
        <v>55836.52</v>
      </c>
      <c r="Q35" s="65">
        <f t="shared" si="1"/>
        <v>4653.0433333333331</v>
      </c>
      <c r="R35" s="65">
        <f t="shared" si="2"/>
        <v>152.97676712328766</v>
      </c>
    </row>
    <row r="36" spans="1:18" s="85" customFormat="1" ht="17.25" customHeight="1" x14ac:dyDescent="0.25">
      <c r="A36" s="218" t="s">
        <v>32</v>
      </c>
      <c r="B36" s="217" t="s">
        <v>368</v>
      </c>
      <c r="C36" s="212" t="s">
        <v>264</v>
      </c>
      <c r="D36" s="214">
        <v>0</v>
      </c>
      <c r="E36" s="214">
        <v>0</v>
      </c>
      <c r="F36" s="214">
        <v>0</v>
      </c>
      <c r="G36" s="214">
        <v>15.6</v>
      </c>
      <c r="H36" s="214">
        <v>0</v>
      </c>
      <c r="I36" s="214">
        <v>0</v>
      </c>
      <c r="J36" s="214">
        <v>0</v>
      </c>
      <c r="K36" s="214">
        <v>0</v>
      </c>
      <c r="L36" s="214">
        <v>0</v>
      </c>
      <c r="M36" s="214">
        <v>0</v>
      </c>
      <c r="N36" s="214">
        <v>0</v>
      </c>
      <c r="O36" s="214">
        <v>0</v>
      </c>
      <c r="P36" s="81">
        <f t="shared" si="0"/>
        <v>15.6</v>
      </c>
      <c r="Q36" s="65">
        <f t="shared" si="1"/>
        <v>1.3</v>
      </c>
      <c r="R36" s="65">
        <f t="shared" si="2"/>
        <v>4.2739726027397257E-2</v>
      </c>
    </row>
    <row r="37" spans="1:18" s="85" customFormat="1" ht="17.25" customHeight="1" x14ac:dyDescent="0.25">
      <c r="A37" s="218" t="s">
        <v>32</v>
      </c>
      <c r="B37" s="286" t="s">
        <v>369</v>
      </c>
      <c r="C37" s="212" t="s">
        <v>264</v>
      </c>
      <c r="D37" s="219">
        <v>14.93</v>
      </c>
      <c r="E37" s="219">
        <v>19.440000000000001</v>
      </c>
      <c r="F37" s="219">
        <v>12.46</v>
      </c>
      <c r="G37" s="219">
        <v>10.52</v>
      </c>
      <c r="H37" s="219">
        <v>0</v>
      </c>
      <c r="I37" s="219">
        <v>0</v>
      </c>
      <c r="J37" s="219">
        <v>7.57</v>
      </c>
      <c r="K37" s="219">
        <v>16.809999999999999</v>
      </c>
      <c r="L37" s="219">
        <v>26.73</v>
      </c>
      <c r="M37" s="219">
        <v>28.3</v>
      </c>
      <c r="N37" s="219">
        <v>33.020000000000003</v>
      </c>
      <c r="O37" s="219">
        <v>55.73</v>
      </c>
      <c r="P37" s="81">
        <f t="shared" si="0"/>
        <v>225.51000000000002</v>
      </c>
      <c r="Q37" s="65">
        <f t="shared" si="1"/>
        <v>18.7925</v>
      </c>
      <c r="R37" s="65">
        <f t="shared" si="2"/>
        <v>0.61783561643835627</v>
      </c>
    </row>
    <row r="38" spans="1:18" s="85" customFormat="1" ht="17.25" customHeight="1" x14ac:dyDescent="0.25">
      <c r="A38" s="218" t="s">
        <v>32</v>
      </c>
      <c r="B38" s="286" t="s">
        <v>370</v>
      </c>
      <c r="C38" s="212" t="s">
        <v>264</v>
      </c>
      <c r="D38" s="214">
        <v>0</v>
      </c>
      <c r="E38" s="214">
        <v>0</v>
      </c>
      <c r="F38" s="214">
        <v>0</v>
      </c>
      <c r="G38" s="214">
        <v>0</v>
      </c>
      <c r="H38" s="214">
        <v>0</v>
      </c>
      <c r="I38" s="214">
        <v>0</v>
      </c>
      <c r="J38" s="214">
        <v>0</v>
      </c>
      <c r="K38" s="219">
        <v>1.1599999999999999</v>
      </c>
      <c r="L38" s="214">
        <v>0</v>
      </c>
      <c r="M38" s="214">
        <v>0</v>
      </c>
      <c r="N38" s="214">
        <v>0</v>
      </c>
      <c r="O38" s="214">
        <v>0</v>
      </c>
      <c r="P38" s="81">
        <f t="shared" si="0"/>
        <v>1.1599999999999999</v>
      </c>
      <c r="Q38" s="65">
        <f t="shared" si="1"/>
        <v>9.6666666666666665E-2</v>
      </c>
      <c r="R38" s="65">
        <f t="shared" si="2"/>
        <v>3.1780821917808217E-3</v>
      </c>
    </row>
    <row r="39" spans="1:18" s="134" customFormat="1" ht="17.25" customHeight="1" x14ac:dyDescent="0.25">
      <c r="A39" s="218" t="s">
        <v>19</v>
      </c>
      <c r="B39" s="218" t="s">
        <v>258</v>
      </c>
      <c r="C39" s="218" t="s">
        <v>264</v>
      </c>
      <c r="D39" s="218">
        <v>34.03</v>
      </c>
      <c r="E39" s="219">
        <v>39.07</v>
      </c>
      <c r="F39" s="219">
        <v>72.97</v>
      </c>
      <c r="G39" s="219">
        <v>109.92</v>
      </c>
      <c r="H39" s="219">
        <v>67.7</v>
      </c>
      <c r="I39" s="219">
        <v>17.79</v>
      </c>
      <c r="J39" s="219">
        <v>61.38</v>
      </c>
      <c r="K39" s="219">
        <v>43.96</v>
      </c>
      <c r="L39" s="220">
        <v>53.36</v>
      </c>
      <c r="M39" s="219">
        <v>61.37</v>
      </c>
      <c r="N39" s="219">
        <v>41.57</v>
      </c>
      <c r="O39" s="219">
        <v>61.55</v>
      </c>
      <c r="P39" s="86">
        <f t="shared" si="0"/>
        <v>664.67</v>
      </c>
      <c r="Q39" s="65">
        <f t="shared" si="1"/>
        <v>55.389166666666661</v>
      </c>
      <c r="R39" s="65">
        <f t="shared" si="2"/>
        <v>1.8210136986301368</v>
      </c>
    </row>
    <row r="40" spans="1:18" s="85" customFormat="1" ht="17.25" customHeight="1" x14ac:dyDescent="0.25">
      <c r="A40" s="221"/>
      <c r="B40" s="222" t="s">
        <v>64</v>
      </c>
      <c r="C40" s="222"/>
      <c r="D40" s="223">
        <f t="shared" ref="D40:O40" si="3">SUM(D7:D39)</f>
        <v>11981.94</v>
      </c>
      <c r="E40" s="223">
        <f t="shared" si="3"/>
        <v>10737.980000000001</v>
      </c>
      <c r="F40" s="223">
        <f t="shared" si="3"/>
        <v>10828.159999999998</v>
      </c>
      <c r="G40" s="223">
        <f t="shared" si="3"/>
        <v>9732.9200000000019</v>
      </c>
      <c r="H40" s="223">
        <f t="shared" si="3"/>
        <v>10444.279999999999</v>
      </c>
      <c r="I40" s="223">
        <f t="shared" si="3"/>
        <v>12031.029999999999</v>
      </c>
      <c r="J40" s="223">
        <f t="shared" si="3"/>
        <v>12074.389999999998</v>
      </c>
      <c r="K40" s="223">
        <f t="shared" si="3"/>
        <v>13012.569999999998</v>
      </c>
      <c r="L40" s="223">
        <f t="shared" si="3"/>
        <v>12915.399999999998</v>
      </c>
      <c r="M40" s="223">
        <f t="shared" si="3"/>
        <v>13470.220000000003</v>
      </c>
      <c r="N40" s="223">
        <f t="shared" si="3"/>
        <v>12309.910000000002</v>
      </c>
      <c r="O40" s="223">
        <f t="shared" si="3"/>
        <v>12886.489999999998</v>
      </c>
      <c r="P40" s="287">
        <f t="shared" si="0"/>
        <v>142425.28999999998</v>
      </c>
      <c r="Q40" s="65">
        <f t="shared" si="1"/>
        <v>11868.774166666664</v>
      </c>
      <c r="R40" s="65">
        <f t="shared" si="2"/>
        <v>390.20627397260267</v>
      </c>
    </row>
    <row r="41" spans="1:18" s="85" customFormat="1" ht="17.25" customHeight="1" x14ac:dyDescent="0.25">
      <c r="A41" s="224" t="s">
        <v>257</v>
      </c>
      <c r="B41" s="224"/>
      <c r="C41" s="224" t="s">
        <v>264</v>
      </c>
      <c r="D41" s="225"/>
      <c r="E41" s="225"/>
      <c r="F41" s="225"/>
      <c r="G41" s="225"/>
      <c r="H41" s="225"/>
      <c r="I41" s="225"/>
      <c r="J41" s="225"/>
      <c r="K41" s="226"/>
      <c r="L41" s="225"/>
      <c r="M41" s="225"/>
      <c r="N41" s="225"/>
      <c r="O41" s="225"/>
      <c r="P41" s="80">
        <f t="shared" si="0"/>
        <v>0</v>
      </c>
      <c r="Q41" s="65">
        <f t="shared" si="1"/>
        <v>0</v>
      </c>
      <c r="R41" s="65">
        <f t="shared" si="2"/>
        <v>0</v>
      </c>
    </row>
    <row r="42" spans="1:18" s="85" customFormat="1" ht="17.25" customHeight="1" x14ac:dyDescent="0.25">
      <c r="A42" s="224" t="s">
        <v>255</v>
      </c>
      <c r="B42" s="224" t="s">
        <v>371</v>
      </c>
      <c r="C42" s="224" t="s">
        <v>264</v>
      </c>
      <c r="D42" s="225">
        <v>251.86</v>
      </c>
      <c r="E42" s="225">
        <v>246.17</v>
      </c>
      <c r="F42" s="225">
        <v>200.21</v>
      </c>
      <c r="G42" s="225">
        <v>98.68</v>
      </c>
      <c r="H42" s="225">
        <v>78.16</v>
      </c>
      <c r="I42" s="225">
        <v>92.64</v>
      </c>
      <c r="J42" s="225">
        <v>96.93</v>
      </c>
      <c r="K42" s="226">
        <v>111.42</v>
      </c>
      <c r="L42" s="225">
        <v>127.11</v>
      </c>
      <c r="M42" s="225">
        <v>167.18</v>
      </c>
      <c r="N42" s="225">
        <v>160.56</v>
      </c>
      <c r="O42" s="225">
        <v>150.18</v>
      </c>
      <c r="P42" s="81">
        <f t="shared" si="0"/>
        <v>1781.1000000000001</v>
      </c>
      <c r="Q42" s="65">
        <f t="shared" si="1"/>
        <v>148.42500000000001</v>
      </c>
      <c r="R42" s="65">
        <f t="shared" si="2"/>
        <v>4.8797260273972602</v>
      </c>
    </row>
    <row r="43" spans="1:18" s="85" customFormat="1" ht="17.25" customHeight="1" x14ac:dyDescent="0.25">
      <c r="A43" s="212" t="s">
        <v>257</v>
      </c>
      <c r="B43" s="212" t="s">
        <v>313</v>
      </c>
      <c r="C43" s="212" t="s">
        <v>264</v>
      </c>
      <c r="D43" s="214">
        <v>98.97</v>
      </c>
      <c r="E43" s="214">
        <v>78.37</v>
      </c>
      <c r="F43" s="214">
        <v>40.04</v>
      </c>
      <c r="G43" s="214">
        <v>8.57</v>
      </c>
      <c r="H43" s="214">
        <v>17.100000000000001</v>
      </c>
      <c r="I43" s="214">
        <v>36.229999999999997</v>
      </c>
      <c r="J43" s="214">
        <v>89.75</v>
      </c>
      <c r="K43" s="215">
        <v>74.77</v>
      </c>
      <c r="L43" s="214">
        <v>79.25</v>
      </c>
      <c r="M43" s="214">
        <v>127.21</v>
      </c>
      <c r="N43" s="214">
        <v>88.52</v>
      </c>
      <c r="O43" s="214">
        <v>117.58</v>
      </c>
      <c r="P43" s="81">
        <f t="shared" si="0"/>
        <v>856.36</v>
      </c>
      <c r="Q43" s="65">
        <f t="shared" si="1"/>
        <v>71.36333333333333</v>
      </c>
      <c r="R43" s="65">
        <f t="shared" si="2"/>
        <v>2.3461917808219179</v>
      </c>
    </row>
    <row r="44" spans="1:18" s="85" customFormat="1" ht="17.25" customHeight="1" x14ac:dyDescent="0.25">
      <c r="A44" s="212" t="s">
        <v>255</v>
      </c>
      <c r="B44" s="288" t="s">
        <v>372</v>
      </c>
      <c r="C44" s="212" t="s">
        <v>264</v>
      </c>
      <c r="D44" s="214">
        <v>9.35</v>
      </c>
      <c r="E44" s="214">
        <v>6.55</v>
      </c>
      <c r="F44" s="214">
        <v>2.15</v>
      </c>
      <c r="G44" s="214">
        <v>3.22</v>
      </c>
      <c r="H44" s="214">
        <v>4.1500000000000004</v>
      </c>
      <c r="I44" s="214">
        <v>2.78</v>
      </c>
      <c r="J44" s="214">
        <v>2.98</v>
      </c>
      <c r="K44" s="214">
        <v>2.14</v>
      </c>
      <c r="L44" s="214">
        <v>0</v>
      </c>
      <c r="M44" s="214">
        <v>0</v>
      </c>
      <c r="N44" s="214">
        <v>0</v>
      </c>
      <c r="O44" s="214">
        <v>0</v>
      </c>
      <c r="P44" s="81">
        <f t="shared" si="0"/>
        <v>33.319999999999993</v>
      </c>
      <c r="Q44" s="65">
        <f t="shared" si="1"/>
        <v>2.776666666666666</v>
      </c>
      <c r="R44" s="65">
        <f t="shared" si="2"/>
        <v>9.1287671232876691E-2</v>
      </c>
    </row>
    <row r="45" spans="1:18" s="77" customFormat="1" ht="17.25" customHeight="1" x14ac:dyDescent="0.25">
      <c r="A45" s="212" t="s">
        <v>255</v>
      </c>
      <c r="B45" s="212" t="s">
        <v>314</v>
      </c>
      <c r="C45" s="212" t="s">
        <v>264</v>
      </c>
      <c r="D45" s="214">
        <v>52.26</v>
      </c>
      <c r="E45" s="214"/>
      <c r="F45" s="214">
        <v>40.24</v>
      </c>
      <c r="G45" s="214"/>
      <c r="H45" s="214"/>
      <c r="I45" s="214"/>
      <c r="J45" s="214"/>
      <c r="K45" s="214"/>
      <c r="L45" s="214"/>
      <c r="M45" s="214"/>
      <c r="N45" s="214">
        <v>19.84</v>
      </c>
      <c r="O45" s="214">
        <v>34.04</v>
      </c>
      <c r="P45" s="80">
        <f t="shared" si="0"/>
        <v>146.38</v>
      </c>
      <c r="Q45" s="65">
        <f t="shared" si="1"/>
        <v>12.198333333333332</v>
      </c>
      <c r="R45" s="65">
        <f t="shared" si="2"/>
        <v>0.40104109589041093</v>
      </c>
    </row>
    <row r="46" spans="1:18" s="77" customFormat="1" ht="17.25" customHeight="1" x14ac:dyDescent="0.25">
      <c r="A46" s="212" t="s">
        <v>255</v>
      </c>
      <c r="B46" s="212" t="s">
        <v>373</v>
      </c>
      <c r="C46" s="212" t="s">
        <v>264</v>
      </c>
      <c r="D46" s="214">
        <v>22.43</v>
      </c>
      <c r="E46" s="214">
        <v>1.02</v>
      </c>
      <c r="F46" s="214">
        <v>4.6100000000000003</v>
      </c>
      <c r="G46" s="214">
        <v>14.96</v>
      </c>
      <c r="H46" s="214">
        <v>24.16</v>
      </c>
      <c r="I46" s="214">
        <v>23.83</v>
      </c>
      <c r="J46" s="214">
        <v>39.29</v>
      </c>
      <c r="K46" s="214">
        <v>20.72</v>
      </c>
      <c r="L46" s="214">
        <v>39.18</v>
      </c>
      <c r="M46" s="214">
        <v>30.9</v>
      </c>
      <c r="N46" s="214">
        <v>28.43</v>
      </c>
      <c r="O46" s="214">
        <v>19.27</v>
      </c>
      <c r="P46" s="80">
        <f t="shared" si="0"/>
        <v>268.8</v>
      </c>
      <c r="Q46" s="65">
        <f t="shared" si="1"/>
        <v>22.400000000000002</v>
      </c>
      <c r="R46" s="65">
        <f t="shared" si="2"/>
        <v>0.73643835616438358</v>
      </c>
    </row>
    <row r="47" spans="1:18" s="77" customFormat="1" ht="17.25" customHeight="1" x14ac:dyDescent="0.25">
      <c r="A47" s="212" t="s">
        <v>255</v>
      </c>
      <c r="B47" s="213" t="s">
        <v>150</v>
      </c>
      <c r="C47" s="212" t="s">
        <v>264</v>
      </c>
      <c r="D47" s="214">
        <v>15.52</v>
      </c>
      <c r="E47" s="214">
        <v>13.58</v>
      </c>
      <c r="F47" s="214">
        <v>10.02</v>
      </c>
      <c r="G47" s="214">
        <v>4.2699999999999996</v>
      </c>
      <c r="H47" s="214">
        <v>4.76</v>
      </c>
      <c r="I47" s="214">
        <v>5.75</v>
      </c>
      <c r="J47" s="214">
        <v>6.78</v>
      </c>
      <c r="K47" s="214">
        <v>12.37</v>
      </c>
      <c r="L47" s="214">
        <v>12.45</v>
      </c>
      <c r="M47" s="214">
        <v>15.02</v>
      </c>
      <c r="N47" s="214">
        <v>15.94</v>
      </c>
      <c r="O47" s="214">
        <v>19.260000000000002</v>
      </c>
      <c r="P47" s="81">
        <f t="shared" si="0"/>
        <v>135.72</v>
      </c>
      <c r="Q47" s="65">
        <f t="shared" si="1"/>
        <v>11.31</v>
      </c>
      <c r="R47" s="65">
        <f t="shared" si="2"/>
        <v>0.37183561643835616</v>
      </c>
    </row>
    <row r="48" spans="1:18" s="77" customFormat="1" ht="17.25" customHeight="1" x14ac:dyDescent="0.25">
      <c r="A48" s="212" t="s">
        <v>255</v>
      </c>
      <c r="B48" s="212" t="s">
        <v>256</v>
      </c>
      <c r="C48" s="212" t="s">
        <v>264</v>
      </c>
      <c r="D48" s="214">
        <v>0.28000000000000003</v>
      </c>
      <c r="E48" s="214">
        <v>0.56999999999999995</v>
      </c>
      <c r="F48" s="214">
        <v>0.31</v>
      </c>
      <c r="G48" s="214">
        <v>0</v>
      </c>
      <c r="H48" s="214">
        <v>0</v>
      </c>
      <c r="I48" s="214">
        <v>0.56999999999999995</v>
      </c>
      <c r="J48" s="214">
        <v>0</v>
      </c>
      <c r="K48" s="215">
        <v>0</v>
      </c>
      <c r="L48" s="214">
        <v>1.7</v>
      </c>
      <c r="M48" s="214">
        <v>0.78</v>
      </c>
      <c r="N48" s="214">
        <v>0.33</v>
      </c>
      <c r="O48" s="214">
        <v>0.61</v>
      </c>
      <c r="P48" s="81">
        <f t="shared" si="0"/>
        <v>5.15</v>
      </c>
      <c r="Q48" s="65">
        <f t="shared" si="1"/>
        <v>0.4291666666666667</v>
      </c>
      <c r="R48" s="65">
        <f t="shared" si="2"/>
        <v>1.4109589041095891E-2</v>
      </c>
    </row>
    <row r="49" spans="1:18" s="85" customFormat="1" ht="17.25" customHeight="1" x14ac:dyDescent="0.25">
      <c r="A49" s="212" t="s">
        <v>255</v>
      </c>
      <c r="B49" s="288" t="s">
        <v>374</v>
      </c>
      <c r="C49" s="212" t="s">
        <v>264</v>
      </c>
      <c r="D49" s="214">
        <v>0</v>
      </c>
      <c r="E49" s="214">
        <v>9.15</v>
      </c>
      <c r="F49" s="214">
        <v>3.56</v>
      </c>
      <c r="G49" s="214">
        <v>0</v>
      </c>
      <c r="H49" s="214">
        <v>5.34</v>
      </c>
      <c r="I49" s="214">
        <v>0</v>
      </c>
      <c r="J49" s="214">
        <v>5.5</v>
      </c>
      <c r="K49" s="214">
        <v>5.01</v>
      </c>
      <c r="L49" s="214">
        <v>6.2</v>
      </c>
      <c r="M49" s="214">
        <v>6.93</v>
      </c>
      <c r="N49" s="214">
        <v>1.1000000000000001</v>
      </c>
      <c r="O49" s="289">
        <v>3.45</v>
      </c>
      <c r="P49" s="81">
        <f t="shared" si="0"/>
        <v>46.240000000000009</v>
      </c>
      <c r="Q49" s="65">
        <f t="shared" ref="Q49:Q61" si="4">SUM(P49/12)</f>
        <v>3.8533333333333339</v>
      </c>
      <c r="R49" s="65">
        <f t="shared" si="2"/>
        <v>0.12668493150684934</v>
      </c>
    </row>
    <row r="50" spans="1:18" s="85" customFormat="1" ht="17.25" customHeight="1" x14ac:dyDescent="0.25">
      <c r="A50" s="212" t="s">
        <v>255</v>
      </c>
      <c r="B50" s="212" t="s">
        <v>375</v>
      </c>
      <c r="C50" s="212" t="s">
        <v>264</v>
      </c>
      <c r="D50" s="214">
        <v>0</v>
      </c>
      <c r="E50" s="214">
        <v>0.52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14">
        <v>0</v>
      </c>
      <c r="L50" s="214">
        <v>0</v>
      </c>
      <c r="M50" s="214">
        <v>0</v>
      </c>
      <c r="N50" s="214">
        <v>0</v>
      </c>
      <c r="O50" s="214">
        <v>0</v>
      </c>
      <c r="P50" s="86">
        <f t="shared" si="0"/>
        <v>0.52</v>
      </c>
      <c r="Q50" s="65">
        <f t="shared" si="4"/>
        <v>4.3333333333333335E-2</v>
      </c>
      <c r="R50" s="65">
        <f t="shared" si="2"/>
        <v>1.4246575342465753E-3</v>
      </c>
    </row>
    <row r="51" spans="1:18" s="85" customFormat="1" ht="17.25" customHeight="1" x14ac:dyDescent="0.25">
      <c r="A51" s="212" t="s">
        <v>257</v>
      </c>
      <c r="B51" s="212" t="s">
        <v>376</v>
      </c>
      <c r="C51" s="212" t="s">
        <v>264</v>
      </c>
      <c r="D51" s="214">
        <v>3.95</v>
      </c>
      <c r="E51" s="214">
        <v>16.21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5">
        <v>10.210000000000001</v>
      </c>
      <c r="L51" s="214">
        <v>0</v>
      </c>
      <c r="M51" s="214">
        <v>0</v>
      </c>
      <c r="N51" s="214">
        <v>0</v>
      </c>
      <c r="O51" s="214">
        <v>35.49</v>
      </c>
      <c r="P51" s="81">
        <f t="shared" si="0"/>
        <v>65.86</v>
      </c>
      <c r="Q51" s="65">
        <f t="shared" si="4"/>
        <v>5.4883333333333333</v>
      </c>
      <c r="R51" s="65">
        <f t="shared" si="2"/>
        <v>0.18043835616438356</v>
      </c>
    </row>
    <row r="52" spans="1:18" s="85" customFormat="1" ht="17.25" customHeight="1" x14ac:dyDescent="0.25">
      <c r="A52" s="212" t="s">
        <v>255</v>
      </c>
      <c r="B52" s="212" t="s">
        <v>377</v>
      </c>
      <c r="C52" s="212" t="s">
        <v>264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2.25</v>
      </c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81">
        <f t="shared" si="0"/>
        <v>2.25</v>
      </c>
      <c r="Q52" s="65">
        <f t="shared" si="4"/>
        <v>0.1875</v>
      </c>
      <c r="R52" s="65">
        <f t="shared" si="2"/>
        <v>6.1643835616438354E-3</v>
      </c>
    </row>
    <row r="53" spans="1:18" s="85" customFormat="1" ht="17.25" customHeight="1" x14ac:dyDescent="0.25">
      <c r="A53" s="212" t="s">
        <v>255</v>
      </c>
      <c r="B53" s="212" t="s">
        <v>96</v>
      </c>
      <c r="C53" s="212" t="s">
        <v>264</v>
      </c>
      <c r="D53" s="214">
        <v>36.14</v>
      </c>
      <c r="E53" s="214">
        <v>28.35</v>
      </c>
      <c r="F53" s="214">
        <v>19.28</v>
      </c>
      <c r="G53" s="214">
        <v>4.95</v>
      </c>
      <c r="H53" s="214">
        <v>8.7100000000000009</v>
      </c>
      <c r="I53" s="214">
        <v>18.670000000000002</v>
      </c>
      <c r="J53" s="214">
        <v>16.63</v>
      </c>
      <c r="K53" s="214">
        <v>29.74</v>
      </c>
      <c r="L53" s="214">
        <v>14.99</v>
      </c>
      <c r="M53" s="214">
        <v>28.5</v>
      </c>
      <c r="N53" s="214">
        <v>34.549999999999997</v>
      </c>
      <c r="O53" s="214">
        <v>73.39</v>
      </c>
      <c r="P53" s="81">
        <f t="shared" si="0"/>
        <v>313.90000000000003</v>
      </c>
      <c r="Q53" s="65">
        <f t="shared" si="4"/>
        <v>26.158333333333335</v>
      </c>
      <c r="R53" s="65">
        <f t="shared" si="2"/>
        <v>0.8600000000000001</v>
      </c>
    </row>
    <row r="54" spans="1:18" s="77" customFormat="1" ht="17.25" customHeight="1" x14ac:dyDescent="0.25">
      <c r="A54" s="212" t="s">
        <v>255</v>
      </c>
      <c r="B54" s="212" t="s">
        <v>378</v>
      </c>
      <c r="C54" s="212" t="s">
        <v>264</v>
      </c>
      <c r="D54" s="214">
        <v>1.08</v>
      </c>
      <c r="E54" s="214">
        <v>0</v>
      </c>
      <c r="F54" s="214">
        <v>0</v>
      </c>
      <c r="G54" s="214">
        <v>0</v>
      </c>
      <c r="H54" s="214">
        <v>0</v>
      </c>
      <c r="I54" s="214">
        <v>1.25</v>
      </c>
      <c r="J54" s="214">
        <v>1.1000000000000001</v>
      </c>
      <c r="K54" s="214">
        <v>0</v>
      </c>
      <c r="L54" s="214">
        <v>0</v>
      </c>
      <c r="M54" s="214">
        <v>1.18</v>
      </c>
      <c r="N54" s="214">
        <v>1.22</v>
      </c>
      <c r="O54" s="214">
        <v>0</v>
      </c>
      <c r="P54" s="80">
        <f t="shared" si="0"/>
        <v>5.83</v>
      </c>
      <c r="Q54" s="65">
        <f t="shared" si="4"/>
        <v>0.48583333333333334</v>
      </c>
      <c r="R54" s="65">
        <f t="shared" si="2"/>
        <v>1.5972602739726026E-2</v>
      </c>
    </row>
    <row r="55" spans="1:18" s="77" customFormat="1" ht="17.25" customHeight="1" x14ac:dyDescent="0.25">
      <c r="A55" s="212" t="s">
        <v>255</v>
      </c>
      <c r="B55" s="212" t="s">
        <v>379</v>
      </c>
      <c r="C55" s="212" t="s">
        <v>264</v>
      </c>
      <c r="D55" s="214">
        <v>44.75</v>
      </c>
      <c r="E55" s="214">
        <v>41.42</v>
      </c>
      <c r="F55" s="214">
        <v>44.21</v>
      </c>
      <c r="G55" s="214">
        <v>13.21</v>
      </c>
      <c r="H55" s="214">
        <v>2.08</v>
      </c>
      <c r="I55" s="214">
        <v>24.59</v>
      </c>
      <c r="J55" s="214">
        <v>59.42</v>
      </c>
      <c r="K55" s="214">
        <v>51.55</v>
      </c>
      <c r="L55" s="214">
        <v>61.47</v>
      </c>
      <c r="M55" s="214">
        <v>46.19</v>
      </c>
      <c r="N55" s="214">
        <v>36.26</v>
      </c>
      <c r="O55" s="214">
        <v>32.159999999999997</v>
      </c>
      <c r="P55" s="80">
        <f t="shared" si="0"/>
        <v>457.31000000000006</v>
      </c>
      <c r="Q55" s="65">
        <f t="shared" si="4"/>
        <v>38.109166666666674</v>
      </c>
      <c r="R55" s="65">
        <f t="shared" si="2"/>
        <v>1.2529041095890412</v>
      </c>
    </row>
    <row r="56" spans="1:18" s="77" customFormat="1" ht="17.25" customHeight="1" x14ac:dyDescent="0.25">
      <c r="A56" s="212" t="s">
        <v>255</v>
      </c>
      <c r="B56" s="212" t="s">
        <v>380</v>
      </c>
      <c r="C56" s="212" t="s">
        <v>264</v>
      </c>
      <c r="D56" s="214">
        <v>0</v>
      </c>
      <c r="E56" s="214">
        <v>0</v>
      </c>
      <c r="F56" s="214">
        <v>0</v>
      </c>
      <c r="G56" s="214">
        <v>0</v>
      </c>
      <c r="H56" s="214">
        <v>0</v>
      </c>
      <c r="I56" s="214">
        <v>0</v>
      </c>
      <c r="J56" s="214">
        <v>0</v>
      </c>
      <c r="K56" s="214">
        <v>0</v>
      </c>
      <c r="L56" s="214">
        <v>0</v>
      </c>
      <c r="M56" s="214">
        <v>0</v>
      </c>
      <c r="N56" s="214">
        <v>0</v>
      </c>
      <c r="O56" s="214">
        <v>2.52</v>
      </c>
      <c r="P56" s="80">
        <f t="shared" si="0"/>
        <v>2.52</v>
      </c>
      <c r="Q56" s="65">
        <f t="shared" si="4"/>
        <v>0.21</v>
      </c>
      <c r="R56" s="65">
        <f t="shared" si="2"/>
        <v>6.9041095890410957E-3</v>
      </c>
    </row>
    <row r="57" spans="1:18" s="77" customFormat="1" ht="17.25" customHeight="1" x14ac:dyDescent="0.25">
      <c r="A57" s="212" t="s">
        <v>255</v>
      </c>
      <c r="B57" s="212" t="s">
        <v>381</v>
      </c>
      <c r="C57" s="212" t="s">
        <v>264</v>
      </c>
      <c r="D57" s="214">
        <v>0</v>
      </c>
      <c r="E57" s="214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  <c r="K57" s="214">
        <v>0</v>
      </c>
      <c r="L57" s="214">
        <v>0</v>
      </c>
      <c r="M57" s="214">
        <v>0</v>
      </c>
      <c r="N57" s="214">
        <v>0</v>
      </c>
      <c r="O57" s="214">
        <v>15.6</v>
      </c>
      <c r="P57" s="80">
        <f t="shared" si="0"/>
        <v>15.6</v>
      </c>
      <c r="Q57" s="65">
        <f t="shared" si="4"/>
        <v>1.3</v>
      </c>
      <c r="R57" s="65">
        <f t="shared" si="2"/>
        <v>4.2739726027397257E-2</v>
      </c>
    </row>
    <row r="58" spans="1:18" s="77" customFormat="1" ht="17.25" customHeight="1" x14ac:dyDescent="0.25">
      <c r="A58" s="212" t="s">
        <v>255</v>
      </c>
      <c r="B58" s="212" t="s">
        <v>382</v>
      </c>
      <c r="C58" s="212" t="s">
        <v>264</v>
      </c>
      <c r="D58" s="214">
        <v>0</v>
      </c>
      <c r="E58" s="214">
        <v>90.86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14">
        <v>0</v>
      </c>
      <c r="L58" s="214">
        <v>0</v>
      </c>
      <c r="M58" s="214">
        <v>0</v>
      </c>
      <c r="N58" s="214">
        <v>0</v>
      </c>
      <c r="O58" s="214">
        <v>0</v>
      </c>
      <c r="P58" s="80">
        <f t="shared" si="0"/>
        <v>90.86</v>
      </c>
      <c r="Q58" s="65">
        <f t="shared" si="4"/>
        <v>7.5716666666666663</v>
      </c>
      <c r="R58" s="65">
        <f t="shared" si="2"/>
        <v>0.24893150684931506</v>
      </c>
    </row>
    <row r="59" spans="1:18" s="77" customFormat="1" ht="17.25" customHeight="1" x14ac:dyDescent="0.25">
      <c r="A59" s="212" t="s">
        <v>255</v>
      </c>
      <c r="B59" s="212" t="s">
        <v>383</v>
      </c>
      <c r="C59" s="212" t="s">
        <v>264</v>
      </c>
      <c r="D59" s="214">
        <v>0</v>
      </c>
      <c r="E59" s="214">
        <v>0</v>
      </c>
      <c r="F59" s="214">
        <v>0</v>
      </c>
      <c r="G59" s="214">
        <v>0</v>
      </c>
      <c r="H59" s="214">
        <v>0</v>
      </c>
      <c r="I59" s="214">
        <v>0</v>
      </c>
      <c r="J59" s="214">
        <v>0</v>
      </c>
      <c r="K59" s="214">
        <v>0</v>
      </c>
      <c r="L59" s="214">
        <v>0</v>
      </c>
      <c r="M59" s="214">
        <v>80.56</v>
      </c>
      <c r="N59" s="214">
        <v>129.34</v>
      </c>
      <c r="O59" s="214">
        <v>15.05</v>
      </c>
      <c r="P59" s="81">
        <f t="shared" si="0"/>
        <v>224.95000000000002</v>
      </c>
      <c r="Q59" s="65">
        <f t="shared" si="4"/>
        <v>18.745833333333334</v>
      </c>
      <c r="R59" s="65">
        <f t="shared" si="2"/>
        <v>0.61630136986301376</v>
      </c>
    </row>
    <row r="60" spans="1:18" s="77" customFormat="1" ht="17.25" customHeight="1" x14ac:dyDescent="0.25">
      <c r="A60" s="212" t="s">
        <v>255</v>
      </c>
      <c r="B60" s="288" t="s">
        <v>384</v>
      </c>
      <c r="C60" s="212" t="s">
        <v>264</v>
      </c>
      <c r="D60" s="214">
        <v>11.78</v>
      </c>
      <c r="E60" s="214">
        <v>14.6</v>
      </c>
      <c r="F60" s="214">
        <v>6.23</v>
      </c>
      <c r="G60" s="214">
        <v>6.19</v>
      </c>
      <c r="H60" s="214">
        <v>4.8899999999999997</v>
      </c>
      <c r="I60" s="214">
        <v>8.31</v>
      </c>
      <c r="J60" s="214">
        <v>8.98</v>
      </c>
      <c r="K60" s="214">
        <v>5.55</v>
      </c>
      <c r="L60" s="214">
        <v>6.14</v>
      </c>
      <c r="M60" s="214">
        <v>5.4</v>
      </c>
      <c r="N60" s="214">
        <v>5.79</v>
      </c>
      <c r="O60" s="214">
        <v>4.2300000000000004</v>
      </c>
      <c r="P60" s="81">
        <f t="shared" si="0"/>
        <v>88.090000000000018</v>
      </c>
      <c r="Q60" s="65">
        <f t="shared" si="4"/>
        <v>7.3408333333333351</v>
      </c>
      <c r="R60" s="65">
        <f t="shared" si="2"/>
        <v>0.24134246575342472</v>
      </c>
    </row>
    <row r="61" spans="1:18" s="77" customFormat="1" ht="17.25" customHeight="1" x14ac:dyDescent="0.25">
      <c r="A61" s="212" t="s">
        <v>255</v>
      </c>
      <c r="B61" s="288" t="s">
        <v>385</v>
      </c>
      <c r="C61" s="212" t="s">
        <v>264</v>
      </c>
      <c r="D61" s="214">
        <v>4.6500000000000004</v>
      </c>
      <c r="E61" s="214">
        <v>0</v>
      </c>
      <c r="F61" s="214">
        <v>0</v>
      </c>
      <c r="G61" s="214">
        <v>0</v>
      </c>
      <c r="H61" s="214">
        <v>1.7</v>
      </c>
      <c r="I61" s="214">
        <v>0</v>
      </c>
      <c r="J61" s="214">
        <v>5.77</v>
      </c>
      <c r="K61" s="214">
        <v>0</v>
      </c>
      <c r="L61" s="214">
        <v>0</v>
      </c>
      <c r="M61" s="214">
        <v>3.84</v>
      </c>
      <c r="N61" s="214">
        <v>31.34</v>
      </c>
      <c r="O61" s="214">
        <v>47.69</v>
      </c>
      <c r="P61" s="81">
        <f t="shared" si="0"/>
        <v>94.99</v>
      </c>
      <c r="Q61" s="65">
        <f t="shared" si="4"/>
        <v>7.9158333333333326</v>
      </c>
      <c r="R61" s="65">
        <f t="shared" si="2"/>
        <v>0.26024657534246576</v>
      </c>
    </row>
    <row r="62" spans="1:18" s="77" customFormat="1" ht="17.25" customHeight="1" x14ac:dyDescent="0.25">
      <c r="A62" s="212" t="s">
        <v>255</v>
      </c>
      <c r="B62" s="288" t="s">
        <v>386</v>
      </c>
      <c r="C62" s="212" t="s">
        <v>264</v>
      </c>
      <c r="D62" s="214">
        <v>0</v>
      </c>
      <c r="E62" s="214">
        <v>0</v>
      </c>
      <c r="F62" s="214">
        <v>0</v>
      </c>
      <c r="G62" s="214">
        <v>0</v>
      </c>
      <c r="H62" s="214">
        <v>0</v>
      </c>
      <c r="I62" s="214">
        <v>22.54</v>
      </c>
      <c r="J62" s="215">
        <v>19.100000000000001</v>
      </c>
      <c r="K62" s="215">
        <v>3.26</v>
      </c>
      <c r="L62" s="214">
        <v>9.74</v>
      </c>
      <c r="M62" s="214">
        <v>6.85</v>
      </c>
      <c r="N62" s="214">
        <v>0</v>
      </c>
      <c r="O62" s="214">
        <v>0</v>
      </c>
      <c r="P62" s="81">
        <f t="shared" si="0"/>
        <v>61.49</v>
      </c>
      <c r="Q62" s="65">
        <f t="shared" si="1"/>
        <v>5.1241666666666665</v>
      </c>
      <c r="R62" s="65">
        <f t="shared" si="2"/>
        <v>0.16846575342465753</v>
      </c>
    </row>
    <row r="63" spans="1:18" s="77" customFormat="1" ht="17.25" customHeight="1" x14ac:dyDescent="0.25">
      <c r="A63" s="212" t="s">
        <v>255</v>
      </c>
      <c r="B63" s="212" t="s">
        <v>387</v>
      </c>
      <c r="C63" s="212" t="s">
        <v>264</v>
      </c>
      <c r="D63" s="214">
        <v>3.74</v>
      </c>
      <c r="E63" s="214">
        <v>2.93</v>
      </c>
      <c r="F63" s="214">
        <v>4.1399999999999997</v>
      </c>
      <c r="G63" s="214">
        <v>0</v>
      </c>
      <c r="H63" s="214">
        <v>1.93</v>
      </c>
      <c r="I63" s="214">
        <v>1.81</v>
      </c>
      <c r="J63" s="214">
        <v>3.86</v>
      </c>
      <c r="K63" s="215">
        <v>7.37</v>
      </c>
      <c r="L63" s="214">
        <v>3.88</v>
      </c>
      <c r="M63" s="214">
        <v>5.64</v>
      </c>
      <c r="N63" s="214">
        <v>4.72</v>
      </c>
      <c r="O63" s="214">
        <v>4.2</v>
      </c>
      <c r="P63" s="81">
        <f t="shared" si="0"/>
        <v>44.22</v>
      </c>
      <c r="Q63" s="65">
        <f t="shared" si="1"/>
        <v>3.6850000000000001</v>
      </c>
      <c r="R63" s="65">
        <f t="shared" si="2"/>
        <v>0.12115068493150685</v>
      </c>
    </row>
    <row r="64" spans="1:18" s="77" customFormat="1" ht="17.25" customHeight="1" x14ac:dyDescent="0.25">
      <c r="A64" s="212" t="s">
        <v>255</v>
      </c>
      <c r="B64" s="212" t="s">
        <v>388</v>
      </c>
      <c r="C64" s="212" t="s">
        <v>264</v>
      </c>
      <c r="D64" s="214">
        <v>49.55</v>
      </c>
      <c r="E64" s="214">
        <v>58.25</v>
      </c>
      <c r="F64" s="214">
        <v>50.23</v>
      </c>
      <c r="G64" s="214">
        <v>38.11</v>
      </c>
      <c r="H64" s="214">
        <v>39.35</v>
      </c>
      <c r="I64" s="214">
        <v>42.21</v>
      </c>
      <c r="J64" s="214">
        <v>43.19</v>
      </c>
      <c r="K64" s="215">
        <v>73.510000000000005</v>
      </c>
      <c r="L64" s="214">
        <v>54.34</v>
      </c>
      <c r="M64" s="214">
        <v>54.04</v>
      </c>
      <c r="N64" s="214">
        <v>48.87</v>
      </c>
      <c r="O64" s="214">
        <v>52.11</v>
      </c>
      <c r="P64" s="81">
        <f t="shared" si="0"/>
        <v>603.76</v>
      </c>
      <c r="Q64" s="65">
        <f t="shared" si="1"/>
        <v>50.313333333333333</v>
      </c>
      <c r="R64" s="65">
        <f t="shared" si="2"/>
        <v>1.6541369863013697</v>
      </c>
    </row>
    <row r="65" spans="1:18" s="77" customFormat="1" ht="17.25" customHeight="1" x14ac:dyDescent="0.25">
      <c r="A65" s="212" t="s">
        <v>255</v>
      </c>
      <c r="B65" s="212" t="s">
        <v>315</v>
      </c>
      <c r="C65" s="212" t="s">
        <v>264</v>
      </c>
      <c r="D65" s="214">
        <v>18.829999999999998</v>
      </c>
      <c r="E65" s="214">
        <v>14.06</v>
      </c>
      <c r="F65" s="214">
        <v>25.52</v>
      </c>
      <c r="G65" s="214">
        <v>13.45</v>
      </c>
      <c r="H65" s="214">
        <v>30.98</v>
      </c>
      <c r="I65" s="214">
        <v>20.53</v>
      </c>
      <c r="J65" s="214">
        <v>17.53</v>
      </c>
      <c r="K65" s="215">
        <v>5.1100000000000003</v>
      </c>
      <c r="L65" s="214">
        <v>0</v>
      </c>
      <c r="M65" s="214">
        <v>24.98</v>
      </c>
      <c r="N65" s="214">
        <v>31.79</v>
      </c>
      <c r="O65" s="214">
        <v>21.28</v>
      </c>
      <c r="P65" s="81">
        <f t="shared" si="0"/>
        <v>224.06</v>
      </c>
      <c r="Q65" s="65">
        <f t="shared" si="1"/>
        <v>18.671666666666667</v>
      </c>
      <c r="R65" s="65">
        <f t="shared" si="2"/>
        <v>0.61386301369863017</v>
      </c>
    </row>
    <row r="66" spans="1:18" s="77" customFormat="1" ht="17.25" customHeight="1" x14ac:dyDescent="0.25">
      <c r="A66" s="212" t="s">
        <v>255</v>
      </c>
      <c r="B66" s="212" t="s">
        <v>389</v>
      </c>
      <c r="C66" s="212" t="s">
        <v>264</v>
      </c>
      <c r="D66" s="214">
        <v>10.74</v>
      </c>
      <c r="E66" s="214">
        <v>6.65</v>
      </c>
      <c r="F66" s="214">
        <v>15.01</v>
      </c>
      <c r="G66" s="214">
        <v>8.5500000000000007</v>
      </c>
      <c r="H66" s="214">
        <v>8.6</v>
      </c>
      <c r="I66" s="214">
        <v>9.33</v>
      </c>
      <c r="J66" s="214">
        <v>10.98</v>
      </c>
      <c r="K66" s="215">
        <v>14.28</v>
      </c>
      <c r="L66" s="214">
        <v>14.14</v>
      </c>
      <c r="M66" s="214">
        <v>9.65</v>
      </c>
      <c r="N66" s="214">
        <v>19.59</v>
      </c>
      <c r="O66" s="214">
        <v>12.13</v>
      </c>
      <c r="P66" s="81">
        <f t="shared" si="0"/>
        <v>139.65</v>
      </c>
      <c r="Q66" s="65">
        <f t="shared" si="1"/>
        <v>11.637500000000001</v>
      </c>
      <c r="R66" s="65">
        <f t="shared" si="2"/>
        <v>0.38260273972602743</v>
      </c>
    </row>
    <row r="67" spans="1:18" s="77" customFormat="1" ht="17.25" customHeight="1" x14ac:dyDescent="0.25">
      <c r="A67" s="212" t="s">
        <v>255</v>
      </c>
      <c r="B67" s="212" t="s">
        <v>390</v>
      </c>
      <c r="C67" s="212" t="s">
        <v>264</v>
      </c>
      <c r="D67" s="214">
        <v>54.36</v>
      </c>
      <c r="E67" s="214">
        <v>57.13</v>
      </c>
      <c r="F67" s="214">
        <v>52.64</v>
      </c>
      <c r="G67" s="214">
        <v>55.35</v>
      </c>
      <c r="H67" s="214">
        <v>54.61</v>
      </c>
      <c r="I67" s="214">
        <v>42.93</v>
      </c>
      <c r="J67" s="214">
        <v>58.78</v>
      </c>
      <c r="K67" s="215">
        <v>42.01</v>
      </c>
      <c r="L67" s="214">
        <v>50.09</v>
      </c>
      <c r="M67" s="214">
        <v>48.31</v>
      </c>
      <c r="N67" s="214">
        <v>44.07</v>
      </c>
      <c r="O67" s="214">
        <v>53.72</v>
      </c>
      <c r="P67" s="81">
        <f t="shared" si="0"/>
        <v>614.00000000000011</v>
      </c>
      <c r="Q67" s="65">
        <f t="shared" si="1"/>
        <v>51.166666666666679</v>
      </c>
      <c r="R67" s="65">
        <f t="shared" si="2"/>
        <v>1.6821917808219182</v>
      </c>
    </row>
    <row r="68" spans="1:18" s="77" customFormat="1" ht="17.25" customHeight="1" x14ac:dyDescent="0.25">
      <c r="A68" s="212" t="s">
        <v>255</v>
      </c>
      <c r="B68" s="212" t="s">
        <v>391</v>
      </c>
      <c r="C68" s="212" t="s">
        <v>264</v>
      </c>
      <c r="D68" s="214">
        <v>52.51</v>
      </c>
      <c r="E68" s="214">
        <v>47.36</v>
      </c>
      <c r="F68" s="214">
        <v>43.22</v>
      </c>
      <c r="G68" s="214">
        <v>13.36</v>
      </c>
      <c r="H68" s="214">
        <v>20.83</v>
      </c>
      <c r="I68" s="214">
        <v>27.47</v>
      </c>
      <c r="J68" s="214">
        <v>40.46</v>
      </c>
      <c r="K68" s="215">
        <v>44.19</v>
      </c>
      <c r="L68" s="214">
        <v>47.16</v>
      </c>
      <c r="M68" s="214">
        <v>58.18</v>
      </c>
      <c r="N68" s="214">
        <v>45.56</v>
      </c>
      <c r="O68" s="214">
        <v>35.61</v>
      </c>
      <c r="P68" s="81">
        <f t="shared" si="0"/>
        <v>475.90999999999997</v>
      </c>
      <c r="Q68" s="65">
        <f t="shared" si="1"/>
        <v>39.659166666666664</v>
      </c>
      <c r="R68" s="65">
        <f t="shared" si="2"/>
        <v>1.30386301369863</v>
      </c>
    </row>
    <row r="69" spans="1:18" s="77" customFormat="1" ht="17.25" customHeight="1" x14ac:dyDescent="0.25">
      <c r="A69" s="212" t="s">
        <v>255</v>
      </c>
      <c r="B69" s="212" t="s">
        <v>259</v>
      </c>
      <c r="C69" s="212" t="s">
        <v>264</v>
      </c>
      <c r="D69" s="214">
        <v>45.21</v>
      </c>
      <c r="E69" s="214">
        <v>74.489999999999995</v>
      </c>
      <c r="F69" s="214">
        <v>30.03</v>
      </c>
      <c r="G69" s="214">
        <v>19.59</v>
      </c>
      <c r="H69" s="214">
        <v>0</v>
      </c>
      <c r="I69" s="214">
        <v>5.71</v>
      </c>
      <c r="J69" s="214">
        <v>17.739999999999998</v>
      </c>
      <c r="K69" s="215">
        <v>31.97</v>
      </c>
      <c r="L69" s="214">
        <v>24.7</v>
      </c>
      <c r="M69" s="214">
        <v>2.46</v>
      </c>
      <c r="N69" s="214">
        <v>1.26</v>
      </c>
      <c r="O69" s="214">
        <v>8.35</v>
      </c>
      <c r="P69" s="81">
        <f t="shared" si="0"/>
        <v>261.51</v>
      </c>
      <c r="Q69" s="65">
        <f t="shared" si="1"/>
        <v>21.7925</v>
      </c>
      <c r="R69" s="65">
        <f t="shared" si="2"/>
        <v>0.71646575342465746</v>
      </c>
    </row>
    <row r="70" spans="1:18" s="77" customFormat="1" ht="17.25" customHeight="1" x14ac:dyDescent="0.25">
      <c r="A70" s="212" t="s">
        <v>255</v>
      </c>
      <c r="B70" s="212" t="s">
        <v>392</v>
      </c>
      <c r="C70" s="212" t="s">
        <v>264</v>
      </c>
      <c r="D70" s="214">
        <v>0</v>
      </c>
      <c r="E70" s="214">
        <v>0.36</v>
      </c>
      <c r="F70" s="214">
        <v>0</v>
      </c>
      <c r="G70" s="214">
        <v>0</v>
      </c>
      <c r="H70" s="214">
        <v>0</v>
      </c>
      <c r="I70" s="214">
        <v>0</v>
      </c>
      <c r="J70" s="214">
        <v>0</v>
      </c>
      <c r="K70" s="214">
        <v>0</v>
      </c>
      <c r="L70" s="214">
        <v>0</v>
      </c>
      <c r="M70" s="214">
        <v>0</v>
      </c>
      <c r="N70" s="214">
        <v>0</v>
      </c>
      <c r="O70" s="214">
        <v>0</v>
      </c>
      <c r="P70" s="81">
        <f t="shared" si="0"/>
        <v>0.36</v>
      </c>
      <c r="Q70" s="65">
        <f t="shared" si="1"/>
        <v>0.03</v>
      </c>
      <c r="R70" s="65">
        <f t="shared" si="2"/>
        <v>9.8630136986301367E-4</v>
      </c>
    </row>
    <row r="71" spans="1:18" s="77" customFormat="1" ht="17.25" customHeight="1" x14ac:dyDescent="0.25">
      <c r="A71" s="212" t="s">
        <v>255</v>
      </c>
      <c r="B71" s="212" t="s">
        <v>393</v>
      </c>
      <c r="C71" s="212" t="s">
        <v>264</v>
      </c>
      <c r="D71" s="215">
        <v>0</v>
      </c>
      <c r="E71" s="215">
        <v>0</v>
      </c>
      <c r="F71" s="215">
        <v>0</v>
      </c>
      <c r="G71" s="215">
        <v>0</v>
      </c>
      <c r="H71" s="215">
        <v>0</v>
      </c>
      <c r="I71" s="215">
        <v>0</v>
      </c>
      <c r="J71" s="215">
        <v>0</v>
      </c>
      <c r="K71" s="215">
        <v>0</v>
      </c>
      <c r="L71" s="214">
        <v>2.1800000000000002</v>
      </c>
      <c r="M71" s="214">
        <v>0</v>
      </c>
      <c r="N71" s="214">
        <v>3.42</v>
      </c>
      <c r="O71" s="214">
        <v>1.3</v>
      </c>
      <c r="P71" s="81">
        <f t="shared" ref="P71:P73" si="5">+D71+E71+F71+G71+H71+I71+J71+K71+L71+M71+N71+O71</f>
        <v>6.8999999999999995</v>
      </c>
      <c r="Q71" s="65">
        <f t="shared" ref="Q71:Q75" si="6">SUM(P71/12)</f>
        <v>0.57499999999999996</v>
      </c>
      <c r="R71" s="65">
        <f t="shared" ref="R71:R75" si="7">SUM(P71/365)</f>
        <v>1.8904109589041096E-2</v>
      </c>
    </row>
    <row r="72" spans="1:18" s="77" customFormat="1" ht="17.25" customHeight="1" x14ac:dyDescent="0.25">
      <c r="A72" s="212" t="s">
        <v>255</v>
      </c>
      <c r="B72" s="212" t="s">
        <v>394</v>
      </c>
      <c r="C72" s="212" t="s">
        <v>264</v>
      </c>
      <c r="D72" s="214">
        <v>28.84</v>
      </c>
      <c r="E72" s="214">
        <v>53.83</v>
      </c>
      <c r="F72" s="214">
        <v>33.53</v>
      </c>
      <c r="G72" s="214">
        <v>6.26</v>
      </c>
      <c r="H72" s="214">
        <v>11.04</v>
      </c>
      <c r="I72" s="214">
        <v>19.78</v>
      </c>
      <c r="J72" s="214">
        <v>19.62</v>
      </c>
      <c r="K72" s="215">
        <v>14.6</v>
      </c>
      <c r="L72" s="214">
        <v>36.03</v>
      </c>
      <c r="M72" s="214">
        <v>47.41</v>
      </c>
      <c r="N72" s="214">
        <v>41.94</v>
      </c>
      <c r="O72" s="214">
        <v>24.17</v>
      </c>
      <c r="P72" s="81">
        <f t="shared" si="5"/>
        <v>337.05</v>
      </c>
      <c r="Q72" s="65">
        <f t="shared" si="6"/>
        <v>28.087500000000002</v>
      </c>
      <c r="R72" s="65">
        <f t="shared" si="7"/>
        <v>0.92342465753424663</v>
      </c>
    </row>
    <row r="73" spans="1:18" s="77" customFormat="1" x14ac:dyDescent="0.25">
      <c r="A73" s="227"/>
      <c r="B73" s="227" t="s">
        <v>296</v>
      </c>
      <c r="C73" s="227" t="s">
        <v>264</v>
      </c>
      <c r="D73" s="92">
        <f t="shared" ref="D73:O73" si="8">SUM(D41:D72)</f>
        <v>816.8</v>
      </c>
      <c r="E73" s="92">
        <f t="shared" si="8"/>
        <v>862.42999999999984</v>
      </c>
      <c r="F73" s="92">
        <f t="shared" si="8"/>
        <v>625.17999999999995</v>
      </c>
      <c r="G73" s="92">
        <f t="shared" si="8"/>
        <v>308.72000000000003</v>
      </c>
      <c r="H73" s="92">
        <f t="shared" si="8"/>
        <v>318.39</v>
      </c>
      <c r="I73" s="92">
        <f t="shared" si="8"/>
        <v>406.93000000000006</v>
      </c>
      <c r="J73" s="92">
        <f t="shared" si="8"/>
        <v>566.6400000000001</v>
      </c>
      <c r="K73" s="92">
        <f t="shared" si="8"/>
        <v>559.78000000000009</v>
      </c>
      <c r="L73" s="92">
        <f t="shared" si="8"/>
        <v>590.75</v>
      </c>
      <c r="M73" s="92">
        <f t="shared" si="8"/>
        <v>771.20999999999981</v>
      </c>
      <c r="N73" s="92">
        <f t="shared" si="8"/>
        <v>794.44</v>
      </c>
      <c r="O73" s="92">
        <f t="shared" si="8"/>
        <v>783.39</v>
      </c>
      <c r="P73" s="81">
        <f t="shared" si="5"/>
        <v>7404.6600000000008</v>
      </c>
      <c r="Q73" s="65">
        <f t="shared" si="6"/>
        <v>617.05500000000006</v>
      </c>
      <c r="R73" s="65">
        <f t="shared" si="7"/>
        <v>20.286739726027399</v>
      </c>
    </row>
    <row r="74" spans="1:18" s="77" customFormat="1" x14ac:dyDescent="0.25">
      <c r="A74" s="228"/>
      <c r="B74" s="228"/>
      <c r="C74" s="228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81">
        <f>+D74+E74+F74+G74+H74+I74+J74+K74+L74+M74+N74+O74</f>
        <v>0</v>
      </c>
      <c r="Q74" s="65">
        <f t="shared" si="6"/>
        <v>0</v>
      </c>
      <c r="R74" s="65">
        <f t="shared" si="7"/>
        <v>0</v>
      </c>
    </row>
    <row r="75" spans="1:18" s="77" customFormat="1" x14ac:dyDescent="0.25">
      <c r="A75" s="228"/>
      <c r="B75" s="16" t="s">
        <v>265</v>
      </c>
      <c r="C75" s="16"/>
      <c r="D75" s="229">
        <f t="shared" ref="D75:O75" si="9">D73+D40</f>
        <v>12798.74</v>
      </c>
      <c r="E75" s="229">
        <f t="shared" si="9"/>
        <v>11600.410000000002</v>
      </c>
      <c r="F75" s="229">
        <f t="shared" si="9"/>
        <v>11453.339999999998</v>
      </c>
      <c r="G75" s="229">
        <f t="shared" si="9"/>
        <v>10041.640000000001</v>
      </c>
      <c r="H75" s="229">
        <f t="shared" si="9"/>
        <v>10762.669999999998</v>
      </c>
      <c r="I75" s="229">
        <f t="shared" si="9"/>
        <v>12437.96</v>
      </c>
      <c r="J75" s="229">
        <f t="shared" si="9"/>
        <v>12641.029999999997</v>
      </c>
      <c r="K75" s="229">
        <f t="shared" si="9"/>
        <v>13572.349999999999</v>
      </c>
      <c r="L75" s="229">
        <f t="shared" si="9"/>
        <v>13506.149999999998</v>
      </c>
      <c r="M75" s="229">
        <f t="shared" si="9"/>
        <v>14241.430000000002</v>
      </c>
      <c r="N75" s="229">
        <f t="shared" si="9"/>
        <v>13104.350000000002</v>
      </c>
      <c r="O75" s="229">
        <f t="shared" si="9"/>
        <v>13669.879999999997</v>
      </c>
      <c r="P75" s="81">
        <f>+D75+E75+F75+G75+H75+I75+J75+K75+L75+M75+N75+O75</f>
        <v>149829.94999999998</v>
      </c>
      <c r="Q75" s="65">
        <f t="shared" si="6"/>
        <v>12485.829166666665</v>
      </c>
      <c r="R75" s="65">
        <f t="shared" si="7"/>
        <v>410.49301369863008</v>
      </c>
    </row>
    <row r="76" spans="1:18" s="77" customFormat="1" x14ac:dyDescent="0.25">
      <c r="A76" s="78"/>
      <c r="P76" s="82"/>
    </row>
    <row r="77" spans="1:18" s="77" customFormat="1" x14ac:dyDescent="0.25">
      <c r="A77" s="78"/>
      <c r="P77" s="82"/>
    </row>
    <row r="78" spans="1:18" s="77" customFormat="1" x14ac:dyDescent="0.25">
      <c r="A78" s="78"/>
      <c r="P78" s="82"/>
    </row>
    <row r="79" spans="1:18" s="77" customFormat="1" x14ac:dyDescent="0.25">
      <c r="A79" s="78"/>
      <c r="P79" s="82"/>
    </row>
    <row r="80" spans="1:18" s="77" customFormat="1" x14ac:dyDescent="0.25">
      <c r="A80" s="78"/>
      <c r="P80" s="82"/>
    </row>
    <row r="81" spans="1:16" s="77" customFormat="1" x14ac:dyDescent="0.25">
      <c r="A81" s="78"/>
      <c r="P81" s="82"/>
    </row>
    <row r="82" spans="1:16" s="77" customFormat="1" x14ac:dyDescent="0.25">
      <c r="A82" s="78"/>
      <c r="P82" s="82"/>
    </row>
    <row r="83" spans="1:16" s="77" customFormat="1" x14ac:dyDescent="0.25">
      <c r="A83" s="78"/>
      <c r="P83" s="82"/>
    </row>
    <row r="84" spans="1:16" s="77" customFormat="1" x14ac:dyDescent="0.25">
      <c r="A84" s="78"/>
      <c r="P84" s="82"/>
    </row>
    <row r="85" spans="1:16" s="77" customFormat="1" x14ac:dyDescent="0.25">
      <c r="A85" s="78"/>
      <c r="P85" s="82"/>
    </row>
    <row r="86" spans="1:16" s="77" customFormat="1" x14ac:dyDescent="0.25">
      <c r="A86" s="78"/>
      <c r="P86" s="82"/>
    </row>
    <row r="87" spans="1:16" s="77" customFormat="1" x14ac:dyDescent="0.25">
      <c r="A87" s="78"/>
      <c r="P87" s="82"/>
    </row>
  </sheetData>
  <sortState ref="A8:R74">
    <sortCondition descending="1" ref="A8"/>
  </sortState>
  <mergeCells count="11">
    <mergeCell ref="A1:S1"/>
    <mergeCell ref="A2:S2"/>
    <mergeCell ref="B3:P3"/>
    <mergeCell ref="Q5:Q6"/>
    <mergeCell ref="R5:R6"/>
    <mergeCell ref="P5:P6"/>
    <mergeCell ref="A4:P4"/>
    <mergeCell ref="B5:B6"/>
    <mergeCell ref="A5:A6"/>
    <mergeCell ref="C5:C6"/>
    <mergeCell ref="D5:O5"/>
  </mergeCells>
  <printOptions horizontalCentered="1"/>
  <pageMargins left="0.51181102362204722" right="0.51181102362204722" top="0.55118110236220474" bottom="0.55118110236220474" header="0.31496062992125984" footer="0.31496062992125984"/>
  <pageSetup scale="48" fitToHeight="0" orientation="landscape" r:id="rId1"/>
  <headerFooter>
    <oddFooter>&amp;L&amp;D&amp;RPág. 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sqref="A1:XFD2"/>
    </sheetView>
  </sheetViews>
  <sheetFormatPr baseColWidth="10" defaultColWidth="11.5703125" defaultRowHeight="15" x14ac:dyDescent="0.25"/>
  <cols>
    <col min="1" max="1" width="16.42578125" style="21" bestFit="1" customWidth="1"/>
    <col min="2" max="2" width="23.140625" style="21" bestFit="1" customWidth="1"/>
    <col min="3" max="3" width="23.140625" style="72" customWidth="1"/>
    <col min="4" max="4" width="11.42578125" style="21"/>
    <col min="5" max="6" width="15.28515625" style="21" customWidth="1"/>
    <col min="7" max="8" width="12.28515625" style="21" customWidth="1"/>
    <col min="9" max="10" width="13.140625" style="21" customWidth="1"/>
    <col min="11" max="12" width="15" style="21" customWidth="1"/>
    <col min="13" max="14" width="14" style="21" customWidth="1"/>
    <col min="15" max="16" width="13" style="21" customWidth="1"/>
    <col min="17" max="17" width="13.42578125" style="21" customWidth="1"/>
    <col min="18" max="16384" width="11.5703125" style="21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B3" s="370" t="s">
        <v>25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2"/>
    </row>
    <row r="4" spans="1:19" s="72" customFormat="1" x14ac:dyDescent="0.25">
      <c r="A4" s="1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9" x14ac:dyDescent="0.25">
      <c r="A5" s="360" t="s">
        <v>1</v>
      </c>
      <c r="B5" s="375" t="s">
        <v>2</v>
      </c>
      <c r="C5" s="231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52" t="s">
        <v>3</v>
      </c>
      <c r="Q5" s="352" t="s">
        <v>66</v>
      </c>
      <c r="R5" s="352" t="s">
        <v>119</v>
      </c>
    </row>
    <row r="6" spans="1:19" x14ac:dyDescent="0.25">
      <c r="A6" s="360"/>
      <c r="B6" s="360"/>
      <c r="C6" s="230"/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0" t="s">
        <v>15</v>
      </c>
      <c r="P6" s="353"/>
      <c r="Q6" s="353"/>
      <c r="R6" s="353"/>
    </row>
    <row r="7" spans="1:19" x14ac:dyDescent="0.25">
      <c r="A7" s="17" t="s">
        <v>26</v>
      </c>
      <c r="B7" s="18" t="s">
        <v>27</v>
      </c>
      <c r="C7" s="74" t="s">
        <v>318</v>
      </c>
      <c r="D7" s="58">
        <v>3.7</v>
      </c>
      <c r="E7" s="58">
        <v>3.2</v>
      </c>
      <c r="F7" s="58">
        <v>2.9</v>
      </c>
      <c r="G7" s="58">
        <v>3.6</v>
      </c>
      <c r="H7" s="58">
        <v>3.5</v>
      </c>
      <c r="I7" s="58">
        <v>3.2</v>
      </c>
      <c r="J7" s="58">
        <v>3.5</v>
      </c>
      <c r="K7" s="58">
        <v>3.3</v>
      </c>
      <c r="L7" s="58">
        <v>3.5</v>
      </c>
      <c r="M7" s="58">
        <v>3.2</v>
      </c>
      <c r="N7" s="58">
        <v>3.7</v>
      </c>
      <c r="O7" s="58">
        <v>3.6</v>
      </c>
      <c r="P7" s="11">
        <f>SUM(D7:O7)</f>
        <v>40.900000000000006</v>
      </c>
      <c r="Q7" s="65">
        <f>SUM(P7/12)</f>
        <v>3.4083333333333337</v>
      </c>
      <c r="R7" s="65">
        <f>SUM(P7/365)</f>
        <v>0.11205479452054797</v>
      </c>
    </row>
    <row r="8" spans="1:19" x14ac:dyDescent="0.25">
      <c r="A8" s="363" t="s">
        <v>24</v>
      </c>
      <c r="B8" s="364"/>
      <c r="C8" s="234"/>
      <c r="P8" s="69"/>
      <c r="Q8" s="45"/>
      <c r="R8" s="45"/>
    </row>
    <row r="9" spans="1:19" x14ac:dyDescent="0.25">
      <c r="Q9" s="22"/>
    </row>
    <row r="10" spans="1:19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0">
    <mergeCell ref="A1:S1"/>
    <mergeCell ref="A2:S2"/>
    <mergeCell ref="R5:R6"/>
    <mergeCell ref="A8:B8"/>
    <mergeCell ref="B3:Q3"/>
    <mergeCell ref="A5:A6"/>
    <mergeCell ref="B5:B6"/>
    <mergeCell ref="D5:O5"/>
    <mergeCell ref="P5:P6"/>
    <mergeCell ref="Q5:Q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Normal="100" workbookViewId="0">
      <pane xSplit="2" ySplit="5" topLeftCell="C6" activePane="bottomRight" state="frozen"/>
      <selection activeCell="O13" sqref="O13"/>
      <selection pane="topRight" activeCell="O13" sqref="O13"/>
      <selection pane="bottomLeft" activeCell="O13" sqref="O13"/>
      <selection pane="bottomRight" sqref="A1:XFD2"/>
    </sheetView>
  </sheetViews>
  <sheetFormatPr baseColWidth="10" defaultColWidth="11.5703125" defaultRowHeight="15" x14ac:dyDescent="0.25"/>
  <cols>
    <col min="1" max="1" width="15.85546875" style="72" customWidth="1"/>
    <col min="2" max="2" width="43" style="72" bestFit="1" customWidth="1"/>
    <col min="3" max="3" width="17.140625" style="72" customWidth="1"/>
    <col min="4" max="8" width="11.5703125" style="72"/>
    <col min="9" max="9" width="12.140625" style="72" bestFit="1" customWidth="1"/>
    <col min="10" max="11" width="11.5703125" style="72"/>
    <col min="12" max="12" width="13" style="72" customWidth="1"/>
    <col min="13" max="13" width="12.7109375" style="72" bestFit="1" customWidth="1"/>
    <col min="14" max="14" width="12.140625" style="72" customWidth="1"/>
    <col min="15" max="15" width="11.5703125" style="72"/>
    <col min="16" max="16" width="18.5703125" style="72" bestFit="1" customWidth="1"/>
    <col min="17" max="17" width="13.5703125" style="72" bestFit="1" customWidth="1"/>
    <col min="18" max="18" width="12.42578125" style="72" bestFit="1" customWidth="1"/>
    <col min="19" max="16384" width="11.5703125" style="72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A3" s="380" t="s">
        <v>299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1"/>
    </row>
    <row r="4" spans="1:19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8"/>
    </row>
    <row r="5" spans="1:19" x14ac:dyDescent="0.25">
      <c r="A5" s="382" t="s">
        <v>1</v>
      </c>
      <c r="B5" s="375" t="s">
        <v>2</v>
      </c>
      <c r="C5" s="128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52" t="s">
        <v>3</v>
      </c>
      <c r="Q5" s="352" t="s">
        <v>66</v>
      </c>
      <c r="R5" s="352" t="s">
        <v>119</v>
      </c>
    </row>
    <row r="6" spans="1:19" x14ac:dyDescent="0.25">
      <c r="A6" s="383"/>
      <c r="B6" s="382"/>
      <c r="C6" s="129"/>
      <c r="D6" s="91" t="s">
        <v>4</v>
      </c>
      <c r="E6" s="91" t="s">
        <v>5</v>
      </c>
      <c r="F6" s="91" t="s">
        <v>6</v>
      </c>
      <c r="G6" s="91" t="s">
        <v>7</v>
      </c>
      <c r="H6" s="91" t="s">
        <v>8</v>
      </c>
      <c r="I6" s="91" t="s">
        <v>9</v>
      </c>
      <c r="J6" s="91" t="s">
        <v>10</v>
      </c>
      <c r="K6" s="91" t="s">
        <v>11</v>
      </c>
      <c r="L6" s="91" t="s">
        <v>12</v>
      </c>
      <c r="M6" s="91" t="s">
        <v>13</v>
      </c>
      <c r="N6" s="91" t="s">
        <v>14</v>
      </c>
      <c r="O6" s="91" t="s">
        <v>15</v>
      </c>
      <c r="P6" s="353"/>
      <c r="Q6" s="353"/>
      <c r="R6" s="353"/>
    </row>
    <row r="7" spans="1:19" x14ac:dyDescent="0.25">
      <c r="A7" s="299" t="s">
        <v>26</v>
      </c>
      <c r="B7" s="58" t="s">
        <v>236</v>
      </c>
      <c r="C7" s="58" t="s">
        <v>267</v>
      </c>
      <c r="D7" s="58">
        <v>440.15750000000003</v>
      </c>
      <c r="E7" s="58">
        <v>396.90289999999999</v>
      </c>
      <c r="F7" s="58">
        <v>417.58670000000001</v>
      </c>
      <c r="G7" s="58">
        <v>367.80939999999998</v>
      </c>
      <c r="H7" s="58">
        <v>391.995</v>
      </c>
      <c r="I7" s="58">
        <v>462.32909999999998</v>
      </c>
      <c r="J7" s="58">
        <v>420.95240000000001</v>
      </c>
      <c r="K7" s="58">
        <v>456.45960000000002</v>
      </c>
      <c r="L7" s="58">
        <v>450.89859999999999</v>
      </c>
      <c r="M7" s="58">
        <v>469.34440000000001</v>
      </c>
      <c r="N7" s="58">
        <v>444.60270000000003</v>
      </c>
      <c r="O7" s="58">
        <v>448.45819999999998</v>
      </c>
      <c r="P7" s="300">
        <f t="shared" ref="P7:P19" si="0">SUM(D7:O7)</f>
        <v>5167.4965000000011</v>
      </c>
      <c r="Q7" s="58">
        <f t="shared" ref="Q7:Q19" si="1">SUM(P7/12)</f>
        <v>430.62470833333344</v>
      </c>
      <c r="R7" s="58">
        <f t="shared" ref="R7:R19" si="2">SUM(P7/365)</f>
        <v>14.15752465753425</v>
      </c>
    </row>
    <row r="8" spans="1:19" x14ac:dyDescent="0.25">
      <c r="A8" s="299" t="s">
        <v>137</v>
      </c>
      <c r="B8" s="58" t="s">
        <v>237</v>
      </c>
      <c r="C8" s="58" t="s">
        <v>267</v>
      </c>
      <c r="D8" s="58">
        <v>127.0604</v>
      </c>
      <c r="E8" s="58">
        <v>107.9188</v>
      </c>
      <c r="F8" s="58">
        <v>119.46729999999999</v>
      </c>
      <c r="G8" s="58">
        <v>115.05840000000001</v>
      </c>
      <c r="H8" s="58">
        <v>115.7569</v>
      </c>
      <c r="I8" s="58">
        <v>128.07650000000001</v>
      </c>
      <c r="J8" s="58">
        <v>130.54400000000001</v>
      </c>
      <c r="K8" s="58">
        <v>145.87549999999999</v>
      </c>
      <c r="L8" s="58">
        <v>158.7484</v>
      </c>
      <c r="M8" s="58">
        <v>138.5001</v>
      </c>
      <c r="N8" s="58">
        <v>122.1979</v>
      </c>
      <c r="O8" s="58">
        <v>129.53710000000001</v>
      </c>
      <c r="P8" s="300">
        <f t="shared" si="0"/>
        <v>1538.7413000000001</v>
      </c>
      <c r="Q8" s="58">
        <f t="shared" si="1"/>
        <v>128.22844166666667</v>
      </c>
      <c r="R8" s="58">
        <f t="shared" si="2"/>
        <v>4.2157295890410964</v>
      </c>
    </row>
    <row r="9" spans="1:19" x14ac:dyDescent="0.25">
      <c r="A9" s="299" t="s">
        <v>137</v>
      </c>
      <c r="B9" s="58" t="s">
        <v>239</v>
      </c>
      <c r="C9" s="58" t="s">
        <v>267</v>
      </c>
      <c r="D9" s="58">
        <v>47.345999999999997</v>
      </c>
      <c r="E9" s="58">
        <v>43.980400000000003</v>
      </c>
      <c r="F9" s="58">
        <v>40.415100000000002</v>
      </c>
      <c r="G9" s="58">
        <v>38.011099999999999</v>
      </c>
      <c r="H9" s="58">
        <v>42.447200000000002</v>
      </c>
      <c r="I9" s="58">
        <v>49.5505</v>
      </c>
      <c r="J9" s="58">
        <v>53.260899999999999</v>
      </c>
      <c r="K9" s="58">
        <v>55.764699999999998</v>
      </c>
      <c r="L9" s="58">
        <v>52.036200000000001</v>
      </c>
      <c r="M9" s="58">
        <v>52.843600000000002</v>
      </c>
      <c r="N9" s="58">
        <v>50.494</v>
      </c>
      <c r="O9" s="58">
        <v>51.119900000000001</v>
      </c>
      <c r="P9" s="300">
        <f t="shared" si="0"/>
        <v>577.26960000000008</v>
      </c>
      <c r="Q9" s="58">
        <f t="shared" si="1"/>
        <v>48.105800000000009</v>
      </c>
      <c r="R9" s="58">
        <f t="shared" si="2"/>
        <v>1.5815605479452057</v>
      </c>
    </row>
    <row r="10" spans="1:19" x14ac:dyDescent="0.25">
      <c r="A10" s="299" t="s">
        <v>137</v>
      </c>
      <c r="B10" s="301" t="s">
        <v>242</v>
      </c>
      <c r="C10" s="58" t="s">
        <v>267</v>
      </c>
      <c r="D10" s="302">
        <v>108.1728</v>
      </c>
      <c r="E10" s="302">
        <v>88.713700000000003</v>
      </c>
      <c r="F10" s="302">
        <v>91.662099999999995</v>
      </c>
      <c r="G10" s="302">
        <v>69.971199999999996</v>
      </c>
      <c r="H10" s="302">
        <v>79.260800000000003</v>
      </c>
      <c r="I10" s="302">
        <v>85.620199999999997</v>
      </c>
      <c r="J10" s="303">
        <v>100.3257</v>
      </c>
      <c r="K10" s="60">
        <v>101.11490000000001</v>
      </c>
      <c r="L10" s="60">
        <v>97.023499999999999</v>
      </c>
      <c r="M10" s="60">
        <v>105.9049</v>
      </c>
      <c r="N10" s="60">
        <v>96.488299999999995</v>
      </c>
      <c r="O10" s="60">
        <v>102.62090000000001</v>
      </c>
      <c r="P10" s="300">
        <f t="shared" si="0"/>
        <v>1126.8789999999999</v>
      </c>
      <c r="Q10" s="58">
        <f t="shared" si="1"/>
        <v>93.90658333333333</v>
      </c>
      <c r="R10" s="58">
        <f t="shared" si="2"/>
        <v>3.0873397260273969</v>
      </c>
    </row>
    <row r="11" spans="1:19" x14ac:dyDescent="0.25">
      <c r="A11" s="304" t="s">
        <v>137</v>
      </c>
      <c r="B11" s="60" t="s">
        <v>245</v>
      </c>
      <c r="C11" s="58" t="s">
        <v>267</v>
      </c>
      <c r="D11" s="58">
        <v>30.227399999999999</v>
      </c>
      <c r="E11" s="58">
        <v>25.2288</v>
      </c>
      <c r="F11" s="58">
        <v>22.988099999999999</v>
      </c>
      <c r="G11" s="58">
        <v>22.761299999999999</v>
      </c>
      <c r="H11" s="58">
        <v>22.053699999999999</v>
      </c>
      <c r="I11" s="58">
        <v>41.104599999999998</v>
      </c>
      <c r="J11" s="58">
        <v>41.9664</v>
      </c>
      <c r="K11" s="58">
        <v>33.339100000000002</v>
      </c>
      <c r="L11" s="58">
        <v>29.5198</v>
      </c>
      <c r="M11" s="58">
        <v>0</v>
      </c>
      <c r="N11" s="58">
        <v>0</v>
      </c>
      <c r="O11" s="58">
        <v>73.463899999999995</v>
      </c>
      <c r="P11" s="300">
        <f t="shared" si="0"/>
        <v>342.65309999999999</v>
      </c>
      <c r="Q11" s="58">
        <f t="shared" si="1"/>
        <v>28.554424999999998</v>
      </c>
      <c r="R11" s="58">
        <f t="shared" si="2"/>
        <v>0.93877561643835616</v>
      </c>
    </row>
    <row r="12" spans="1:19" x14ac:dyDescent="0.25">
      <c r="A12" s="304" t="s">
        <v>137</v>
      </c>
      <c r="B12" s="58" t="s">
        <v>248</v>
      </c>
      <c r="C12" s="58" t="s">
        <v>267</v>
      </c>
      <c r="D12" s="58">
        <v>77.700500000000005</v>
      </c>
      <c r="E12" s="58">
        <v>62.804499999999997</v>
      </c>
      <c r="F12" s="58">
        <v>68.882599999999996</v>
      </c>
      <c r="G12" s="58">
        <v>67.068200000000004</v>
      </c>
      <c r="H12" s="58">
        <v>70.506500000000003</v>
      </c>
      <c r="I12" s="58">
        <v>76.521100000000004</v>
      </c>
      <c r="J12" s="58">
        <v>73.808599999999998</v>
      </c>
      <c r="K12" s="58">
        <v>77.346699999999998</v>
      </c>
      <c r="L12" s="58">
        <v>72.112200000000001</v>
      </c>
      <c r="M12" s="58">
        <v>74.779300000000006</v>
      </c>
      <c r="N12" s="58">
        <v>72.157600000000002</v>
      </c>
      <c r="O12" s="58">
        <v>72.284599999999998</v>
      </c>
      <c r="P12" s="300">
        <f t="shared" si="0"/>
        <v>865.97239999999999</v>
      </c>
      <c r="Q12" s="58">
        <f t="shared" si="1"/>
        <v>72.164366666666666</v>
      </c>
      <c r="R12" s="58">
        <f t="shared" si="2"/>
        <v>2.372527123287671</v>
      </c>
    </row>
    <row r="13" spans="1:19" x14ac:dyDescent="0.25">
      <c r="A13" s="304" t="s">
        <v>19</v>
      </c>
      <c r="B13" s="58" t="s">
        <v>249</v>
      </c>
      <c r="C13" s="58" t="s">
        <v>267</v>
      </c>
      <c r="D13" s="58">
        <v>45.576999999999998</v>
      </c>
      <c r="E13" s="58">
        <v>39.417200000000001</v>
      </c>
      <c r="F13" s="58">
        <v>39.108800000000002</v>
      </c>
      <c r="G13" s="58">
        <v>36.142299999999999</v>
      </c>
      <c r="H13" s="58">
        <v>38.881999999999998</v>
      </c>
      <c r="I13" s="58">
        <v>48.888199999999998</v>
      </c>
      <c r="J13" s="58">
        <v>55.483499999999999</v>
      </c>
      <c r="K13" s="58">
        <v>56.209200000000003</v>
      </c>
      <c r="L13" s="58">
        <v>51.246899999999997</v>
      </c>
      <c r="M13" s="58">
        <v>51.392099999999999</v>
      </c>
      <c r="N13" s="58">
        <v>53.433199999999999</v>
      </c>
      <c r="O13" s="58">
        <v>48.452800000000003</v>
      </c>
      <c r="P13" s="300">
        <f t="shared" si="0"/>
        <v>564.23320000000012</v>
      </c>
      <c r="Q13" s="58">
        <f t="shared" si="1"/>
        <v>47.019433333333346</v>
      </c>
      <c r="R13" s="58">
        <f t="shared" si="2"/>
        <v>1.5458443835616442</v>
      </c>
    </row>
    <row r="14" spans="1:19" x14ac:dyDescent="0.25">
      <c r="A14" s="299" t="s">
        <v>28</v>
      </c>
      <c r="B14" s="58" t="s">
        <v>291</v>
      </c>
      <c r="C14" s="58" t="s">
        <v>267</v>
      </c>
      <c r="D14" s="58">
        <v>2.2225999999999999</v>
      </c>
      <c r="E14" s="58">
        <v>2.6036000000000001</v>
      </c>
      <c r="F14" s="58">
        <v>3.919</v>
      </c>
      <c r="G14" s="58">
        <v>7.2847</v>
      </c>
      <c r="H14" s="58">
        <v>5.5338000000000003</v>
      </c>
      <c r="I14" s="58">
        <v>4.5721999999999996</v>
      </c>
      <c r="J14" s="58">
        <v>6.8129999999999997</v>
      </c>
      <c r="K14" s="58">
        <v>4.0187999999999997</v>
      </c>
      <c r="L14" s="58">
        <v>2.3858999999999999</v>
      </c>
      <c r="M14" s="58">
        <v>3.4563999999999999</v>
      </c>
      <c r="N14" s="58">
        <v>4.1096000000000004</v>
      </c>
      <c r="O14" s="58">
        <v>4.8444000000000003</v>
      </c>
      <c r="P14" s="300">
        <f t="shared" si="0"/>
        <v>51.764000000000003</v>
      </c>
      <c r="Q14" s="58">
        <f t="shared" si="1"/>
        <v>4.3136666666666672</v>
      </c>
      <c r="R14" s="58">
        <f t="shared" si="2"/>
        <v>0.1418191780821918</v>
      </c>
    </row>
    <row r="15" spans="1:19" x14ac:dyDescent="0.25">
      <c r="A15" s="299" t="s">
        <v>26</v>
      </c>
      <c r="B15" s="58" t="s">
        <v>292</v>
      </c>
      <c r="C15" s="58" t="s">
        <v>267</v>
      </c>
      <c r="D15" s="58">
        <v>1.6056999999999999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300">
        <f t="shared" si="0"/>
        <v>1.6056999999999999</v>
      </c>
      <c r="Q15" s="58">
        <f t="shared" si="1"/>
        <v>0.13380833333333333</v>
      </c>
      <c r="R15" s="58">
        <f t="shared" si="2"/>
        <v>4.3991780821917804E-3</v>
      </c>
    </row>
    <row r="16" spans="1:19" x14ac:dyDescent="0.25">
      <c r="A16" s="299" t="s">
        <v>26</v>
      </c>
      <c r="B16" s="58" t="s">
        <v>238</v>
      </c>
      <c r="C16" s="58" t="s">
        <v>267</v>
      </c>
      <c r="D16" s="58">
        <v>45.332099999999997</v>
      </c>
      <c r="E16" s="58">
        <v>36.3782</v>
      </c>
      <c r="F16" s="58">
        <v>49.831699999999998</v>
      </c>
      <c r="G16" s="58">
        <v>46.7654</v>
      </c>
      <c r="H16" s="58">
        <v>43.290900000000001</v>
      </c>
      <c r="I16" s="58">
        <v>45.967100000000002</v>
      </c>
      <c r="J16" s="58">
        <v>63.303400000000003</v>
      </c>
      <c r="K16" s="58">
        <v>49.7864</v>
      </c>
      <c r="L16" s="58">
        <v>44.642600000000002</v>
      </c>
      <c r="M16" s="58">
        <v>48.606999999999999</v>
      </c>
      <c r="N16" s="58">
        <v>49.3872</v>
      </c>
      <c r="O16" s="58">
        <v>43.889600000000002</v>
      </c>
      <c r="P16" s="300">
        <f t="shared" si="0"/>
        <v>567.1816</v>
      </c>
      <c r="Q16" s="58">
        <f t="shared" si="1"/>
        <v>47.265133333333331</v>
      </c>
      <c r="R16" s="58">
        <f t="shared" si="2"/>
        <v>1.5539221917808219</v>
      </c>
    </row>
    <row r="17" spans="1:18" x14ac:dyDescent="0.25">
      <c r="A17" s="299" t="s">
        <v>26</v>
      </c>
      <c r="B17" s="58" t="s">
        <v>240</v>
      </c>
      <c r="C17" s="58" t="s">
        <v>267</v>
      </c>
      <c r="D17" s="58">
        <v>113.8246</v>
      </c>
      <c r="E17" s="58">
        <v>66.233599999999996</v>
      </c>
      <c r="F17" s="58">
        <v>394.18130000000002</v>
      </c>
      <c r="G17" s="58">
        <v>518.74699999999996</v>
      </c>
      <c r="H17" s="58">
        <v>527.87329999999997</v>
      </c>
      <c r="I17" s="58">
        <v>582.68550000000005</v>
      </c>
      <c r="J17" s="58">
        <v>579.56470000000002</v>
      </c>
      <c r="K17" s="58">
        <v>594.56050000000005</v>
      </c>
      <c r="L17" s="58">
        <v>589.20809999999994</v>
      </c>
      <c r="M17" s="58">
        <v>578.27650000000006</v>
      </c>
      <c r="N17" s="58">
        <v>554.90740000000005</v>
      </c>
      <c r="O17" s="58">
        <v>564.95000000000005</v>
      </c>
      <c r="P17" s="300">
        <f t="shared" si="0"/>
        <v>5665.0124999999998</v>
      </c>
      <c r="Q17" s="58">
        <f t="shared" si="1"/>
        <v>472.08437499999997</v>
      </c>
      <c r="R17" s="58">
        <f t="shared" si="2"/>
        <v>15.520582191780822</v>
      </c>
    </row>
    <row r="18" spans="1:18" x14ac:dyDescent="0.25">
      <c r="A18" s="299" t="s">
        <v>26</v>
      </c>
      <c r="B18" s="58" t="s">
        <v>336</v>
      </c>
      <c r="C18" s="58" t="s">
        <v>267</v>
      </c>
      <c r="D18" s="60">
        <v>14.3245</v>
      </c>
      <c r="E18" s="60">
        <v>14.696400000000001</v>
      </c>
      <c r="F18" s="60">
        <v>13.009</v>
      </c>
      <c r="G18" s="60">
        <v>9.2623999999999995</v>
      </c>
      <c r="H18" s="60">
        <v>8.2917000000000005</v>
      </c>
      <c r="I18" s="305">
        <v>9.6071000000000009</v>
      </c>
      <c r="J18" s="306">
        <v>8.9629999999999992</v>
      </c>
      <c r="K18" s="58">
        <v>8.8994999999999997</v>
      </c>
      <c r="L18" s="58">
        <v>10.8681</v>
      </c>
      <c r="M18" s="58">
        <v>10.650399999999999</v>
      </c>
      <c r="N18" s="58">
        <v>10.5959</v>
      </c>
      <c r="O18" s="58">
        <v>14.4878</v>
      </c>
      <c r="P18" s="300">
        <f t="shared" si="0"/>
        <v>133.6558</v>
      </c>
      <c r="Q18" s="58">
        <f t="shared" si="1"/>
        <v>11.137983333333333</v>
      </c>
      <c r="R18" s="58">
        <f t="shared" si="2"/>
        <v>0.36618027397260272</v>
      </c>
    </row>
    <row r="19" spans="1:18" x14ac:dyDescent="0.25">
      <c r="A19" s="307" t="s">
        <v>26</v>
      </c>
      <c r="B19" s="58" t="s">
        <v>241</v>
      </c>
      <c r="C19" s="58" t="s">
        <v>267</v>
      </c>
      <c r="D19" s="58">
        <v>351.23509999999999</v>
      </c>
      <c r="E19" s="58">
        <v>269.48860000000002</v>
      </c>
      <c r="F19" s="58">
        <v>275.4579</v>
      </c>
      <c r="G19" s="58">
        <v>280.26600000000002</v>
      </c>
      <c r="H19" s="58">
        <v>263.8913</v>
      </c>
      <c r="I19" s="58">
        <v>309.42290000000003</v>
      </c>
      <c r="J19" s="306">
        <v>323.12139999999999</v>
      </c>
      <c r="K19" s="58">
        <v>360.04390000000001</v>
      </c>
      <c r="L19" s="58">
        <v>322.1508</v>
      </c>
      <c r="M19" s="58">
        <v>333.97140000000002</v>
      </c>
      <c r="N19" s="58">
        <v>301.96589999999998</v>
      </c>
      <c r="O19" s="58">
        <v>323.03070000000002</v>
      </c>
      <c r="P19" s="300">
        <f t="shared" si="0"/>
        <v>3714.0459000000001</v>
      </c>
      <c r="Q19" s="58">
        <f t="shared" si="1"/>
        <v>309.50382500000001</v>
      </c>
      <c r="R19" s="58">
        <f t="shared" si="2"/>
        <v>10.175468219178082</v>
      </c>
    </row>
    <row r="20" spans="1:18" x14ac:dyDescent="0.25">
      <c r="A20" s="307" t="s">
        <v>26</v>
      </c>
      <c r="B20" s="58" t="s">
        <v>243</v>
      </c>
      <c r="C20" s="58" t="s">
        <v>267</v>
      </c>
      <c r="D20" s="58">
        <v>313.99520000000001</v>
      </c>
      <c r="E20" s="58">
        <v>282.5521</v>
      </c>
      <c r="F20" s="58">
        <v>315.2199</v>
      </c>
      <c r="G20" s="58">
        <v>298.60019999999997</v>
      </c>
      <c r="H20" s="58">
        <v>300.14240000000001</v>
      </c>
      <c r="I20" s="58">
        <v>343.13400000000001</v>
      </c>
      <c r="J20" s="58">
        <v>344.41309999999999</v>
      </c>
      <c r="K20" s="58">
        <v>359.86250000000001</v>
      </c>
      <c r="L20" s="58">
        <v>335.67689999999999</v>
      </c>
      <c r="M20" s="58">
        <v>356.68729999999999</v>
      </c>
      <c r="N20" s="58">
        <v>336.35730000000001</v>
      </c>
      <c r="O20" s="58">
        <v>355.96159999999998</v>
      </c>
      <c r="P20" s="300">
        <f t="shared" ref="P20:P26" si="3">SUM(D20:O20)</f>
        <v>3942.6025000000004</v>
      </c>
      <c r="Q20" s="58">
        <f t="shared" ref="Q20:Q26" si="4">SUM(P20/12)</f>
        <v>328.55020833333339</v>
      </c>
      <c r="R20" s="58">
        <f t="shared" ref="R20:R26" si="5">SUM(P20/365)</f>
        <v>10.801650684931507</v>
      </c>
    </row>
    <row r="21" spans="1:18" x14ac:dyDescent="0.25">
      <c r="A21" s="307" t="s">
        <v>26</v>
      </c>
      <c r="B21" s="58" t="s">
        <v>293</v>
      </c>
      <c r="C21" s="58" t="s">
        <v>267</v>
      </c>
      <c r="D21" s="58">
        <v>98.175600000000003</v>
      </c>
      <c r="E21" s="58">
        <v>85.484099999999998</v>
      </c>
      <c r="F21" s="58">
        <v>99.935599999999994</v>
      </c>
      <c r="G21" s="58">
        <v>103.29219999999999</v>
      </c>
      <c r="H21" s="58">
        <v>99.9084</v>
      </c>
      <c r="I21" s="58">
        <v>119.0954</v>
      </c>
      <c r="J21" s="58">
        <v>115.4666</v>
      </c>
      <c r="K21" s="58">
        <v>118.9502</v>
      </c>
      <c r="L21" s="58">
        <v>105.93210000000001</v>
      </c>
      <c r="M21" s="58">
        <v>116.01090000000001</v>
      </c>
      <c r="N21" s="306">
        <v>111.5839</v>
      </c>
      <c r="O21" s="58">
        <v>106.46729999999999</v>
      </c>
      <c r="P21" s="300">
        <f t="shared" si="3"/>
        <v>1280.3023000000001</v>
      </c>
      <c r="Q21" s="58">
        <f t="shared" si="4"/>
        <v>106.69185833333334</v>
      </c>
      <c r="R21" s="58">
        <f t="shared" si="5"/>
        <v>3.5076775342465756</v>
      </c>
    </row>
    <row r="22" spans="1:18" x14ac:dyDescent="0.25">
      <c r="A22" s="308" t="s">
        <v>26</v>
      </c>
      <c r="B22" s="58" t="s">
        <v>244</v>
      </c>
      <c r="C22" s="58" t="s">
        <v>267</v>
      </c>
      <c r="D22" s="58">
        <v>90.981700000000004</v>
      </c>
      <c r="E22" s="58">
        <v>75.423400000000001</v>
      </c>
      <c r="F22" s="58">
        <v>74.715800000000002</v>
      </c>
      <c r="G22" s="58">
        <v>76.811400000000006</v>
      </c>
      <c r="H22" s="58">
        <v>79.787000000000006</v>
      </c>
      <c r="I22" s="58">
        <v>87.089799999999997</v>
      </c>
      <c r="J22" s="58">
        <v>106.5853</v>
      </c>
      <c r="K22" s="58">
        <v>110.6585</v>
      </c>
      <c r="L22" s="58">
        <v>103.265</v>
      </c>
      <c r="M22" s="58">
        <v>94.220299999999995</v>
      </c>
      <c r="N22" s="58">
        <v>94.011700000000005</v>
      </c>
      <c r="O22" s="58">
        <v>86.237099999999998</v>
      </c>
      <c r="P22" s="300">
        <f t="shared" si="3"/>
        <v>1079.7869999999998</v>
      </c>
      <c r="Q22" s="58">
        <f t="shared" si="4"/>
        <v>89.982249999999979</v>
      </c>
      <c r="R22" s="58">
        <f t="shared" si="5"/>
        <v>2.9583205479452048</v>
      </c>
    </row>
    <row r="23" spans="1:18" x14ac:dyDescent="0.25">
      <c r="A23" s="308" t="s">
        <v>26</v>
      </c>
      <c r="B23" s="58" t="s">
        <v>294</v>
      </c>
      <c r="C23" s="58" t="s">
        <v>267</v>
      </c>
      <c r="D23" s="58">
        <v>313.09699999999998</v>
      </c>
      <c r="E23" s="58">
        <v>295.0985</v>
      </c>
      <c r="F23" s="58">
        <v>324.10120000000001</v>
      </c>
      <c r="G23" s="58">
        <v>317.62389999999999</v>
      </c>
      <c r="H23" s="58">
        <v>338.8974</v>
      </c>
      <c r="I23" s="58">
        <v>392.0222</v>
      </c>
      <c r="J23" s="309">
        <v>382.02499999999998</v>
      </c>
      <c r="K23" s="306">
        <v>395.07940000000002</v>
      </c>
      <c r="L23" s="58">
        <v>361.30489999999998</v>
      </c>
      <c r="M23" s="58">
        <v>373.14370000000002</v>
      </c>
      <c r="N23" s="309">
        <v>346.42700000000002</v>
      </c>
      <c r="O23" s="58">
        <v>357.21350000000001</v>
      </c>
      <c r="P23" s="300">
        <f>SUM(D23:O23)</f>
        <v>4196.0337000000009</v>
      </c>
      <c r="Q23" s="58">
        <f t="shared" si="4"/>
        <v>349.66947500000009</v>
      </c>
      <c r="R23" s="58">
        <f t="shared" si="5"/>
        <v>11.495982739726029</v>
      </c>
    </row>
    <row r="24" spans="1:18" x14ac:dyDescent="0.25">
      <c r="A24" s="310" t="s">
        <v>26</v>
      </c>
      <c r="B24" s="58" t="s">
        <v>246</v>
      </c>
      <c r="C24" s="58" t="s">
        <v>267</v>
      </c>
      <c r="D24" s="58">
        <v>86.255200000000002</v>
      </c>
      <c r="E24" s="58">
        <v>70.651600000000002</v>
      </c>
      <c r="F24" s="58">
        <v>81.755600000000001</v>
      </c>
      <c r="G24" s="58">
        <v>90.382900000000006</v>
      </c>
      <c r="H24" s="58">
        <v>91.807199999999995</v>
      </c>
      <c r="I24" s="58">
        <v>98.983000000000004</v>
      </c>
      <c r="J24" s="58">
        <v>120.22929999999999</v>
      </c>
      <c r="K24" s="58">
        <v>120.184</v>
      </c>
      <c r="L24" s="58">
        <v>88.1875</v>
      </c>
      <c r="M24" s="58">
        <v>90.083600000000004</v>
      </c>
      <c r="N24" s="58">
        <v>106.8665</v>
      </c>
      <c r="O24" s="58">
        <v>88.477800000000002</v>
      </c>
      <c r="P24" s="300">
        <f t="shared" si="3"/>
        <v>1133.8642</v>
      </c>
      <c r="Q24" s="58">
        <f t="shared" si="4"/>
        <v>94.488683333333327</v>
      </c>
      <c r="R24" s="58">
        <f t="shared" si="5"/>
        <v>3.1064772602739725</v>
      </c>
    </row>
    <row r="25" spans="1:18" x14ac:dyDescent="0.25">
      <c r="A25" s="310" t="s">
        <v>26</v>
      </c>
      <c r="B25" s="58" t="s">
        <v>295</v>
      </c>
      <c r="C25" s="58" t="s">
        <v>267</v>
      </c>
      <c r="D25" s="58">
        <v>37.494</v>
      </c>
      <c r="E25" s="58">
        <v>28.848500000000001</v>
      </c>
      <c r="F25" s="58">
        <v>24.5212</v>
      </c>
      <c r="G25" s="58">
        <v>36.895200000000003</v>
      </c>
      <c r="H25" s="58">
        <v>32.368400000000001</v>
      </c>
      <c r="I25" s="58">
        <v>25.373999999999999</v>
      </c>
      <c r="J25" s="58">
        <v>42.311100000000003</v>
      </c>
      <c r="K25" s="58">
        <v>43.327199999999998</v>
      </c>
      <c r="L25" s="58">
        <v>27.260899999999999</v>
      </c>
      <c r="M25" s="58">
        <v>43.499600000000001</v>
      </c>
      <c r="N25" s="58">
        <v>37.158299999999997</v>
      </c>
      <c r="O25" s="58">
        <v>23.686599999999999</v>
      </c>
      <c r="P25" s="311">
        <f t="shared" si="3"/>
        <v>402.74499999999995</v>
      </c>
      <c r="Q25" s="58">
        <f t="shared" si="4"/>
        <v>33.562083333333327</v>
      </c>
      <c r="R25" s="58">
        <f t="shared" si="5"/>
        <v>1.1034109589041095</v>
      </c>
    </row>
    <row r="26" spans="1:18" x14ac:dyDescent="0.25">
      <c r="A26" s="310" t="s">
        <v>26</v>
      </c>
      <c r="B26" s="312" t="s">
        <v>26</v>
      </c>
      <c r="C26" s="58" t="s">
        <v>267</v>
      </c>
      <c r="D26" s="58">
        <v>1728.8966</v>
      </c>
      <c r="E26" s="58">
        <v>1579.4558999999999</v>
      </c>
      <c r="F26" s="58">
        <v>1505.1510000000001</v>
      </c>
      <c r="G26" s="58">
        <v>1271.2394999999999</v>
      </c>
      <c r="H26" s="58">
        <v>1285.1648</v>
      </c>
      <c r="I26" s="58">
        <v>1650.5519999999999</v>
      </c>
      <c r="J26" s="58">
        <v>1692.1919</v>
      </c>
      <c r="K26" s="58">
        <v>1854.7322999999999</v>
      </c>
      <c r="L26" s="58">
        <v>1866.1719000000001</v>
      </c>
      <c r="M26" s="58">
        <v>2037.8478</v>
      </c>
      <c r="N26" s="58">
        <v>1791.5741</v>
      </c>
      <c r="O26" s="58">
        <v>1879.8342</v>
      </c>
      <c r="P26" s="300">
        <f t="shared" si="3"/>
        <v>20142.812000000002</v>
      </c>
      <c r="Q26" s="58">
        <f t="shared" si="4"/>
        <v>1678.5676666666668</v>
      </c>
      <c r="R26" s="58">
        <f t="shared" si="5"/>
        <v>55.185786301369866</v>
      </c>
    </row>
    <row r="27" spans="1:18" x14ac:dyDescent="0.25">
      <c r="A27" s="310" t="s">
        <v>26</v>
      </c>
      <c r="B27" s="303" t="s">
        <v>247</v>
      </c>
      <c r="C27" s="58" t="s">
        <v>267</v>
      </c>
      <c r="D27" s="58">
        <v>571.10069999999996</v>
      </c>
      <c r="E27" s="58">
        <v>520.6884</v>
      </c>
      <c r="F27" s="58">
        <v>557.85580000000004</v>
      </c>
      <c r="G27" s="58">
        <v>540.61019999999996</v>
      </c>
      <c r="H27" s="58">
        <v>611.34349999999995</v>
      </c>
      <c r="I27" s="58">
        <v>723.68029999999999</v>
      </c>
      <c r="J27" s="58">
        <v>696.47379999999998</v>
      </c>
      <c r="K27" s="58">
        <v>732.77930000000003</v>
      </c>
      <c r="L27" s="58">
        <v>671.20860000000005</v>
      </c>
      <c r="M27" s="58">
        <v>698.22460000000001</v>
      </c>
      <c r="N27" s="58">
        <v>649.1277</v>
      </c>
      <c r="O27" s="58">
        <v>646.29729999999995</v>
      </c>
      <c r="P27" s="311">
        <f>SUM(D27:O27)</f>
        <v>7619.3902000000007</v>
      </c>
      <c r="Q27" s="58">
        <f>SUM(P27/12)</f>
        <v>634.94918333333339</v>
      </c>
      <c r="R27" s="58">
        <f>SUM(P27/365)</f>
        <v>20.875041643835619</v>
      </c>
    </row>
    <row r="28" spans="1:18" s="16" customFormat="1" x14ac:dyDescent="0.25">
      <c r="A28" s="313"/>
      <c r="B28" s="314" t="s">
        <v>268</v>
      </c>
      <c r="C28" s="314"/>
      <c r="D28" s="315">
        <f t="shared" ref="D28:R28" si="6">SUM(D7:D27)</f>
        <v>4644.7821999999996</v>
      </c>
      <c r="E28" s="315">
        <f t="shared" si="6"/>
        <v>4092.5691999999999</v>
      </c>
      <c r="F28" s="315">
        <f t="shared" si="6"/>
        <v>4519.7656999999999</v>
      </c>
      <c r="G28" s="315">
        <f t="shared" si="6"/>
        <v>4314.6028999999999</v>
      </c>
      <c r="H28" s="315">
        <f t="shared" si="6"/>
        <v>4449.2021999999997</v>
      </c>
      <c r="I28" s="315">
        <f t="shared" si="6"/>
        <v>5284.2757000000001</v>
      </c>
      <c r="J28" s="315">
        <f t="shared" si="6"/>
        <v>5357.8031000000001</v>
      </c>
      <c r="K28" s="315">
        <f t="shared" si="6"/>
        <v>5678.9922000000006</v>
      </c>
      <c r="L28" s="315">
        <f t="shared" si="6"/>
        <v>5439.8489</v>
      </c>
      <c r="M28" s="315">
        <f t="shared" si="6"/>
        <v>5677.4439000000002</v>
      </c>
      <c r="N28" s="315">
        <f t="shared" si="6"/>
        <v>5233.4462000000003</v>
      </c>
      <c r="O28" s="315">
        <f t="shared" si="6"/>
        <v>5421.3153000000002</v>
      </c>
      <c r="P28" s="315">
        <f t="shared" si="6"/>
        <v>60114.047500000008</v>
      </c>
      <c r="Q28" s="315">
        <f t="shared" si="6"/>
        <v>5009.5039583333337</v>
      </c>
      <c r="R28" s="57">
        <f t="shared" si="6"/>
        <v>164.69602054794524</v>
      </c>
    </row>
    <row r="29" spans="1:18" s="16" customFormat="1" x14ac:dyDescent="0.25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8"/>
    </row>
    <row r="30" spans="1:18" x14ac:dyDescent="0.25">
      <c r="A30" s="316" t="s">
        <v>266</v>
      </c>
      <c r="B30" s="317" t="s">
        <v>337</v>
      </c>
      <c r="C30" s="58" t="s">
        <v>267</v>
      </c>
      <c r="D30" s="318">
        <v>0</v>
      </c>
      <c r="E30" s="318"/>
      <c r="F30" s="318">
        <v>7.0397999999999996</v>
      </c>
      <c r="G30" s="318">
        <v>13.970700000000001</v>
      </c>
      <c r="H30" s="318">
        <v>12.7097</v>
      </c>
      <c r="I30" s="318">
        <v>9.9880999999999993</v>
      </c>
      <c r="J30" s="318">
        <v>8.6998999999999995</v>
      </c>
      <c r="K30" s="318">
        <v>5.7968999999999999</v>
      </c>
      <c r="L30" s="318">
        <v>3.9281000000000001</v>
      </c>
      <c r="M30" s="318">
        <v>0</v>
      </c>
      <c r="N30" s="318">
        <v>0</v>
      </c>
      <c r="O30" s="318">
        <v>0.4536</v>
      </c>
      <c r="P30" s="319">
        <f t="shared" ref="P30:P48" si="7">SUM(D30:O30)</f>
        <v>62.586799999999997</v>
      </c>
      <c r="Q30" s="57">
        <f t="shared" ref="Q30" si="8">SUM(P30/12)</f>
        <v>5.2155666666666667</v>
      </c>
      <c r="R30" s="57">
        <f t="shared" ref="R30" si="9">SUM(P30/365)</f>
        <v>0.17147068493150683</v>
      </c>
    </row>
    <row r="31" spans="1:18" x14ac:dyDescent="0.25">
      <c r="A31" s="320"/>
      <c r="B31" s="321" t="s">
        <v>338</v>
      </c>
      <c r="C31" s="58" t="s">
        <v>267</v>
      </c>
      <c r="D31" s="322">
        <v>12.101900000000001</v>
      </c>
      <c r="E31" s="318">
        <v>13.027200000000001</v>
      </c>
      <c r="F31" s="318">
        <v>5.7424999999999997</v>
      </c>
      <c r="G31" s="318">
        <v>7.2121000000000004</v>
      </c>
      <c r="H31" s="318">
        <v>13.7166</v>
      </c>
      <c r="I31" s="318">
        <v>30.6629</v>
      </c>
      <c r="J31" s="318">
        <v>51.890999999999998</v>
      </c>
      <c r="K31" s="318">
        <v>20.874300000000002</v>
      </c>
      <c r="L31" s="318">
        <v>19.640599999999999</v>
      </c>
      <c r="M31" s="318">
        <v>37.965699999999998</v>
      </c>
      <c r="N31" s="318">
        <v>28.540099999999999</v>
      </c>
      <c r="O31" s="318">
        <v>6.0690999999999997</v>
      </c>
      <c r="P31" s="319">
        <f t="shared" si="7"/>
        <v>247.44399999999999</v>
      </c>
      <c r="Q31" s="57">
        <f t="shared" ref="Q31:Q59" si="10">SUM(P31/12)</f>
        <v>20.620333333333331</v>
      </c>
      <c r="R31" s="57">
        <f t="shared" ref="R31:R59" si="11">SUM(P31/365)</f>
        <v>0.67792876712328765</v>
      </c>
    </row>
    <row r="32" spans="1:18" x14ac:dyDescent="0.25">
      <c r="A32" s="320"/>
      <c r="B32" s="321" t="s">
        <v>339</v>
      </c>
      <c r="C32" s="58" t="s">
        <v>267</v>
      </c>
      <c r="D32" s="323">
        <v>32.150700000000001</v>
      </c>
      <c r="E32" s="318">
        <v>7.6021999999999998</v>
      </c>
      <c r="F32" s="318">
        <v>14.515000000000001</v>
      </c>
      <c r="G32" s="318">
        <v>40.369799999999998</v>
      </c>
      <c r="H32" s="318">
        <v>38.956600000000002</v>
      </c>
      <c r="I32" s="318">
        <v>32.785699999999999</v>
      </c>
      <c r="J32" s="318">
        <v>21.654499999999999</v>
      </c>
      <c r="K32" s="318">
        <v>37.630099999999999</v>
      </c>
      <c r="L32" s="318">
        <v>35.425600000000003</v>
      </c>
      <c r="M32" s="318">
        <v>43.381599999999999</v>
      </c>
      <c r="N32" s="318">
        <v>40.805199999999999</v>
      </c>
      <c r="O32" s="318">
        <v>27.133900000000001</v>
      </c>
      <c r="P32" s="319">
        <f t="shared" si="7"/>
        <v>372.41089999999997</v>
      </c>
      <c r="Q32" s="57">
        <f t="shared" si="10"/>
        <v>31.034241666666663</v>
      </c>
      <c r="R32" s="57">
        <f t="shared" si="11"/>
        <v>1.0203038356164382</v>
      </c>
    </row>
    <row r="33" spans="1:18" x14ac:dyDescent="0.25">
      <c r="A33" s="320"/>
      <c r="B33" s="324" t="s">
        <v>340</v>
      </c>
      <c r="C33" s="58" t="s">
        <v>267</v>
      </c>
      <c r="D33" s="323">
        <v>19.1144</v>
      </c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9">
        <f t="shared" si="7"/>
        <v>19.1144</v>
      </c>
      <c r="Q33" s="57">
        <f t="shared" si="10"/>
        <v>1.5928666666666667</v>
      </c>
      <c r="R33" s="57">
        <f t="shared" si="11"/>
        <v>5.2368219178082188E-2</v>
      </c>
    </row>
    <row r="34" spans="1:18" x14ac:dyDescent="0.25">
      <c r="A34" s="320"/>
      <c r="B34" s="325" t="s">
        <v>341</v>
      </c>
      <c r="C34" s="58" t="s">
        <v>267</v>
      </c>
      <c r="D34" s="326"/>
      <c r="E34" s="318"/>
      <c r="F34" s="318"/>
      <c r="G34" s="318"/>
      <c r="H34" s="318"/>
      <c r="I34" s="318"/>
      <c r="J34" s="318"/>
      <c r="K34" s="318"/>
      <c r="L34" s="318"/>
      <c r="M34" s="318">
        <v>6.3684000000000003</v>
      </c>
      <c r="N34" s="318">
        <v>8.2010000000000005</v>
      </c>
      <c r="O34" s="318">
        <v>8.1828000000000003</v>
      </c>
      <c r="P34" s="319">
        <f t="shared" si="7"/>
        <v>22.752200000000002</v>
      </c>
      <c r="Q34" s="57">
        <f t="shared" si="10"/>
        <v>1.8960166666666669</v>
      </c>
      <c r="R34" s="57">
        <f t="shared" si="11"/>
        <v>6.2334794520547951E-2</v>
      </c>
    </row>
    <row r="35" spans="1:18" x14ac:dyDescent="0.25">
      <c r="A35" s="320"/>
      <c r="B35" s="321" t="s">
        <v>342</v>
      </c>
      <c r="C35" s="58" t="s">
        <v>267</v>
      </c>
      <c r="D35" s="327">
        <v>10.995100000000001</v>
      </c>
      <c r="E35" s="318">
        <v>11.103999999999999</v>
      </c>
      <c r="F35" s="318">
        <v>14.2156</v>
      </c>
      <c r="G35" s="318">
        <v>13.3901</v>
      </c>
      <c r="H35" s="318">
        <v>12.5464</v>
      </c>
      <c r="I35" s="318">
        <v>13.8255</v>
      </c>
      <c r="J35" s="318">
        <v>5.4067999999999996</v>
      </c>
      <c r="K35" s="318">
        <v>4.0007000000000001</v>
      </c>
      <c r="L35" s="318">
        <v>2.6762000000000001</v>
      </c>
      <c r="M35" s="318">
        <v>2.8395000000000001</v>
      </c>
      <c r="N35" s="318">
        <v>1.9866999999999999</v>
      </c>
      <c r="O35" s="318">
        <v>3.3203</v>
      </c>
      <c r="P35" s="319">
        <f t="shared" si="7"/>
        <v>96.306899999999999</v>
      </c>
      <c r="Q35" s="57">
        <f t="shared" si="10"/>
        <v>8.0255749999999999</v>
      </c>
      <c r="R35" s="57">
        <f t="shared" si="11"/>
        <v>0.26385452054794523</v>
      </c>
    </row>
    <row r="36" spans="1:18" x14ac:dyDescent="0.25">
      <c r="A36" s="320"/>
      <c r="B36" s="321" t="s">
        <v>343</v>
      </c>
      <c r="C36" s="58" t="s">
        <v>267</v>
      </c>
      <c r="D36" s="328">
        <v>5.6063999999999998</v>
      </c>
      <c r="E36" s="318">
        <v>5.3887</v>
      </c>
      <c r="F36" s="318">
        <v>4.0732999999999997</v>
      </c>
      <c r="G36" s="318">
        <v>4.0007000000000001</v>
      </c>
      <c r="H36" s="318">
        <v>3.4927000000000001</v>
      </c>
      <c r="I36" s="318">
        <v>5.2344999999999997</v>
      </c>
      <c r="J36" s="318">
        <v>4.3998999999999997</v>
      </c>
      <c r="K36" s="318">
        <v>3.9371999999999998</v>
      </c>
      <c r="L36" s="318">
        <v>8.0830000000000002</v>
      </c>
      <c r="M36" s="318">
        <v>10.736000000000001</v>
      </c>
      <c r="N36" s="318">
        <v>5.3433000000000002</v>
      </c>
      <c r="O36" s="318">
        <v>5.2072000000000003</v>
      </c>
      <c r="P36" s="319">
        <f t="shared" si="7"/>
        <v>65.502899999999997</v>
      </c>
      <c r="Q36" s="57">
        <f t="shared" si="10"/>
        <v>5.4585749999999997</v>
      </c>
      <c r="R36" s="57">
        <f t="shared" si="11"/>
        <v>0.17945999999999998</v>
      </c>
    </row>
    <row r="37" spans="1:18" x14ac:dyDescent="0.25">
      <c r="A37" s="320"/>
      <c r="B37" s="325" t="s">
        <v>344</v>
      </c>
      <c r="C37" s="58" t="s">
        <v>267</v>
      </c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>
        <v>3.0663</v>
      </c>
      <c r="P37" s="319">
        <f t="shared" si="7"/>
        <v>3.0663</v>
      </c>
      <c r="Q37" s="57">
        <f t="shared" si="10"/>
        <v>0.255525</v>
      </c>
      <c r="R37" s="57">
        <f t="shared" si="11"/>
        <v>8.4008219178082193E-3</v>
      </c>
    </row>
    <row r="38" spans="1:18" x14ac:dyDescent="0.25">
      <c r="A38" s="320"/>
      <c r="B38" s="325" t="s">
        <v>345</v>
      </c>
      <c r="C38" s="58" t="s">
        <v>267</v>
      </c>
      <c r="D38" s="318"/>
      <c r="E38" s="318"/>
      <c r="F38" s="318"/>
      <c r="G38" s="318"/>
      <c r="H38" s="318"/>
      <c r="I38" s="318"/>
      <c r="J38" s="318"/>
      <c r="K38" s="318"/>
      <c r="L38" s="318"/>
      <c r="M38" s="318">
        <v>7.8834</v>
      </c>
      <c r="N38" s="318"/>
      <c r="O38" s="318"/>
      <c r="P38" s="319">
        <f t="shared" si="7"/>
        <v>7.8834</v>
      </c>
      <c r="Q38" s="57">
        <f t="shared" si="10"/>
        <v>0.65695000000000003</v>
      </c>
      <c r="R38" s="57">
        <f t="shared" si="11"/>
        <v>2.1598356164383561E-2</v>
      </c>
    </row>
    <row r="39" spans="1:18" x14ac:dyDescent="0.25">
      <c r="A39" s="320"/>
      <c r="B39" s="325" t="s">
        <v>346</v>
      </c>
      <c r="C39" s="58" t="s">
        <v>267</v>
      </c>
      <c r="D39" s="318">
        <v>167.50280000000001</v>
      </c>
      <c r="E39" s="318">
        <v>146.2474</v>
      </c>
      <c r="F39" s="318">
        <v>83.896500000000003</v>
      </c>
      <c r="G39" s="318">
        <v>11.6211</v>
      </c>
      <c r="H39" s="318">
        <v>15.5038</v>
      </c>
      <c r="I39" s="318">
        <v>14.977600000000001</v>
      </c>
      <c r="J39" s="318">
        <v>11.285399999999999</v>
      </c>
      <c r="K39" s="318">
        <v>18.624500000000001</v>
      </c>
      <c r="L39" s="318">
        <v>80.966300000000004</v>
      </c>
      <c r="M39" s="318">
        <v>111.85599999999999</v>
      </c>
      <c r="N39" s="318">
        <v>115.7206</v>
      </c>
      <c r="O39" s="318">
        <v>114.886</v>
      </c>
      <c r="P39" s="319">
        <f t="shared" si="7"/>
        <v>893.08799999999997</v>
      </c>
      <c r="Q39" s="57">
        <f t="shared" si="10"/>
        <v>74.423999999999992</v>
      </c>
      <c r="R39" s="57">
        <f t="shared" si="11"/>
        <v>2.4468164383561644</v>
      </c>
    </row>
    <row r="40" spans="1:18" x14ac:dyDescent="0.25">
      <c r="A40" s="320"/>
      <c r="B40" s="325" t="s">
        <v>347</v>
      </c>
      <c r="C40" s="58" t="s">
        <v>267</v>
      </c>
      <c r="D40" s="318">
        <v>1.5330999999999999</v>
      </c>
      <c r="E40" s="318">
        <v>0</v>
      </c>
      <c r="F40" s="318">
        <v>1.016</v>
      </c>
      <c r="G40" s="318">
        <v>3.7012999999999998</v>
      </c>
      <c r="H40" s="318">
        <v>0</v>
      </c>
      <c r="I40" s="318">
        <v>0</v>
      </c>
      <c r="J40" s="318">
        <v>0</v>
      </c>
      <c r="K40" s="318">
        <v>0</v>
      </c>
      <c r="L40" s="318">
        <v>0</v>
      </c>
      <c r="M40" s="318">
        <v>0</v>
      </c>
      <c r="N40" s="318">
        <v>0</v>
      </c>
      <c r="O40" s="318">
        <v>0</v>
      </c>
      <c r="P40" s="319">
        <f t="shared" si="7"/>
        <v>6.2504</v>
      </c>
      <c r="Q40" s="57">
        <f t="shared" si="10"/>
        <v>0.5208666666666667</v>
      </c>
      <c r="R40" s="57">
        <f t="shared" si="11"/>
        <v>1.7124383561643836E-2</v>
      </c>
    </row>
    <row r="41" spans="1:18" x14ac:dyDescent="0.25">
      <c r="A41" s="320"/>
      <c r="B41" s="325" t="s">
        <v>348</v>
      </c>
      <c r="C41" s="58" t="s">
        <v>267</v>
      </c>
      <c r="D41" s="318">
        <v>24.8569</v>
      </c>
      <c r="E41" s="318">
        <v>0</v>
      </c>
      <c r="F41" s="318">
        <v>0</v>
      </c>
      <c r="G41" s="318">
        <v>0</v>
      </c>
      <c r="H41" s="318">
        <v>0</v>
      </c>
      <c r="I41" s="318">
        <v>0</v>
      </c>
      <c r="J41" s="318">
        <v>0</v>
      </c>
      <c r="K41" s="318">
        <v>0</v>
      </c>
      <c r="L41" s="318">
        <v>0</v>
      </c>
      <c r="M41" s="318">
        <v>0</v>
      </c>
      <c r="N41" s="318">
        <v>0</v>
      </c>
      <c r="O41" s="318">
        <v>0</v>
      </c>
      <c r="P41" s="319">
        <f t="shared" si="7"/>
        <v>24.8569</v>
      </c>
      <c r="Q41" s="57">
        <f t="shared" si="10"/>
        <v>2.0714083333333333</v>
      </c>
      <c r="R41" s="57">
        <f t="shared" si="11"/>
        <v>6.8101095890410954E-2</v>
      </c>
    </row>
    <row r="42" spans="1:18" x14ac:dyDescent="0.25">
      <c r="A42" s="320"/>
      <c r="B42" s="325" t="s">
        <v>349</v>
      </c>
      <c r="C42" s="58" t="s">
        <v>267</v>
      </c>
      <c r="D42" s="318">
        <v>0</v>
      </c>
      <c r="E42" s="318">
        <v>4.4180000000000001</v>
      </c>
      <c r="F42" s="318">
        <v>0</v>
      </c>
      <c r="G42" s="318">
        <v>0</v>
      </c>
      <c r="H42" s="318">
        <v>0</v>
      </c>
      <c r="I42" s="318">
        <v>0</v>
      </c>
      <c r="J42" s="318">
        <v>0</v>
      </c>
      <c r="K42" s="318">
        <v>0</v>
      </c>
      <c r="L42" s="318">
        <v>0</v>
      </c>
      <c r="M42" s="318">
        <v>0</v>
      </c>
      <c r="N42" s="318">
        <v>0</v>
      </c>
      <c r="O42" s="318">
        <v>0</v>
      </c>
      <c r="P42" s="319">
        <f t="shared" si="7"/>
        <v>4.4180000000000001</v>
      </c>
      <c r="Q42" s="57">
        <f t="shared" si="10"/>
        <v>0.3681666666666667</v>
      </c>
      <c r="R42" s="57">
        <f t="shared" si="11"/>
        <v>1.2104109589041095E-2</v>
      </c>
    </row>
    <row r="43" spans="1:18" x14ac:dyDescent="0.25">
      <c r="A43" s="320"/>
      <c r="B43" s="325" t="s">
        <v>350</v>
      </c>
      <c r="C43" s="58" t="s">
        <v>267</v>
      </c>
      <c r="D43" s="318">
        <v>0</v>
      </c>
      <c r="E43" s="318">
        <v>1.8415999999999999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  <c r="N43" s="318">
        <v>0</v>
      </c>
      <c r="O43" s="318">
        <v>0</v>
      </c>
      <c r="P43" s="319">
        <f t="shared" si="7"/>
        <v>1.8415999999999999</v>
      </c>
      <c r="Q43" s="57">
        <f t="shared" si="10"/>
        <v>0.15346666666666667</v>
      </c>
      <c r="R43" s="57">
        <f t="shared" si="11"/>
        <v>5.0454794520547941E-3</v>
      </c>
    </row>
    <row r="44" spans="1:18" x14ac:dyDescent="0.25">
      <c r="A44" s="320"/>
      <c r="B44" s="325" t="s">
        <v>351</v>
      </c>
      <c r="C44" s="58" t="s">
        <v>267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7.3573000000000004</v>
      </c>
      <c r="J44" s="318">
        <v>7.2666000000000004</v>
      </c>
      <c r="K44" s="318">
        <v>0</v>
      </c>
      <c r="L44" s="318">
        <v>0</v>
      </c>
      <c r="M44" s="318">
        <v>0</v>
      </c>
      <c r="N44" s="318">
        <v>0</v>
      </c>
      <c r="O44" s="318">
        <v>3.4291999999999998</v>
      </c>
      <c r="P44" s="319">
        <f t="shared" si="7"/>
        <v>18.053100000000001</v>
      </c>
      <c r="Q44" s="57">
        <f t="shared" si="10"/>
        <v>1.5044250000000001</v>
      </c>
      <c r="R44" s="57">
        <f t="shared" si="11"/>
        <v>4.9460547945205484E-2</v>
      </c>
    </row>
    <row r="45" spans="1:18" x14ac:dyDescent="0.25">
      <c r="A45" s="320"/>
      <c r="B45" s="321" t="s">
        <v>352</v>
      </c>
      <c r="C45" s="58" t="s">
        <v>267</v>
      </c>
      <c r="D45" s="318">
        <v>3.1661000000000001</v>
      </c>
      <c r="E45" s="318">
        <v>1.0795999999999999</v>
      </c>
      <c r="F45" s="318">
        <v>0.73480000000000001</v>
      </c>
      <c r="G45" s="318">
        <v>0</v>
      </c>
      <c r="H45" s="318">
        <v>0</v>
      </c>
      <c r="I45" s="318">
        <v>0.97070000000000001</v>
      </c>
      <c r="J45" s="318">
        <v>0.94350000000000001</v>
      </c>
      <c r="K45" s="318">
        <v>2.2860999999999998</v>
      </c>
      <c r="L45" s="318">
        <v>1.0976999999999999</v>
      </c>
      <c r="M45" s="318">
        <v>1.2882</v>
      </c>
      <c r="N45" s="318">
        <v>1.8688</v>
      </c>
      <c r="O45" s="318">
        <v>0.93440000000000001</v>
      </c>
      <c r="P45" s="319">
        <f t="shared" si="7"/>
        <v>14.369899999999999</v>
      </c>
      <c r="Q45" s="57">
        <f t="shared" si="10"/>
        <v>1.1974916666666666</v>
      </c>
      <c r="R45" s="57">
        <f t="shared" si="11"/>
        <v>3.9369589041095887E-2</v>
      </c>
    </row>
    <row r="46" spans="1:18" x14ac:dyDescent="0.25">
      <c r="A46" s="320"/>
      <c r="B46" s="325" t="s">
        <v>353</v>
      </c>
      <c r="C46" s="58" t="s">
        <v>267</v>
      </c>
      <c r="D46" s="318">
        <v>0</v>
      </c>
      <c r="E46" s="318">
        <v>0.3901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0.3901</v>
      </c>
      <c r="L46" s="318">
        <v>0</v>
      </c>
      <c r="M46" s="318">
        <v>0</v>
      </c>
      <c r="N46" s="318">
        <v>0</v>
      </c>
      <c r="O46" s="318">
        <v>0</v>
      </c>
      <c r="P46" s="319">
        <f t="shared" si="7"/>
        <v>0.7802</v>
      </c>
      <c r="Q46" s="57">
        <f t="shared" si="10"/>
        <v>6.5016666666666667E-2</v>
      </c>
      <c r="R46" s="57">
        <f t="shared" si="11"/>
        <v>2.1375342465753426E-3</v>
      </c>
    </row>
    <row r="47" spans="1:18" x14ac:dyDescent="0.25">
      <c r="A47" s="320"/>
      <c r="B47" s="325" t="s">
        <v>354</v>
      </c>
      <c r="C47" s="58" t="s">
        <v>267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18.96</v>
      </c>
      <c r="N47" s="318">
        <v>2.8212999999999999</v>
      </c>
      <c r="O47" s="318">
        <v>0</v>
      </c>
      <c r="P47" s="319">
        <f t="shared" si="7"/>
        <v>21.781300000000002</v>
      </c>
      <c r="Q47" s="57">
        <f t="shared" si="10"/>
        <v>1.8151083333333335</v>
      </c>
      <c r="R47" s="57">
        <f t="shared" si="11"/>
        <v>5.9674794520547948E-2</v>
      </c>
    </row>
    <row r="48" spans="1:18" x14ac:dyDescent="0.25">
      <c r="A48" s="320"/>
      <c r="B48" s="325" t="s">
        <v>355</v>
      </c>
      <c r="C48" s="58" t="s">
        <v>267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18.18</v>
      </c>
      <c r="N48" s="318">
        <v>0</v>
      </c>
      <c r="O48" s="318">
        <v>11.9567</v>
      </c>
      <c r="P48" s="319">
        <f t="shared" si="7"/>
        <v>30.136699999999998</v>
      </c>
      <c r="Q48" s="57">
        <f t="shared" si="10"/>
        <v>2.5113916666666665</v>
      </c>
      <c r="R48" s="57">
        <f t="shared" si="11"/>
        <v>8.256630136986301E-2</v>
      </c>
    </row>
    <row r="49" spans="1:18" x14ac:dyDescent="0.25">
      <c r="A49" s="320"/>
      <c r="B49" s="325" t="s">
        <v>356</v>
      </c>
      <c r="C49" s="58" t="s">
        <v>267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  <c r="N49" s="318">
        <v>0.2722</v>
      </c>
      <c r="O49" s="318">
        <v>0.1633</v>
      </c>
      <c r="P49" s="319">
        <f>SUM(D49:O49)</f>
        <v>0.4355</v>
      </c>
      <c r="Q49" s="57">
        <f t="shared" si="10"/>
        <v>3.6291666666666667E-2</v>
      </c>
      <c r="R49" s="57">
        <f t="shared" si="11"/>
        <v>1.1931506849315069E-3</v>
      </c>
    </row>
    <row r="50" spans="1:18" x14ac:dyDescent="0.25">
      <c r="A50" s="320"/>
      <c r="B50" s="325" t="s">
        <v>357</v>
      </c>
      <c r="C50" s="58" t="s">
        <v>267</v>
      </c>
      <c r="D50" s="318">
        <v>0</v>
      </c>
      <c r="E50" s="318">
        <v>1.7418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  <c r="N50" s="318">
        <v>0</v>
      </c>
      <c r="O50" s="318">
        <v>0</v>
      </c>
      <c r="P50" s="319">
        <f t="shared" ref="P50:P59" si="12">SUM(D50:O50)</f>
        <v>1.7418</v>
      </c>
      <c r="Q50" s="57">
        <f t="shared" si="10"/>
        <v>0.14515</v>
      </c>
      <c r="R50" s="57">
        <f t="shared" si="11"/>
        <v>4.7720547945205478E-3</v>
      </c>
    </row>
    <row r="51" spans="1:18" x14ac:dyDescent="0.25">
      <c r="A51" s="320"/>
      <c r="B51" s="321" t="s">
        <v>358</v>
      </c>
      <c r="C51" s="58" t="s">
        <v>267</v>
      </c>
      <c r="D51" s="318">
        <v>34.028500000000001</v>
      </c>
      <c r="E51" s="318">
        <v>30.045999999999999</v>
      </c>
      <c r="F51" s="318">
        <v>35.334899999999998</v>
      </c>
      <c r="G51" s="318">
        <v>11.2491</v>
      </c>
      <c r="H51" s="318">
        <v>4.4180000000000001</v>
      </c>
      <c r="I51" s="318">
        <v>35.053699999999999</v>
      </c>
      <c r="J51" s="318">
        <v>42.574199999999998</v>
      </c>
      <c r="K51" s="318">
        <v>47.400500000000001</v>
      </c>
      <c r="L51" s="318">
        <v>39.580500000000001</v>
      </c>
      <c r="M51" s="318">
        <v>39.861699999999999</v>
      </c>
      <c r="N51" s="318">
        <v>45.2958</v>
      </c>
      <c r="O51" s="318">
        <v>34.881300000000003</v>
      </c>
      <c r="P51" s="319">
        <f t="shared" si="12"/>
        <v>399.72419999999994</v>
      </c>
      <c r="Q51" s="57">
        <f t="shared" si="10"/>
        <v>33.310349999999993</v>
      </c>
      <c r="R51" s="57">
        <f t="shared" si="11"/>
        <v>1.0951347945205478</v>
      </c>
    </row>
    <row r="52" spans="1:18" x14ac:dyDescent="0.25">
      <c r="A52" s="320"/>
      <c r="B52" s="325" t="s">
        <v>359</v>
      </c>
      <c r="C52" s="58" t="s">
        <v>267</v>
      </c>
      <c r="D52" s="318">
        <v>0</v>
      </c>
      <c r="E52" s="318">
        <v>0.1179</v>
      </c>
      <c r="F52" s="318">
        <v>0</v>
      </c>
      <c r="G52" s="318">
        <v>0</v>
      </c>
      <c r="H52" s="318">
        <v>0</v>
      </c>
      <c r="I52" s="318">
        <v>0</v>
      </c>
      <c r="J52" s="318">
        <v>0</v>
      </c>
      <c r="K52" s="318">
        <v>0</v>
      </c>
      <c r="L52" s="318">
        <v>0</v>
      </c>
      <c r="M52" s="318">
        <v>0</v>
      </c>
      <c r="N52" s="318">
        <v>0.1724</v>
      </c>
      <c r="O52" s="318">
        <v>0</v>
      </c>
      <c r="P52" s="319">
        <f t="shared" si="12"/>
        <v>0.2903</v>
      </c>
      <c r="Q52" s="57">
        <f t="shared" si="10"/>
        <v>2.4191666666666667E-2</v>
      </c>
      <c r="R52" s="57">
        <f t="shared" si="11"/>
        <v>7.9534246575342464E-4</v>
      </c>
    </row>
    <row r="53" spans="1:18" x14ac:dyDescent="0.25">
      <c r="A53" s="320"/>
      <c r="B53" s="321" t="s">
        <v>360</v>
      </c>
      <c r="C53" s="58" t="s">
        <v>267</v>
      </c>
      <c r="D53" s="318">
        <v>1.8596999999999999</v>
      </c>
      <c r="E53" s="318">
        <v>1.3516999999999999</v>
      </c>
      <c r="F53" s="318">
        <v>1.4152</v>
      </c>
      <c r="G53" s="318">
        <v>0</v>
      </c>
      <c r="H53" s="318">
        <v>0</v>
      </c>
      <c r="I53" s="318">
        <v>0.95250000000000001</v>
      </c>
      <c r="J53" s="318">
        <v>1.3426</v>
      </c>
      <c r="K53" s="318">
        <v>1.9503999999999999</v>
      </c>
      <c r="L53" s="318">
        <v>1.7599</v>
      </c>
      <c r="M53" s="318">
        <v>2.6398999999999999</v>
      </c>
      <c r="N53" s="318">
        <v>1.8052999999999999</v>
      </c>
      <c r="O53" s="318">
        <v>2.6671</v>
      </c>
      <c r="P53" s="319">
        <f>SUM(D53:O53)</f>
        <v>17.744299999999999</v>
      </c>
      <c r="Q53" s="57">
        <f t="shared" si="10"/>
        <v>1.4786916666666665</v>
      </c>
      <c r="R53" s="57">
        <f t="shared" si="11"/>
        <v>4.8614520547945204E-2</v>
      </c>
    </row>
    <row r="54" spans="1:18" x14ac:dyDescent="0.25">
      <c r="A54" s="320"/>
      <c r="B54" s="321" t="s">
        <v>361</v>
      </c>
      <c r="C54" s="58" t="s">
        <v>267</v>
      </c>
      <c r="D54" s="326">
        <v>8.2462999999999997</v>
      </c>
      <c r="E54" s="329">
        <v>6.0419</v>
      </c>
      <c r="F54" s="326">
        <v>6.06</v>
      </c>
      <c r="G54" s="326">
        <v>8.8994999999999997</v>
      </c>
      <c r="H54" s="329">
        <v>10.2875</v>
      </c>
      <c r="I54" s="330">
        <v>14.143000000000001</v>
      </c>
      <c r="J54" s="329">
        <v>10.713900000000001</v>
      </c>
      <c r="K54" s="331">
        <v>11.358000000000001</v>
      </c>
      <c r="L54" s="330">
        <v>17.327200000000001</v>
      </c>
      <c r="M54" s="332">
        <v>24.3126</v>
      </c>
      <c r="N54" s="333">
        <v>15.0684</v>
      </c>
      <c r="O54" s="332">
        <v>14.4878</v>
      </c>
      <c r="P54" s="319">
        <f t="shared" si="12"/>
        <v>146.9461</v>
      </c>
      <c r="Q54" s="57">
        <f t="shared" si="10"/>
        <v>12.245508333333333</v>
      </c>
      <c r="R54" s="57">
        <f t="shared" si="11"/>
        <v>0.40259205479452054</v>
      </c>
    </row>
    <row r="55" spans="1:18" x14ac:dyDescent="0.25">
      <c r="A55" s="320"/>
      <c r="B55" s="321" t="s">
        <v>362</v>
      </c>
      <c r="C55" s="58" t="s">
        <v>267</v>
      </c>
      <c r="D55" s="326">
        <v>1.4878</v>
      </c>
      <c r="E55" s="329">
        <v>1.0432999999999999</v>
      </c>
      <c r="F55" s="326">
        <v>0.5534</v>
      </c>
      <c r="G55" s="326">
        <v>1.6056999999999999</v>
      </c>
      <c r="H55" s="329">
        <v>3.3656999999999999</v>
      </c>
      <c r="I55" s="330">
        <v>1.9777</v>
      </c>
      <c r="J55" s="329">
        <v>4.6719999999999997</v>
      </c>
      <c r="K55" s="331">
        <v>1.5693999999999999</v>
      </c>
      <c r="L55" s="330">
        <v>3.4018999999999999</v>
      </c>
      <c r="M55" s="332">
        <v>0.6169</v>
      </c>
      <c r="N55" s="333">
        <v>2.7940999999999998</v>
      </c>
      <c r="O55" s="332">
        <v>3.3565999999999998</v>
      </c>
      <c r="P55" s="319">
        <f t="shared" si="12"/>
        <v>26.444500000000001</v>
      </c>
      <c r="Q55" s="57">
        <f t="shared" si="10"/>
        <v>2.2037083333333336</v>
      </c>
      <c r="R55" s="57">
        <f t="shared" si="11"/>
        <v>7.2450684931506859E-2</v>
      </c>
    </row>
    <row r="56" spans="1:18" x14ac:dyDescent="0.25">
      <c r="A56" s="320"/>
      <c r="B56" s="321" t="s">
        <v>363</v>
      </c>
      <c r="C56" s="58" t="s">
        <v>267</v>
      </c>
      <c r="D56" s="326">
        <v>0.28120000000000001</v>
      </c>
      <c r="E56" s="329"/>
      <c r="F56" s="326"/>
      <c r="G56" s="326"/>
      <c r="H56" s="329"/>
      <c r="I56" s="330"/>
      <c r="J56" s="329"/>
      <c r="K56" s="331"/>
      <c r="L56" s="330"/>
      <c r="M56" s="332"/>
      <c r="N56" s="333">
        <v>0.3357</v>
      </c>
      <c r="O56" s="332"/>
      <c r="P56" s="319">
        <f t="shared" si="12"/>
        <v>0.6169</v>
      </c>
      <c r="Q56" s="57">
        <f t="shared" si="10"/>
        <v>5.1408333333333334E-2</v>
      </c>
      <c r="R56" s="57">
        <f t="shared" si="11"/>
        <v>1.6901369863013699E-3</v>
      </c>
    </row>
    <row r="57" spans="1:18" x14ac:dyDescent="0.25">
      <c r="A57" s="320"/>
      <c r="B57" s="321" t="s">
        <v>364</v>
      </c>
      <c r="C57" s="58" t="s">
        <v>267</v>
      </c>
      <c r="D57" s="326"/>
      <c r="E57" s="329"/>
      <c r="F57" s="326"/>
      <c r="G57" s="326"/>
      <c r="H57" s="329">
        <v>121.953</v>
      </c>
      <c r="I57" s="330"/>
      <c r="J57" s="329"/>
      <c r="K57" s="331"/>
      <c r="L57" s="330"/>
      <c r="M57" s="332"/>
      <c r="N57" s="333"/>
      <c r="O57" s="332"/>
      <c r="P57" s="319">
        <f t="shared" si="12"/>
        <v>121.953</v>
      </c>
      <c r="Q57" s="57">
        <f t="shared" si="10"/>
        <v>10.162750000000001</v>
      </c>
      <c r="R57" s="57">
        <f t="shared" si="11"/>
        <v>0.33411780821917808</v>
      </c>
    </row>
    <row r="58" spans="1:18" x14ac:dyDescent="0.25">
      <c r="A58" s="320"/>
      <c r="B58" s="321" t="s">
        <v>365</v>
      </c>
      <c r="C58" s="58" t="s">
        <v>267</v>
      </c>
      <c r="D58" s="326">
        <v>10.1242</v>
      </c>
      <c r="E58" s="329">
        <v>10.813700000000001</v>
      </c>
      <c r="F58" s="326"/>
      <c r="G58" s="326">
        <v>24.956700000000001</v>
      </c>
      <c r="H58" s="329">
        <v>16.401900000000001</v>
      </c>
      <c r="I58" s="330"/>
      <c r="J58" s="329">
        <v>13.2903</v>
      </c>
      <c r="K58" s="331"/>
      <c r="L58" s="330"/>
      <c r="M58" s="332"/>
      <c r="N58" s="333"/>
      <c r="O58" s="332"/>
      <c r="P58" s="319">
        <f t="shared" si="12"/>
        <v>75.586799999999997</v>
      </c>
      <c r="Q58" s="57">
        <f t="shared" si="10"/>
        <v>6.2988999999999997</v>
      </c>
      <c r="R58" s="57">
        <f t="shared" si="11"/>
        <v>0.20708712328767123</v>
      </c>
    </row>
    <row r="59" spans="1:18" x14ac:dyDescent="0.25">
      <c r="A59" s="320"/>
      <c r="B59" s="325" t="s">
        <v>366</v>
      </c>
      <c r="C59" s="58" t="s">
        <v>267</v>
      </c>
      <c r="D59" s="326"/>
      <c r="E59" s="329"/>
      <c r="F59" s="326"/>
      <c r="G59" s="326"/>
      <c r="H59" s="329"/>
      <c r="I59" s="330"/>
      <c r="J59" s="329"/>
      <c r="K59" s="331">
        <v>0.44450000000000001</v>
      </c>
      <c r="L59" s="330"/>
      <c r="M59" s="332"/>
      <c r="N59" s="333"/>
      <c r="O59" s="332"/>
      <c r="P59" s="319">
        <f t="shared" si="12"/>
        <v>0.44450000000000001</v>
      </c>
      <c r="Q59" s="57">
        <f t="shared" si="10"/>
        <v>3.7041666666666667E-2</v>
      </c>
      <c r="R59" s="57">
        <f t="shared" si="11"/>
        <v>1.2178082191780823E-3</v>
      </c>
    </row>
    <row r="60" spans="1:18" s="16" customFormat="1" x14ac:dyDescent="0.25">
      <c r="A60" s="106"/>
      <c r="B60" s="334" t="s">
        <v>309</v>
      </c>
      <c r="C60" s="58"/>
      <c r="D60" s="335">
        <f>SUM(D30:D59)</f>
        <v>333.05509999999992</v>
      </c>
      <c r="E60" s="335">
        <f>SUM(E30:E59)</f>
        <v>242.2551</v>
      </c>
      <c r="F60" s="335">
        <f t="shared" ref="F60:P60" si="13">SUM(F30:F59)</f>
        <v>174.59700000000004</v>
      </c>
      <c r="G60" s="335">
        <f t="shared" si="13"/>
        <v>140.9768</v>
      </c>
      <c r="H60" s="335">
        <f t="shared" si="13"/>
        <v>253.35190000000003</v>
      </c>
      <c r="I60" s="335">
        <f t="shared" si="13"/>
        <v>167.92919999999998</v>
      </c>
      <c r="J60" s="335">
        <f t="shared" si="13"/>
        <v>184.14059999999998</v>
      </c>
      <c r="K60" s="335">
        <f t="shared" si="13"/>
        <v>156.26270000000002</v>
      </c>
      <c r="L60" s="335">
        <f t="shared" si="13"/>
        <v>213.88700000000003</v>
      </c>
      <c r="M60" s="335">
        <f t="shared" si="13"/>
        <v>326.88989999999995</v>
      </c>
      <c r="N60" s="335">
        <f t="shared" si="13"/>
        <v>271.03090000000003</v>
      </c>
      <c r="O60" s="335">
        <f t="shared" si="13"/>
        <v>240.19560000000001</v>
      </c>
      <c r="P60" s="335">
        <f t="shared" si="13"/>
        <v>2704.5718000000002</v>
      </c>
      <c r="Q60" s="57">
        <f t="shared" ref="Q60" si="14">SUM(P60/12)</f>
        <v>225.38098333333335</v>
      </c>
      <c r="R60" s="57">
        <f t="shared" ref="R60" si="15">SUM(P60/365)</f>
        <v>7.4097857534246581</v>
      </c>
    </row>
    <row r="61" spans="1:18" x14ac:dyDescent="0.25">
      <c r="P61" s="23"/>
    </row>
    <row r="63" spans="1:18" x14ac:dyDescent="0.25">
      <c r="M63" s="379" t="s">
        <v>310</v>
      </c>
      <c r="N63" s="379"/>
      <c r="O63" s="379"/>
      <c r="P63" s="203">
        <f>SUM(P28+P60)</f>
        <v>62818.619300000006</v>
      </c>
      <c r="Q63" s="57">
        <f t="shared" ref="Q63" si="16">SUM(P63/12)</f>
        <v>5234.8849416666671</v>
      </c>
      <c r="R63" s="8">
        <f t="shared" ref="R63" si="17">SUM(P63/365)</f>
        <v>172.10580630136988</v>
      </c>
    </row>
    <row r="65" spans="16:16" x14ac:dyDescent="0.25">
      <c r="P65" s="29"/>
    </row>
  </sheetData>
  <mergeCells count="11">
    <mergeCell ref="A1:S1"/>
    <mergeCell ref="A2:S2"/>
    <mergeCell ref="A29:R29"/>
    <mergeCell ref="M63:O63"/>
    <mergeCell ref="Q5:Q6"/>
    <mergeCell ref="R5:R6"/>
    <mergeCell ref="A3:Q3"/>
    <mergeCell ref="A5:A6"/>
    <mergeCell ref="B5:B6"/>
    <mergeCell ref="D5:O5"/>
    <mergeCell ref="P5:P6"/>
  </mergeCells>
  <pageMargins left="0.25" right="0.25" top="0.75" bottom="0.75" header="0.3" footer="0.3"/>
  <pageSetup paperSize="12" scale="70" orientation="landscape" r:id="rId1"/>
  <headerFooter>
    <oddFooter>&amp;C&amp;P&amp;R&amp;A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zoomScale="89" zoomScaleNormal="89" workbookViewId="0">
      <pane xSplit="2" ySplit="3" topLeftCell="C4" activePane="bottomRight" state="frozen"/>
      <selection activeCell="O13" sqref="O13"/>
      <selection pane="topRight" activeCell="O13" sqref="O13"/>
      <selection pane="bottomLeft" activeCell="O13" sqref="O13"/>
      <selection pane="bottomRight" sqref="A1:XFD2"/>
    </sheetView>
  </sheetViews>
  <sheetFormatPr baseColWidth="10" defaultColWidth="11.42578125" defaultRowHeight="15" x14ac:dyDescent="0.25"/>
  <cols>
    <col min="1" max="1" width="16.28515625" style="15" customWidth="1"/>
    <col min="2" max="2" width="36.7109375" style="15" customWidth="1"/>
    <col min="3" max="3" width="10.42578125" style="94" customWidth="1"/>
    <col min="4" max="6" width="11.42578125" style="15" customWidth="1"/>
    <col min="7" max="7" width="11.5703125" style="15" customWidth="1"/>
    <col min="8" max="11" width="11.42578125" style="15" customWidth="1"/>
    <col min="12" max="12" width="13" style="15" customWidth="1"/>
    <col min="13" max="13" width="11.42578125" style="15" customWidth="1"/>
    <col min="14" max="14" width="12.140625" style="15" customWidth="1"/>
    <col min="15" max="15" width="11.5703125" style="15" customWidth="1"/>
    <col min="16" max="16" width="13.7109375" style="15" customWidth="1"/>
    <col min="17" max="17" width="12.5703125" style="15" customWidth="1"/>
    <col min="18" max="16384" width="11.42578125" style="15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169" customFormat="1" ht="21" x14ac:dyDescent="0.35">
      <c r="A3" s="384" t="s">
        <v>35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</row>
    <row r="4" spans="1:19" x14ac:dyDescent="0.25">
      <c r="A4" s="1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x14ac:dyDescent="0.25">
      <c r="A5" s="360" t="s">
        <v>1</v>
      </c>
      <c r="B5" s="375" t="s">
        <v>2</v>
      </c>
      <c r="C5" s="128"/>
      <c r="D5" s="360" t="s">
        <v>320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86" t="s">
        <v>3</v>
      </c>
      <c r="Q5" s="352" t="s">
        <v>66</v>
      </c>
      <c r="R5" s="352" t="s">
        <v>119</v>
      </c>
    </row>
    <row r="6" spans="1:19" x14ac:dyDescent="0.25">
      <c r="A6" s="382"/>
      <c r="B6" s="382"/>
      <c r="C6" s="129"/>
      <c r="D6" s="41" t="s">
        <v>4</v>
      </c>
      <c r="E6" s="41" t="s">
        <v>5</v>
      </c>
      <c r="F6" s="41" t="s">
        <v>6</v>
      </c>
      <c r="G6" s="41" t="s">
        <v>7</v>
      </c>
      <c r="H6" s="41" t="s">
        <v>8</v>
      </c>
      <c r="I6" s="41" t="s">
        <v>9</v>
      </c>
      <c r="J6" s="41" t="s">
        <v>10</v>
      </c>
      <c r="K6" s="41" t="s">
        <v>11</v>
      </c>
      <c r="L6" s="41" t="s">
        <v>12</v>
      </c>
      <c r="M6" s="41" t="s">
        <v>13</v>
      </c>
      <c r="N6" s="41" t="s">
        <v>14</v>
      </c>
      <c r="O6" s="41" t="s">
        <v>15</v>
      </c>
      <c r="P6" s="387"/>
      <c r="Q6" s="352"/>
      <c r="R6" s="352"/>
    </row>
    <row r="7" spans="1:19" x14ac:dyDescent="0.25">
      <c r="A7" s="76" t="s">
        <v>33</v>
      </c>
      <c r="B7" s="73" t="s">
        <v>403</v>
      </c>
      <c r="C7" s="61" t="s">
        <v>260</v>
      </c>
      <c r="D7" s="292">
        <v>500.91172174796566</v>
      </c>
      <c r="E7" s="292">
        <v>426.70392176429499</v>
      </c>
      <c r="F7" s="292">
        <v>425.66972993078173</v>
      </c>
      <c r="G7" s="346">
        <v>363.99016610572346</v>
      </c>
      <c r="H7" s="346">
        <v>378.30555832751224</v>
      </c>
      <c r="I7" s="346">
        <v>217.34357848518113</v>
      </c>
      <c r="J7" s="346">
        <v>0</v>
      </c>
      <c r="K7" s="346">
        <v>0</v>
      </c>
      <c r="L7" s="346">
        <v>0</v>
      </c>
      <c r="M7" s="346">
        <v>0</v>
      </c>
      <c r="N7" s="346">
        <v>0</v>
      </c>
      <c r="O7" s="346">
        <v>0</v>
      </c>
      <c r="P7" s="193">
        <f t="shared" ref="P7:P40" si="0">SUM(D7:O7)</f>
        <v>2312.9246763614592</v>
      </c>
      <c r="Q7" s="46">
        <f>SUM(P7/12)</f>
        <v>192.7437230301216</v>
      </c>
      <c r="R7" s="46">
        <f>SUM(P7/365)</f>
        <v>6.3367799352368746</v>
      </c>
    </row>
    <row r="8" spans="1:19" x14ac:dyDescent="0.25">
      <c r="A8" s="76" t="s">
        <v>33</v>
      </c>
      <c r="B8" s="73" t="s">
        <v>404</v>
      </c>
      <c r="C8" s="61" t="s">
        <v>260</v>
      </c>
      <c r="D8" s="292">
        <v>2207.8181273870327</v>
      </c>
      <c r="E8" s="292">
        <v>1866.3170977311283</v>
      </c>
      <c r="F8" s="292">
        <v>2283.2324845098024</v>
      </c>
      <c r="G8" s="346">
        <v>2036.7773130970418</v>
      </c>
      <c r="H8" s="346">
        <v>2172.3108744364108</v>
      </c>
      <c r="I8" s="346">
        <v>2570.1027841532782</v>
      </c>
      <c r="J8" s="346">
        <v>2726.4381163193657</v>
      </c>
      <c r="K8" s="346">
        <v>2452.9488075042414</v>
      </c>
      <c r="L8" s="346">
        <v>2831.9075396213407</v>
      </c>
      <c r="M8" s="346">
        <v>2495.0694450744345</v>
      </c>
      <c r="N8" s="346">
        <v>2546.8153241828527</v>
      </c>
      <c r="O8" s="346">
        <v>2271.9652366394212</v>
      </c>
      <c r="P8" s="193">
        <f>SUM(D8:O8)</f>
        <v>28461.703150656351</v>
      </c>
      <c r="Q8" s="46">
        <f t="shared" ref="Q8:Q68" si="1">SUM(P8/12)</f>
        <v>2371.8085958880292</v>
      </c>
      <c r="R8" s="46">
        <f t="shared" ref="R8:R68" si="2">SUM(P8/365)</f>
        <v>77.977268905907806</v>
      </c>
    </row>
    <row r="9" spans="1:19" x14ac:dyDescent="0.25">
      <c r="A9" s="76" t="s">
        <v>33</v>
      </c>
      <c r="B9" s="73" t="s">
        <v>405</v>
      </c>
      <c r="C9" s="61" t="s">
        <v>260</v>
      </c>
      <c r="D9" s="292">
        <v>618.31971042628663</v>
      </c>
      <c r="E9" s="292">
        <v>559.59757237074871</v>
      </c>
      <c r="F9" s="292">
        <v>634.47668986038411</v>
      </c>
      <c r="G9" s="346">
        <v>635.64695956672813</v>
      </c>
      <c r="H9" s="346">
        <v>681.98601119467298</v>
      </c>
      <c r="I9" s="346">
        <v>741.98728125481944</v>
      </c>
      <c r="J9" s="346">
        <v>730.43880578058804</v>
      </c>
      <c r="K9" s="346">
        <v>765.57411254547276</v>
      </c>
      <c r="L9" s="346">
        <v>705.20996815777778</v>
      </c>
      <c r="M9" s="346">
        <v>701.2455661293103</v>
      </c>
      <c r="N9" s="346">
        <v>680.61616060817744</v>
      </c>
      <c r="O9" s="346">
        <v>701.47236258402813</v>
      </c>
      <c r="P9" s="193">
        <f t="shared" si="0"/>
        <v>8156.5712004789939</v>
      </c>
      <c r="Q9" s="46">
        <f t="shared" si="1"/>
        <v>679.71426670658286</v>
      </c>
      <c r="R9" s="46">
        <f t="shared" si="2"/>
        <v>22.346770412271216</v>
      </c>
    </row>
    <row r="10" spans="1:19" x14ac:dyDescent="0.25">
      <c r="A10" s="76" t="s">
        <v>43</v>
      </c>
      <c r="B10" s="73" t="s">
        <v>406</v>
      </c>
      <c r="C10" s="61" t="s">
        <v>260</v>
      </c>
      <c r="D10" s="292">
        <v>43.789859476916661</v>
      </c>
      <c r="E10" s="292">
        <v>0</v>
      </c>
      <c r="F10" s="292">
        <v>0</v>
      </c>
      <c r="G10" s="346">
        <v>0</v>
      </c>
      <c r="H10" s="346">
        <v>0</v>
      </c>
      <c r="I10" s="346">
        <v>0</v>
      </c>
      <c r="J10" s="346">
        <v>0</v>
      </c>
      <c r="K10" s="346">
        <v>0</v>
      </c>
      <c r="L10" s="346">
        <v>0</v>
      </c>
      <c r="M10" s="346">
        <v>0</v>
      </c>
      <c r="N10" s="346">
        <v>0</v>
      </c>
      <c r="O10" s="346">
        <v>0</v>
      </c>
      <c r="P10" s="194">
        <f t="shared" si="0"/>
        <v>43.789859476916661</v>
      </c>
      <c r="Q10" s="46">
        <f t="shared" si="1"/>
        <v>3.6491549564097219</v>
      </c>
      <c r="R10" s="46">
        <f t="shared" si="2"/>
        <v>0.11997221774497716</v>
      </c>
    </row>
    <row r="11" spans="1:19" x14ac:dyDescent="0.25">
      <c r="A11" s="76" t="s">
        <v>19</v>
      </c>
      <c r="B11" s="73" t="s">
        <v>407</v>
      </c>
      <c r="C11" s="61" t="s">
        <v>260</v>
      </c>
      <c r="D11" s="292">
        <v>445.4373089239869</v>
      </c>
      <c r="E11" s="292">
        <v>416.9244586368626</v>
      </c>
      <c r="F11" s="292">
        <v>421.4513158730303</v>
      </c>
      <c r="G11" s="346">
        <v>410.29293030091355</v>
      </c>
      <c r="H11" s="346">
        <v>446.59850677214217</v>
      </c>
      <c r="I11" s="346">
        <v>487.11342544293348</v>
      </c>
      <c r="J11" s="346">
        <v>493.65423519699544</v>
      </c>
      <c r="K11" s="346">
        <v>537.81604085964932</v>
      </c>
      <c r="L11" s="346">
        <v>517.98495885912314</v>
      </c>
      <c r="M11" s="346">
        <v>521.00588763596454</v>
      </c>
      <c r="N11" s="346">
        <v>473.02482967586252</v>
      </c>
      <c r="O11" s="346">
        <v>502.11827888706443</v>
      </c>
      <c r="P11" s="193">
        <f t="shared" si="0"/>
        <v>5673.422177064529</v>
      </c>
      <c r="Q11" s="46">
        <f t="shared" si="1"/>
        <v>472.7851814220441</v>
      </c>
      <c r="R11" s="46">
        <f t="shared" si="2"/>
        <v>15.543622402916517</v>
      </c>
    </row>
    <row r="12" spans="1:19" x14ac:dyDescent="0.25">
      <c r="A12" s="76" t="s">
        <v>33</v>
      </c>
      <c r="B12" s="73" t="s">
        <v>408</v>
      </c>
      <c r="C12" s="61" t="s">
        <v>260</v>
      </c>
      <c r="D12" s="292">
        <v>1512.115466611026</v>
      </c>
      <c r="E12" s="292">
        <v>1284.058023604975</v>
      </c>
      <c r="F12" s="292">
        <v>1407.4080793969028</v>
      </c>
      <c r="G12" s="346">
        <v>1534.3687347479386</v>
      </c>
      <c r="H12" s="346">
        <v>1589.9610817283706</v>
      </c>
      <c r="I12" s="346">
        <v>1523.6639420852573</v>
      </c>
      <c r="J12" s="346">
        <v>1654.7976522031008</v>
      </c>
      <c r="K12" s="346">
        <v>1735.1743157550961</v>
      </c>
      <c r="L12" s="346">
        <v>1574.8927252769186</v>
      </c>
      <c r="M12" s="346">
        <v>1610.8172837042212</v>
      </c>
      <c r="N12" s="346">
        <v>1622.166178298301</v>
      </c>
      <c r="O12" s="346">
        <v>1547.5592165543269</v>
      </c>
      <c r="P12" s="193">
        <f t="shared" si="0"/>
        <v>18596.982699966436</v>
      </c>
      <c r="Q12" s="46">
        <f t="shared" si="1"/>
        <v>1549.7485583305363</v>
      </c>
      <c r="R12" s="46">
        <f t="shared" si="2"/>
        <v>50.950637534154623</v>
      </c>
    </row>
    <row r="13" spans="1:19" x14ac:dyDescent="0.25">
      <c r="A13" s="76" t="s">
        <v>396</v>
      </c>
      <c r="B13" s="73" t="s">
        <v>409</v>
      </c>
      <c r="C13" s="61" t="s">
        <v>260</v>
      </c>
      <c r="D13" s="292">
        <v>1146.7373062024258</v>
      </c>
      <c r="E13" s="292">
        <v>1141.221616423692</v>
      </c>
      <c r="F13" s="292">
        <v>966.28897497074331</v>
      </c>
      <c r="G13" s="346">
        <v>841.38763142854555</v>
      </c>
      <c r="H13" s="346">
        <v>951.19340294472522</v>
      </c>
      <c r="I13" s="346">
        <v>1131.9955366457712</v>
      </c>
      <c r="J13" s="346">
        <v>1020.5749743720006</v>
      </c>
      <c r="K13" s="346">
        <v>1015.2497936152263</v>
      </c>
      <c r="L13" s="346">
        <v>1142.7275448830185</v>
      </c>
      <c r="M13" s="346">
        <v>1183.0700982482242</v>
      </c>
      <c r="N13" s="346">
        <v>1121.3633188485999</v>
      </c>
      <c r="O13" s="346">
        <v>1355.7710625867496</v>
      </c>
      <c r="P13" s="193">
        <f t="shared" si="0"/>
        <v>13017.581261169724</v>
      </c>
      <c r="Q13" s="46">
        <f t="shared" si="1"/>
        <v>1084.7984384308104</v>
      </c>
      <c r="R13" s="46">
        <f t="shared" si="2"/>
        <v>35.664606194985545</v>
      </c>
    </row>
    <row r="14" spans="1:19" x14ac:dyDescent="0.25">
      <c r="A14" s="76" t="s">
        <v>33</v>
      </c>
      <c r="B14" s="73" t="s">
        <v>410</v>
      </c>
      <c r="C14" s="61" t="s">
        <v>260</v>
      </c>
      <c r="D14" s="292">
        <v>1178.5704565866226</v>
      </c>
      <c r="E14" s="292">
        <v>1045.5951592564707</v>
      </c>
      <c r="F14" s="292">
        <v>1157.9682666400558</v>
      </c>
      <c r="G14" s="346">
        <v>1280.8012265152272</v>
      </c>
      <c r="H14" s="346">
        <v>1302.9728479284413</v>
      </c>
      <c r="I14" s="346">
        <v>1345.0662699240686</v>
      </c>
      <c r="J14" s="346">
        <v>1362.9196868394554</v>
      </c>
      <c r="K14" s="346">
        <v>1387.0417577632427</v>
      </c>
      <c r="L14" s="346">
        <v>1373.6607669348914</v>
      </c>
      <c r="M14" s="346">
        <v>1279.8396095472235</v>
      </c>
      <c r="N14" s="346">
        <v>1236.5577741288748</v>
      </c>
      <c r="O14" s="346">
        <v>1250.3197830011522</v>
      </c>
      <c r="P14" s="193">
        <f t="shared" si="0"/>
        <v>15201.313605065725</v>
      </c>
      <c r="Q14" s="46">
        <f t="shared" si="1"/>
        <v>1266.7761337554771</v>
      </c>
      <c r="R14" s="46">
        <f t="shared" si="2"/>
        <v>41.647434534426644</v>
      </c>
    </row>
    <row r="15" spans="1:19" x14ac:dyDescent="0.25">
      <c r="A15" s="76" t="s">
        <v>43</v>
      </c>
      <c r="B15" s="73" t="s">
        <v>411</v>
      </c>
      <c r="C15" s="61" t="s">
        <v>260</v>
      </c>
      <c r="D15" s="292">
        <v>24.766172855185928</v>
      </c>
      <c r="E15" s="292">
        <v>25.39213107020711</v>
      </c>
      <c r="F15" s="292">
        <v>24.321651803939002</v>
      </c>
      <c r="G15" s="346">
        <v>21.010423565058833</v>
      </c>
      <c r="H15" s="346">
        <v>31.261623318304292</v>
      </c>
      <c r="I15" s="346">
        <v>27.832460922970853</v>
      </c>
      <c r="J15" s="346">
        <v>26.281173172700967</v>
      </c>
      <c r="K15" s="346">
        <v>29.147880360334209</v>
      </c>
      <c r="L15" s="346">
        <v>27.025065544175416</v>
      </c>
      <c r="M15" s="346">
        <v>28.766862316408272</v>
      </c>
      <c r="N15" s="346">
        <v>30.989467572642905</v>
      </c>
      <c r="O15" s="346">
        <v>26.317460605455818</v>
      </c>
      <c r="P15" s="193">
        <f>SUM(D15:O15)</f>
        <v>323.11237310738363</v>
      </c>
      <c r="Q15" s="46">
        <f t="shared" si="1"/>
        <v>26.926031092281971</v>
      </c>
      <c r="R15" s="46">
        <f t="shared" si="2"/>
        <v>0.88523937837639355</v>
      </c>
    </row>
    <row r="16" spans="1:19" x14ac:dyDescent="0.25">
      <c r="A16" s="76" t="s">
        <v>43</v>
      </c>
      <c r="B16" s="73" t="s">
        <v>412</v>
      </c>
      <c r="C16" s="61" t="s">
        <v>260</v>
      </c>
      <c r="D16" s="292">
        <v>109.31589117398917</v>
      </c>
      <c r="E16" s="292">
        <v>101.24193738603479</v>
      </c>
      <c r="F16" s="292">
        <v>103.13795574747576</v>
      </c>
      <c r="G16" s="346">
        <v>116.57337772495941</v>
      </c>
      <c r="H16" s="346">
        <v>141.08553855086137</v>
      </c>
      <c r="I16" s="346">
        <v>139.57961009153505</v>
      </c>
      <c r="J16" s="346">
        <v>139.69754424798833</v>
      </c>
      <c r="K16" s="346">
        <v>150.91036096923733</v>
      </c>
      <c r="L16" s="346">
        <v>150.14832488138546</v>
      </c>
      <c r="M16" s="346">
        <v>157.86847619998005</v>
      </c>
      <c r="N16" s="346">
        <v>147.33604884288451</v>
      </c>
      <c r="O16" s="346">
        <v>131.19721312516444</v>
      </c>
      <c r="P16" s="193">
        <f t="shared" si="0"/>
        <v>1588.0922789414956</v>
      </c>
      <c r="Q16" s="46">
        <f t="shared" si="1"/>
        <v>132.34102324512463</v>
      </c>
      <c r="R16" s="46">
        <f t="shared" si="2"/>
        <v>4.3509377505246452</v>
      </c>
    </row>
    <row r="17" spans="1:18" x14ac:dyDescent="0.25">
      <c r="A17" s="76" t="s">
        <v>396</v>
      </c>
      <c r="B17" s="73" t="s">
        <v>413</v>
      </c>
      <c r="C17" s="61" t="s">
        <v>260</v>
      </c>
      <c r="D17" s="292">
        <v>20.393537208226363</v>
      </c>
      <c r="E17" s="292">
        <v>15.612667942774719</v>
      </c>
      <c r="F17" s="292">
        <v>18.198147526557864</v>
      </c>
      <c r="G17" s="346">
        <v>16.537997478023424</v>
      </c>
      <c r="H17" s="346">
        <v>19.57706997124221</v>
      </c>
      <c r="I17" s="346">
        <v>20.384465350037651</v>
      </c>
      <c r="J17" s="346">
        <v>24.856891437073056</v>
      </c>
      <c r="K17" s="346">
        <v>20.085094029810126</v>
      </c>
      <c r="L17" s="346">
        <v>19.658716694940626</v>
      </c>
      <c r="M17" s="346">
        <v>26.97970625323185</v>
      </c>
      <c r="N17" s="346">
        <v>15.748745815605412</v>
      </c>
      <c r="O17" s="346">
        <v>20.974136132303983</v>
      </c>
      <c r="P17" s="194">
        <f t="shared" si="0"/>
        <v>239.00717583982731</v>
      </c>
      <c r="Q17" s="46">
        <f t="shared" si="1"/>
        <v>19.917264653318941</v>
      </c>
      <c r="R17" s="46">
        <f t="shared" si="2"/>
        <v>0.65481418038308847</v>
      </c>
    </row>
    <row r="18" spans="1:18" x14ac:dyDescent="0.25">
      <c r="A18" s="76" t="s">
        <v>33</v>
      </c>
      <c r="B18" s="73" t="s">
        <v>414</v>
      </c>
      <c r="C18" s="61" t="s">
        <v>260</v>
      </c>
      <c r="D18" s="292">
        <v>178.83354047409532</v>
      </c>
      <c r="E18" s="292">
        <v>161.65144106467329</v>
      </c>
      <c r="F18" s="292">
        <v>153.72263700773831</v>
      </c>
      <c r="G18" s="346">
        <v>165.64305866770692</v>
      </c>
      <c r="H18" s="346">
        <v>172.33809001097697</v>
      </c>
      <c r="I18" s="346">
        <v>189.78327330787167</v>
      </c>
      <c r="J18" s="346">
        <v>194.28291496947321</v>
      </c>
      <c r="K18" s="346">
        <v>205.30522266875926</v>
      </c>
      <c r="L18" s="346">
        <v>187.89632680461941</v>
      </c>
      <c r="M18" s="346">
        <v>204.07144995509432</v>
      </c>
      <c r="N18" s="346">
        <v>192.11474086237084</v>
      </c>
      <c r="O18" s="346">
        <v>195.56204697408171</v>
      </c>
      <c r="P18" s="194">
        <f t="shared" si="0"/>
        <v>2201.2047427674611</v>
      </c>
      <c r="Q18" s="46">
        <f t="shared" si="1"/>
        <v>183.4337285639551</v>
      </c>
      <c r="R18" s="46">
        <f t="shared" si="2"/>
        <v>6.0306979253903039</v>
      </c>
    </row>
    <row r="19" spans="1:18" x14ac:dyDescent="0.25">
      <c r="A19" s="76" t="s">
        <v>33</v>
      </c>
      <c r="B19" s="73" t="s">
        <v>415</v>
      </c>
      <c r="C19" s="61" t="s">
        <v>260</v>
      </c>
      <c r="D19" s="292">
        <v>2091.2810370948282</v>
      </c>
      <c r="E19" s="292">
        <v>1799.557293320391</v>
      </c>
      <c r="F19" s="292">
        <v>1943.8905571028115</v>
      </c>
      <c r="G19" s="346">
        <v>1900.6087216844628</v>
      </c>
      <c r="H19" s="346">
        <v>1930.0741170814019</v>
      </c>
      <c r="I19" s="346">
        <v>2210.4308225453819</v>
      </c>
      <c r="J19" s="346">
        <v>2279.4676633614863</v>
      </c>
      <c r="K19" s="346">
        <v>2223.4035797552415</v>
      </c>
      <c r="L19" s="346">
        <v>2176.2934201812559</v>
      </c>
      <c r="M19" s="346">
        <v>2195.6618374141576</v>
      </c>
      <c r="N19" s="346">
        <v>1985.0405058468127</v>
      </c>
      <c r="O19" s="346">
        <v>2237.337953933104</v>
      </c>
      <c r="P19" s="194">
        <f>SUM(D19:O19)</f>
        <v>24973.047509321339</v>
      </c>
      <c r="Q19" s="46">
        <f t="shared" si="1"/>
        <v>2081.0872924434448</v>
      </c>
      <c r="R19" s="46">
        <f t="shared" si="2"/>
        <v>68.419308244715992</v>
      </c>
    </row>
    <row r="20" spans="1:18" x14ac:dyDescent="0.25">
      <c r="A20" s="76" t="s">
        <v>33</v>
      </c>
      <c r="B20" s="73" t="s">
        <v>416</v>
      </c>
      <c r="C20" s="61" t="s">
        <v>260</v>
      </c>
      <c r="D20" s="292">
        <v>3113.0534967477388</v>
      </c>
      <c r="E20" s="292">
        <v>2768.640400613258</v>
      </c>
      <c r="F20" s="292">
        <v>3051.999891137702</v>
      </c>
      <c r="G20" s="346">
        <v>3047.0285128502874</v>
      </c>
      <c r="H20" s="346">
        <v>3190.7539621340643</v>
      </c>
      <c r="I20" s="346">
        <v>3501.7916919922709</v>
      </c>
      <c r="J20" s="346">
        <v>3573.3142219520828</v>
      </c>
      <c r="K20" s="346">
        <v>3768.3954604421624</v>
      </c>
      <c r="L20" s="346">
        <v>3554.7259845234103</v>
      </c>
      <c r="M20" s="346">
        <v>3553.5284992424999</v>
      </c>
      <c r="N20" s="346">
        <v>3541.5899338661538</v>
      </c>
      <c r="O20" s="346">
        <v>3354.0383376727059</v>
      </c>
      <c r="P20" s="194">
        <f t="shared" si="0"/>
        <v>40018.860393174335</v>
      </c>
      <c r="Q20" s="46">
        <f t="shared" si="1"/>
        <v>3334.9050327645277</v>
      </c>
      <c r="R20" s="46">
        <f t="shared" si="2"/>
        <v>109.64071340595709</v>
      </c>
    </row>
    <row r="21" spans="1:18" x14ac:dyDescent="0.25">
      <c r="A21" s="76" t="s">
        <v>396</v>
      </c>
      <c r="B21" s="73" t="s">
        <v>417</v>
      </c>
      <c r="C21" s="61" t="s">
        <v>260</v>
      </c>
      <c r="D21" s="292">
        <v>12.192577405629995</v>
      </c>
      <c r="E21" s="292">
        <v>25.64614309949107</v>
      </c>
      <c r="F21" s="292">
        <v>19.595213687619637</v>
      </c>
      <c r="G21" s="346">
        <v>10.278415327811596</v>
      </c>
      <c r="H21" s="346">
        <v>12.482876867668805</v>
      </c>
      <c r="I21" s="346">
        <v>42.646805345138844</v>
      </c>
      <c r="J21" s="346">
        <v>9.5708103890919975</v>
      </c>
      <c r="K21" s="346">
        <v>11.512188041476536</v>
      </c>
      <c r="L21" s="346">
        <v>23.47796899238871</v>
      </c>
      <c r="M21" s="346">
        <v>14.596619825638886</v>
      </c>
      <c r="N21" s="346">
        <v>13.272128530086817</v>
      </c>
      <c r="O21" s="346">
        <v>18.125572661048164</v>
      </c>
      <c r="P21" s="194">
        <f t="shared" si="0"/>
        <v>213.39732017309106</v>
      </c>
      <c r="Q21" s="46">
        <f t="shared" si="1"/>
        <v>17.783110014424256</v>
      </c>
      <c r="R21" s="46">
        <f t="shared" si="2"/>
        <v>0.584650192255044</v>
      </c>
    </row>
    <row r="22" spans="1:18" x14ac:dyDescent="0.25">
      <c r="A22" s="76" t="s">
        <v>33</v>
      </c>
      <c r="B22" s="73" t="s">
        <v>395</v>
      </c>
      <c r="C22" s="61" t="s">
        <v>260</v>
      </c>
      <c r="D22" s="292">
        <v>505.46579455869949</v>
      </c>
      <c r="E22" s="292">
        <v>462.18395914035074</v>
      </c>
      <c r="F22" s="292">
        <v>499.11549382660053</v>
      </c>
      <c r="G22" s="346">
        <v>500.70306900962527</v>
      </c>
      <c r="H22" s="346">
        <v>579.38329508033132</v>
      </c>
      <c r="I22" s="346">
        <v>632.43552176792377</v>
      </c>
      <c r="J22" s="346">
        <v>598.44326913481689</v>
      </c>
      <c r="K22" s="346">
        <v>613.13060754234289</v>
      </c>
      <c r="L22" s="346">
        <v>566.4377534450382</v>
      </c>
      <c r="M22" s="346">
        <v>583.63799657083769</v>
      </c>
      <c r="N22" s="346">
        <v>579.35607950576525</v>
      </c>
      <c r="O22" s="346">
        <v>567.26329254021107</v>
      </c>
      <c r="P22" s="194">
        <f t="shared" si="0"/>
        <v>6687.5561321225432</v>
      </c>
      <c r="Q22" s="46">
        <f t="shared" si="1"/>
        <v>557.29634434354523</v>
      </c>
      <c r="R22" s="46">
        <f t="shared" si="2"/>
        <v>18.322071594856283</v>
      </c>
    </row>
    <row r="23" spans="1:18" x14ac:dyDescent="0.25">
      <c r="A23" s="76" t="s">
        <v>43</v>
      </c>
      <c r="B23" s="73" t="s">
        <v>418</v>
      </c>
      <c r="C23" s="61" t="s">
        <v>260</v>
      </c>
      <c r="D23" s="292">
        <v>16.011829703078082</v>
      </c>
      <c r="E23" s="292">
        <v>12.04742767461059</v>
      </c>
      <c r="F23" s="292">
        <v>12.936469777104445</v>
      </c>
      <c r="G23" s="346">
        <v>13.30841596284167</v>
      </c>
      <c r="H23" s="346">
        <v>18.189075668369153</v>
      </c>
      <c r="I23" s="346">
        <v>14.805272563979281</v>
      </c>
      <c r="J23" s="346">
        <v>17.3000335658753</v>
      </c>
      <c r="K23" s="346">
        <v>15.42215892081175</v>
      </c>
      <c r="L23" s="346">
        <v>13.644074715824043</v>
      </c>
      <c r="M23" s="346">
        <v>17.907848064519058</v>
      </c>
      <c r="N23" s="346">
        <v>14.179314348958098</v>
      </c>
      <c r="O23" s="346">
        <v>13.054403933557712</v>
      </c>
      <c r="P23" s="194">
        <f t="shared" si="0"/>
        <v>178.80632489952919</v>
      </c>
      <c r="Q23" s="46">
        <f t="shared" si="1"/>
        <v>14.900527074960765</v>
      </c>
      <c r="R23" s="46">
        <f t="shared" si="2"/>
        <v>0.48988034219049092</v>
      </c>
    </row>
    <row r="24" spans="1:18" x14ac:dyDescent="0.25">
      <c r="A24" s="76" t="s">
        <v>43</v>
      </c>
      <c r="B24" s="73" t="s">
        <v>419</v>
      </c>
      <c r="C24" s="61" t="s">
        <v>260</v>
      </c>
      <c r="D24" s="292">
        <v>939.40905915758731</v>
      </c>
      <c r="E24" s="292">
        <v>853.21733450662703</v>
      </c>
      <c r="F24" s="292">
        <v>871.95072166631894</v>
      </c>
      <c r="G24" s="346">
        <v>824.02409485534929</v>
      </c>
      <c r="H24" s="346">
        <v>924.92130163021295</v>
      </c>
      <c r="I24" s="346">
        <v>1080.7576815959214</v>
      </c>
      <c r="J24" s="346">
        <v>1089.6027433299164</v>
      </c>
      <c r="K24" s="346">
        <v>1152.0171276682604</v>
      </c>
      <c r="L24" s="346">
        <v>1006.5952409031943</v>
      </c>
      <c r="M24" s="346">
        <v>1125.4637987498979</v>
      </c>
      <c r="N24" s="346">
        <v>1060.7088749988661</v>
      </c>
      <c r="O24" s="346">
        <v>1095.5175948689571</v>
      </c>
      <c r="P24" s="193">
        <f>SUM(D24:O24)</f>
        <v>12024.185573931107</v>
      </c>
      <c r="Q24" s="46">
        <f t="shared" si="1"/>
        <v>1002.0154644942589</v>
      </c>
      <c r="R24" s="46">
        <f t="shared" si="2"/>
        <v>32.942974175153715</v>
      </c>
    </row>
    <row r="25" spans="1:18" x14ac:dyDescent="0.25">
      <c r="A25" s="76" t="s">
        <v>396</v>
      </c>
      <c r="B25" s="73" t="s">
        <v>420</v>
      </c>
      <c r="C25" s="61" t="s">
        <v>260</v>
      </c>
      <c r="D25" s="292">
        <v>80.149867097277536</v>
      </c>
      <c r="E25" s="292">
        <v>67.158966171040817</v>
      </c>
      <c r="F25" s="292">
        <v>75.967740472280937</v>
      </c>
      <c r="G25" s="346">
        <v>82.390616069889603</v>
      </c>
      <c r="H25" s="346">
        <v>86.082862352695713</v>
      </c>
      <c r="I25" s="346">
        <v>86.237083941903819</v>
      </c>
      <c r="J25" s="346">
        <v>87.76115611760757</v>
      </c>
      <c r="K25" s="346">
        <v>70.742350155582372</v>
      </c>
      <c r="L25" s="346">
        <v>97.486188095907693</v>
      </c>
      <c r="M25" s="346">
        <v>81.937023160453961</v>
      </c>
      <c r="N25" s="346">
        <v>80.594388148524473</v>
      </c>
      <c r="O25" s="346">
        <v>87.298491349983223</v>
      </c>
      <c r="P25" s="194">
        <f t="shared" si="0"/>
        <v>983.80673313314765</v>
      </c>
      <c r="Q25" s="46">
        <f t="shared" si="1"/>
        <v>81.983894427762309</v>
      </c>
      <c r="R25" s="46">
        <f t="shared" si="2"/>
        <v>2.6953609126935554</v>
      </c>
    </row>
    <row r="26" spans="1:18" x14ac:dyDescent="0.25">
      <c r="A26" s="76" t="s">
        <v>396</v>
      </c>
      <c r="B26" s="73" t="s">
        <v>421</v>
      </c>
      <c r="C26" s="61" t="s">
        <v>260</v>
      </c>
      <c r="D26" s="292">
        <v>15.376799629868186</v>
      </c>
      <c r="E26" s="292">
        <v>11.729912638005644</v>
      </c>
      <c r="F26" s="292">
        <v>14.106739483448395</v>
      </c>
      <c r="G26" s="346">
        <v>10.487068066151991</v>
      </c>
      <c r="H26" s="346">
        <v>13.244912955520681</v>
      </c>
      <c r="I26" s="346">
        <v>14.623835400205024</v>
      </c>
      <c r="J26" s="346">
        <v>13.535212417559489</v>
      </c>
      <c r="K26" s="346">
        <v>17.753626475310938</v>
      </c>
      <c r="L26" s="346">
        <v>16.955302954704212</v>
      </c>
      <c r="M26" s="346">
        <v>16.773865790929957</v>
      </c>
      <c r="N26" s="346">
        <v>13.290272246464244</v>
      </c>
      <c r="O26" s="346">
        <v>16.492638187079859</v>
      </c>
      <c r="P26" s="194">
        <f t="shared" si="0"/>
        <v>174.37018624524859</v>
      </c>
      <c r="Q26" s="46">
        <f t="shared" si="1"/>
        <v>14.530848853770715</v>
      </c>
      <c r="R26" s="46">
        <f t="shared" si="2"/>
        <v>0.47772653765821532</v>
      </c>
    </row>
    <row r="27" spans="1:18" x14ac:dyDescent="0.25">
      <c r="A27" s="76" t="s">
        <v>396</v>
      </c>
      <c r="B27" s="73" t="s">
        <v>422</v>
      </c>
      <c r="C27" s="61" t="s">
        <v>260</v>
      </c>
      <c r="D27" s="292">
        <v>57.914742676742478</v>
      </c>
      <c r="E27" s="292">
        <v>39.898032313958872</v>
      </c>
      <c r="F27" s="292">
        <v>48.507225735047314</v>
      </c>
      <c r="G27" s="346">
        <v>52.689352360043912</v>
      </c>
      <c r="H27" s="346">
        <v>53.097585978535989</v>
      </c>
      <c r="I27" s="346">
        <v>64.863786049296479</v>
      </c>
      <c r="J27" s="346">
        <v>63.893097223104213</v>
      </c>
      <c r="K27" s="346">
        <v>62.078725585361653</v>
      </c>
      <c r="L27" s="346">
        <v>56.889622701417935</v>
      </c>
      <c r="M27" s="346">
        <v>66.96845714907785</v>
      </c>
      <c r="N27" s="346">
        <v>59.765401747239892</v>
      </c>
      <c r="O27" s="346">
        <v>67.33133147662636</v>
      </c>
      <c r="P27" s="193">
        <f>SUM(D27:O27)</f>
        <v>693.89736099645302</v>
      </c>
      <c r="Q27" s="46">
        <f t="shared" si="1"/>
        <v>57.824780083037751</v>
      </c>
      <c r="R27" s="46">
        <f t="shared" si="2"/>
        <v>1.9010886602642549</v>
      </c>
    </row>
    <row r="28" spans="1:18" x14ac:dyDescent="0.25">
      <c r="A28" s="76" t="s">
        <v>396</v>
      </c>
      <c r="B28" s="73" t="s">
        <v>423</v>
      </c>
      <c r="C28" s="61" t="s">
        <v>260</v>
      </c>
      <c r="D28" s="292">
        <v>101.1784343787138</v>
      </c>
      <c r="E28" s="292">
        <v>91.317324527582983</v>
      </c>
      <c r="F28" s="292">
        <v>89.203581569612908</v>
      </c>
      <c r="G28" s="346">
        <v>89.312443867877462</v>
      </c>
      <c r="H28" s="346">
        <v>100.05352396331341</v>
      </c>
      <c r="I28" s="346">
        <v>97.214032350246299</v>
      </c>
      <c r="J28" s="346">
        <v>97.858134281644908</v>
      </c>
      <c r="K28" s="346">
        <v>103.96349484264863</v>
      </c>
      <c r="L28" s="346">
        <v>95.953044062015223</v>
      </c>
      <c r="M28" s="346">
        <v>88.813491667498255</v>
      </c>
      <c r="N28" s="346">
        <v>102.86580000181438</v>
      </c>
      <c r="O28" s="346">
        <v>90.382923134145571</v>
      </c>
      <c r="P28" s="194">
        <f>SUM(D28:O28)</f>
        <v>1148.116228647114</v>
      </c>
      <c r="Q28" s="46">
        <f t="shared" si="1"/>
        <v>95.676352387259499</v>
      </c>
      <c r="R28" s="46">
        <f t="shared" si="2"/>
        <v>3.1455239141016822</v>
      </c>
    </row>
    <row r="29" spans="1:18" x14ac:dyDescent="0.25">
      <c r="A29" s="76" t="s">
        <v>22</v>
      </c>
      <c r="B29" s="73" t="s">
        <v>424</v>
      </c>
      <c r="C29" s="61" t="s">
        <v>260</v>
      </c>
      <c r="D29" s="292">
        <v>29.111592927579359</v>
      </c>
      <c r="E29" s="292">
        <v>23.47796899238871</v>
      </c>
      <c r="F29" s="292">
        <v>17.154883834855895</v>
      </c>
      <c r="G29" s="346">
        <v>24.357939236693852</v>
      </c>
      <c r="H29" s="346">
        <v>23.069735373896638</v>
      </c>
      <c r="I29" s="346">
        <v>26.780125373080168</v>
      </c>
      <c r="J29" s="346">
        <v>26.36281989639938</v>
      </c>
      <c r="K29" s="346">
        <v>27.206502707949671</v>
      </c>
      <c r="L29" s="346">
        <v>27.814317206593429</v>
      </c>
      <c r="M29" s="346">
        <v>28.984586912937377</v>
      </c>
      <c r="N29" s="346">
        <v>25.283268771942559</v>
      </c>
      <c r="O29" s="346">
        <v>32.14159356260943</v>
      </c>
      <c r="P29" s="194">
        <f t="shared" si="0"/>
        <v>311.7453347969265</v>
      </c>
      <c r="Q29" s="46">
        <f t="shared" si="1"/>
        <v>25.978777899743875</v>
      </c>
      <c r="R29" s="46">
        <f t="shared" si="2"/>
        <v>0.85409680766281237</v>
      </c>
    </row>
    <row r="30" spans="1:18" x14ac:dyDescent="0.25">
      <c r="A30" s="76" t="s">
        <v>33</v>
      </c>
      <c r="B30" s="73" t="s">
        <v>425</v>
      </c>
      <c r="C30" s="61" t="s">
        <v>260</v>
      </c>
      <c r="D30" s="292">
        <v>1385.6628353185583</v>
      </c>
      <c r="E30" s="292">
        <v>1240.3498108517567</v>
      </c>
      <c r="F30" s="292">
        <v>1323.6113253077629</v>
      </c>
      <c r="G30" s="346">
        <v>1346.4451923687529</v>
      </c>
      <c r="H30" s="346">
        <v>1480.5544719724942</v>
      </c>
      <c r="I30" s="346">
        <v>1508.4232203282199</v>
      </c>
      <c r="J30" s="346">
        <v>1385.6174760276149</v>
      </c>
      <c r="K30" s="346">
        <v>1828.3241556367991</v>
      </c>
      <c r="L30" s="346">
        <v>1668.1695711732634</v>
      </c>
      <c r="M30" s="346">
        <v>1632.4808810588675</v>
      </c>
      <c r="N30" s="346">
        <v>1558.5633805372356</v>
      </c>
      <c r="O30" s="346">
        <v>1568.1251190681387</v>
      </c>
      <c r="P30" s="193">
        <f>SUM(D30:O30)</f>
        <v>17926.327439649463</v>
      </c>
      <c r="Q30" s="46">
        <f t="shared" si="1"/>
        <v>1493.8606199707885</v>
      </c>
      <c r="R30" s="46">
        <f t="shared" si="2"/>
        <v>49.113225862053326</v>
      </c>
    </row>
    <row r="31" spans="1:18" x14ac:dyDescent="0.25">
      <c r="A31" s="76" t="s">
        <v>33</v>
      </c>
      <c r="B31" s="73" t="s">
        <v>426</v>
      </c>
      <c r="C31" s="61" t="s">
        <v>260</v>
      </c>
      <c r="D31" s="292">
        <v>33.965037058540702</v>
      </c>
      <c r="E31" s="292">
        <v>32.858270359517739</v>
      </c>
      <c r="F31" s="292">
        <v>33.103210530612984</v>
      </c>
      <c r="G31" s="346">
        <v>28.394916130671046</v>
      </c>
      <c r="H31" s="346">
        <v>36.115067449265638</v>
      </c>
      <c r="I31" s="346">
        <v>36.568660358701273</v>
      </c>
      <c r="J31" s="346">
        <v>35.334887645036332</v>
      </c>
      <c r="K31" s="346">
        <v>34.001324491295556</v>
      </c>
      <c r="L31" s="346">
        <v>39.108780651540854</v>
      </c>
      <c r="M31" s="346">
        <v>47.110159573985541</v>
      </c>
      <c r="N31" s="346">
        <v>36.568660358701273</v>
      </c>
      <c r="O31" s="346">
        <v>39.825457448449171</v>
      </c>
      <c r="P31" s="193">
        <f>SUM(D31:I31)</f>
        <v>201.00516188730938</v>
      </c>
      <c r="Q31" s="46">
        <f t="shared" si="1"/>
        <v>16.750430157275783</v>
      </c>
      <c r="R31" s="46">
        <f t="shared" si="2"/>
        <v>0.55069907366386128</v>
      </c>
    </row>
    <row r="32" spans="1:18" x14ac:dyDescent="0.25">
      <c r="A32" s="76" t="s">
        <v>19</v>
      </c>
      <c r="B32" s="73" t="s">
        <v>427</v>
      </c>
      <c r="C32" s="61" t="s">
        <v>260</v>
      </c>
      <c r="D32" s="292">
        <v>131.89574620569533</v>
      </c>
      <c r="E32" s="292">
        <v>150.69263637270822</v>
      </c>
      <c r="F32" s="292">
        <v>114.99487440012338</v>
      </c>
      <c r="G32" s="346">
        <v>55.800999718772395</v>
      </c>
      <c r="H32" s="346">
        <v>141.34862243833405</v>
      </c>
      <c r="I32" s="346">
        <v>155.42814634721631</v>
      </c>
      <c r="J32" s="346">
        <v>168.31925683337718</v>
      </c>
      <c r="K32" s="346">
        <v>138.52727454164437</v>
      </c>
      <c r="L32" s="346">
        <v>105.06118968348288</v>
      </c>
      <c r="M32" s="346">
        <v>0</v>
      </c>
      <c r="N32" s="346">
        <v>0</v>
      </c>
      <c r="O32" s="346">
        <v>0</v>
      </c>
      <c r="P32" s="194">
        <f t="shared" si="0"/>
        <v>1162.0687465413539</v>
      </c>
      <c r="Q32" s="46">
        <f t="shared" si="1"/>
        <v>96.839062211779492</v>
      </c>
      <c r="R32" s="46">
        <f t="shared" si="2"/>
        <v>3.1837499905242574</v>
      </c>
    </row>
    <row r="33" spans="1:18" x14ac:dyDescent="0.25">
      <c r="A33" s="76" t="s">
        <v>396</v>
      </c>
      <c r="B33" s="73" t="s">
        <v>428</v>
      </c>
      <c r="C33" s="61" t="s">
        <v>260</v>
      </c>
      <c r="D33" s="292">
        <v>85.783491032468191</v>
      </c>
      <c r="E33" s="292">
        <v>72.792590106231458</v>
      </c>
      <c r="F33" s="292">
        <v>83.37037675427058</v>
      </c>
      <c r="G33" s="346">
        <v>84.477143453293536</v>
      </c>
      <c r="H33" s="346">
        <v>91.997713891736453</v>
      </c>
      <c r="I33" s="346">
        <v>96.370349538696018</v>
      </c>
      <c r="J33" s="346">
        <v>96.887445455452649</v>
      </c>
      <c r="K33" s="346">
        <v>99.019332129800148</v>
      </c>
      <c r="L33" s="346">
        <v>99.78136821765203</v>
      </c>
      <c r="M33" s="346">
        <v>98.4115176311564</v>
      </c>
      <c r="N33" s="346">
        <v>96.007475211147508</v>
      </c>
      <c r="O33" s="346">
        <v>104.83439322876505</v>
      </c>
      <c r="P33" s="194">
        <f t="shared" ref="P33" si="3">SUM(D33:O33)</f>
        <v>1109.7331966506699</v>
      </c>
      <c r="Q33" s="46">
        <f t="shared" ref="Q33" si="4">SUM(P33/12)</f>
        <v>92.477766387555832</v>
      </c>
      <c r="R33" s="46">
        <f t="shared" ref="R33" si="5">SUM(P33/365)</f>
        <v>3.0403649223306024</v>
      </c>
    </row>
    <row r="34" spans="1:18" x14ac:dyDescent="0.25">
      <c r="A34" s="76" t="s">
        <v>43</v>
      </c>
      <c r="B34" s="73" t="s">
        <v>429</v>
      </c>
      <c r="C34" s="61" t="s">
        <v>260</v>
      </c>
      <c r="D34" s="292">
        <v>59.856120329127016</v>
      </c>
      <c r="E34" s="292">
        <v>53.9594125064637</v>
      </c>
      <c r="F34" s="292">
        <v>59.357168128747816</v>
      </c>
      <c r="G34" s="346">
        <v>57.343215610853576</v>
      </c>
      <c r="H34" s="346">
        <v>59.810761038183458</v>
      </c>
      <c r="I34" s="346">
        <v>65.417169398807957</v>
      </c>
      <c r="J34" s="346">
        <v>75.214776242617774</v>
      </c>
      <c r="K34" s="346">
        <v>68.28387658644121</v>
      </c>
      <c r="L34" s="346">
        <v>68.873547368707534</v>
      </c>
      <c r="M34" s="346">
        <v>68.220373579120221</v>
      </c>
      <c r="N34" s="346">
        <v>64.138037394199458</v>
      </c>
      <c r="O34" s="346">
        <v>67.249684752927948</v>
      </c>
      <c r="P34" s="194">
        <f t="shared" si="0"/>
        <v>767.72414293619761</v>
      </c>
      <c r="Q34" s="46">
        <f t="shared" si="1"/>
        <v>63.977011911349798</v>
      </c>
      <c r="R34" s="46">
        <f t="shared" si="2"/>
        <v>2.1033538162635552</v>
      </c>
    </row>
    <row r="35" spans="1:18" x14ac:dyDescent="0.25">
      <c r="A35" s="76" t="s">
        <v>396</v>
      </c>
      <c r="B35" s="73" t="s">
        <v>430</v>
      </c>
      <c r="C35" s="61" t="s">
        <v>260</v>
      </c>
      <c r="D35" s="292">
        <v>139.84269397900772</v>
      </c>
      <c r="E35" s="292">
        <v>116.72759931416752</v>
      </c>
      <c r="F35" s="292">
        <v>118.7687674066279</v>
      </c>
      <c r="G35" s="346">
        <v>95.163792399597213</v>
      </c>
      <c r="H35" s="346">
        <v>96.642505284357398</v>
      </c>
      <c r="I35" s="346">
        <v>118.56011466828751</v>
      </c>
      <c r="J35" s="346">
        <v>121.48125300505303</v>
      </c>
      <c r="K35" s="346">
        <v>124.39331948362984</v>
      </c>
      <c r="L35" s="346">
        <v>141.21254456550335</v>
      </c>
      <c r="M35" s="346">
        <v>138.67242427266379</v>
      </c>
      <c r="N35" s="346">
        <v>137.32071740254557</v>
      </c>
      <c r="O35" s="346">
        <v>143.72544928377681</v>
      </c>
      <c r="P35" s="193">
        <f>SUM(D35:O35)</f>
        <v>1492.5111810652179</v>
      </c>
      <c r="Q35" s="46">
        <f t="shared" si="1"/>
        <v>124.37593175543482</v>
      </c>
      <c r="R35" s="46">
        <f t="shared" si="2"/>
        <v>4.0890717289458021</v>
      </c>
    </row>
    <row r="36" spans="1:18" x14ac:dyDescent="0.25">
      <c r="A36" s="76" t="s">
        <v>33</v>
      </c>
      <c r="B36" s="3" t="s">
        <v>431</v>
      </c>
      <c r="C36" s="61" t="s">
        <v>260</v>
      </c>
      <c r="D36" s="293">
        <v>17602.50746160336</v>
      </c>
      <c r="E36" s="293">
        <v>16499.070134535657</v>
      </c>
      <c r="F36" s="293">
        <v>15063.893097223105</v>
      </c>
      <c r="G36" s="347">
        <v>12006.005570120928</v>
      </c>
      <c r="H36" s="347">
        <v>12289.954731427639</v>
      </c>
      <c r="I36" s="347">
        <v>15508.958459961355</v>
      </c>
      <c r="J36" s="347">
        <v>15903.865518774212</v>
      </c>
      <c r="K36" s="347">
        <v>16925.338607106896</v>
      </c>
      <c r="L36" s="347">
        <v>16791.964148016439</v>
      </c>
      <c r="M36" s="347">
        <v>11043.146664731337</v>
      </c>
      <c r="N36" s="347">
        <v>21540.705427692756</v>
      </c>
      <c r="O36" s="347">
        <v>21616.559769937678</v>
      </c>
      <c r="P36" s="194">
        <f t="shared" si="0"/>
        <v>192791.96959113138</v>
      </c>
      <c r="Q36" s="46">
        <f t="shared" si="1"/>
        <v>16065.997465927614</v>
      </c>
      <c r="R36" s="46">
        <f t="shared" si="2"/>
        <v>528.19717696200382</v>
      </c>
    </row>
    <row r="37" spans="1:18" x14ac:dyDescent="0.25">
      <c r="A37" s="76" t="s">
        <v>396</v>
      </c>
      <c r="B37" s="73" t="s">
        <v>432</v>
      </c>
      <c r="C37" s="61" t="s">
        <v>260</v>
      </c>
      <c r="D37" s="292">
        <v>84.250346998575722</v>
      </c>
      <c r="E37" s="292">
        <v>76.502980105414991</v>
      </c>
      <c r="F37" s="292">
        <v>89.004000689461222</v>
      </c>
      <c r="G37" s="346">
        <v>87.253132059039658</v>
      </c>
      <c r="H37" s="346">
        <v>81.311064945432776</v>
      </c>
      <c r="I37" s="346">
        <v>111.23912510999628</v>
      </c>
      <c r="J37" s="346">
        <v>90.7548693198828</v>
      </c>
      <c r="K37" s="346">
        <v>88.904210249385386</v>
      </c>
      <c r="L37" s="346">
        <v>129.59149422576226</v>
      </c>
      <c r="M37" s="346">
        <v>88.169389736099646</v>
      </c>
      <c r="N37" s="346">
        <v>76.140105777866481</v>
      </c>
      <c r="O37" s="346">
        <v>118.95927642859087</v>
      </c>
      <c r="P37" s="193">
        <f>SUM(D37:O37)</f>
        <v>1122.0799956455082</v>
      </c>
      <c r="Q37" s="46">
        <f t="shared" si="1"/>
        <v>93.506666303792358</v>
      </c>
      <c r="R37" s="46">
        <f t="shared" si="2"/>
        <v>3.0741917688918035</v>
      </c>
    </row>
    <row r="38" spans="1:18" x14ac:dyDescent="0.25">
      <c r="A38" s="76" t="s">
        <v>32</v>
      </c>
      <c r="B38" s="73" t="s">
        <v>433</v>
      </c>
      <c r="C38" s="61" t="s">
        <v>260</v>
      </c>
      <c r="D38" s="292">
        <v>16.147907575908775</v>
      </c>
      <c r="E38" s="292">
        <v>16.356560314249169</v>
      </c>
      <c r="F38" s="292">
        <v>15.458446353566602</v>
      </c>
      <c r="G38" s="346">
        <v>10.976948408342482</v>
      </c>
      <c r="H38" s="346">
        <v>16.773865790929957</v>
      </c>
      <c r="I38" s="346">
        <v>16.383775888815308</v>
      </c>
      <c r="J38" s="346">
        <v>17.000662245647778</v>
      </c>
      <c r="K38" s="346">
        <v>16.882728089194512</v>
      </c>
      <c r="L38" s="346">
        <v>16.238626157795903</v>
      </c>
      <c r="M38" s="346">
        <v>15.458446353566602</v>
      </c>
      <c r="N38" s="346">
        <v>17.191171267610745</v>
      </c>
      <c r="O38" s="346">
        <v>16.202338725041052</v>
      </c>
      <c r="P38" s="193">
        <f>SUM(D38:O38)</f>
        <v>191.07147717066889</v>
      </c>
      <c r="Q38" s="46">
        <f t="shared" si="1"/>
        <v>15.922623097555741</v>
      </c>
      <c r="R38" s="46">
        <f t="shared" si="2"/>
        <v>0.52348349909772296</v>
      </c>
    </row>
    <row r="39" spans="1:18" x14ac:dyDescent="0.25">
      <c r="A39" s="76" t="s">
        <v>398</v>
      </c>
      <c r="B39" s="73" t="s">
        <v>434</v>
      </c>
      <c r="C39" s="61" t="s">
        <v>260</v>
      </c>
      <c r="D39" s="292">
        <v>69.045912674293078</v>
      </c>
      <c r="E39" s="292">
        <v>62.151300450871354</v>
      </c>
      <c r="F39" s="292">
        <v>70.66070343188396</v>
      </c>
      <c r="G39" s="346">
        <v>63.693516342952528</v>
      </c>
      <c r="H39" s="346">
        <v>76.602770545490841</v>
      </c>
      <c r="I39" s="346">
        <v>83.905616387404635</v>
      </c>
      <c r="J39" s="346">
        <v>76.847710716586079</v>
      </c>
      <c r="K39" s="346">
        <v>75.87702189039382</v>
      </c>
      <c r="L39" s="346">
        <v>80.412950984750211</v>
      </c>
      <c r="M39" s="346">
        <v>82.689987390117125</v>
      </c>
      <c r="N39" s="346">
        <v>76.920285582095786</v>
      </c>
      <c r="O39" s="346">
        <v>79.977501791691992</v>
      </c>
      <c r="P39" s="194">
        <f>SUM(D39:O39)</f>
        <v>898.78527818853138</v>
      </c>
      <c r="Q39" s="46">
        <f t="shared" si="1"/>
        <v>74.89877318237761</v>
      </c>
      <c r="R39" s="46">
        <f t="shared" si="2"/>
        <v>2.4624254196946067</v>
      </c>
    </row>
    <row r="40" spans="1:18" x14ac:dyDescent="0.25">
      <c r="A40" s="76" t="s">
        <v>33</v>
      </c>
      <c r="B40" s="73" t="s">
        <v>435</v>
      </c>
      <c r="C40" s="61" t="s">
        <v>260</v>
      </c>
      <c r="D40" s="292">
        <v>4548.8927797080678</v>
      </c>
      <c r="E40" s="292">
        <v>4081.5741488329058</v>
      </c>
      <c r="F40" s="292">
        <v>4350.3823788226546</v>
      </c>
      <c r="G40" s="346">
        <v>4322.8765047944771</v>
      </c>
      <c r="H40" s="346">
        <v>4343.9232157922906</v>
      </c>
      <c r="I40" s="346">
        <v>4752.900726655841</v>
      </c>
      <c r="J40" s="346">
        <v>4893.5054567227007</v>
      </c>
      <c r="K40" s="346">
        <v>4917.7091743701867</v>
      </c>
      <c r="L40" s="346">
        <v>5172.3290181527882</v>
      </c>
      <c r="M40" s="346">
        <v>4967.1326577822938</v>
      </c>
      <c r="N40" s="346">
        <v>4843.3562246554966</v>
      </c>
      <c r="O40" s="346">
        <v>4826.6367900136984</v>
      </c>
      <c r="P40" s="194">
        <f t="shared" si="0"/>
        <v>56021.219076303387</v>
      </c>
      <c r="Q40" s="46">
        <f t="shared" si="1"/>
        <v>4668.4349230252819</v>
      </c>
      <c r="R40" s="46">
        <f t="shared" si="2"/>
        <v>153.48279198987228</v>
      </c>
    </row>
    <row r="41" spans="1:18" x14ac:dyDescent="0.25">
      <c r="A41" s="76" t="s">
        <v>33</v>
      </c>
      <c r="B41" s="73" t="s">
        <v>436</v>
      </c>
      <c r="C41" s="61" t="s">
        <v>260</v>
      </c>
      <c r="D41" s="292">
        <v>1199.7260298827009</v>
      </c>
      <c r="E41" s="292">
        <v>1010.8590142518892</v>
      </c>
      <c r="F41" s="292">
        <v>1194.1105496638877</v>
      </c>
      <c r="G41" s="346">
        <v>1299.5618292494853</v>
      </c>
      <c r="H41" s="346">
        <v>1352.5959122207003</v>
      </c>
      <c r="I41" s="346">
        <v>1546.3798749897942</v>
      </c>
      <c r="J41" s="346">
        <v>1423.9007175839829</v>
      </c>
      <c r="K41" s="346">
        <v>1622.1389627237347</v>
      </c>
      <c r="L41" s="346">
        <v>1404.7409530894213</v>
      </c>
      <c r="M41" s="346">
        <v>1507.062441599913</v>
      </c>
      <c r="N41" s="346">
        <v>1347.6245339332856</v>
      </c>
      <c r="O41" s="346">
        <v>1362.1122914606599</v>
      </c>
      <c r="P41" s="194">
        <f t="shared" ref="P41:P49" si="6">SUM(D41:O41)</f>
        <v>16270.813110649457</v>
      </c>
      <c r="Q41" s="46">
        <f t="shared" ref="Q41:Q49" si="7">SUM(P41/12)</f>
        <v>1355.9010925541213</v>
      </c>
      <c r="R41" s="46">
        <f t="shared" ref="R41:R49" si="8">SUM(P41/365)</f>
        <v>44.577570166162893</v>
      </c>
    </row>
    <row r="42" spans="1:18" s="94" customFormat="1" x14ac:dyDescent="0.25">
      <c r="A42" s="345" t="s">
        <v>396</v>
      </c>
      <c r="B42" s="3" t="s">
        <v>399</v>
      </c>
      <c r="C42" s="61" t="s">
        <v>260</v>
      </c>
      <c r="D42" s="37">
        <v>50.04</v>
      </c>
      <c r="E42" s="3">
        <v>42.52</v>
      </c>
      <c r="F42" s="3">
        <v>45.28</v>
      </c>
      <c r="G42" s="348">
        <v>48.9</v>
      </c>
      <c r="H42" s="348">
        <v>54.21</v>
      </c>
      <c r="I42" s="348">
        <v>53.8</v>
      </c>
      <c r="J42" s="348">
        <v>55.71</v>
      </c>
      <c r="K42" s="348">
        <v>52.8</v>
      </c>
      <c r="L42" s="348">
        <v>59.6</v>
      </c>
      <c r="M42" s="348">
        <v>51.23</v>
      </c>
      <c r="N42" s="348">
        <v>55.41</v>
      </c>
      <c r="O42" s="348">
        <v>56.9</v>
      </c>
      <c r="P42" s="195">
        <f>SUM(D42:O42)</f>
        <v>626.4</v>
      </c>
      <c r="Q42" s="46">
        <f>SUM(P42/12)</f>
        <v>52.199999999999996</v>
      </c>
      <c r="R42" s="46">
        <f>SUM(P42/365)</f>
        <v>1.7161643835616438</v>
      </c>
    </row>
    <row r="43" spans="1:18" s="94" customFormat="1" x14ac:dyDescent="0.25">
      <c r="A43" s="345" t="s">
        <v>396</v>
      </c>
      <c r="B43" s="3" t="s">
        <v>400</v>
      </c>
      <c r="C43" s="61" t="s">
        <v>260</v>
      </c>
      <c r="D43" s="37">
        <v>33.36</v>
      </c>
      <c r="E43" s="3">
        <v>28.35</v>
      </c>
      <c r="F43" s="3">
        <v>30.19</v>
      </c>
      <c r="G43" s="348">
        <v>32.6</v>
      </c>
      <c r="H43" s="348">
        <v>36.14</v>
      </c>
      <c r="I43" s="348">
        <v>35.86</v>
      </c>
      <c r="J43" s="348">
        <v>37.130000000000003</v>
      </c>
      <c r="K43" s="348">
        <v>35.200000000000003</v>
      </c>
      <c r="L43" s="348">
        <v>39.729999999999997</v>
      </c>
      <c r="M43" s="348">
        <v>34.14</v>
      </c>
      <c r="N43" s="348">
        <v>36.94</v>
      </c>
      <c r="O43" s="348">
        <v>37.94</v>
      </c>
      <c r="P43" s="195">
        <f>SUM(D43:O43)</f>
        <v>417.58</v>
      </c>
      <c r="Q43" s="46">
        <f>SUM(P43/12)</f>
        <v>34.798333333333332</v>
      </c>
      <c r="R43" s="46">
        <f>SUM(P43/365)</f>
        <v>1.1440547945205479</v>
      </c>
    </row>
    <row r="44" spans="1:18" s="94" customFormat="1" x14ac:dyDescent="0.25">
      <c r="A44" s="345" t="s">
        <v>396</v>
      </c>
      <c r="B44" s="3" t="s">
        <v>401</v>
      </c>
      <c r="C44" s="61" t="s">
        <v>260</v>
      </c>
      <c r="D44" s="37">
        <v>27.8</v>
      </c>
      <c r="E44" s="3">
        <v>23.63</v>
      </c>
      <c r="F44" s="3">
        <v>25.16</v>
      </c>
      <c r="G44" s="348">
        <v>27.17</v>
      </c>
      <c r="H44" s="348">
        <v>30.12</v>
      </c>
      <c r="I44" s="348">
        <v>29.89</v>
      </c>
      <c r="J44" s="348">
        <v>30.95</v>
      </c>
      <c r="K44" s="348">
        <v>29.34</v>
      </c>
      <c r="L44" s="348">
        <v>33.1</v>
      </c>
      <c r="M44" s="348">
        <v>28.45</v>
      </c>
      <c r="N44" s="348">
        <v>30.78</v>
      </c>
      <c r="O44" s="348">
        <v>31.61</v>
      </c>
      <c r="P44" s="195">
        <f>SUM(D44:O44)</f>
        <v>348</v>
      </c>
      <c r="Q44" s="46">
        <f>SUM(P44/12)</f>
        <v>29</v>
      </c>
      <c r="R44" s="46">
        <f>SUM(P44/365)</f>
        <v>0.95342465753424654</v>
      </c>
    </row>
    <row r="45" spans="1:18" x14ac:dyDescent="0.25">
      <c r="A45" s="76" t="s">
        <v>54</v>
      </c>
      <c r="B45" s="73" t="s">
        <v>437</v>
      </c>
      <c r="C45" s="61" t="s">
        <v>260</v>
      </c>
      <c r="D45" s="292">
        <v>20.7745552521523</v>
      </c>
      <c r="E45" s="292">
        <v>16.61964420172184</v>
      </c>
      <c r="F45" s="292">
        <v>19.123477061806572</v>
      </c>
      <c r="G45" s="346">
        <v>15.83946439749254</v>
      </c>
      <c r="H45" s="346">
        <v>19.078117770863006</v>
      </c>
      <c r="I45" s="346">
        <v>25.564496375792654</v>
      </c>
      <c r="J45" s="346">
        <v>16.057188994021647</v>
      </c>
      <c r="K45" s="346">
        <v>19.096261487240433</v>
      </c>
      <c r="L45" s="346">
        <v>23.106022806651488</v>
      </c>
      <c r="M45" s="346">
        <v>21.182788870644377</v>
      </c>
      <c r="N45" s="346">
        <v>19.822010142337454</v>
      </c>
      <c r="O45" s="346">
        <v>29.039018062069655</v>
      </c>
      <c r="P45" s="194">
        <f t="shared" si="6"/>
        <v>245.30304542279396</v>
      </c>
      <c r="Q45" s="46">
        <f t="shared" si="7"/>
        <v>20.441920451899495</v>
      </c>
      <c r="R45" s="46">
        <f t="shared" si="8"/>
        <v>0.67206313814464103</v>
      </c>
    </row>
    <row r="46" spans="1:18" x14ac:dyDescent="0.25">
      <c r="A46" s="56" t="s">
        <v>54</v>
      </c>
      <c r="B46" s="73" t="s">
        <v>438</v>
      </c>
      <c r="C46" s="61" t="s">
        <v>260</v>
      </c>
      <c r="D46" s="292">
        <v>476.0639021690813</v>
      </c>
      <c r="E46" s="292">
        <v>419.53715379521191</v>
      </c>
      <c r="F46" s="292">
        <v>436.68296577187908</v>
      </c>
      <c r="G46" s="346">
        <v>414.99215284266677</v>
      </c>
      <c r="H46" s="346">
        <v>395.25178942402772</v>
      </c>
      <c r="I46" s="346">
        <v>460.38773121898561</v>
      </c>
      <c r="J46" s="346">
        <v>403.28038392103855</v>
      </c>
      <c r="K46" s="346">
        <v>426.58598760784173</v>
      </c>
      <c r="L46" s="346">
        <v>427.77440103056313</v>
      </c>
      <c r="M46" s="346">
        <v>448.18608195516691</v>
      </c>
      <c r="N46" s="346">
        <v>417.38712340448694</v>
      </c>
      <c r="O46" s="346">
        <v>488.31091072384356</v>
      </c>
      <c r="P46" s="194">
        <f t="shared" si="6"/>
        <v>5214.4405838647936</v>
      </c>
      <c r="Q46" s="46">
        <f t="shared" si="7"/>
        <v>434.53671532206613</v>
      </c>
      <c r="R46" s="46">
        <f t="shared" si="8"/>
        <v>14.28613858593094</v>
      </c>
    </row>
    <row r="47" spans="1:18" x14ac:dyDescent="0.25">
      <c r="A47" s="56" t="s">
        <v>54</v>
      </c>
      <c r="B47" s="73" t="s">
        <v>439</v>
      </c>
      <c r="C47" s="61" t="s">
        <v>260</v>
      </c>
      <c r="D47" s="292">
        <v>67.222469178361806</v>
      </c>
      <c r="E47" s="292">
        <v>53.224591993177967</v>
      </c>
      <c r="F47" s="292">
        <v>58.068964265950598</v>
      </c>
      <c r="G47" s="346">
        <v>58.259473287913565</v>
      </c>
      <c r="H47" s="346">
        <v>59.547677150710783</v>
      </c>
      <c r="I47" s="346">
        <v>47.699830356251873</v>
      </c>
      <c r="J47" s="346">
        <v>65.362738249675687</v>
      </c>
      <c r="K47" s="346">
        <v>49.99501047799621</v>
      </c>
      <c r="L47" s="346">
        <v>56.826119694096946</v>
      </c>
      <c r="M47" s="346">
        <v>53.433244731518357</v>
      </c>
      <c r="N47" s="346">
        <v>47.881267520026128</v>
      </c>
      <c r="O47" s="346">
        <v>63.884025364915502</v>
      </c>
      <c r="P47" s="194">
        <f t="shared" si="6"/>
        <v>681.40541227059543</v>
      </c>
      <c r="Q47" s="46">
        <f t="shared" si="7"/>
        <v>56.78378435588295</v>
      </c>
      <c r="R47" s="46">
        <f t="shared" si="8"/>
        <v>1.8668641432071107</v>
      </c>
    </row>
    <row r="48" spans="1:18" x14ac:dyDescent="0.25">
      <c r="A48" s="56" t="s">
        <v>54</v>
      </c>
      <c r="B48" s="73" t="s">
        <v>440</v>
      </c>
      <c r="C48" s="61" t="s">
        <v>260</v>
      </c>
      <c r="D48" s="292">
        <v>66.378786366811511</v>
      </c>
      <c r="E48" s="292">
        <v>65.00893578031588</v>
      </c>
      <c r="F48" s="292">
        <v>58.52255717538624</v>
      </c>
      <c r="G48" s="346">
        <v>48.480010160481172</v>
      </c>
      <c r="H48" s="346">
        <v>57.170850305268033</v>
      </c>
      <c r="I48" s="346">
        <v>58.540700891763663</v>
      </c>
      <c r="J48" s="346">
        <v>61.225970915622653</v>
      </c>
      <c r="K48" s="346">
        <v>45.704021554735057</v>
      </c>
      <c r="L48" s="346">
        <v>46.103183315038422</v>
      </c>
      <c r="M48" s="346">
        <v>51.301358057170852</v>
      </c>
      <c r="N48" s="346">
        <v>57.588155781948821</v>
      </c>
      <c r="O48" s="346">
        <v>70.842140595658208</v>
      </c>
      <c r="P48" s="194">
        <f t="shared" si="6"/>
        <v>686.86667090020046</v>
      </c>
      <c r="Q48" s="46">
        <f t="shared" si="7"/>
        <v>57.238889241683374</v>
      </c>
      <c r="R48" s="46">
        <f t="shared" si="8"/>
        <v>1.8818264956169877</v>
      </c>
    </row>
    <row r="49" spans="1:18" x14ac:dyDescent="0.25">
      <c r="A49" s="56" t="s">
        <v>54</v>
      </c>
      <c r="B49" s="73" t="s">
        <v>441</v>
      </c>
      <c r="C49" s="61" t="s">
        <v>260</v>
      </c>
      <c r="D49" s="292">
        <v>47.182734439495242</v>
      </c>
      <c r="E49" s="292">
        <v>53.070370403969847</v>
      </c>
      <c r="F49" s="292">
        <v>53.015939254837569</v>
      </c>
      <c r="G49" s="346">
        <v>49.078752800936215</v>
      </c>
      <c r="H49" s="346">
        <v>29.293030091353614</v>
      </c>
      <c r="I49" s="346">
        <v>52.888933240195591</v>
      </c>
      <c r="J49" s="346">
        <v>52.516987054458369</v>
      </c>
      <c r="K49" s="346">
        <v>40.487703096225204</v>
      </c>
      <c r="L49" s="346">
        <v>48.870100062595824</v>
      </c>
      <c r="M49" s="346">
        <v>43.445128865745573</v>
      </c>
      <c r="N49" s="346">
        <v>43.798931335105372</v>
      </c>
      <c r="O49" s="346">
        <v>66.841451134435871</v>
      </c>
      <c r="P49" s="194">
        <f t="shared" si="6"/>
        <v>580.49006177935428</v>
      </c>
      <c r="Q49" s="46">
        <f t="shared" si="7"/>
        <v>48.374171814946187</v>
      </c>
      <c r="R49" s="46">
        <f t="shared" si="8"/>
        <v>1.5903837309023405</v>
      </c>
    </row>
    <row r="50" spans="1:18" x14ac:dyDescent="0.25">
      <c r="A50" s="56" t="s">
        <v>32</v>
      </c>
      <c r="B50" s="73" t="s">
        <v>442</v>
      </c>
      <c r="C50" s="61" t="s">
        <v>260</v>
      </c>
      <c r="D50" s="292">
        <v>8.1646723698415151</v>
      </c>
      <c r="E50" s="292">
        <v>6.6315283359490529</v>
      </c>
      <c r="F50" s="292">
        <v>7.3119177001025122</v>
      </c>
      <c r="G50" s="346">
        <v>10.106050022226054</v>
      </c>
      <c r="H50" s="346">
        <v>17.653836035235098</v>
      </c>
      <c r="I50" s="346">
        <v>14.161170632580673</v>
      </c>
      <c r="J50" s="346">
        <v>17.173027551233321</v>
      </c>
      <c r="K50" s="346">
        <v>8.3279658172383453</v>
      </c>
      <c r="L50" s="346">
        <v>13.63500285763533</v>
      </c>
      <c r="M50" s="346">
        <v>17.998566646406186</v>
      </c>
      <c r="N50" s="346">
        <v>10.09697816403734</v>
      </c>
      <c r="O50" s="346">
        <v>11.167457430305451</v>
      </c>
      <c r="P50" s="194">
        <f>SUM(D50:O50)</f>
        <v>142.4281735627909</v>
      </c>
      <c r="Q50" s="46">
        <f t="shared" si="1"/>
        <v>11.869014463565909</v>
      </c>
      <c r="R50" s="46">
        <f t="shared" si="2"/>
        <v>0.39021417414463261</v>
      </c>
    </row>
    <row r="51" spans="1:18" x14ac:dyDescent="0.25">
      <c r="A51" s="56" t="s">
        <v>32</v>
      </c>
      <c r="B51" s="73" t="s">
        <v>443</v>
      </c>
      <c r="C51" s="61" t="s">
        <v>260</v>
      </c>
      <c r="D51" s="292">
        <v>7.1667679690831072</v>
      </c>
      <c r="E51" s="292">
        <v>6.4138037394199454</v>
      </c>
      <c r="F51" s="292">
        <v>5.1255998766227293</v>
      </c>
      <c r="G51" s="346">
        <v>5.361468189529262</v>
      </c>
      <c r="H51" s="346">
        <v>9.9609002912066487</v>
      </c>
      <c r="I51" s="346">
        <v>12.664314031443061</v>
      </c>
      <c r="J51" s="346">
        <v>9.7159601201114025</v>
      </c>
      <c r="K51" s="346">
        <v>4.9895220037920369</v>
      </c>
      <c r="L51" s="346">
        <v>5.7152706588890609</v>
      </c>
      <c r="M51" s="346">
        <v>5.443114913227677</v>
      </c>
      <c r="N51" s="346">
        <v>5.1709591675662931</v>
      </c>
      <c r="O51" s="346">
        <v>4.0460487521659063</v>
      </c>
      <c r="P51" s="194">
        <f>SUM(D51:O51)</f>
        <v>81.773729713057122</v>
      </c>
      <c r="Q51" s="46">
        <f t="shared" si="1"/>
        <v>6.8144774760880935</v>
      </c>
      <c r="R51" s="46">
        <f t="shared" si="2"/>
        <v>0.22403761565221128</v>
      </c>
    </row>
    <row r="52" spans="1:18" x14ac:dyDescent="0.25">
      <c r="A52" s="56" t="s">
        <v>22</v>
      </c>
      <c r="B52" s="73" t="s">
        <v>444</v>
      </c>
      <c r="C52" s="61" t="s">
        <v>260</v>
      </c>
      <c r="D52" s="292">
        <v>124.45682249095083</v>
      </c>
      <c r="E52" s="292">
        <v>109.542687628707</v>
      </c>
      <c r="F52" s="292">
        <v>117.37170124556613</v>
      </c>
      <c r="G52" s="346">
        <v>114.66828750532972</v>
      </c>
      <c r="H52" s="346">
        <v>149.98503143398864</v>
      </c>
      <c r="I52" s="346">
        <v>156.0631764204262</v>
      </c>
      <c r="J52" s="346">
        <v>175.02336003483595</v>
      </c>
      <c r="K52" s="346">
        <v>164.64515426694851</v>
      </c>
      <c r="L52" s="346">
        <v>159.27461421923053</v>
      </c>
      <c r="M52" s="346">
        <v>154.54817610291116</v>
      </c>
      <c r="N52" s="346">
        <v>156.58027233718283</v>
      </c>
      <c r="O52" s="346">
        <v>156.64377534450381</v>
      </c>
      <c r="P52" s="194">
        <f>SUM(D52:O52)</f>
        <v>1738.8030590305814</v>
      </c>
      <c r="Q52" s="46">
        <f t="shared" si="1"/>
        <v>144.90025491921512</v>
      </c>
      <c r="R52" s="46">
        <f t="shared" si="2"/>
        <v>4.7638439973440585</v>
      </c>
    </row>
    <row r="53" spans="1:18" x14ac:dyDescent="0.25">
      <c r="A53" s="56" t="s">
        <v>22</v>
      </c>
      <c r="B53" s="73" t="s">
        <v>445</v>
      </c>
      <c r="C53" s="61" t="s">
        <v>260</v>
      </c>
      <c r="D53" s="292">
        <v>51.246926908038574</v>
      </c>
      <c r="E53" s="292">
        <v>50.693543558527097</v>
      </c>
      <c r="F53" s="292">
        <v>51.265070624416005</v>
      </c>
      <c r="G53" s="346">
        <v>62.940552113289371</v>
      </c>
      <c r="H53" s="346">
        <v>75.114985802541938</v>
      </c>
      <c r="I53" s="346">
        <v>53.08851412034727</v>
      </c>
      <c r="J53" s="346">
        <v>61.851929130643832</v>
      </c>
      <c r="K53" s="346">
        <v>50.884052580490064</v>
      </c>
      <c r="L53" s="346">
        <v>59.729114314485038</v>
      </c>
      <c r="M53" s="346">
        <v>61.325761355698489</v>
      </c>
      <c r="N53" s="346">
        <v>54.295071259446075</v>
      </c>
      <c r="O53" s="346">
        <v>87.06262303707669</v>
      </c>
      <c r="P53" s="194">
        <f t="shared" ref="P53:P73" si="9">SUM(D53:O53)</f>
        <v>719.49814480500049</v>
      </c>
      <c r="Q53" s="46">
        <f t="shared" si="1"/>
        <v>59.958178733750039</v>
      </c>
      <c r="R53" s="46">
        <f t="shared" si="2"/>
        <v>1.9712277939863028</v>
      </c>
    </row>
    <row r="54" spans="1:18" x14ac:dyDescent="0.25">
      <c r="A54" s="56" t="s">
        <v>22</v>
      </c>
      <c r="B54" s="73" t="s">
        <v>446</v>
      </c>
      <c r="C54" s="61" t="s">
        <v>260</v>
      </c>
      <c r="D54" s="292">
        <v>21.45494461630576</v>
      </c>
      <c r="E54" s="292">
        <v>17.173027551233321</v>
      </c>
      <c r="F54" s="292">
        <v>20.847130117662001</v>
      </c>
      <c r="G54" s="346">
        <v>41.68518837713529</v>
      </c>
      <c r="H54" s="346">
        <v>50.620968693017396</v>
      </c>
      <c r="I54" s="346">
        <v>47.536536908855041</v>
      </c>
      <c r="J54" s="346">
        <v>63.330642015404017</v>
      </c>
      <c r="K54" s="346">
        <v>44.270667960918438</v>
      </c>
      <c r="L54" s="346">
        <v>43.200188694650329</v>
      </c>
      <c r="M54" s="346">
        <v>49.532345710371857</v>
      </c>
      <c r="N54" s="346">
        <v>47.382315319646928</v>
      </c>
      <c r="O54" s="346">
        <v>47.30974045413722</v>
      </c>
      <c r="P54" s="194">
        <f>SUM(D54:O54)</f>
        <v>494.34369641933762</v>
      </c>
      <c r="Q54" s="46">
        <f t="shared" si="1"/>
        <v>41.195308034944802</v>
      </c>
      <c r="R54" s="46">
        <f t="shared" si="2"/>
        <v>1.3543662915598291</v>
      </c>
    </row>
    <row r="55" spans="1:18" x14ac:dyDescent="0.25">
      <c r="A55" s="56" t="s">
        <v>22</v>
      </c>
      <c r="B55" s="73" t="s">
        <v>447</v>
      </c>
      <c r="C55" s="61" t="s">
        <v>260</v>
      </c>
      <c r="D55" s="292">
        <v>173.39042556086764</v>
      </c>
      <c r="E55" s="292">
        <v>163.91033375366277</v>
      </c>
      <c r="F55" s="292">
        <v>139.59775380791248</v>
      </c>
      <c r="G55" s="346">
        <v>135.86014823416281</v>
      </c>
      <c r="H55" s="346">
        <v>181.81818181818181</v>
      </c>
      <c r="I55" s="346">
        <v>188.38620714680988</v>
      </c>
      <c r="J55" s="346">
        <v>184.19500866362458</v>
      </c>
      <c r="K55" s="346">
        <v>195.74348413785597</v>
      </c>
      <c r="L55" s="346">
        <v>171.50347905761538</v>
      </c>
      <c r="M55" s="346">
        <v>174.32482695430505</v>
      </c>
      <c r="N55" s="346">
        <v>166.28716059910553</v>
      </c>
      <c r="O55" s="346">
        <v>195.70719670510113</v>
      </c>
      <c r="P55" s="194">
        <f t="shared" si="9"/>
        <v>2070.7242064392053</v>
      </c>
      <c r="Q55" s="46">
        <f t="shared" si="1"/>
        <v>172.56035053660045</v>
      </c>
      <c r="R55" s="46">
        <f t="shared" si="2"/>
        <v>5.6732170039430283</v>
      </c>
    </row>
    <row r="56" spans="1:18" x14ac:dyDescent="0.25">
      <c r="A56" s="56" t="s">
        <v>22</v>
      </c>
      <c r="B56" s="73" t="s">
        <v>448</v>
      </c>
      <c r="C56" s="61" t="s">
        <v>260</v>
      </c>
      <c r="D56" s="292">
        <v>31.025755005397759</v>
      </c>
      <c r="E56" s="292">
        <v>26.535185201984923</v>
      </c>
      <c r="F56" s="292">
        <v>31.034826863586471</v>
      </c>
      <c r="G56" s="346">
        <v>28.694287450898567</v>
      </c>
      <c r="H56" s="346">
        <v>33.075994956046848</v>
      </c>
      <c r="I56" s="346">
        <v>34.609138989939311</v>
      </c>
      <c r="J56" s="346">
        <v>41.222523609510937</v>
      </c>
      <c r="K56" s="346">
        <v>32.758479919441903</v>
      </c>
      <c r="L56" s="346">
        <v>35.525396666999306</v>
      </c>
      <c r="M56" s="346">
        <v>35.162522339450788</v>
      </c>
      <c r="N56" s="346">
        <v>36.686594515154539</v>
      </c>
      <c r="O56" s="346">
        <v>39.59866099373135</v>
      </c>
      <c r="P56" s="194">
        <f t="shared" si="9"/>
        <v>405.92936651214274</v>
      </c>
      <c r="Q56" s="46">
        <f t="shared" si="1"/>
        <v>33.82744720934523</v>
      </c>
      <c r="R56" s="46">
        <f t="shared" si="2"/>
        <v>1.1121352507181992</v>
      </c>
    </row>
    <row r="57" spans="1:18" x14ac:dyDescent="0.25">
      <c r="A57" s="56" t="s">
        <v>22</v>
      </c>
      <c r="B57" s="73" t="s">
        <v>449</v>
      </c>
      <c r="C57" s="61" t="s">
        <v>260</v>
      </c>
      <c r="D57" s="292">
        <v>20.375393491848936</v>
      </c>
      <c r="E57" s="292">
        <v>15.766889531982837</v>
      </c>
      <c r="F57" s="292">
        <v>22.307699286044762</v>
      </c>
      <c r="G57" s="346">
        <v>20.665692953887746</v>
      </c>
      <c r="H57" s="346">
        <v>23.886202610880787</v>
      </c>
      <c r="I57" s="346">
        <v>40.043182044978273</v>
      </c>
      <c r="J57" s="346">
        <v>28.077401094066097</v>
      </c>
      <c r="K57" s="346">
        <v>20.819914543095862</v>
      </c>
      <c r="L57" s="346">
        <v>28.785006032785699</v>
      </c>
      <c r="M57" s="346">
        <v>22.933657501065944</v>
      </c>
      <c r="N57" s="346">
        <v>21.981112391251102</v>
      </c>
      <c r="O57" s="346">
        <v>25.909226986963741</v>
      </c>
      <c r="P57" s="194">
        <f t="shared" si="9"/>
        <v>291.55137846885179</v>
      </c>
      <c r="Q57" s="46">
        <f t="shared" si="1"/>
        <v>24.295948205737648</v>
      </c>
      <c r="R57" s="46">
        <f t="shared" si="2"/>
        <v>0.79877089991466244</v>
      </c>
    </row>
    <row r="58" spans="1:18" x14ac:dyDescent="0.25">
      <c r="A58" s="56" t="s">
        <v>22</v>
      </c>
      <c r="B58" s="73" t="s">
        <v>450</v>
      </c>
      <c r="C58" s="61" t="s">
        <v>260</v>
      </c>
      <c r="D58" s="292">
        <v>26.090664150737997</v>
      </c>
      <c r="E58" s="292">
        <v>23.686621730729108</v>
      </c>
      <c r="F58" s="292">
        <v>34.391414393410201</v>
      </c>
      <c r="G58" s="346">
        <v>40.859649281962426</v>
      </c>
      <c r="H58" s="346">
        <v>46.955937984777421</v>
      </c>
      <c r="I58" s="346">
        <v>60.545581551469191</v>
      </c>
      <c r="J58" s="346">
        <v>57.352287469042288</v>
      </c>
      <c r="K58" s="346">
        <v>39.671235859241051</v>
      </c>
      <c r="L58" s="346">
        <v>43.572134880387551</v>
      </c>
      <c r="M58" s="346">
        <v>42.710308352459833</v>
      </c>
      <c r="N58" s="346">
        <v>38.174379258103443</v>
      </c>
      <c r="O58" s="346">
        <v>47.346027886892074</v>
      </c>
      <c r="P58" s="194">
        <f>SUM(D58:O58)</f>
        <v>501.35624279921251</v>
      </c>
      <c r="Q58" s="46">
        <f t="shared" si="1"/>
        <v>41.779686899934376</v>
      </c>
      <c r="R58" s="46">
        <f t="shared" si="2"/>
        <v>1.3735787473951027</v>
      </c>
    </row>
    <row r="59" spans="1:18" x14ac:dyDescent="0.25">
      <c r="A59" s="56" t="s">
        <v>56</v>
      </c>
      <c r="B59" s="73" t="s">
        <v>451</v>
      </c>
      <c r="C59" s="61" t="s">
        <v>260</v>
      </c>
      <c r="D59" s="292">
        <v>22.080902831326942</v>
      </c>
      <c r="E59" s="292">
        <v>19.395632807467955</v>
      </c>
      <c r="F59" s="292">
        <v>19.132548919995283</v>
      </c>
      <c r="G59" s="346">
        <v>17.717339042556087</v>
      </c>
      <c r="H59" s="346">
        <v>26.22674202356869</v>
      </c>
      <c r="I59" s="346">
        <v>26.417251045531657</v>
      </c>
      <c r="J59" s="346">
        <v>29.982491313695785</v>
      </c>
      <c r="K59" s="346">
        <v>15.050212735074526</v>
      </c>
      <c r="L59" s="346">
        <v>25.410274786584537</v>
      </c>
      <c r="M59" s="346">
        <v>18.24350681750143</v>
      </c>
      <c r="N59" s="346">
        <v>17.871560631764204</v>
      </c>
      <c r="O59" s="346">
        <v>24.221861363863162</v>
      </c>
      <c r="P59" s="194">
        <f>SUM(D59:O59)</f>
        <v>261.75032431893027</v>
      </c>
      <c r="Q59" s="46">
        <f t="shared" si="1"/>
        <v>21.812527026577524</v>
      </c>
      <c r="R59" s="46">
        <f t="shared" si="2"/>
        <v>0.71712417621624736</v>
      </c>
    </row>
    <row r="60" spans="1:18" x14ac:dyDescent="0.25">
      <c r="A60" s="56" t="s">
        <v>56</v>
      </c>
      <c r="B60" s="73" t="s">
        <v>452</v>
      </c>
      <c r="C60" s="61" t="s">
        <v>260</v>
      </c>
      <c r="D60" s="292">
        <v>20.420752782792501</v>
      </c>
      <c r="E60" s="292">
        <v>18.27979425025628</v>
      </c>
      <c r="F60" s="292">
        <v>16.928087380138074</v>
      </c>
      <c r="G60" s="346">
        <v>19.61335740399706</v>
      </c>
      <c r="H60" s="346">
        <v>22.135333980459219</v>
      </c>
      <c r="I60" s="346">
        <v>27.88689207210313</v>
      </c>
      <c r="J60" s="346">
        <v>33.974108916729413</v>
      </c>
      <c r="K60" s="346">
        <v>19.313986083769539</v>
      </c>
      <c r="L60" s="346">
        <v>18.660812294182218</v>
      </c>
      <c r="M60" s="346">
        <v>24.040424200088907</v>
      </c>
      <c r="N60" s="346">
        <v>23.759196596238809</v>
      </c>
      <c r="O60" s="346">
        <v>23.223956963104754</v>
      </c>
      <c r="P60" s="194">
        <f t="shared" si="9"/>
        <v>268.23670292385992</v>
      </c>
      <c r="Q60" s="46">
        <f t="shared" si="1"/>
        <v>22.353058576988328</v>
      </c>
      <c r="R60" s="46">
        <f t="shared" si="2"/>
        <v>0.73489507650372576</v>
      </c>
    </row>
    <row r="61" spans="1:18" x14ac:dyDescent="0.25">
      <c r="A61" s="56" t="s">
        <v>32</v>
      </c>
      <c r="B61" s="73" t="s">
        <v>453</v>
      </c>
      <c r="C61" s="61" t="s">
        <v>260</v>
      </c>
      <c r="D61" s="292">
        <v>17.191171267610745</v>
      </c>
      <c r="E61" s="292">
        <v>17.472398871460843</v>
      </c>
      <c r="F61" s="292">
        <v>15.286081047981058</v>
      </c>
      <c r="G61" s="346">
        <v>24.031352341900192</v>
      </c>
      <c r="H61" s="346">
        <v>24.847819578884344</v>
      </c>
      <c r="I61" s="346">
        <v>24.992969309903749</v>
      </c>
      <c r="J61" s="346">
        <v>31.75150366049478</v>
      </c>
      <c r="K61" s="346">
        <v>20.720124103020023</v>
      </c>
      <c r="L61" s="346">
        <v>25.310484346508698</v>
      </c>
      <c r="M61" s="346">
        <v>20.429824640981213</v>
      </c>
      <c r="N61" s="346">
        <v>18.851321316145189</v>
      </c>
      <c r="O61" s="346">
        <v>27.814317206593429</v>
      </c>
      <c r="P61" s="194">
        <f t="shared" si="9"/>
        <v>268.69936769148433</v>
      </c>
      <c r="Q61" s="46">
        <f t="shared" si="1"/>
        <v>22.391613974290362</v>
      </c>
      <c r="R61" s="46">
        <f t="shared" si="2"/>
        <v>0.73616265120954605</v>
      </c>
    </row>
    <row r="62" spans="1:18" x14ac:dyDescent="0.25">
      <c r="A62" s="56" t="s">
        <v>43</v>
      </c>
      <c r="B62" s="73" t="s">
        <v>454</v>
      </c>
      <c r="C62" s="61" t="s">
        <v>260</v>
      </c>
      <c r="D62" s="292">
        <v>21.68899855757455</v>
      </c>
      <c r="E62" s="292">
        <v>23.133238381217627</v>
      </c>
      <c r="F62" s="292">
        <v>25.886547341491958</v>
      </c>
      <c r="G62" s="346">
        <v>25.39666699930147</v>
      </c>
      <c r="H62" s="346">
        <v>23.047055728424855</v>
      </c>
      <c r="I62" s="346">
        <v>19.114405203617856</v>
      </c>
      <c r="J62" s="346">
        <v>20.892489408605567</v>
      </c>
      <c r="K62" s="346">
        <v>22.402953797026246</v>
      </c>
      <c r="L62" s="346">
        <v>15.993685986700656</v>
      </c>
      <c r="M62" s="346">
        <v>25.21976576462157</v>
      </c>
      <c r="N62" s="346">
        <v>23.550543857898415</v>
      </c>
      <c r="O62" s="346">
        <v>23.024376082953072</v>
      </c>
      <c r="P62" s="194">
        <f t="shared" si="9"/>
        <v>269.35072710943388</v>
      </c>
      <c r="Q62" s="46">
        <f t="shared" si="1"/>
        <v>22.445893925786155</v>
      </c>
      <c r="R62" s="46">
        <f t="shared" si="2"/>
        <v>0.73794719756009286</v>
      </c>
    </row>
    <row r="63" spans="1:18" x14ac:dyDescent="0.25">
      <c r="A63" s="56" t="s">
        <v>43</v>
      </c>
      <c r="B63" s="73" t="s">
        <v>418</v>
      </c>
      <c r="C63" s="61" t="s">
        <v>260</v>
      </c>
      <c r="D63" s="292">
        <v>9.4936995944879392</v>
      </c>
      <c r="E63" s="292">
        <v>7.5886093748582528</v>
      </c>
      <c r="F63" s="292">
        <v>6.6814235559869735</v>
      </c>
      <c r="G63" s="346">
        <v>10.119657809509123</v>
      </c>
      <c r="H63" s="346">
        <v>4.6856147544701585</v>
      </c>
      <c r="I63" s="346">
        <v>7.4071722110839966</v>
      </c>
      <c r="J63" s="346">
        <v>7.7382950349720137</v>
      </c>
      <c r="K63" s="346">
        <v>7.5795375166695402</v>
      </c>
      <c r="L63" s="346">
        <v>9.3848372962233864</v>
      </c>
      <c r="M63" s="346">
        <v>12.35133492393247</v>
      </c>
      <c r="N63" s="346">
        <v>10.341918335132586</v>
      </c>
      <c r="O63" s="346">
        <v>8.7180557193529964</v>
      </c>
      <c r="P63" s="193">
        <f>SUM(D63:O63)</f>
        <v>102.09015612667943</v>
      </c>
      <c r="Q63" s="46">
        <f t="shared" si="1"/>
        <v>8.5075130105566199</v>
      </c>
      <c r="R63" s="46">
        <f t="shared" si="2"/>
        <v>0.2796990578813135</v>
      </c>
    </row>
    <row r="64" spans="1:18" x14ac:dyDescent="0.25">
      <c r="A64" s="56" t="s">
        <v>43</v>
      </c>
      <c r="B64" s="73" t="s">
        <v>455</v>
      </c>
      <c r="C64" s="61" t="s">
        <v>260</v>
      </c>
      <c r="D64" s="292">
        <v>24.330723662127713</v>
      </c>
      <c r="E64" s="292">
        <v>23.037983870236143</v>
      </c>
      <c r="F64" s="292">
        <v>26.430858832814728</v>
      </c>
      <c r="G64" s="346">
        <v>27.34484854532754</v>
      </c>
      <c r="H64" s="346">
        <v>21.291651168908928</v>
      </c>
      <c r="I64" s="346">
        <v>21.731636291061498</v>
      </c>
      <c r="J64" s="346">
        <v>22.550371492592827</v>
      </c>
      <c r="K64" s="346">
        <v>19.506763070279685</v>
      </c>
      <c r="L64" s="346">
        <v>17.091380827534906</v>
      </c>
      <c r="M64" s="346">
        <v>20.636209414774431</v>
      </c>
      <c r="N64" s="346">
        <v>21.246291877965366</v>
      </c>
      <c r="O64" s="346">
        <v>23.593635184294801</v>
      </c>
      <c r="P64" s="194">
        <f>SUM(D64:O64)</f>
        <v>268.79235423791857</v>
      </c>
      <c r="Q64" s="46">
        <f t="shared" si="1"/>
        <v>22.399362853159882</v>
      </c>
      <c r="R64" s="46">
        <f t="shared" si="2"/>
        <v>0.73641740887100982</v>
      </c>
    </row>
    <row r="65" spans="1:18" x14ac:dyDescent="0.25">
      <c r="A65" s="56" t="s">
        <v>43</v>
      </c>
      <c r="B65" s="73" t="s">
        <v>456</v>
      </c>
      <c r="C65" s="61" t="s">
        <v>260</v>
      </c>
      <c r="D65" s="292">
        <v>55.615026625903788</v>
      </c>
      <c r="E65" s="292">
        <v>48.164763088423406</v>
      </c>
      <c r="F65" s="292">
        <v>47.554680625232471</v>
      </c>
      <c r="G65" s="346">
        <v>45.338879262639367</v>
      </c>
      <c r="H65" s="346">
        <v>41.61261351162559</v>
      </c>
      <c r="I65" s="346">
        <v>47.359635674175145</v>
      </c>
      <c r="J65" s="346">
        <v>54.222496393936375</v>
      </c>
      <c r="K65" s="346">
        <v>53.131151853834226</v>
      </c>
      <c r="L65" s="346">
        <v>61.546207509684209</v>
      </c>
      <c r="M65" s="346">
        <v>61.647812321397794</v>
      </c>
      <c r="N65" s="346">
        <v>56.640146601228331</v>
      </c>
      <c r="O65" s="346">
        <v>66.156525841188056</v>
      </c>
      <c r="P65" s="194">
        <f t="shared" si="9"/>
        <v>638.98993930926872</v>
      </c>
      <c r="Q65" s="46">
        <f t="shared" si="1"/>
        <v>53.249161609105727</v>
      </c>
      <c r="R65" s="46">
        <f t="shared" si="2"/>
        <v>1.7506573679705992</v>
      </c>
    </row>
    <row r="66" spans="1:18" x14ac:dyDescent="0.25">
      <c r="A66" s="56" t="s">
        <v>43</v>
      </c>
      <c r="B66" s="73" t="s">
        <v>457</v>
      </c>
      <c r="C66" s="61" t="s">
        <v>260</v>
      </c>
      <c r="D66" s="292">
        <v>148.32034545635983</v>
      </c>
      <c r="E66" s="292">
        <v>132.3538750442253</v>
      </c>
      <c r="F66" s="292">
        <v>134.58101622955431</v>
      </c>
      <c r="G66" s="346">
        <v>131.17226551514548</v>
      </c>
      <c r="H66" s="346">
        <v>121.68990574339342</v>
      </c>
      <c r="I66" s="346">
        <v>119.39018969255473</v>
      </c>
      <c r="J66" s="346">
        <v>119.81203109832988</v>
      </c>
      <c r="K66" s="346">
        <v>117.17665629450882</v>
      </c>
      <c r="L66" s="346">
        <v>143.09495513966127</v>
      </c>
      <c r="M66" s="346">
        <v>123.80818463045786</v>
      </c>
      <c r="N66" s="346">
        <v>113.20318240785261</v>
      </c>
      <c r="O66" s="346">
        <v>146.12495577469133</v>
      </c>
      <c r="P66" s="193">
        <f>SUM(D66:O66)</f>
        <v>1550.727563026735</v>
      </c>
      <c r="Q66" s="46">
        <f t="shared" si="1"/>
        <v>129.22729691889458</v>
      </c>
      <c r="R66" s="46">
        <f t="shared" si="2"/>
        <v>4.2485686658266708</v>
      </c>
    </row>
    <row r="67" spans="1:18" x14ac:dyDescent="0.25">
      <c r="A67" s="56" t="s">
        <v>43</v>
      </c>
      <c r="B67" s="73" t="s">
        <v>458</v>
      </c>
      <c r="C67" s="61" t="s">
        <v>260</v>
      </c>
      <c r="D67" s="292">
        <v>29.664976277090837</v>
      </c>
      <c r="E67" s="292">
        <v>26.898059529533434</v>
      </c>
      <c r="F67" s="292">
        <v>28.60356886901144</v>
      </c>
      <c r="G67" s="346">
        <v>29.111592927579359</v>
      </c>
      <c r="H67" s="346">
        <v>28.199871179613723</v>
      </c>
      <c r="I67" s="346">
        <v>24.834211791601273</v>
      </c>
      <c r="J67" s="346">
        <v>23.677549872540393</v>
      </c>
      <c r="K67" s="346">
        <v>24.09939127831554</v>
      </c>
      <c r="L67" s="346">
        <v>21.958432745779319</v>
      </c>
      <c r="M67" s="346">
        <v>27.156607487911749</v>
      </c>
      <c r="N67" s="346">
        <v>34.182761655069811</v>
      </c>
      <c r="O67" s="346">
        <v>31.987371973401313</v>
      </c>
      <c r="P67" s="194">
        <f t="shared" si="9"/>
        <v>330.37439558744813</v>
      </c>
      <c r="Q67" s="46">
        <f t="shared" si="1"/>
        <v>27.531199632287343</v>
      </c>
      <c r="R67" s="46">
        <f t="shared" si="2"/>
        <v>0.90513533037657024</v>
      </c>
    </row>
    <row r="68" spans="1:18" x14ac:dyDescent="0.25">
      <c r="A68" s="56" t="s">
        <v>43</v>
      </c>
      <c r="B68" s="73" t="s">
        <v>459</v>
      </c>
      <c r="C68" s="61" t="s">
        <v>260</v>
      </c>
      <c r="D68" s="292">
        <v>545.22684181400882</v>
      </c>
      <c r="E68" s="292">
        <v>504.27647395015924</v>
      </c>
      <c r="F68" s="292">
        <v>523.43805281635844</v>
      </c>
      <c r="G68" s="346">
        <v>494.827226460796</v>
      </c>
      <c r="H68" s="346">
        <v>504.78676597327433</v>
      </c>
      <c r="I68" s="346">
        <v>498.77529914452379</v>
      </c>
      <c r="J68" s="346">
        <v>488.67741379466759</v>
      </c>
      <c r="K68" s="346">
        <v>485.23827235532656</v>
      </c>
      <c r="L68" s="346">
        <v>476.02670755050758</v>
      </c>
      <c r="M68" s="346">
        <v>472.97039852673026</v>
      </c>
      <c r="N68" s="346">
        <v>451.29228619898214</v>
      </c>
      <c r="O68" s="346">
        <v>553.13568778292858</v>
      </c>
      <c r="P68" s="194">
        <f t="shared" si="9"/>
        <v>5998.6714263682634</v>
      </c>
      <c r="Q68" s="46">
        <f t="shared" si="1"/>
        <v>499.8892855306886</v>
      </c>
      <c r="R68" s="46">
        <f t="shared" si="2"/>
        <v>16.434716236625381</v>
      </c>
    </row>
    <row r="69" spans="1:18" x14ac:dyDescent="0.25">
      <c r="A69" s="56" t="s">
        <v>43</v>
      </c>
      <c r="B69" s="73" t="s">
        <v>460</v>
      </c>
      <c r="C69" s="61" t="s">
        <v>260</v>
      </c>
      <c r="D69" s="292">
        <v>60.128276074788403</v>
      </c>
      <c r="E69" s="292">
        <v>56.440565721076652</v>
      </c>
      <c r="F69" s="292">
        <v>59.545409186163603</v>
      </c>
      <c r="G69" s="346">
        <v>52.784606871025396</v>
      </c>
      <c r="H69" s="346">
        <v>56.839727481380017</v>
      </c>
      <c r="I69" s="346">
        <v>57.06652393609783</v>
      </c>
      <c r="J69" s="346">
        <v>57.480654262412571</v>
      </c>
      <c r="K69" s="346">
        <v>70.139071586032969</v>
      </c>
      <c r="L69" s="346">
        <v>60.704339069771663</v>
      </c>
      <c r="M69" s="346">
        <v>72.39796427502246</v>
      </c>
      <c r="N69" s="346">
        <v>62.19212381272056</v>
      </c>
      <c r="O69" s="346">
        <v>75.305494824504905</v>
      </c>
      <c r="P69" s="194">
        <f t="shared" si="9"/>
        <v>741.02475710099702</v>
      </c>
      <c r="Q69" s="46">
        <f t="shared" ref="Q69:Q77" si="10">SUM(P69/12)</f>
        <v>61.752063091749754</v>
      </c>
      <c r="R69" s="46">
        <f t="shared" ref="R69:R77" si="11">SUM(P69/365)</f>
        <v>2.0302048139753341</v>
      </c>
    </row>
    <row r="70" spans="1:18" x14ac:dyDescent="0.25">
      <c r="A70" s="56" t="s">
        <v>43</v>
      </c>
      <c r="B70" s="73" t="s">
        <v>461</v>
      </c>
      <c r="C70" s="61" t="s">
        <v>260</v>
      </c>
      <c r="D70" s="292">
        <v>21.010423565058833</v>
      </c>
      <c r="E70" s="292">
        <v>25.637071241302358</v>
      </c>
      <c r="F70" s="292">
        <v>18.42040805218133</v>
      </c>
      <c r="G70" s="346">
        <v>18.760602734258057</v>
      </c>
      <c r="H70" s="346">
        <v>25.328628062886121</v>
      </c>
      <c r="I70" s="346">
        <v>12.62802659868821</v>
      </c>
      <c r="J70" s="346">
        <v>27.746278270178081</v>
      </c>
      <c r="K70" s="346">
        <v>15.059284593263239</v>
      </c>
      <c r="L70" s="346">
        <v>22.593462818989213</v>
      </c>
      <c r="M70" s="346">
        <v>21.119285863323384</v>
      </c>
      <c r="N70" s="346">
        <v>26.036233001605719</v>
      </c>
      <c r="O70" s="346">
        <v>18.987399188975878</v>
      </c>
      <c r="P70" s="194">
        <f t="shared" si="9"/>
        <v>253.32710399071041</v>
      </c>
      <c r="Q70" s="46">
        <f t="shared" si="10"/>
        <v>21.110591999225868</v>
      </c>
      <c r="R70" s="46">
        <f t="shared" si="11"/>
        <v>0.69404686024852169</v>
      </c>
    </row>
    <row r="71" spans="1:18" x14ac:dyDescent="0.25">
      <c r="A71" s="56" t="s">
        <v>43</v>
      </c>
      <c r="B71" s="73" t="s">
        <v>462</v>
      </c>
      <c r="C71" s="61" t="s">
        <v>260</v>
      </c>
      <c r="D71" s="292">
        <v>61.665956037775217</v>
      </c>
      <c r="E71" s="292">
        <v>58.508949388103169</v>
      </c>
      <c r="F71" s="292">
        <v>61.960791428908387</v>
      </c>
      <c r="G71" s="346">
        <v>58.01453311681832</v>
      </c>
      <c r="H71" s="346">
        <v>59.289129192332467</v>
      </c>
      <c r="I71" s="346">
        <v>57.20713773802288</v>
      </c>
      <c r="J71" s="346">
        <v>57.855775598515848</v>
      </c>
      <c r="K71" s="346">
        <v>47.092015857608118</v>
      </c>
      <c r="L71" s="346">
        <v>48.933603069916813</v>
      </c>
      <c r="M71" s="346">
        <v>67.140822454663393</v>
      </c>
      <c r="N71" s="346">
        <v>65.362738249675687</v>
      </c>
      <c r="O71" s="346">
        <v>74.080793969028676</v>
      </c>
      <c r="P71" s="194">
        <f t="shared" si="9"/>
        <v>717.1122461013689</v>
      </c>
      <c r="Q71" s="46">
        <f t="shared" si="10"/>
        <v>59.759353841780744</v>
      </c>
      <c r="R71" s="46">
        <f t="shared" si="11"/>
        <v>1.9646910852092299</v>
      </c>
    </row>
    <row r="72" spans="1:18" x14ac:dyDescent="0.25">
      <c r="A72" s="76" t="s">
        <v>22</v>
      </c>
      <c r="B72" s="73" t="s">
        <v>463</v>
      </c>
      <c r="C72" s="61" t="s">
        <v>260</v>
      </c>
      <c r="D72" s="292">
        <v>1064.6642051691449</v>
      </c>
      <c r="E72" s="292">
        <v>908.98204679264461</v>
      </c>
      <c r="F72" s="292">
        <v>951.13897179559297</v>
      </c>
      <c r="G72" s="346">
        <v>866.51667861127999</v>
      </c>
      <c r="H72" s="346">
        <v>913.95342508005922</v>
      </c>
      <c r="I72" s="346">
        <v>983.00840961254096</v>
      </c>
      <c r="J72" s="346">
        <v>994.31194491567715</v>
      </c>
      <c r="K72" s="346">
        <v>1013.4717094102385</v>
      </c>
      <c r="L72" s="346">
        <v>1087.7883716921738</v>
      </c>
      <c r="M72" s="346">
        <v>1232.829240413314</v>
      </c>
      <c r="N72" s="346">
        <v>1096.7876550153769</v>
      </c>
      <c r="O72" s="346">
        <v>1023.9996008382398</v>
      </c>
      <c r="P72" s="194">
        <f t="shared" si="9"/>
        <v>12137.452259346283</v>
      </c>
      <c r="Q72" s="46">
        <f t="shared" si="10"/>
        <v>1011.4543549455235</v>
      </c>
      <c r="R72" s="46">
        <f t="shared" si="11"/>
        <v>33.253293861222694</v>
      </c>
    </row>
    <row r="73" spans="1:18" x14ac:dyDescent="0.25">
      <c r="A73" s="76" t="s">
        <v>54</v>
      </c>
      <c r="B73" s="73" t="s">
        <v>464</v>
      </c>
      <c r="C73" s="61" t="s">
        <v>260</v>
      </c>
      <c r="D73" s="292">
        <v>678.1576870390362</v>
      </c>
      <c r="E73" s="292">
        <v>593.75311845125236</v>
      </c>
      <c r="F73" s="292">
        <v>602.18994656675534</v>
      </c>
      <c r="G73" s="346">
        <v>526.58508042202288</v>
      </c>
      <c r="H73" s="346">
        <v>563.67083669748081</v>
      </c>
      <c r="I73" s="346">
        <v>619.56255499814029</v>
      </c>
      <c r="J73" s="346">
        <v>627.25549074216872</v>
      </c>
      <c r="K73" s="346">
        <v>649.22753127523117</v>
      </c>
      <c r="L73" s="346">
        <v>702.67891972312691</v>
      </c>
      <c r="M73" s="346">
        <v>689.23442588745456</v>
      </c>
      <c r="N73" s="346">
        <v>649.20938755885368</v>
      </c>
      <c r="O73" s="346">
        <v>785.14211065852624</v>
      </c>
      <c r="P73" s="194">
        <f t="shared" si="9"/>
        <v>7686.6670900200497</v>
      </c>
      <c r="Q73" s="46">
        <f t="shared" si="10"/>
        <v>640.55559083500418</v>
      </c>
      <c r="R73" s="46">
        <f t="shared" si="11"/>
        <v>21.05936189046589</v>
      </c>
    </row>
    <row r="74" spans="1:18" s="94" customFormat="1" x14ac:dyDescent="0.25">
      <c r="A74" s="76" t="s">
        <v>16</v>
      </c>
      <c r="B74" s="73" t="s">
        <v>465</v>
      </c>
      <c r="C74" s="61" t="s">
        <v>260</v>
      </c>
      <c r="D74" s="292">
        <v>1430.9132639638578</v>
      </c>
      <c r="E74" s="292">
        <v>1133.9732017309107</v>
      </c>
      <c r="F74" s="292">
        <v>1132.56706371166</v>
      </c>
      <c r="G74" s="346">
        <v>1054.2859994012574</v>
      </c>
      <c r="H74" s="346">
        <v>1268.6358646841634</v>
      </c>
      <c r="I74" s="346">
        <v>1373.2479973873048</v>
      </c>
      <c r="J74" s="346">
        <v>1410.2022117190265</v>
      </c>
      <c r="K74" s="346">
        <v>1473.6507878908837</v>
      </c>
      <c r="L74" s="346">
        <v>1411.9077210585044</v>
      </c>
      <c r="M74" s="346">
        <v>1471.3102484781959</v>
      </c>
      <c r="N74" s="346">
        <v>1382.8959185710009</v>
      </c>
      <c r="O74" s="346">
        <v>1384.3292721648177</v>
      </c>
      <c r="P74" s="195">
        <f t="shared" ref="P74" si="12">SUM(D74:O74)</f>
        <v>15927.919550761582</v>
      </c>
      <c r="Q74" s="46">
        <f t="shared" ref="Q74" si="13">SUM(P74/12)</f>
        <v>1327.3266292301319</v>
      </c>
      <c r="R74" s="46">
        <f t="shared" ref="R74" si="14">SUM(P74/365)</f>
        <v>43.638135755511186</v>
      </c>
    </row>
    <row r="75" spans="1:18" x14ac:dyDescent="0.25">
      <c r="A75" s="54" t="s">
        <v>57</v>
      </c>
      <c r="B75" s="291" t="s">
        <v>397</v>
      </c>
      <c r="C75" s="61" t="s">
        <v>260</v>
      </c>
      <c r="D75" s="294">
        <v>8284.3518610917163</v>
      </c>
      <c r="E75" s="294">
        <v>8227.4845551614053</v>
      </c>
      <c r="F75" s="294">
        <v>7591.6448186082198</v>
      </c>
      <c r="G75" s="349">
        <v>6153.2232312144552</v>
      </c>
      <c r="H75" s="349">
        <v>6330.8992025836778</v>
      </c>
      <c r="I75" s="349">
        <v>6844.779599205307</v>
      </c>
      <c r="J75" s="349">
        <v>8728.8979506672331</v>
      </c>
      <c r="K75" s="349">
        <v>8816.3084794658498</v>
      </c>
      <c r="L75" s="349">
        <v>8659.6842086164397</v>
      </c>
      <c r="M75" s="349">
        <v>9278.325062822616</v>
      </c>
      <c r="N75" s="349">
        <v>9066.5398118496742</v>
      </c>
      <c r="O75" s="349">
        <v>9643.933194836296</v>
      </c>
      <c r="P75" s="195">
        <f t="shared" ref="P75:P76" si="15">SUM(D75:O75)</f>
        <v>97626.071976122897</v>
      </c>
      <c r="Q75" s="46">
        <f t="shared" ref="Q75:Q76" si="16">SUM(P75/12)</f>
        <v>8135.5059980102415</v>
      </c>
      <c r="R75" s="46">
        <f t="shared" si="11"/>
        <v>267.4686903455422</v>
      </c>
    </row>
    <row r="76" spans="1:18" x14ac:dyDescent="0.25">
      <c r="A76" s="54" t="s">
        <v>57</v>
      </c>
      <c r="B76" s="54" t="s">
        <v>149</v>
      </c>
      <c r="C76" s="61" t="s">
        <v>260</v>
      </c>
      <c r="D76" s="3"/>
      <c r="E76" s="192"/>
      <c r="F76" s="192"/>
      <c r="G76" s="192"/>
      <c r="H76" s="192"/>
      <c r="I76" s="192"/>
      <c r="J76" s="192"/>
      <c r="K76" s="192"/>
      <c r="L76" s="192"/>
      <c r="M76" s="3"/>
      <c r="N76" s="192"/>
      <c r="O76" s="192"/>
      <c r="P76" s="195">
        <f t="shared" si="15"/>
        <v>0</v>
      </c>
      <c r="Q76" s="46">
        <f t="shared" si="16"/>
        <v>0</v>
      </c>
      <c r="R76" s="46">
        <f t="shared" si="11"/>
        <v>0</v>
      </c>
    </row>
    <row r="77" spans="1:18" ht="45" x14ac:dyDescent="0.25">
      <c r="A77" s="62" t="s">
        <v>34</v>
      </c>
      <c r="B77" s="62"/>
      <c r="C77" s="62"/>
      <c r="D77" s="89">
        <f t="shared" ref="D77:O77" si="17">SUM(D7:D76)</f>
        <v>54052.850624597442</v>
      </c>
      <c r="E77" s="89">
        <f t="shared" si="17"/>
        <v>49560.77990311254</v>
      </c>
      <c r="F77" s="89">
        <f t="shared" si="17"/>
        <v>49174.306642686723</v>
      </c>
      <c r="G77" s="89">
        <f t="shared" si="17"/>
        <v>44147.216325443842</v>
      </c>
      <c r="H77" s="89">
        <f t="shared" si="17"/>
        <v>46193.59824885922</v>
      </c>
      <c r="I77" s="89">
        <f t="shared" si="17"/>
        <v>52305.113952064305</v>
      </c>
      <c r="J77" s="89">
        <f t="shared" si="17"/>
        <v>54616.98565276555</v>
      </c>
      <c r="K77" s="89">
        <f t="shared" si="17"/>
        <v>56434.766585987607</v>
      </c>
      <c r="L77" s="89">
        <f t="shared" si="17"/>
        <v>55989.687486550974</v>
      </c>
      <c r="M77" s="89">
        <f t="shared" si="17"/>
        <v>50605.772354600784</v>
      </c>
      <c r="N77" s="89">
        <f t="shared" si="17"/>
        <v>59703.439985394325</v>
      </c>
      <c r="O77" s="89">
        <f t="shared" si="17"/>
        <v>60920.385916393767</v>
      </c>
      <c r="P77" s="196">
        <f>SUM(P7:P76)</f>
        <v>633472.954408288</v>
      </c>
      <c r="Q77" s="8">
        <f t="shared" si="10"/>
        <v>52789.412867357336</v>
      </c>
      <c r="R77" s="46">
        <f t="shared" si="11"/>
        <v>1735.5423408446247</v>
      </c>
    </row>
    <row r="79" spans="1:18" x14ac:dyDescent="0.25">
      <c r="A79" s="15" t="s">
        <v>402</v>
      </c>
    </row>
    <row r="80" spans="1:18" x14ac:dyDescent="0.25">
      <c r="A80" s="345" t="s">
        <v>396</v>
      </c>
      <c r="B80" s="3" t="s">
        <v>399</v>
      </c>
      <c r="C80" s="61" t="s">
        <v>260</v>
      </c>
      <c r="D80" s="37">
        <v>50.04</v>
      </c>
      <c r="E80" s="3">
        <v>42.52</v>
      </c>
      <c r="F80" s="3">
        <v>45.28</v>
      </c>
      <c r="G80" s="3">
        <v>48.9</v>
      </c>
      <c r="H80" s="3">
        <v>54.21</v>
      </c>
      <c r="I80" s="3">
        <v>53.8</v>
      </c>
      <c r="J80" s="3">
        <v>55.71</v>
      </c>
      <c r="K80" s="3">
        <v>52.8</v>
      </c>
      <c r="L80" s="3">
        <v>59.6</v>
      </c>
      <c r="M80" s="3">
        <v>51.23</v>
      </c>
      <c r="N80" s="3">
        <v>55.41</v>
      </c>
      <c r="O80" s="3">
        <v>56.9</v>
      </c>
      <c r="P80" s="195">
        <f>SUM(D80:O80)</f>
        <v>626.4</v>
      </c>
      <c r="Q80" s="46">
        <f>SUM(P80/12)</f>
        <v>52.199999999999996</v>
      </c>
      <c r="R80" s="46">
        <f>SUM(P80/365)</f>
        <v>1.7161643835616438</v>
      </c>
    </row>
    <row r="81" spans="1:18" x14ac:dyDescent="0.25">
      <c r="A81" s="345" t="s">
        <v>396</v>
      </c>
      <c r="B81" s="3" t="s">
        <v>400</v>
      </c>
      <c r="C81" s="61" t="s">
        <v>260</v>
      </c>
      <c r="D81" s="37">
        <v>33.36</v>
      </c>
      <c r="E81" s="3">
        <v>28.35</v>
      </c>
      <c r="F81" s="3">
        <v>30.19</v>
      </c>
      <c r="G81" s="3">
        <v>32.6</v>
      </c>
      <c r="H81" s="3">
        <v>36.14</v>
      </c>
      <c r="I81" s="3">
        <v>35.86</v>
      </c>
      <c r="J81" s="3">
        <v>37.130000000000003</v>
      </c>
      <c r="K81" s="3">
        <v>35.200000000000003</v>
      </c>
      <c r="L81" s="3">
        <v>39.729999999999997</v>
      </c>
      <c r="M81" s="3">
        <v>34.14</v>
      </c>
      <c r="N81" s="3">
        <v>36.94</v>
      </c>
      <c r="O81" s="3">
        <v>37.94</v>
      </c>
      <c r="P81" s="195">
        <f>SUM(D81:O81)</f>
        <v>417.58</v>
      </c>
      <c r="Q81" s="46">
        <f>SUM(P81/12)</f>
        <v>34.798333333333332</v>
      </c>
      <c r="R81" s="46">
        <f>SUM(P81/365)</f>
        <v>1.1440547945205479</v>
      </c>
    </row>
    <row r="82" spans="1:18" x14ac:dyDescent="0.25">
      <c r="A82" s="345" t="s">
        <v>396</v>
      </c>
      <c r="B82" s="3" t="s">
        <v>401</v>
      </c>
      <c r="C82" s="61" t="s">
        <v>260</v>
      </c>
      <c r="D82" s="37">
        <v>27.8</v>
      </c>
      <c r="E82" s="3">
        <v>23.63</v>
      </c>
      <c r="F82" s="3">
        <v>25.16</v>
      </c>
      <c r="G82" s="3">
        <v>27.17</v>
      </c>
      <c r="H82" s="3">
        <v>30.12</v>
      </c>
      <c r="I82" s="3">
        <v>29.89</v>
      </c>
      <c r="J82" s="3">
        <v>30.95</v>
      </c>
      <c r="K82" s="3">
        <v>29.34</v>
      </c>
      <c r="L82" s="3">
        <v>33.1</v>
      </c>
      <c r="M82" s="3">
        <v>28.45</v>
      </c>
      <c r="N82" s="3">
        <v>30.78</v>
      </c>
      <c r="O82" s="3">
        <v>31.61</v>
      </c>
      <c r="P82" s="195">
        <f>SUM(D82:O82)</f>
        <v>348</v>
      </c>
      <c r="Q82" s="46">
        <f>SUM(P82/12)</f>
        <v>29</v>
      </c>
      <c r="R82" s="46">
        <f>SUM(P82/365)</f>
        <v>0.95342465753424654</v>
      </c>
    </row>
  </sheetData>
  <mergeCells count="9">
    <mergeCell ref="A1:S1"/>
    <mergeCell ref="A2:S2"/>
    <mergeCell ref="R5:R6"/>
    <mergeCell ref="A3:Q3"/>
    <mergeCell ref="A5:A6"/>
    <mergeCell ref="B5:B6"/>
    <mergeCell ref="D5:O5"/>
    <mergeCell ref="P5:P6"/>
    <mergeCell ref="Q5:Q6"/>
  </mergeCells>
  <pageMargins left="0.23622047244094491" right="0.23622047244094491" top="0.74803149606299213" bottom="0.74803149606299213" header="0.31496062992125984" footer="0.31496062992125984"/>
  <pageSetup paperSize="12" scale="53" fitToHeight="0" orientation="portrait" r:id="rId1"/>
  <headerFooter>
    <oddFooter>&amp;C&amp;P&amp;R&amp;A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sqref="A1:XFD2"/>
    </sheetView>
  </sheetViews>
  <sheetFormatPr baseColWidth="10" defaultRowHeight="15" x14ac:dyDescent="0.25"/>
  <cols>
    <col min="1" max="1" width="16.140625" customWidth="1"/>
    <col min="2" max="2" width="14.7109375" customWidth="1"/>
    <col min="3" max="3" width="16" style="94" customWidth="1"/>
  </cols>
  <sheetData>
    <row r="1" spans="1:19" s="94" customFormat="1" x14ac:dyDescent="0.25">
      <c r="A1" s="351" t="s">
        <v>466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s="94" customFormat="1" x14ac:dyDescent="0.25">
      <c r="A2" s="351" t="s">
        <v>467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s="94" customFormat="1" ht="20.25" x14ac:dyDescent="0.3">
      <c r="A3" s="384" t="s">
        <v>302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</row>
    <row r="4" spans="1:19" s="94" customFormat="1" ht="15.75" thickBot="1" x14ac:dyDescent="0.3"/>
    <row r="5" spans="1:19" ht="15.75" thickBot="1" x14ac:dyDescent="0.3">
      <c r="A5" s="391" t="s">
        <v>1</v>
      </c>
      <c r="B5" s="393" t="s">
        <v>2</v>
      </c>
      <c r="C5" s="159"/>
      <c r="D5" s="395" t="s">
        <v>320</v>
      </c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7"/>
      <c r="P5" s="398" t="s">
        <v>3</v>
      </c>
      <c r="Q5" s="388" t="s">
        <v>66</v>
      </c>
      <c r="R5" s="388" t="s">
        <v>119</v>
      </c>
    </row>
    <row r="6" spans="1:19" x14ac:dyDescent="0.25">
      <c r="A6" s="392"/>
      <c r="B6" s="394"/>
      <c r="C6" s="160"/>
      <c r="D6" s="97" t="s">
        <v>4</v>
      </c>
      <c r="E6" s="97" t="s">
        <v>5</v>
      </c>
      <c r="F6" s="97" t="s">
        <v>6</v>
      </c>
      <c r="G6" s="97" t="s">
        <v>7</v>
      </c>
      <c r="H6" s="97" t="s">
        <v>8</v>
      </c>
      <c r="I6" s="97" t="s">
        <v>9</v>
      </c>
      <c r="J6" s="97" t="s">
        <v>10</v>
      </c>
      <c r="K6" s="97" t="s">
        <v>11</v>
      </c>
      <c r="L6" s="97" t="s">
        <v>12</v>
      </c>
      <c r="M6" s="97" t="s">
        <v>13</v>
      </c>
      <c r="N6" s="97" t="s">
        <v>14</v>
      </c>
      <c r="O6" s="97" t="s">
        <v>15</v>
      </c>
      <c r="P6" s="399"/>
      <c r="Q6" s="389"/>
      <c r="R6" s="389"/>
    </row>
    <row r="7" spans="1:19" ht="15" customHeight="1" x14ac:dyDescent="0.25">
      <c r="A7" s="98" t="s">
        <v>58</v>
      </c>
      <c r="B7" s="98" t="s">
        <v>125</v>
      </c>
      <c r="C7" s="98" t="s">
        <v>297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">
        <f>SUM(D7:O7)</f>
        <v>0</v>
      </c>
      <c r="Q7" s="96">
        <f>SUM(P7/12)</f>
        <v>0</v>
      </c>
      <c r="R7" s="59">
        <f>SUM(P7/365)</f>
        <v>0</v>
      </c>
    </row>
    <row r="8" spans="1:19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100" t="s">
        <v>157</v>
      </c>
      <c r="Q8" s="94"/>
      <c r="R8" s="94"/>
    </row>
    <row r="9" spans="1:19" x14ac:dyDescent="0.25">
      <c r="A9" s="390" t="s">
        <v>61</v>
      </c>
      <c r="B9" s="390"/>
      <c r="C9" s="155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9">
        <f>SUM(D9:O9)</f>
        <v>0</v>
      </c>
      <c r="Q9" s="94"/>
      <c r="R9" s="94"/>
    </row>
    <row r="10" spans="1:19" x14ac:dyDescent="0.25">
      <c r="A10" s="101"/>
      <c r="B10" s="3"/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5"/>
      <c r="Q10" s="93"/>
      <c r="R10" s="93"/>
    </row>
    <row r="11" spans="1:19" x14ac:dyDescent="0.25">
      <c r="A11" s="94"/>
      <c r="B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19" x14ac:dyDescent="0.25">
      <c r="A12" s="95"/>
      <c r="B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</sheetData>
  <mergeCells count="10">
    <mergeCell ref="A9:B9"/>
    <mergeCell ref="A5:A6"/>
    <mergeCell ref="B5:B6"/>
    <mergeCell ref="D5:O5"/>
    <mergeCell ref="P5:P6"/>
    <mergeCell ref="A1:S1"/>
    <mergeCell ref="A2:S2"/>
    <mergeCell ref="A3:Q3"/>
    <mergeCell ref="Q5:Q6"/>
    <mergeCell ref="R5:R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CONSOLIDADO RELLENOS (2)</vt:lpstr>
      <vt:lpstr>Sn Fco. Menendez</vt:lpstr>
      <vt:lpstr>Atiquizaya</vt:lpstr>
      <vt:lpstr>SANTA ANA</vt:lpstr>
      <vt:lpstr>LA LIBERTAD</vt:lpstr>
      <vt:lpstr>Ishuatan</vt:lpstr>
      <vt:lpstr>SONSONATE-KALI</vt:lpstr>
      <vt:lpstr>MIDES</vt:lpstr>
      <vt:lpstr>Meanguera</vt:lpstr>
      <vt:lpstr>Perquin</vt:lpstr>
      <vt:lpstr>CORINTO</vt:lpstr>
      <vt:lpstr>SOCINUS</vt:lpstr>
      <vt:lpstr>San Miguel</vt:lpstr>
      <vt:lpstr>SANTA ROSA DE LIMA (ASINORLU)</vt:lpstr>
      <vt:lpstr>Suchitoto</vt:lpstr>
      <vt:lpstr>CINQUERA</vt:lpstr>
      <vt:lpstr>CHALATENANGO</vt:lpstr>
      <vt:lpstr>AMUCHADES</vt:lpstr>
      <vt:lpstr>'LA LIBERTAD'!Área_de_impresión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</dc:creator>
  <cp:lastModifiedBy>Sonia del Carmen Miranda de Aguilar</cp:lastModifiedBy>
  <cp:lastPrinted>2021-09-06T19:29:17Z</cp:lastPrinted>
  <dcterms:created xsi:type="dcterms:W3CDTF">2014-01-27T15:03:26Z</dcterms:created>
  <dcterms:modified xsi:type="dcterms:W3CDTF">2021-11-25T15:13:38Z</dcterms:modified>
</cp:coreProperties>
</file>