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RESOLUCIONES NOVIEMBRE 2021\ANEXOS RESPUESTA SOLICITUD 2021-00297\"/>
    </mc:Choice>
  </mc:AlternateContent>
  <bookViews>
    <workbookView xWindow="-120" yWindow="-120" windowWidth="20730" windowHeight="11160" tabRatio="832" activeTab="17"/>
  </bookViews>
  <sheets>
    <sheet name="Sn Fco. Menendez" sheetId="1" r:id="rId1"/>
    <sheet name="Atiquizaya" sheetId="2" r:id="rId2"/>
    <sheet name="SANTA ANA" sheetId="22" r:id="rId3"/>
    <sheet name="LA LIBERTAD" sheetId="31" r:id="rId4"/>
    <sheet name="Ishuatan" sheetId="3" r:id="rId5"/>
    <sheet name="SONSONATE-KALI" sheetId="4" r:id="rId6"/>
    <sheet name="MIDES" sheetId="6" r:id="rId7"/>
    <sheet name="Meanguera" sheetId="8" r:id="rId8"/>
    <sheet name="Perquin" sheetId="9" r:id="rId9"/>
    <sheet name="CORINTO" sheetId="20" r:id="rId10"/>
    <sheet name="SOCINUS" sheetId="10" r:id="rId11"/>
    <sheet name="San Miguel" sheetId="11" r:id="rId12"/>
    <sheet name="SANTA ROSA DE LIMA (ASINORLU)" sheetId="12" r:id="rId13"/>
    <sheet name="Suchitoto" sheetId="18" r:id="rId14"/>
    <sheet name="CINQUERA" sheetId="23" r:id="rId15"/>
    <sheet name="CHALATENANGO" sheetId="24" r:id="rId16"/>
    <sheet name="AMUCHADES" sheetId="30" r:id="rId17"/>
    <sheet name="DESECHOS RELLENOS" sheetId="21" r:id="rId18"/>
    <sheet name="Hoja1" sheetId="32" r:id="rId19"/>
  </sheets>
  <definedNames>
    <definedName name="ALCALDIAS">#REF!</definedName>
    <definedName name="_xlnm.Print_Area" localSheetId="3">'LA LIBERTAD'!$A$3:$P$57</definedName>
    <definedName name="DEPARTAMENTO">#REF!</definedName>
    <definedName name="DESECHOS_DIARIOS">#REF!</definedName>
    <definedName name="DESECHOS_MENSUALES">#REF!</definedName>
    <definedName name="MUNICIPIO">#REF!</definedName>
    <definedName name="MUNICIPIO_EMPRESA">#REF!</definedName>
    <definedName name="PROMEDIO_DIA__ton">#REF!</definedName>
    <definedName name="PROMEDIO_MENSUAL__ton">#REF!</definedName>
    <definedName name="RELLENO">#REF!</definedName>
    <definedName name="SITIO_DE_DISPOSICION">#REF!</definedName>
    <definedName name="TOTAL_AÑO">#REF!</definedName>
    <definedName name="TOTAL_DEPOSITADO__ton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1" l="1"/>
  <c r="R19" i="22" l="1"/>
  <c r="Q19" i="22"/>
  <c r="O72" i="31" l="1"/>
  <c r="N72" i="31"/>
  <c r="M72" i="31"/>
  <c r="L72" i="31"/>
  <c r="K72" i="31"/>
  <c r="J72" i="31"/>
  <c r="I72" i="31"/>
  <c r="H72" i="31"/>
  <c r="G72" i="31"/>
  <c r="F72" i="31"/>
  <c r="E72" i="31"/>
  <c r="D72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D74" i="31" l="1"/>
  <c r="F74" i="31"/>
  <c r="H74" i="31"/>
  <c r="J74" i="31"/>
  <c r="L74" i="31"/>
  <c r="N74" i="31"/>
  <c r="E74" i="31"/>
  <c r="G74" i="31"/>
  <c r="I74" i="31"/>
  <c r="K74" i="31"/>
  <c r="M74" i="31"/>
  <c r="O74" i="31"/>
  <c r="P10" i="11"/>
  <c r="R10" i="11" s="1"/>
  <c r="P9" i="11"/>
  <c r="Q9" i="11" s="1"/>
  <c r="P42" i="4"/>
  <c r="Q42" i="4" s="1"/>
  <c r="Q43" i="4" s="1"/>
  <c r="D40" i="4"/>
  <c r="E40" i="4"/>
  <c r="F40" i="4"/>
  <c r="G40" i="4"/>
  <c r="H40" i="4"/>
  <c r="I40" i="4"/>
  <c r="J40" i="4"/>
  <c r="K40" i="4"/>
  <c r="L40" i="4"/>
  <c r="M40" i="4"/>
  <c r="N40" i="4"/>
  <c r="O40" i="4"/>
  <c r="O20" i="22"/>
  <c r="N20" i="22"/>
  <c r="M20" i="22"/>
  <c r="L20" i="22"/>
  <c r="K20" i="22"/>
  <c r="J20" i="22"/>
  <c r="I20" i="22"/>
  <c r="H20" i="22"/>
  <c r="G20" i="22"/>
  <c r="F20" i="22"/>
  <c r="E20" i="22"/>
  <c r="D20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O9" i="22"/>
  <c r="N9" i="22"/>
  <c r="M9" i="22"/>
  <c r="L9" i="22"/>
  <c r="K9" i="22"/>
  <c r="J9" i="22"/>
  <c r="I9" i="22"/>
  <c r="H9" i="22"/>
  <c r="G9" i="22"/>
  <c r="F9" i="22"/>
  <c r="E9" i="22"/>
  <c r="D9" i="22"/>
  <c r="O8" i="22"/>
  <c r="N8" i="22"/>
  <c r="M8" i="22"/>
  <c r="L8" i="22"/>
  <c r="K8" i="22"/>
  <c r="J8" i="22"/>
  <c r="I8" i="22"/>
  <c r="H8" i="22"/>
  <c r="G8" i="22"/>
  <c r="F8" i="22"/>
  <c r="E8" i="22"/>
  <c r="D8" i="22"/>
  <c r="O7" i="22"/>
  <c r="N7" i="22"/>
  <c r="M7" i="22"/>
  <c r="L7" i="22"/>
  <c r="K7" i="22"/>
  <c r="J7" i="22"/>
  <c r="I7" i="22"/>
  <c r="H7" i="22"/>
  <c r="G7" i="22"/>
  <c r="F7" i="22"/>
  <c r="E7" i="22"/>
  <c r="D7" i="22"/>
  <c r="O6" i="22"/>
  <c r="N6" i="22"/>
  <c r="M6" i="22"/>
  <c r="L6" i="22"/>
  <c r="K6" i="22"/>
  <c r="J6" i="22"/>
  <c r="I6" i="22"/>
  <c r="H6" i="22"/>
  <c r="G6" i="22"/>
  <c r="F6" i="22"/>
  <c r="E6" i="22"/>
  <c r="D6" i="22"/>
  <c r="E12" i="2"/>
  <c r="F12" i="2"/>
  <c r="G12" i="2"/>
  <c r="H12" i="2"/>
  <c r="I12" i="2"/>
  <c r="J12" i="2"/>
  <c r="K12" i="2"/>
  <c r="L12" i="2"/>
  <c r="M12" i="2"/>
  <c r="N12" i="2"/>
  <c r="O12" i="2"/>
  <c r="D12" i="2"/>
  <c r="E9" i="20"/>
  <c r="F9" i="20"/>
  <c r="G9" i="20"/>
  <c r="H9" i="20"/>
  <c r="I9" i="20"/>
  <c r="J9" i="20"/>
  <c r="K9" i="20"/>
  <c r="L9" i="20"/>
  <c r="M9" i="20"/>
  <c r="N9" i="20"/>
  <c r="O9" i="20"/>
  <c r="D9" i="20"/>
  <c r="P8" i="9"/>
  <c r="Q8" i="9" s="1"/>
  <c r="E9" i="9"/>
  <c r="F9" i="9"/>
  <c r="G9" i="9"/>
  <c r="H9" i="9"/>
  <c r="I9" i="9"/>
  <c r="J9" i="9"/>
  <c r="K9" i="9"/>
  <c r="L9" i="9"/>
  <c r="M9" i="9"/>
  <c r="N9" i="9"/>
  <c r="O9" i="9"/>
  <c r="D9" i="9"/>
  <c r="P6" i="22" l="1"/>
  <c r="P7" i="22"/>
  <c r="R42" i="4"/>
  <c r="R43" i="4" s="1"/>
  <c r="Q10" i="11"/>
  <c r="R8" i="9"/>
  <c r="R9" i="11"/>
  <c r="P43" i="4"/>
  <c r="P42" i="6"/>
  <c r="R42" i="6" s="1"/>
  <c r="P41" i="6"/>
  <c r="Q41" i="6" s="1"/>
  <c r="P43" i="6"/>
  <c r="Q43" i="6" s="1"/>
  <c r="P44" i="6"/>
  <c r="Q44" i="6" s="1"/>
  <c r="P45" i="6"/>
  <c r="Q45" i="6" s="1"/>
  <c r="P46" i="6"/>
  <c r="Q46" i="6" s="1"/>
  <c r="P47" i="6"/>
  <c r="Q47" i="6" s="1"/>
  <c r="R41" i="6" l="1"/>
  <c r="R45" i="6"/>
  <c r="R44" i="6"/>
  <c r="R46" i="6"/>
  <c r="Q42" i="6"/>
  <c r="R47" i="6"/>
  <c r="R43" i="6"/>
  <c r="P33" i="6"/>
  <c r="Q33" i="6" s="1"/>
  <c r="R33" i="6" l="1"/>
  <c r="N12" i="18"/>
  <c r="M12" i="18"/>
  <c r="L12" i="18"/>
  <c r="K12" i="18"/>
  <c r="J12" i="18"/>
  <c r="I12" i="18"/>
  <c r="H12" i="18"/>
  <c r="G12" i="18"/>
  <c r="F12" i="18"/>
  <c r="E12" i="18"/>
  <c r="D12" i="18"/>
  <c r="C12" i="18"/>
  <c r="O11" i="18"/>
  <c r="P11" i="18" s="1"/>
  <c r="Q11" i="18" s="1"/>
  <c r="N9" i="18"/>
  <c r="M9" i="18"/>
  <c r="L9" i="18"/>
  <c r="K9" i="18"/>
  <c r="J9" i="18"/>
  <c r="I9" i="18"/>
  <c r="H9" i="18"/>
  <c r="G9" i="18"/>
  <c r="F9" i="18"/>
  <c r="E9" i="18"/>
  <c r="D9" i="18"/>
  <c r="C9" i="18"/>
  <c r="O8" i="18"/>
  <c r="O7" i="18"/>
  <c r="P7" i="18" s="1"/>
  <c r="Q7" i="18" s="1"/>
  <c r="O12" i="18" l="1"/>
  <c r="O9" i="18"/>
  <c r="O14" i="18" s="1"/>
  <c r="P14" i="18" s="1"/>
  <c r="P87" i="6"/>
  <c r="Q87" i="6" s="1"/>
  <c r="R87" i="6" l="1"/>
  <c r="Q14" i="18"/>
  <c r="C18" i="21" s="1"/>
  <c r="B18" i="21"/>
  <c r="R13" i="24"/>
  <c r="D20" i="21" s="1"/>
  <c r="Q13" i="24"/>
  <c r="C20" i="21" s="1"/>
  <c r="P13" i="24"/>
  <c r="O13" i="24"/>
  <c r="N13" i="24"/>
  <c r="M13" i="24"/>
  <c r="L13" i="24"/>
  <c r="K13" i="24"/>
  <c r="J13" i="24"/>
  <c r="I13" i="24"/>
  <c r="H13" i="24"/>
  <c r="G13" i="24"/>
  <c r="S12" i="24"/>
  <c r="T12" i="24" s="1"/>
  <c r="S11" i="24"/>
  <c r="U11" i="24" s="1"/>
  <c r="S10" i="24"/>
  <c r="T10" i="24" s="1"/>
  <c r="S9" i="24"/>
  <c r="U9" i="24" s="1"/>
  <c r="S8" i="24"/>
  <c r="T8" i="24" s="1"/>
  <c r="S7" i="24"/>
  <c r="U7" i="24" s="1"/>
  <c r="P18" i="23"/>
  <c r="Q18" i="23" s="1"/>
  <c r="P17" i="23"/>
  <c r="R17" i="23" s="1"/>
  <c r="P16" i="23"/>
  <c r="R12" i="23"/>
  <c r="P10" i="23"/>
  <c r="R10" i="23" s="1"/>
  <c r="P9" i="23"/>
  <c r="R9" i="23" s="1"/>
  <c r="P8" i="23"/>
  <c r="R8" i="23" s="1"/>
  <c r="O83" i="10"/>
  <c r="N83" i="10"/>
  <c r="M83" i="10"/>
  <c r="L83" i="10"/>
  <c r="K83" i="10"/>
  <c r="J83" i="10"/>
  <c r="I83" i="10"/>
  <c r="H83" i="10"/>
  <c r="G83" i="10"/>
  <c r="F83" i="10"/>
  <c r="E83" i="10"/>
  <c r="D83" i="10"/>
  <c r="P82" i="10"/>
  <c r="R82" i="10" s="1"/>
  <c r="P81" i="10"/>
  <c r="Q81" i="10" s="1"/>
  <c r="P80" i="10"/>
  <c r="R80" i="10" s="1"/>
  <c r="P79" i="10"/>
  <c r="Q79" i="10" s="1"/>
  <c r="P78" i="10"/>
  <c r="R78" i="10" s="1"/>
  <c r="P77" i="10"/>
  <c r="Q77" i="10" s="1"/>
  <c r="P76" i="10"/>
  <c r="R76" i="10" s="1"/>
  <c r="P75" i="10"/>
  <c r="Q75" i="10" s="1"/>
  <c r="P74" i="10"/>
  <c r="R74" i="10" s="1"/>
  <c r="P73" i="10"/>
  <c r="Q73" i="10" s="1"/>
  <c r="P72" i="10"/>
  <c r="R72" i="10" s="1"/>
  <c r="P71" i="10"/>
  <c r="Q71" i="10" s="1"/>
  <c r="P70" i="10"/>
  <c r="R70" i="10" s="1"/>
  <c r="P69" i="10"/>
  <c r="Q69" i="10" s="1"/>
  <c r="P68" i="10"/>
  <c r="R68" i="10" s="1"/>
  <c r="P67" i="10"/>
  <c r="Q67" i="10" s="1"/>
  <c r="P66" i="10"/>
  <c r="R66" i="10" s="1"/>
  <c r="P65" i="10"/>
  <c r="Q65" i="10" s="1"/>
  <c r="P64" i="10"/>
  <c r="R64" i="10" s="1"/>
  <c r="O63" i="10"/>
  <c r="O85" i="10" s="1"/>
  <c r="N63" i="10"/>
  <c r="M63" i="10"/>
  <c r="L63" i="10"/>
  <c r="K63" i="10"/>
  <c r="K85" i="10" s="1"/>
  <c r="J63" i="10"/>
  <c r="I63" i="10"/>
  <c r="H63" i="10"/>
  <c r="G63" i="10"/>
  <c r="G85" i="10" s="1"/>
  <c r="F63" i="10"/>
  <c r="E63" i="10"/>
  <c r="D63" i="10"/>
  <c r="P62" i="10"/>
  <c r="R62" i="10" s="1"/>
  <c r="P61" i="10"/>
  <c r="Q61" i="10" s="1"/>
  <c r="P60" i="10"/>
  <c r="R60" i="10" s="1"/>
  <c r="P59" i="10"/>
  <c r="Q59" i="10" s="1"/>
  <c r="P58" i="10"/>
  <c r="R58" i="10" s="1"/>
  <c r="P57" i="10"/>
  <c r="Q57" i="10" s="1"/>
  <c r="P56" i="10"/>
  <c r="R56" i="10" s="1"/>
  <c r="P55" i="10"/>
  <c r="Q55" i="10" s="1"/>
  <c r="P54" i="10"/>
  <c r="R54" i="10" s="1"/>
  <c r="P53" i="10"/>
  <c r="Q53" i="10" s="1"/>
  <c r="P52" i="10"/>
  <c r="R52" i="10" s="1"/>
  <c r="P51" i="10"/>
  <c r="Q51" i="10" s="1"/>
  <c r="P50" i="10"/>
  <c r="R50" i="10" s="1"/>
  <c r="P49" i="10"/>
  <c r="Q49" i="10" s="1"/>
  <c r="P48" i="10"/>
  <c r="R48" i="10" s="1"/>
  <c r="P47" i="10"/>
  <c r="Q47" i="10" s="1"/>
  <c r="P46" i="10"/>
  <c r="R46" i="10" s="1"/>
  <c r="P45" i="10"/>
  <c r="Q45" i="10" s="1"/>
  <c r="P44" i="10"/>
  <c r="R44" i="10" s="1"/>
  <c r="P43" i="10"/>
  <c r="Q43" i="10" s="1"/>
  <c r="P42" i="10"/>
  <c r="R42" i="10" s="1"/>
  <c r="P41" i="10"/>
  <c r="Q41" i="10" s="1"/>
  <c r="P40" i="10"/>
  <c r="R40" i="10" s="1"/>
  <c r="P39" i="10"/>
  <c r="Q39" i="10" s="1"/>
  <c r="P38" i="10"/>
  <c r="R38" i="10" s="1"/>
  <c r="P37" i="10"/>
  <c r="Q37" i="10" s="1"/>
  <c r="P36" i="10"/>
  <c r="R36" i="10" s="1"/>
  <c r="P35" i="10"/>
  <c r="Q35" i="10" s="1"/>
  <c r="P34" i="10"/>
  <c r="R34" i="10" s="1"/>
  <c r="P33" i="10"/>
  <c r="Q33" i="10" s="1"/>
  <c r="P32" i="10"/>
  <c r="R32" i="10" s="1"/>
  <c r="P31" i="10"/>
  <c r="Q31" i="10" s="1"/>
  <c r="P30" i="10"/>
  <c r="R30" i="10" s="1"/>
  <c r="P29" i="10"/>
  <c r="Q29" i="10" s="1"/>
  <c r="P28" i="10"/>
  <c r="R28" i="10" s="1"/>
  <c r="P27" i="10"/>
  <c r="Q27" i="10" s="1"/>
  <c r="P26" i="10"/>
  <c r="R26" i="10" s="1"/>
  <c r="P25" i="10"/>
  <c r="Q25" i="10" s="1"/>
  <c r="P24" i="10"/>
  <c r="R24" i="10" s="1"/>
  <c r="P23" i="10"/>
  <c r="Q23" i="10" s="1"/>
  <c r="P22" i="10"/>
  <c r="R22" i="10" s="1"/>
  <c r="P21" i="10"/>
  <c r="Q21" i="10" s="1"/>
  <c r="P20" i="10"/>
  <c r="R20" i="10" s="1"/>
  <c r="P19" i="10"/>
  <c r="Q19" i="10" s="1"/>
  <c r="P18" i="10"/>
  <c r="R18" i="10" s="1"/>
  <c r="P17" i="10"/>
  <c r="Q17" i="10" s="1"/>
  <c r="P16" i="10"/>
  <c r="R16" i="10" s="1"/>
  <c r="P15" i="10"/>
  <c r="Q15" i="10" s="1"/>
  <c r="P14" i="10"/>
  <c r="R14" i="10" s="1"/>
  <c r="P13" i="10"/>
  <c r="Q13" i="10" s="1"/>
  <c r="P12" i="10"/>
  <c r="R12" i="10" s="1"/>
  <c r="P11" i="10"/>
  <c r="Q11" i="10" s="1"/>
  <c r="P10" i="10"/>
  <c r="R10" i="10" s="1"/>
  <c r="P9" i="10"/>
  <c r="Q9" i="10" s="1"/>
  <c r="P8" i="10"/>
  <c r="R8" i="10" s="1"/>
  <c r="P18" i="12"/>
  <c r="Q18" i="12" s="1"/>
  <c r="P15" i="4"/>
  <c r="R15" i="4" s="1"/>
  <c r="P39" i="4"/>
  <c r="Q39" i="4" s="1"/>
  <c r="P38" i="4"/>
  <c r="R38" i="4" s="1"/>
  <c r="P37" i="4"/>
  <c r="Q37" i="4" s="1"/>
  <c r="P36" i="4"/>
  <c r="R36" i="4" s="1"/>
  <c r="P35" i="4"/>
  <c r="Q35" i="4" s="1"/>
  <c r="P34" i="4"/>
  <c r="R34" i="4" s="1"/>
  <c r="P33" i="4"/>
  <c r="Q33" i="4" s="1"/>
  <c r="P32" i="4"/>
  <c r="R32" i="4" s="1"/>
  <c r="P31" i="4"/>
  <c r="Q31" i="4" s="1"/>
  <c r="P30" i="4"/>
  <c r="R30" i="4" s="1"/>
  <c r="P29" i="4"/>
  <c r="R29" i="4" s="1"/>
  <c r="P28" i="4"/>
  <c r="R28" i="4" s="1"/>
  <c r="P19" i="23" l="1"/>
  <c r="Q36" i="10"/>
  <c r="F85" i="10"/>
  <c r="J85" i="10"/>
  <c r="N85" i="10"/>
  <c r="Q48" i="10"/>
  <c r="Q52" i="10"/>
  <c r="E85" i="10"/>
  <c r="I85" i="10"/>
  <c r="M85" i="10"/>
  <c r="Q20" i="10"/>
  <c r="Q40" i="10"/>
  <c r="Q56" i="10"/>
  <c r="D85" i="10"/>
  <c r="H85" i="10"/>
  <c r="L85" i="10"/>
  <c r="S13" i="24"/>
  <c r="B20" i="21" s="1"/>
  <c r="Q24" i="10"/>
  <c r="R18" i="12"/>
  <c r="Q12" i="10"/>
  <c r="Q28" i="10"/>
  <c r="Q44" i="10"/>
  <c r="Q60" i="10"/>
  <c r="Q8" i="10"/>
  <c r="Q16" i="10"/>
  <c r="Q32" i="10"/>
  <c r="Q10" i="10"/>
  <c r="Q14" i="10"/>
  <c r="Q18" i="10"/>
  <c r="Q22" i="10"/>
  <c r="Q26" i="10"/>
  <c r="Q30" i="10"/>
  <c r="Q34" i="10"/>
  <c r="Q38" i="10"/>
  <c r="Q42" i="10"/>
  <c r="Q46" i="10"/>
  <c r="Q50" i="10"/>
  <c r="Q54" i="10"/>
  <c r="Q58" i="10"/>
  <c r="Q62" i="10"/>
  <c r="Q64" i="10"/>
  <c r="Q68" i="10"/>
  <c r="Q72" i="10"/>
  <c r="Q76" i="10"/>
  <c r="Q80" i="10"/>
  <c r="Q9" i="23"/>
  <c r="T9" i="24"/>
  <c r="Q66" i="10"/>
  <c r="Q70" i="10"/>
  <c r="Q74" i="10"/>
  <c r="Q78" i="10"/>
  <c r="Q82" i="10"/>
  <c r="T7" i="24"/>
  <c r="T11" i="24"/>
  <c r="Q29" i="4"/>
  <c r="Q30" i="4"/>
  <c r="U13" i="24"/>
  <c r="U8" i="24"/>
  <c r="U10" i="24"/>
  <c r="U12" i="24"/>
  <c r="R19" i="23"/>
  <c r="Q19" i="23"/>
  <c r="Q8" i="23"/>
  <c r="Q10" i="23"/>
  <c r="P11" i="23"/>
  <c r="P21" i="23" s="1"/>
  <c r="R16" i="23"/>
  <c r="Q17" i="23"/>
  <c r="R18" i="23"/>
  <c r="Q16" i="23"/>
  <c r="P63" i="10"/>
  <c r="P83" i="10"/>
  <c r="R9" i="10"/>
  <c r="R11" i="10"/>
  <c r="R13" i="10"/>
  <c r="R15" i="10"/>
  <c r="R17" i="10"/>
  <c r="R19" i="10"/>
  <c r="R21" i="10"/>
  <c r="R23" i="10"/>
  <c r="R25" i="10"/>
  <c r="R27" i="10"/>
  <c r="R29" i="10"/>
  <c r="R31" i="10"/>
  <c r="R33" i="10"/>
  <c r="R35" i="10"/>
  <c r="R37" i="10"/>
  <c r="R39" i="10"/>
  <c r="R41" i="10"/>
  <c r="R43" i="10"/>
  <c r="R45" i="10"/>
  <c r="R47" i="10"/>
  <c r="R49" i="10"/>
  <c r="R51" i="10"/>
  <c r="R53" i="10"/>
  <c r="R55" i="10"/>
  <c r="R57" i="10"/>
  <c r="R59" i="10"/>
  <c r="R61" i="10"/>
  <c r="R65" i="10"/>
  <c r="R67" i="10"/>
  <c r="R69" i="10"/>
  <c r="R71" i="10"/>
  <c r="R73" i="10"/>
  <c r="R75" i="10"/>
  <c r="R77" i="10"/>
  <c r="R79" i="10"/>
  <c r="R81" i="10"/>
  <c r="Q15" i="4"/>
  <c r="Q28" i="4"/>
  <c r="Q34" i="4"/>
  <c r="Q36" i="4"/>
  <c r="R31" i="4"/>
  <c r="R39" i="4"/>
  <c r="Q32" i="4"/>
  <c r="R33" i="4"/>
  <c r="R37" i="4"/>
  <c r="Q38" i="4"/>
  <c r="R35" i="4"/>
  <c r="O13" i="11"/>
  <c r="H13" i="11"/>
  <c r="F13" i="11"/>
  <c r="F21" i="22"/>
  <c r="Q83" i="10" l="1"/>
  <c r="Q63" i="10"/>
  <c r="Q85" i="10" s="1"/>
  <c r="C15" i="21" s="1"/>
  <c r="T13" i="24"/>
  <c r="R83" i="10"/>
  <c r="R85" i="10" s="1"/>
  <c r="D15" i="21" s="1"/>
  <c r="R63" i="10"/>
  <c r="R21" i="23"/>
  <c r="D19" i="21" s="1"/>
  <c r="B19" i="21"/>
  <c r="Q21" i="23"/>
  <c r="C19" i="21" s="1"/>
  <c r="Q11" i="23"/>
  <c r="R11" i="23"/>
  <c r="P85" i="10"/>
  <c r="B15" i="21" s="1"/>
  <c r="E38" i="12"/>
  <c r="F38" i="12"/>
  <c r="G38" i="12"/>
  <c r="H38" i="12"/>
  <c r="I38" i="12"/>
  <c r="J38" i="12"/>
  <c r="K38" i="12"/>
  <c r="L38" i="12"/>
  <c r="M38" i="12"/>
  <c r="N38" i="12"/>
  <c r="O38" i="12"/>
  <c r="E36" i="12"/>
  <c r="F36" i="12"/>
  <c r="G36" i="12"/>
  <c r="H36" i="12"/>
  <c r="I36" i="12"/>
  <c r="J36" i="12"/>
  <c r="K36" i="12"/>
  <c r="L36" i="12"/>
  <c r="M36" i="12"/>
  <c r="N36" i="12"/>
  <c r="O36" i="12"/>
  <c r="D38" i="12"/>
  <c r="D36" i="12"/>
  <c r="F40" i="12" l="1"/>
  <c r="D40" i="12"/>
  <c r="K40" i="12"/>
  <c r="G40" i="12"/>
  <c r="O40" i="12"/>
  <c r="N40" i="12"/>
  <c r="L40" i="12"/>
  <c r="J40" i="12"/>
  <c r="H40" i="12"/>
  <c r="M40" i="12"/>
  <c r="I40" i="12"/>
  <c r="E40" i="12"/>
  <c r="P82" i="6" l="1"/>
  <c r="R82" i="6" s="1"/>
  <c r="P83" i="6"/>
  <c r="R83" i="6" s="1"/>
  <c r="P84" i="6"/>
  <c r="R84" i="6" s="1"/>
  <c r="P85" i="6"/>
  <c r="R85" i="6" s="1"/>
  <c r="P86" i="6"/>
  <c r="R86" i="6" s="1"/>
  <c r="P88" i="6"/>
  <c r="P89" i="6"/>
  <c r="F90" i="6"/>
  <c r="G90" i="6"/>
  <c r="H90" i="6"/>
  <c r="I90" i="6"/>
  <c r="J90" i="6"/>
  <c r="K90" i="6"/>
  <c r="L90" i="6"/>
  <c r="M90" i="6"/>
  <c r="N90" i="6"/>
  <c r="O90" i="6"/>
  <c r="D90" i="6"/>
  <c r="P81" i="6"/>
  <c r="R81" i="6" s="1"/>
  <c r="E90" i="6"/>
  <c r="P79" i="6"/>
  <c r="Q79" i="6" s="1"/>
  <c r="P17" i="4"/>
  <c r="Q17" i="4" s="1"/>
  <c r="P37" i="31"/>
  <c r="R37" i="31" s="1"/>
  <c r="P39" i="31"/>
  <c r="P46" i="31"/>
  <c r="Q46" i="31" s="1"/>
  <c r="Q84" i="6" l="1"/>
  <c r="R39" i="31"/>
  <c r="Q85" i="6"/>
  <c r="Q81" i="6"/>
  <c r="P80" i="6"/>
  <c r="Q82" i="6"/>
  <c r="Q86" i="6"/>
  <c r="Q83" i="6"/>
  <c r="R79" i="6"/>
  <c r="Q37" i="31"/>
  <c r="Q39" i="31"/>
  <c r="R46" i="31"/>
  <c r="R80" i="6" l="1"/>
  <c r="Q80" i="6"/>
  <c r="P72" i="31"/>
  <c r="Q72" i="31" s="1"/>
  <c r="P73" i="31"/>
  <c r="Q73" i="31" s="1"/>
  <c r="P74" i="31"/>
  <c r="P65" i="31"/>
  <c r="R65" i="31" s="1"/>
  <c r="P66" i="31"/>
  <c r="Q66" i="31" s="1"/>
  <c r="P67" i="31"/>
  <c r="Q67" i="31" s="1"/>
  <c r="P68" i="31"/>
  <c r="Q68" i="31" s="1"/>
  <c r="P69" i="31"/>
  <c r="Q69" i="31" s="1"/>
  <c r="P70" i="31"/>
  <c r="R70" i="31" s="1"/>
  <c r="P71" i="31"/>
  <c r="R71" i="31" s="1"/>
  <c r="P54" i="31"/>
  <c r="R54" i="31" s="1"/>
  <c r="P55" i="31"/>
  <c r="R55" i="31" s="1"/>
  <c r="P56" i="31"/>
  <c r="R56" i="31" s="1"/>
  <c r="P57" i="31"/>
  <c r="Q57" i="31" s="1"/>
  <c r="P10" i="31"/>
  <c r="R10" i="31" s="1"/>
  <c r="P64" i="31"/>
  <c r="R64" i="31" s="1"/>
  <c r="P30" i="31"/>
  <c r="Q74" i="31" l="1"/>
  <c r="C8" i="21" s="1"/>
  <c r="B8" i="21"/>
  <c r="Q55" i="31"/>
  <c r="Q54" i="31"/>
  <c r="R72" i="31"/>
  <c r="Q10" i="31"/>
  <c r="R68" i="31"/>
  <c r="R57" i="31"/>
  <c r="R74" i="31"/>
  <c r="D8" i="21" s="1"/>
  <c r="R69" i="31"/>
  <c r="Q65" i="31"/>
  <c r="R73" i="31"/>
  <c r="Q71" i="31"/>
  <c r="Q70" i="31"/>
  <c r="R67" i="31"/>
  <c r="R66" i="31"/>
  <c r="Q56" i="31"/>
  <c r="Q64" i="31"/>
  <c r="N13" i="11" l="1"/>
  <c r="E21" i="22" l="1"/>
  <c r="G21" i="22"/>
  <c r="H21" i="22"/>
  <c r="I21" i="22"/>
  <c r="J21" i="22"/>
  <c r="K21" i="22"/>
  <c r="L21" i="22"/>
  <c r="M21" i="22"/>
  <c r="N21" i="22"/>
  <c r="O21" i="22"/>
  <c r="D21" i="22"/>
  <c r="O24" i="30" l="1"/>
  <c r="N24" i="30"/>
  <c r="M24" i="30"/>
  <c r="L24" i="30"/>
  <c r="K24" i="30"/>
  <c r="J24" i="30"/>
  <c r="I24" i="30"/>
  <c r="H24" i="30"/>
  <c r="G24" i="30"/>
  <c r="F24" i="30"/>
  <c r="E24" i="30"/>
  <c r="D24" i="30"/>
  <c r="P35" i="12" l="1"/>
  <c r="Q35" i="12" s="1"/>
  <c r="P37" i="12"/>
  <c r="R37" i="12" s="1"/>
  <c r="P38" i="12" l="1"/>
  <c r="Q37" i="12"/>
  <c r="R35" i="12"/>
  <c r="R38" i="12"/>
  <c r="Q38" i="12" l="1"/>
  <c r="E13" i="11"/>
  <c r="G13" i="11"/>
  <c r="I13" i="11"/>
  <c r="J13" i="11"/>
  <c r="K13" i="11"/>
  <c r="L13" i="11"/>
  <c r="M13" i="11"/>
  <c r="D13" i="11"/>
  <c r="P13" i="11" l="1"/>
  <c r="P11" i="2" l="1"/>
  <c r="Q11" i="2" s="1"/>
  <c r="R11" i="2" l="1"/>
  <c r="P9" i="8" l="1"/>
  <c r="B12" i="21" s="1"/>
  <c r="P7" i="8"/>
  <c r="Q7" i="8" l="1"/>
  <c r="R7" i="8"/>
  <c r="P32" i="12"/>
  <c r="P29" i="12"/>
  <c r="P11" i="11"/>
  <c r="Q32" i="12" l="1"/>
  <c r="R32" i="12"/>
  <c r="Q29" i="12"/>
  <c r="R29" i="12"/>
  <c r="Q11" i="11"/>
  <c r="R11" i="11"/>
  <c r="P78" i="6"/>
  <c r="R89" i="6"/>
  <c r="P60" i="31"/>
  <c r="P61" i="31"/>
  <c r="P62" i="31"/>
  <c r="R62" i="31" s="1"/>
  <c r="P63" i="31"/>
  <c r="Q88" i="6" l="1"/>
  <c r="R88" i="6"/>
  <c r="Q89" i="6"/>
  <c r="Q78" i="6"/>
  <c r="R78" i="6"/>
  <c r="Q61" i="31"/>
  <c r="R61" i="31"/>
  <c r="Q60" i="31"/>
  <c r="R60" i="31"/>
  <c r="Q63" i="31"/>
  <c r="R63" i="31"/>
  <c r="Q62" i="31"/>
  <c r="B31" i="21" l="1"/>
  <c r="P13" i="4"/>
  <c r="R13" i="4" s="1"/>
  <c r="P12" i="4"/>
  <c r="P27" i="4"/>
  <c r="R27" i="4" s="1"/>
  <c r="P26" i="4"/>
  <c r="R26" i="4" s="1"/>
  <c r="P25" i="4"/>
  <c r="P24" i="4"/>
  <c r="P11" i="4"/>
  <c r="R11" i="4" s="1"/>
  <c r="P23" i="4"/>
  <c r="R23" i="4" s="1"/>
  <c r="P22" i="4"/>
  <c r="R22" i="4" s="1"/>
  <c r="P21" i="4"/>
  <c r="R21" i="4" s="1"/>
  <c r="P20" i="4"/>
  <c r="P10" i="4"/>
  <c r="R10" i="4" s="1"/>
  <c r="P19" i="4"/>
  <c r="P18" i="4"/>
  <c r="R18" i="4" s="1"/>
  <c r="P9" i="4"/>
  <c r="P14" i="4"/>
  <c r="P16" i="4"/>
  <c r="P8" i="4"/>
  <c r="P7" i="4"/>
  <c r="R7" i="4" l="1"/>
  <c r="P40" i="4"/>
  <c r="P46" i="4" s="1"/>
  <c r="Q26" i="4"/>
  <c r="Q7" i="4"/>
  <c r="Q11" i="4"/>
  <c r="Q22" i="4"/>
  <c r="Q16" i="4"/>
  <c r="R16" i="4"/>
  <c r="Q24" i="4"/>
  <c r="R24" i="4"/>
  <c r="Q14" i="4"/>
  <c r="R14" i="4"/>
  <c r="Q18" i="4"/>
  <c r="Q19" i="4"/>
  <c r="R19" i="4"/>
  <c r="Q10" i="4"/>
  <c r="Q21" i="4"/>
  <c r="Q23" i="4"/>
  <c r="Q25" i="4"/>
  <c r="R25" i="4"/>
  <c r="Q27" i="4"/>
  <c r="Q13" i="4"/>
  <c r="Q9" i="4"/>
  <c r="R9" i="4"/>
  <c r="Q8" i="4"/>
  <c r="R8" i="4"/>
  <c r="R17" i="4"/>
  <c r="Q20" i="4"/>
  <c r="R20" i="4"/>
  <c r="Q12" i="4"/>
  <c r="R12" i="4"/>
  <c r="B10" i="21" l="1"/>
  <c r="B30" i="21" s="1"/>
  <c r="R46" i="4"/>
  <c r="D10" i="21" s="1"/>
  <c r="Q46" i="4"/>
  <c r="C10" i="21" s="1"/>
  <c r="R40" i="4"/>
  <c r="Q40" i="4"/>
  <c r="P7" i="9"/>
  <c r="P9" i="9" l="1"/>
  <c r="B13" i="21" s="1"/>
  <c r="B36" i="21" s="1"/>
  <c r="Q7" i="9"/>
  <c r="R7" i="9"/>
  <c r="P40" i="31"/>
  <c r="P52" i="31"/>
  <c r="P51" i="31"/>
  <c r="P50" i="31"/>
  <c r="P49" i="31"/>
  <c r="P48" i="31"/>
  <c r="P34" i="31"/>
  <c r="P47" i="31"/>
  <c r="P45" i="31"/>
  <c r="P27" i="31"/>
  <c r="P44" i="31"/>
  <c r="P9" i="31"/>
  <c r="P43" i="31"/>
  <c r="P42" i="31"/>
  <c r="P41" i="31"/>
  <c r="P33" i="31"/>
  <c r="P11" i="31"/>
  <c r="P35" i="31"/>
  <c r="P26" i="31"/>
  <c r="P32" i="31"/>
  <c r="R32" i="31" s="1"/>
  <c r="P25" i="31"/>
  <c r="P24" i="31"/>
  <c r="P8" i="31"/>
  <c r="P31" i="31"/>
  <c r="R31" i="31" s="1"/>
  <c r="P7" i="31"/>
  <c r="P23" i="31"/>
  <c r="P22" i="31"/>
  <c r="P21" i="31"/>
  <c r="P20" i="31"/>
  <c r="P19" i="31"/>
  <c r="P18" i="31"/>
  <c r="P17" i="31"/>
  <c r="P16" i="31"/>
  <c r="P15" i="31"/>
  <c r="P14" i="31"/>
  <c r="R14" i="31" s="1"/>
  <c r="P13" i="31"/>
  <c r="P12" i="31"/>
  <c r="P29" i="31"/>
  <c r="P28" i="31"/>
  <c r="R28" i="31" s="1"/>
  <c r="P36" i="31"/>
  <c r="P59" i="31"/>
  <c r="P58" i="31"/>
  <c r="P53" i="31"/>
  <c r="Q9" i="9" l="1"/>
  <c r="C13" i="21" s="1"/>
  <c r="R9" i="9"/>
  <c r="D13" i="21" s="1"/>
  <c r="P38" i="31"/>
  <c r="Q12" i="31"/>
  <c r="R12" i="31"/>
  <c r="Q23" i="31"/>
  <c r="R23" i="31"/>
  <c r="Q34" i="31"/>
  <c r="R34" i="31"/>
  <c r="Q53" i="31"/>
  <c r="R53" i="31"/>
  <c r="Q36" i="31"/>
  <c r="R36" i="31"/>
  <c r="Q13" i="31"/>
  <c r="R13" i="31"/>
  <c r="Q17" i="31"/>
  <c r="R17" i="31"/>
  <c r="Q21" i="31"/>
  <c r="R21" i="31"/>
  <c r="Q7" i="31"/>
  <c r="R7" i="31"/>
  <c r="Q25" i="31"/>
  <c r="R25" i="31"/>
  <c r="Q11" i="31"/>
  <c r="R11" i="31"/>
  <c r="Q42" i="31"/>
  <c r="R42" i="31"/>
  <c r="Q27" i="31"/>
  <c r="R27" i="31"/>
  <c r="Q48" i="31"/>
  <c r="R48" i="31"/>
  <c r="Q52" i="31"/>
  <c r="R52" i="31"/>
  <c r="Q16" i="31"/>
  <c r="R16" i="31"/>
  <c r="Q24" i="31"/>
  <c r="R24" i="31"/>
  <c r="Q44" i="31"/>
  <c r="R44" i="31"/>
  <c r="Q18" i="31"/>
  <c r="R18" i="31"/>
  <c r="Q22" i="31"/>
  <c r="R22" i="31"/>
  <c r="Q33" i="31"/>
  <c r="R33" i="31"/>
  <c r="Q43" i="31"/>
  <c r="R43" i="31"/>
  <c r="Q45" i="31"/>
  <c r="R45" i="31"/>
  <c r="Q49" i="31"/>
  <c r="R49" i="31"/>
  <c r="Q59" i="31"/>
  <c r="R59" i="31"/>
  <c r="Q20" i="31"/>
  <c r="R20" i="31"/>
  <c r="Q35" i="31"/>
  <c r="R35" i="31"/>
  <c r="Q51" i="31"/>
  <c r="R51" i="31"/>
  <c r="Q58" i="31"/>
  <c r="R58" i="31"/>
  <c r="Q29" i="31"/>
  <c r="R29" i="31"/>
  <c r="Q15" i="31"/>
  <c r="R15" i="31"/>
  <c r="Q19" i="31"/>
  <c r="R19" i="31"/>
  <c r="Q30" i="31"/>
  <c r="R30" i="31"/>
  <c r="Q8" i="31"/>
  <c r="R8" i="31"/>
  <c r="Q26" i="31"/>
  <c r="R26" i="31"/>
  <c r="Q41" i="31"/>
  <c r="R41" i="31"/>
  <c r="Q9" i="31"/>
  <c r="R9" i="31"/>
  <c r="Q47" i="31"/>
  <c r="R47" i="31"/>
  <c r="Q50" i="31"/>
  <c r="R50" i="31"/>
  <c r="Q40" i="31"/>
  <c r="R40" i="31"/>
  <c r="Q28" i="31"/>
  <c r="Q32" i="31"/>
  <c r="Q14" i="31"/>
  <c r="Q31" i="31"/>
  <c r="Q38" i="31" l="1"/>
  <c r="R38" i="31"/>
  <c r="B33" i="21"/>
  <c r="P17" i="22" l="1"/>
  <c r="R17" i="22" s="1"/>
  <c r="P16" i="22"/>
  <c r="R16" i="22" s="1"/>
  <c r="P15" i="22"/>
  <c r="R15" i="22" s="1"/>
  <c r="Q16" i="22" l="1"/>
  <c r="Q17" i="22"/>
  <c r="Q15" i="22"/>
  <c r="O8" i="3" l="1"/>
  <c r="Q8" i="3" s="1"/>
  <c r="P8" i="3" l="1"/>
  <c r="P7" i="1" l="1"/>
  <c r="R7" i="1" s="1"/>
  <c r="P77" i="6" l="1"/>
  <c r="R77" i="6" s="1"/>
  <c r="P76" i="6"/>
  <c r="R76" i="6" s="1"/>
  <c r="P75" i="6"/>
  <c r="R75" i="6" s="1"/>
  <c r="P74" i="6"/>
  <c r="R74" i="6" s="1"/>
  <c r="P73" i="6"/>
  <c r="R73" i="6" s="1"/>
  <c r="P72" i="6"/>
  <c r="R72" i="6" s="1"/>
  <c r="P71" i="6"/>
  <c r="R71" i="6" s="1"/>
  <c r="P70" i="6"/>
  <c r="R70" i="6" s="1"/>
  <c r="P69" i="6"/>
  <c r="R69" i="6" s="1"/>
  <c r="P68" i="6"/>
  <c r="R68" i="6" s="1"/>
  <c r="P67" i="6"/>
  <c r="R67" i="6" s="1"/>
  <c r="P66" i="6"/>
  <c r="R66" i="6" s="1"/>
  <c r="P65" i="6"/>
  <c r="R65" i="6" s="1"/>
  <c r="P64" i="6"/>
  <c r="R64" i="6" s="1"/>
  <c r="P63" i="6"/>
  <c r="R63" i="6" s="1"/>
  <c r="P62" i="6"/>
  <c r="R62" i="6" s="1"/>
  <c r="P61" i="6"/>
  <c r="R61" i="6" s="1"/>
  <c r="P60" i="6"/>
  <c r="R60" i="6" s="1"/>
  <c r="P59" i="6"/>
  <c r="R59" i="6" s="1"/>
  <c r="P58" i="6"/>
  <c r="R58" i="6" s="1"/>
  <c r="P57" i="6"/>
  <c r="R57" i="6" s="1"/>
  <c r="P56" i="6"/>
  <c r="R56" i="6" s="1"/>
  <c r="P55" i="6"/>
  <c r="R55" i="6" s="1"/>
  <c r="P54" i="6"/>
  <c r="R54" i="6" s="1"/>
  <c r="P53" i="6"/>
  <c r="R53" i="6" s="1"/>
  <c r="P52" i="6"/>
  <c r="R52" i="6" s="1"/>
  <c r="P51" i="6"/>
  <c r="R51" i="6" s="1"/>
  <c r="P50" i="6"/>
  <c r="R50" i="6" s="1"/>
  <c r="P49" i="6"/>
  <c r="R49" i="6" s="1"/>
  <c r="P48" i="6"/>
  <c r="R48" i="6" s="1"/>
  <c r="P40" i="6"/>
  <c r="R40" i="6" s="1"/>
  <c r="P39" i="6"/>
  <c r="R39" i="6" s="1"/>
  <c r="P38" i="6"/>
  <c r="R38" i="6" s="1"/>
  <c r="P37" i="6"/>
  <c r="R37" i="6" s="1"/>
  <c r="P36" i="6"/>
  <c r="R36" i="6" s="1"/>
  <c r="P35" i="6"/>
  <c r="R35" i="6" s="1"/>
  <c r="P34" i="6"/>
  <c r="R34" i="6" s="1"/>
  <c r="P32" i="6"/>
  <c r="R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P25" i="6"/>
  <c r="R25" i="6" s="1"/>
  <c r="P24" i="6"/>
  <c r="R24" i="6" s="1"/>
  <c r="P23" i="6"/>
  <c r="R23" i="6" s="1"/>
  <c r="P22" i="6"/>
  <c r="R22" i="6" s="1"/>
  <c r="P21" i="6"/>
  <c r="R21" i="6" s="1"/>
  <c r="P20" i="6"/>
  <c r="R20" i="6" s="1"/>
  <c r="P19" i="6"/>
  <c r="R19" i="6" s="1"/>
  <c r="P18" i="6"/>
  <c r="R18" i="6" s="1"/>
  <c r="P17" i="6"/>
  <c r="R17" i="6" s="1"/>
  <c r="P16" i="6"/>
  <c r="R16" i="6" s="1"/>
  <c r="P15" i="6"/>
  <c r="R15" i="6" s="1"/>
  <c r="P14" i="6"/>
  <c r="R14" i="6" s="1"/>
  <c r="P13" i="6"/>
  <c r="R13" i="6" s="1"/>
  <c r="P12" i="6"/>
  <c r="R12" i="6" s="1"/>
  <c r="P11" i="6"/>
  <c r="R11" i="6" s="1"/>
  <c r="P10" i="6"/>
  <c r="R10" i="6" s="1"/>
  <c r="P9" i="6"/>
  <c r="R9" i="6" s="1"/>
  <c r="P8" i="6"/>
  <c r="R8" i="6" s="1"/>
  <c r="P7" i="6"/>
  <c r="R7" i="6" l="1"/>
  <c r="P90" i="6"/>
  <c r="Q90" i="6" l="1"/>
  <c r="C11" i="21" s="1"/>
  <c r="R90" i="6"/>
  <c r="D11" i="21" s="1"/>
  <c r="B11" i="21"/>
  <c r="B35" i="21" s="1"/>
  <c r="P16" i="30"/>
  <c r="P15" i="30"/>
  <c r="P14" i="30"/>
  <c r="P13" i="30"/>
  <c r="P12" i="30"/>
  <c r="P19" i="30"/>
  <c r="P18" i="30"/>
  <c r="P17" i="30"/>
  <c r="P11" i="30"/>
  <c r="P10" i="30"/>
  <c r="P21" i="30"/>
  <c r="R21" i="30" s="1"/>
  <c r="P20" i="30"/>
  <c r="P9" i="30"/>
  <c r="P8" i="30"/>
  <c r="P7" i="30"/>
  <c r="R7" i="30" l="1"/>
  <c r="Q7" i="30"/>
  <c r="Q10" i="30"/>
  <c r="R10" i="30"/>
  <c r="Q15" i="30"/>
  <c r="R15" i="30"/>
  <c r="Q11" i="30"/>
  <c r="R11" i="30"/>
  <c r="Q12" i="30"/>
  <c r="R12" i="30"/>
  <c r="Q16" i="30"/>
  <c r="R16" i="30"/>
  <c r="Q8" i="30"/>
  <c r="R8" i="30"/>
  <c r="Q19" i="30"/>
  <c r="R19" i="30"/>
  <c r="Q9" i="30"/>
  <c r="R9" i="30"/>
  <c r="Q20" i="30"/>
  <c r="R20" i="30"/>
  <c r="Q17" i="30"/>
  <c r="R17" i="30"/>
  <c r="Q13" i="30"/>
  <c r="R13" i="30"/>
  <c r="Q18" i="30"/>
  <c r="R18" i="30"/>
  <c r="Q14" i="30"/>
  <c r="R14" i="30"/>
  <c r="Q21" i="30"/>
  <c r="P22" i="30"/>
  <c r="R22" i="30" s="1"/>
  <c r="P23" i="30" l="1"/>
  <c r="P24" i="30" s="1"/>
  <c r="B21" i="21" s="1"/>
  <c r="B26" i="21" s="1"/>
  <c r="Q22" i="30"/>
  <c r="Q23" i="30" s="1"/>
  <c r="P20" i="22"/>
  <c r="R20" i="22" s="1"/>
  <c r="P18" i="22"/>
  <c r="R18" i="22" s="1"/>
  <c r="P14" i="22"/>
  <c r="R14" i="22" s="1"/>
  <c r="P13" i="22"/>
  <c r="R13" i="22" s="1"/>
  <c r="P12" i="22"/>
  <c r="R12" i="22" s="1"/>
  <c r="P11" i="22"/>
  <c r="R11" i="22" s="1"/>
  <c r="P10" i="22"/>
  <c r="R10" i="22" s="1"/>
  <c r="P9" i="22"/>
  <c r="R9" i="22" s="1"/>
  <c r="P8" i="22"/>
  <c r="R7" i="22"/>
  <c r="R6" i="22"/>
  <c r="B3" i="21"/>
  <c r="C3" i="21"/>
  <c r="D3" i="21"/>
  <c r="B5" i="21"/>
  <c r="B37" i="21" s="1"/>
  <c r="Q7" i="1"/>
  <c r="C5" i="21" s="1"/>
  <c r="P8" i="20"/>
  <c r="P7" i="20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0" i="6"/>
  <c r="Q39" i="6"/>
  <c r="Q38" i="6"/>
  <c r="Q37" i="6"/>
  <c r="Q36" i="6"/>
  <c r="Q35" i="6"/>
  <c r="Q34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P23" i="12"/>
  <c r="R23" i="12" s="1"/>
  <c r="P34" i="12"/>
  <c r="R34" i="12" s="1"/>
  <c r="P33" i="12"/>
  <c r="R33" i="12" s="1"/>
  <c r="P31" i="12"/>
  <c r="R31" i="12" s="1"/>
  <c r="P30" i="12"/>
  <c r="R30" i="12" s="1"/>
  <c r="P28" i="12"/>
  <c r="R28" i="12" s="1"/>
  <c r="P27" i="12"/>
  <c r="R27" i="12" s="1"/>
  <c r="P26" i="12"/>
  <c r="R26" i="12" s="1"/>
  <c r="P25" i="12"/>
  <c r="R25" i="12" s="1"/>
  <c r="P24" i="12"/>
  <c r="R24" i="12" s="1"/>
  <c r="P22" i="12"/>
  <c r="R22" i="12" s="1"/>
  <c r="P21" i="12"/>
  <c r="R21" i="12" s="1"/>
  <c r="P20" i="12"/>
  <c r="R20" i="12" s="1"/>
  <c r="P17" i="12"/>
  <c r="R17" i="12" s="1"/>
  <c r="P16" i="12"/>
  <c r="R8" i="22" l="1"/>
  <c r="P21" i="22"/>
  <c r="B7" i="21" s="1"/>
  <c r="R7" i="20"/>
  <c r="P9" i="20"/>
  <c r="B41" i="21"/>
  <c r="R16" i="12"/>
  <c r="Q24" i="30"/>
  <c r="C21" i="21" s="1"/>
  <c r="R23" i="30"/>
  <c r="R24" i="30" s="1"/>
  <c r="D21" i="21" s="1"/>
  <c r="Q17" i="12"/>
  <c r="Q34" i="12"/>
  <c r="Q20" i="12"/>
  <c r="Q30" i="12"/>
  <c r="Q28" i="12"/>
  <c r="Q21" i="12"/>
  <c r="Q26" i="12"/>
  <c r="Q31" i="12"/>
  <c r="Q23" i="12"/>
  <c r="Q24" i="12"/>
  <c r="Q25" i="12"/>
  <c r="Q16" i="12"/>
  <c r="Q22" i="12"/>
  <c r="Q27" i="12"/>
  <c r="Q33" i="12"/>
  <c r="Q9" i="22"/>
  <c r="Q13" i="22"/>
  <c r="Q6" i="22"/>
  <c r="Q10" i="22"/>
  <c r="Q14" i="22"/>
  <c r="Q7" i="22"/>
  <c r="Q11" i="22"/>
  <c r="Q18" i="22"/>
  <c r="Q8" i="22"/>
  <c r="Q12" i="22"/>
  <c r="Q20" i="22"/>
  <c r="B14" i="21"/>
  <c r="B32" i="21" s="1"/>
  <c r="Q7" i="20"/>
  <c r="C14" i="21" s="1"/>
  <c r="B42" i="21"/>
  <c r="D5" i="21"/>
  <c r="Q9" i="20" l="1"/>
  <c r="R9" i="20"/>
  <c r="B39" i="21"/>
  <c r="R21" i="22"/>
  <c r="Q21" i="22"/>
  <c r="C7" i="21" s="1"/>
  <c r="B27" i="21"/>
  <c r="D14" i="21"/>
  <c r="D7" i="21" l="1"/>
  <c r="P19" i="12" l="1"/>
  <c r="P15" i="12"/>
  <c r="R15" i="12" s="1"/>
  <c r="P14" i="12"/>
  <c r="R14" i="12" s="1"/>
  <c r="P13" i="12"/>
  <c r="R13" i="12" s="1"/>
  <c r="P12" i="12"/>
  <c r="R12" i="12" s="1"/>
  <c r="P11" i="12"/>
  <c r="R11" i="12" s="1"/>
  <c r="P10" i="12"/>
  <c r="R10" i="12" s="1"/>
  <c r="P9" i="12"/>
  <c r="R9" i="12" s="1"/>
  <c r="P8" i="12"/>
  <c r="R8" i="12" s="1"/>
  <c r="P7" i="12"/>
  <c r="P36" i="12" l="1"/>
  <c r="P40" i="12" s="1"/>
  <c r="R7" i="12"/>
  <c r="R19" i="12"/>
  <c r="Q13" i="12"/>
  <c r="Q7" i="12"/>
  <c r="Q11" i="12"/>
  <c r="Q15" i="12"/>
  <c r="Q8" i="12"/>
  <c r="Q12" i="12"/>
  <c r="Q19" i="12"/>
  <c r="Q9" i="12"/>
  <c r="Q10" i="12"/>
  <c r="Q14" i="12"/>
  <c r="R36" i="12" l="1"/>
  <c r="R40" i="12" s="1"/>
  <c r="Q36" i="12"/>
  <c r="Q40" i="12" s="1"/>
  <c r="B17" i="21"/>
  <c r="B28" i="21" s="1"/>
  <c r="P12" i="11"/>
  <c r="P8" i="11"/>
  <c r="Q8" i="11" l="1"/>
  <c r="R8" i="11"/>
  <c r="Q12" i="11"/>
  <c r="R12" i="11"/>
  <c r="C17" i="21"/>
  <c r="R13" i="11"/>
  <c r="D17" i="21" l="1"/>
  <c r="B16" i="21"/>
  <c r="B38" i="21" s="1"/>
  <c r="Q13" i="11"/>
  <c r="C16" i="21" l="1"/>
  <c r="D16" i="21"/>
  <c r="B34" i="21"/>
  <c r="D12" i="21" l="1"/>
  <c r="C12" i="21"/>
  <c r="B9" i="21"/>
  <c r="B40" i="21" s="1"/>
  <c r="P10" i="2"/>
  <c r="P9" i="2"/>
  <c r="P8" i="2"/>
  <c r="P7" i="2"/>
  <c r="R7" i="2" s="1"/>
  <c r="Q9" i="2" l="1"/>
  <c r="R9" i="2"/>
  <c r="Q10" i="2"/>
  <c r="R10" i="2"/>
  <c r="Q8" i="2"/>
  <c r="R8" i="2"/>
  <c r="P12" i="2"/>
  <c r="R12" i="2" s="1"/>
  <c r="Q7" i="2"/>
  <c r="D9" i="21" l="1"/>
  <c r="C9" i="21"/>
  <c r="Q12" i="2"/>
  <c r="B6" i="21"/>
  <c r="B29" i="21" s="1"/>
  <c r="B43" i="21" s="1"/>
  <c r="D6" i="21" l="1"/>
  <c r="C6" i="21"/>
  <c r="B22" i="21"/>
  <c r="E5" i="21" l="1"/>
  <c r="E8" i="21"/>
  <c r="B45" i="21"/>
  <c r="D22" i="21"/>
  <c r="C22" i="21"/>
  <c r="E20" i="21"/>
  <c r="E7" i="21"/>
  <c r="E9" i="21"/>
  <c r="E17" i="21"/>
  <c r="E15" i="21"/>
  <c r="E14" i="21"/>
  <c r="E21" i="21"/>
  <c r="E13" i="21"/>
  <c r="E19" i="21"/>
  <c r="E18" i="21"/>
  <c r="E12" i="21"/>
  <c r="E11" i="21"/>
  <c r="E10" i="21"/>
  <c r="E6" i="21"/>
  <c r="E16" i="21"/>
  <c r="E22" i="21" l="1"/>
</calcChain>
</file>

<file path=xl/sharedStrings.xml><?xml version="1.0" encoding="utf-8"?>
<sst xmlns="http://schemas.openxmlformats.org/spreadsheetml/2006/main" count="1496" uniqueCount="449">
  <si>
    <t xml:space="preserve">RELLENO SANITARIO DE SAN FRANCISCO MENENDEZ </t>
  </si>
  <si>
    <t>DEPARTAMENTO</t>
  </si>
  <si>
    <t>MUNICIPIO</t>
  </si>
  <si>
    <t>TOTAL DEPOSITADO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</si>
  <si>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</si>
  <si>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</si>
  <si>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</si>
  <si>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</si>
  <si>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</si>
  <si>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</si>
  <si>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</si>
  <si>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</si>
  <si>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</si>
  <si>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</si>
  <si>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</si>
  <si>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</si>
  <si>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Ahuachapan</t>
  </si>
  <si>
    <t>San Francisco Menendez</t>
  </si>
  <si>
    <t>RELLENO SANITARIO DE ATIQUIZAYA</t>
  </si>
  <si>
    <t>La Libertad</t>
  </si>
  <si>
    <t>Atiquizaya</t>
  </si>
  <si>
    <t>Ahuachapán</t>
  </si>
  <si>
    <t>Turin</t>
  </si>
  <si>
    <t>San Vicente</t>
  </si>
  <si>
    <t>San Lorenzo</t>
  </si>
  <si>
    <t>TOTAL</t>
  </si>
  <si>
    <t>RELLENO SANITARIO MANUAL DE SANTA ISABEL ISHUATAN</t>
  </si>
  <si>
    <t>Sonsonate</t>
  </si>
  <si>
    <t>Santa Isabel Ishuatan</t>
  </si>
  <si>
    <t>Santa Ana</t>
  </si>
  <si>
    <t>Candelaria de la Frontera</t>
  </si>
  <si>
    <t>Coatepeque</t>
  </si>
  <si>
    <t>San Sebastián Salitrillo</t>
  </si>
  <si>
    <t>Ciudad Arce</t>
  </si>
  <si>
    <t>La Paz</t>
  </si>
  <si>
    <t>San Salvador</t>
  </si>
  <si>
    <t>TOTAL TON/RECIBIDAS AL MES, AÑO</t>
  </si>
  <si>
    <t>RELLENO SANITARIO DE MIDES</t>
  </si>
  <si>
    <t>El Congo</t>
  </si>
  <si>
    <t>Chalchuapa</t>
  </si>
  <si>
    <t>Masahuat</t>
  </si>
  <si>
    <t>Metapán</t>
  </si>
  <si>
    <t>Santiago de la Frontera</t>
  </si>
  <si>
    <t>Texistepeque</t>
  </si>
  <si>
    <t>Soyapango</t>
  </si>
  <si>
    <t>Ilopango</t>
  </si>
  <si>
    <t>Mejicanos</t>
  </si>
  <si>
    <t>Ciudad Delgado</t>
  </si>
  <si>
    <t>Apopa</t>
  </si>
  <si>
    <t>Ayutuxtepeque</t>
  </si>
  <si>
    <t>El Paisnal</t>
  </si>
  <si>
    <t>Tonacatepeque</t>
  </si>
  <si>
    <t>Aguilares</t>
  </si>
  <si>
    <t>Cuscatancingo</t>
  </si>
  <si>
    <t>Guazapa</t>
  </si>
  <si>
    <t>San Martín</t>
  </si>
  <si>
    <t>Santa Tecla</t>
  </si>
  <si>
    <t>Quezaltepeque</t>
  </si>
  <si>
    <t>San Matias</t>
  </si>
  <si>
    <t>San Pablo Tacachico</t>
  </si>
  <si>
    <t>Chalatenango</t>
  </si>
  <si>
    <t>Nueva Concepción</t>
  </si>
  <si>
    <t>Tejutla</t>
  </si>
  <si>
    <t>La Reina</t>
  </si>
  <si>
    <t>La Palma</t>
  </si>
  <si>
    <t>San Rafael</t>
  </si>
  <si>
    <t>Concepción Quezaltepeque</t>
  </si>
  <si>
    <t>Agua Caliente</t>
  </si>
  <si>
    <t>Santa Rita</t>
  </si>
  <si>
    <t>San Ignacio</t>
  </si>
  <si>
    <t>Comalapa</t>
  </si>
  <si>
    <t>San Miguel de Mercedes</t>
  </si>
  <si>
    <t>La Laguna</t>
  </si>
  <si>
    <t>Ojos de Agua</t>
  </si>
  <si>
    <t>San Francisco Morazán</t>
  </si>
  <si>
    <t>Arcatao</t>
  </si>
  <si>
    <t>San José Cancasque</t>
  </si>
  <si>
    <t>San Fernando</t>
  </si>
  <si>
    <t>San Francisco Lempa</t>
  </si>
  <si>
    <t>San Juan Tepezontes</t>
  </si>
  <si>
    <t>Santa María Ostuma</t>
  </si>
  <si>
    <t>Mercedes la Ceiba</t>
  </si>
  <si>
    <t>Jerusalén</t>
  </si>
  <si>
    <t>Cuscatlán</t>
  </si>
  <si>
    <t>Cojutepeque</t>
  </si>
  <si>
    <t xml:space="preserve">El Carmen </t>
  </si>
  <si>
    <t>El Rosario</t>
  </si>
  <si>
    <t>Monte San Juan</t>
  </si>
  <si>
    <t>Oratorio de Concepción</t>
  </si>
  <si>
    <t>San Bartolomé Perulapía</t>
  </si>
  <si>
    <t>San Cristobal</t>
  </si>
  <si>
    <t>San José Guayabal</t>
  </si>
  <si>
    <t>San Pedro Perulapán</t>
  </si>
  <si>
    <t>San Rafael Cedros</t>
  </si>
  <si>
    <t>Cabañas</t>
  </si>
  <si>
    <t>Sensuntepeque</t>
  </si>
  <si>
    <t>Ilobasco</t>
  </si>
  <si>
    <t>San Isidro</t>
  </si>
  <si>
    <t>Victoria</t>
  </si>
  <si>
    <t>Dolores</t>
  </si>
  <si>
    <t>Guacotecti</t>
  </si>
  <si>
    <t>San Sebastián</t>
  </si>
  <si>
    <t>Apastepeque</t>
  </si>
  <si>
    <t>Santo Domingo</t>
  </si>
  <si>
    <t>Verapaz</t>
  </si>
  <si>
    <t>San Esteban Catarina</t>
  </si>
  <si>
    <t>San Cayetano Istepeque</t>
  </si>
  <si>
    <t>Santa Clara</t>
  </si>
  <si>
    <t>Tepetitán</t>
  </si>
  <si>
    <t>San Miguel</t>
  </si>
  <si>
    <t>San Gerardo</t>
  </si>
  <si>
    <t>Nuevo Edén de San Juan</t>
  </si>
  <si>
    <t>Empresas</t>
  </si>
  <si>
    <t>Morazán</t>
  </si>
  <si>
    <t>Particulares</t>
  </si>
  <si>
    <t>Calvo Conservas, El Salvador</t>
  </si>
  <si>
    <t xml:space="preserve">TOTAL </t>
  </si>
  <si>
    <t>RELLENO SANITARIO DE PERQUIN</t>
  </si>
  <si>
    <t>Perquin</t>
  </si>
  <si>
    <t>ALCALDÍAS MUNICIPALES</t>
  </si>
  <si>
    <t>TOTAL ANUAL</t>
  </si>
  <si>
    <t>PROMEDIO MENSUAL</t>
  </si>
  <si>
    <t>Avicola Campestre., S.A. de C.V.</t>
  </si>
  <si>
    <t>Arrocera San Francisco, S.A. de C.V.</t>
  </si>
  <si>
    <t>Sucesores Luis Torres y Compañía</t>
  </si>
  <si>
    <t>LAGEO, S.A. de C.V.</t>
  </si>
  <si>
    <t>Milton Anibal Berríos Bonilla</t>
  </si>
  <si>
    <t>ALCALDIA MUNICIPAL DE SAN MIGUEL</t>
  </si>
  <si>
    <t>RELLENO SANITARIO</t>
  </si>
  <si>
    <t>SEPT.</t>
  </si>
  <si>
    <t>NOV.</t>
  </si>
  <si>
    <t>DIC.</t>
  </si>
  <si>
    <t>DEPOSITADO</t>
  </si>
  <si>
    <t>TOTAL TON/ RECIBIDAS AL MES, AÑO</t>
  </si>
  <si>
    <t xml:space="preserve"> RELLENO SANITARIO DE ASINORLU, SANTA ROSA DE LIMA</t>
  </si>
  <si>
    <t>Concepción de Ataco</t>
  </si>
  <si>
    <t>El Refugio</t>
  </si>
  <si>
    <t>Cinquera</t>
  </si>
  <si>
    <t>Azacualpa</t>
  </si>
  <si>
    <t>El Carrizal</t>
  </si>
  <si>
    <t>San Luis del Carmen</t>
  </si>
  <si>
    <t>Potonico</t>
  </si>
  <si>
    <t>Corinto</t>
  </si>
  <si>
    <t>Nejapa</t>
  </si>
  <si>
    <t>Guadalupe</t>
  </si>
  <si>
    <t>LA LIBERTAD</t>
  </si>
  <si>
    <t>SAN MIGUEL</t>
  </si>
  <si>
    <t>SANTA ANA</t>
  </si>
  <si>
    <t>CUSCATLAN</t>
  </si>
  <si>
    <t>Nueva Trinidad</t>
  </si>
  <si>
    <t>Las Vueltas</t>
  </si>
  <si>
    <t>San Isidro Labrador</t>
  </si>
  <si>
    <t>Tenancingo</t>
  </si>
  <si>
    <t>Santa Cruz Michapa</t>
  </si>
  <si>
    <t>RELLENO SANITARIO DE SUCHITOTO</t>
  </si>
  <si>
    <t>SUCHITOTO</t>
  </si>
  <si>
    <t>MAKLEAN, S.A. DE C.V.</t>
  </si>
  <si>
    <t>promedio dia</t>
  </si>
  <si>
    <t>TOTAL TONELADAS</t>
  </si>
  <si>
    <t>HOSPITAL ROSALES</t>
  </si>
  <si>
    <t>ESTELA GUADALUPE MATA</t>
  </si>
  <si>
    <t>ZARAGOZA</t>
  </si>
  <si>
    <t>TAMANIQUE</t>
  </si>
  <si>
    <t>SANTIAGO TEXACUANGOS</t>
  </si>
  <si>
    <t>SANTIAGO NONUALCO</t>
  </si>
  <si>
    <t>SAN RAFAEL OBRAJUELO</t>
  </si>
  <si>
    <t>SAN PEDRO NONUALCO</t>
  </si>
  <si>
    <t>SAN PEDRO MASAHUAT</t>
  </si>
  <si>
    <t>SAN LUIS TALPA</t>
  </si>
  <si>
    <t>SAN LUIS LA HERRADURA</t>
  </si>
  <si>
    <t>SAN JUAN TALPA</t>
  </si>
  <si>
    <t>SAN JUAN NONUALCO</t>
  </si>
  <si>
    <t>SAN ANTONIO MASAHUAT</t>
  </si>
  <si>
    <t>SAN JOSÉ VILLANUEVA</t>
  </si>
  <si>
    <t>ROSARIO LA PAZ</t>
  </si>
  <si>
    <t>ROSARIO DE MORA</t>
  </si>
  <si>
    <t>PUERTO LA LIBERTAD</t>
  </si>
  <si>
    <t>PANCHIMALCO</t>
  </si>
  <si>
    <t>OLOCUILTA</t>
  </si>
  <si>
    <t>JICALAPA</t>
  </si>
  <si>
    <t>CUYULTITAN</t>
  </si>
  <si>
    <t>COMASAGUA</t>
  </si>
  <si>
    <t>COMERSAL</t>
  </si>
  <si>
    <t>SANTO TOMAS</t>
  </si>
  <si>
    <t>PROMEDIO DIA</t>
  </si>
  <si>
    <t>SAN FRANCISCO MENENDEZ</t>
  </si>
  <si>
    <t>ATIQUIZAYA</t>
  </si>
  <si>
    <t>ISHUATAN</t>
  </si>
  <si>
    <t>RELLENOS SANITARIOS</t>
  </si>
  <si>
    <t>MIDES</t>
  </si>
  <si>
    <t>MEANGUERA</t>
  </si>
  <si>
    <t>PERQUIN</t>
  </si>
  <si>
    <t>CORINTO</t>
  </si>
  <si>
    <t>SOCINUS</t>
  </si>
  <si>
    <t>ASINORLU</t>
  </si>
  <si>
    <t>RELLENO SANITARIO DE CINQUERA</t>
  </si>
  <si>
    <t>CINQUERA</t>
  </si>
  <si>
    <t>San Antonio Pajonal</t>
  </si>
  <si>
    <t>El Porvenir</t>
  </si>
  <si>
    <t>El Paraíso</t>
  </si>
  <si>
    <t>RELENO SANITARIO DE CHALATENANGO AMUSNOR</t>
  </si>
  <si>
    <t>AMUSNOR (CHALATENANGO</t>
  </si>
  <si>
    <t>RELLENO SANITARIO DE CORINTO</t>
  </si>
  <si>
    <t>Ahuchapán</t>
  </si>
  <si>
    <t>San Antonio Los Ranchos</t>
  </si>
  <si>
    <t>AMUCHADES</t>
  </si>
  <si>
    <t xml:space="preserve">TOTAL DEPOSITADO </t>
  </si>
  <si>
    <t xml:space="preserve">PORCENTAJE % </t>
  </si>
  <si>
    <t xml:space="preserve">San Marcos </t>
  </si>
  <si>
    <t>Citala</t>
  </si>
  <si>
    <t>Dulce Nombre de Maria</t>
  </si>
  <si>
    <t>CHILTIUPAN</t>
  </si>
  <si>
    <t>Santa Rosa Guachiplin</t>
  </si>
  <si>
    <t>PARTICULARES</t>
  </si>
  <si>
    <t>HUIZUCAR</t>
  </si>
  <si>
    <t>TAPALHUACA</t>
  </si>
  <si>
    <t>GUILLERMO COREA MEJIA</t>
  </si>
  <si>
    <t>Gestion Integral de Desechos, S.A.</t>
  </si>
  <si>
    <t>RELLENO SANITARIO DE CHALATENANGO AMUCHADES</t>
  </si>
  <si>
    <t xml:space="preserve">RELLENO SANITARIO SANTA ANA </t>
  </si>
  <si>
    <t>EMPRESAS PRIVADAS</t>
  </si>
  <si>
    <t>DESECHOS BIOINFECCIOSOS</t>
  </si>
  <si>
    <t>SAN BLAS</t>
  </si>
  <si>
    <t>ATAMI</t>
  </si>
  <si>
    <t>GÓTERA, S.A.DE C.V.</t>
  </si>
  <si>
    <t>CEPA (AEROPUERTO)</t>
  </si>
  <si>
    <t>SAN MIGUEL TEPEZONTES</t>
  </si>
  <si>
    <t xml:space="preserve">Particulares </t>
  </si>
  <si>
    <t>ZACATECOLUCA</t>
  </si>
  <si>
    <t>SAN FRANCISCO CHINAMECA</t>
  </si>
  <si>
    <t>SANTA TECLA</t>
  </si>
  <si>
    <t>JORGE GARCIA</t>
  </si>
  <si>
    <t xml:space="preserve">San Miguel de Mercedes </t>
  </si>
  <si>
    <t>Douglas Alfredo Ventura Larios</t>
  </si>
  <si>
    <t>AGROCAMPESTRE S.A. de C.V.</t>
  </si>
  <si>
    <t>Juan Francisco Vasquez Osorio</t>
  </si>
  <si>
    <t>ACALPINA, S.A. DE C.V.</t>
  </si>
  <si>
    <t xml:space="preserve">                    -   </t>
  </si>
  <si>
    <t>Meanguera</t>
  </si>
  <si>
    <t>La Unión</t>
  </si>
  <si>
    <t>Perquín</t>
  </si>
  <si>
    <t>Usulután</t>
  </si>
  <si>
    <t>Puerto El Triunfo</t>
  </si>
  <si>
    <t>Concepción Batres</t>
  </si>
  <si>
    <t>Ereguayquin</t>
  </si>
  <si>
    <t>Jiquilisco</t>
  </si>
  <si>
    <t>Jucuarán</t>
  </si>
  <si>
    <t>Santa María</t>
  </si>
  <si>
    <t>San Buenaventura</t>
  </si>
  <si>
    <t>Santiago de María</t>
  </si>
  <si>
    <t>Santa Elena</t>
  </si>
  <si>
    <t>Sesori</t>
  </si>
  <si>
    <t>Estanzuelas</t>
  </si>
  <si>
    <t>California</t>
  </si>
  <si>
    <t>Chapeltique</t>
  </si>
  <si>
    <t>Nueva Guadalupe</t>
  </si>
  <si>
    <t>Lolotique</t>
  </si>
  <si>
    <t>Tecapán</t>
  </si>
  <si>
    <t>Alegría</t>
  </si>
  <si>
    <t>San Jorge</t>
  </si>
  <si>
    <t>Chinameca</t>
  </si>
  <si>
    <t>San Francisco Javier</t>
  </si>
  <si>
    <t>Moncagua</t>
  </si>
  <si>
    <t>Jucuapa</t>
  </si>
  <si>
    <t>Quelepa</t>
  </si>
  <si>
    <t>El Triunfo</t>
  </si>
  <si>
    <t>Ciudad Barrios</t>
  </si>
  <si>
    <t>Ozatlán</t>
  </si>
  <si>
    <t>San Rafael Oriente</t>
  </si>
  <si>
    <t>San Agustín</t>
  </si>
  <si>
    <t>El Tránsito</t>
  </si>
  <si>
    <t>Berlín</t>
  </si>
  <si>
    <t>Nueva Granada</t>
  </si>
  <si>
    <t>Mercedes Umaña</t>
  </si>
  <si>
    <t>San Ildefonso</t>
  </si>
  <si>
    <t>San Luis de la Reina</t>
  </si>
  <si>
    <t>Tecoluca</t>
  </si>
  <si>
    <t>Chirilagua</t>
  </si>
  <si>
    <t>San Francisco Gotera</t>
  </si>
  <si>
    <t>Guatajiagua</t>
  </si>
  <si>
    <t>Chilanga</t>
  </si>
  <si>
    <t>San Carlos</t>
  </si>
  <si>
    <t>San Simón</t>
  </si>
  <si>
    <t>Conchagua</t>
  </si>
  <si>
    <t>Cacaopera</t>
  </si>
  <si>
    <t>Yamabal</t>
  </si>
  <si>
    <t>Carolina</t>
  </si>
  <si>
    <t>Uluazapa</t>
  </si>
  <si>
    <t>Yucuaiquín</t>
  </si>
  <si>
    <t>San Antonio</t>
  </si>
  <si>
    <t>Sensembra</t>
  </si>
  <si>
    <t>Yoloayquin</t>
  </si>
  <si>
    <t>San Dionisio</t>
  </si>
  <si>
    <t xml:space="preserve">Intipuca </t>
  </si>
  <si>
    <t>Torola</t>
  </si>
  <si>
    <t>El Sauce</t>
  </si>
  <si>
    <t>Lislique</t>
  </si>
  <si>
    <t>Nueva Esparta</t>
  </si>
  <si>
    <t>Santa Rosa de Lima</t>
  </si>
  <si>
    <t>Arambala</t>
  </si>
  <si>
    <t>El Divisadero</t>
  </si>
  <si>
    <t>Gualococti</t>
  </si>
  <si>
    <t>Joateca</t>
  </si>
  <si>
    <t>Jocoaitique</t>
  </si>
  <si>
    <t>Jocoro</t>
  </si>
  <si>
    <t>Lolotiquillo</t>
  </si>
  <si>
    <t>Osicala</t>
  </si>
  <si>
    <t>Pasaquina</t>
  </si>
  <si>
    <t>San Alejo</t>
  </si>
  <si>
    <t>Sociedad</t>
  </si>
  <si>
    <t>Yayantique</t>
  </si>
  <si>
    <t>Suchitoto</t>
  </si>
  <si>
    <t>AMUSNOR</t>
  </si>
  <si>
    <t>Etiquetas de fila</t>
  </si>
  <si>
    <t>Total general</t>
  </si>
  <si>
    <t>Suma de Cantidad</t>
  </si>
  <si>
    <t>Acajutla</t>
  </si>
  <si>
    <t>Antiguo Cuscatlán</t>
  </si>
  <si>
    <t>Apaneca</t>
  </si>
  <si>
    <t>Armenia</t>
  </si>
  <si>
    <t>Caluco</t>
  </si>
  <si>
    <t>Cuisnahuat</t>
  </si>
  <si>
    <t>Guaymango</t>
  </si>
  <si>
    <t>Izalco</t>
  </si>
  <si>
    <t>Jayaque</t>
  </si>
  <si>
    <t>Juayua</t>
  </si>
  <si>
    <t>Jujutla</t>
  </si>
  <si>
    <t>Nahuizalco</t>
  </si>
  <si>
    <t>Sacacoyo</t>
  </si>
  <si>
    <t>Salcoatitan</t>
  </si>
  <si>
    <t>San Juan Opico</t>
  </si>
  <si>
    <t>San Julian</t>
  </si>
  <si>
    <t>San Pedro Puxtla</t>
  </si>
  <si>
    <t>Santa Catarina Masahuat</t>
  </si>
  <si>
    <t>Sonzacate</t>
  </si>
  <si>
    <t>Tacuba</t>
  </si>
  <si>
    <t>Talnique</t>
  </si>
  <si>
    <t>Teotepeque</t>
  </si>
  <si>
    <t>Tepecoyo</t>
  </si>
  <si>
    <t>Desechos bioinfecciosos</t>
  </si>
  <si>
    <t>Turín</t>
  </si>
  <si>
    <t>Comisión Ejecutiva Hidroelectrica</t>
  </si>
  <si>
    <t>San Jose Las Flores</t>
  </si>
  <si>
    <t>Dulce Nombre de Jesus</t>
  </si>
  <si>
    <t>San Antonio  de la Cruz</t>
  </si>
  <si>
    <t>SAN SALVADOR</t>
  </si>
  <si>
    <t>EMPRESA</t>
  </si>
  <si>
    <t>GIDSA (KIMBERLY)</t>
  </si>
  <si>
    <t>HIDALGO &amp; HIDALDO</t>
  </si>
  <si>
    <t>CIVING</t>
  </si>
  <si>
    <t>ECOSYSTEM</t>
  </si>
  <si>
    <t>EXCELLENT</t>
  </si>
  <si>
    <t>GEOCYCLE</t>
  </si>
  <si>
    <t xml:space="preserve">EMPRESA </t>
  </si>
  <si>
    <t>PUERTO LA LIBERTAD D Especial</t>
  </si>
  <si>
    <t>RECOLECTORA D. Especial</t>
  </si>
  <si>
    <t>Candelaria</t>
  </si>
  <si>
    <t>San Ramón</t>
  </si>
  <si>
    <t>Santa Cruz Analquito</t>
  </si>
  <si>
    <t>RS MIDES</t>
  </si>
  <si>
    <t>RS Atiquizaya</t>
  </si>
  <si>
    <t>RS S. Fco. Menéndez</t>
  </si>
  <si>
    <t>RS ASEMUSA</t>
  </si>
  <si>
    <t>RS La Libertad</t>
  </si>
  <si>
    <t>TOTAL RECIBIDO EN EL RELLENO SANITARIO</t>
  </si>
  <si>
    <t>Emp priv/part</t>
  </si>
  <si>
    <t>RS Sonsonate KALI</t>
  </si>
  <si>
    <t>TOTAL ALCALDÍAS MUNICIPALES</t>
  </si>
  <si>
    <t xml:space="preserve">Zacatecoluca  </t>
  </si>
  <si>
    <t>El Carmen</t>
  </si>
  <si>
    <t>RS SOCINUS</t>
  </si>
  <si>
    <t>san Miguel</t>
  </si>
  <si>
    <t>TOTAL ALCALDIAS MUNICIPALES</t>
  </si>
  <si>
    <t>TOTAL EMP PRIV/PART</t>
  </si>
  <si>
    <t>Villa El Rosario</t>
  </si>
  <si>
    <t>RS San Miguel</t>
  </si>
  <si>
    <t>RS ASINORLU</t>
  </si>
  <si>
    <t>RS CINQUERA</t>
  </si>
  <si>
    <t>RS AMUSNOR</t>
  </si>
  <si>
    <t>KALI</t>
  </si>
  <si>
    <t>Bolívar</t>
  </si>
  <si>
    <t>Concepción de Oriente</t>
  </si>
  <si>
    <t>Polorós</t>
  </si>
  <si>
    <t>San José La Fuente</t>
  </si>
  <si>
    <t>Delicias de Concepción</t>
  </si>
  <si>
    <t>Comacarán</t>
  </si>
  <si>
    <t>Emp Priv/Part</t>
  </si>
  <si>
    <t>TOTAL MUNICIPALIDADES</t>
  </si>
  <si>
    <t>TOTAL Emp Priv/Part</t>
  </si>
  <si>
    <t>TOTAL DEPOSITADO EN RS</t>
  </si>
  <si>
    <t>Anamorós</t>
  </si>
  <si>
    <t>Colón</t>
  </si>
  <si>
    <t>Nuevo Cuscatlán</t>
  </si>
  <si>
    <t>Chalchuapa (D.E.)</t>
  </si>
  <si>
    <t>Santa Ana (D.E.)</t>
  </si>
  <si>
    <t>Armenia (D.E.)</t>
  </si>
  <si>
    <t>Nahuilingo</t>
  </si>
  <si>
    <t>San Antonio del Monte</t>
  </si>
  <si>
    <t>Santo Domingo de Guzman</t>
  </si>
  <si>
    <t>TOTAL EMPRESAS PRIVADAS</t>
  </si>
  <si>
    <t>RS MEANGUERA</t>
  </si>
  <si>
    <t>RS CORINTO</t>
  </si>
  <si>
    <t>ACUMULADO MENSUAL POR MUNICIPIO AÑO 2019 (toneladas)</t>
  </si>
  <si>
    <t>RELLENO SANITARIO DE SONSONATE (KALI)</t>
  </si>
  <si>
    <t>ACUMULADO MENSUALPOR MUNICIPIO/EMPRESAS AÑO  2019. (toneladas)</t>
  </si>
  <si>
    <t>CONSOLIDACION DE DESECHOS EN RELLENO SANITARIO DE ASINORLU, SANTA ROSA DE LIMA/ AÑO 2019 (toneladas)</t>
  </si>
  <si>
    <t>RELLENO SANITARIO LA LIBERTAD - CANTON MELARA</t>
  </si>
  <si>
    <t>RELLENO SANITARIO DE SOCINUS - USULUTAN</t>
  </si>
  <si>
    <t>RELLENO SANITARIO DE MEANGUERA</t>
  </si>
  <si>
    <t>UDP</t>
  </si>
  <si>
    <t>Empresa de Servicio Multiples, S..A. de C.V.</t>
  </si>
  <si>
    <t>TERRCONSAL, S.A. DE C.V.</t>
  </si>
  <si>
    <t>TECUNSAL, S.A. DE C.V.</t>
  </si>
  <si>
    <t>Z.Z. Ingenieros, S.A. de C.V.</t>
  </si>
  <si>
    <t>Constructora Reyes Viscarra, S.A. de C.V.</t>
  </si>
  <si>
    <t>Simas Construccion S.A. de C.V.</t>
  </si>
  <si>
    <t>Edifica BYB S.A. DE C.V.</t>
  </si>
  <si>
    <t>Capella Solar TSK GSN El Salvador, S.A. de C.V.</t>
  </si>
  <si>
    <t>ACUMULADO MENSUAL POR MUNICIPIO AÑO 2019 (toneladas) ORGANICO</t>
  </si>
  <si>
    <t>Asoc. LA PANORAMICA</t>
  </si>
  <si>
    <t>Materia orgánica</t>
  </si>
  <si>
    <t>Ojo de Agua</t>
  </si>
  <si>
    <t>ORGANICO</t>
  </si>
  <si>
    <t>INORGANICO</t>
  </si>
  <si>
    <t>KALI, SEM.  DE CV</t>
  </si>
  <si>
    <t xml:space="preserve">TOTAL DESECHO PARTICULAR </t>
  </si>
  <si>
    <t>TOTAL MUNICIPIOS + EMPRESAS</t>
  </si>
  <si>
    <t>TOTAL ORG +INORG</t>
  </si>
  <si>
    <t>SAN MARCOS</t>
  </si>
  <si>
    <t>ROBERTO CARLOS CERRATO CRUS</t>
  </si>
  <si>
    <t>IGLESIA LUZ DEL MUNDO</t>
  </si>
  <si>
    <t>CONSTRUCCIONES DE INFRAESTRUCTURA</t>
  </si>
  <si>
    <t>GRUPO JAD, S.A. DE C.V.</t>
  </si>
  <si>
    <t>ALUMINIOS DE CENTROAMERICA</t>
  </si>
  <si>
    <t>HOTEL LAS HOJAS</t>
  </si>
  <si>
    <t>TRANSPORTE HERNANDEZ RODRIGUEZ</t>
  </si>
  <si>
    <t>GLADIS GUADALUPE GOMEZ</t>
  </si>
  <si>
    <t>DIZAC, S.A. DE C.V.</t>
  </si>
  <si>
    <t>HOLCIM</t>
  </si>
  <si>
    <t>JORGE MARIO BAIRES</t>
  </si>
  <si>
    <t>SERVIDESA, S.A. DE C.V.</t>
  </si>
  <si>
    <t>INVERSIONES LUZ DE MARIA, S.A. DE C.V.</t>
  </si>
  <si>
    <t>CORPORACIÓN REMAR</t>
  </si>
  <si>
    <t>RODOLFO GUARDADO</t>
  </si>
  <si>
    <t>JOSE ANGEL MERINO</t>
  </si>
  <si>
    <t xml:space="preserve">Armenia </t>
  </si>
  <si>
    <t>MINISTERIO DE MEDIO AMBIENTE Y RECURSOS NATURALES</t>
  </si>
  <si>
    <t>GERENCIA DE RESIDUOS SOLIDOS Y PELIGROSOS</t>
  </si>
  <si>
    <t>GERENCIA DE RESIDUOS SOLIDOS Y PELIGROSOS - CONSOLIDADO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</si>
</sst>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;[Red]0.00"/>
    <numFmt numFmtId="167" formatCode="[$-C0A]mmmm\-yy;@"/>
    <numFmt numFmtId="168" formatCode="_ \¢* #,##0.00_ ;_ \¢* \-#,##0.00_ ;_ \¢* \-??_ ;_ @_ "/>
    <numFmt numFmtId="169" formatCode="#,##0.000_);\(#,##0.000\)"/>
    <numFmt numFmtId="170" formatCode="#,##0.000"/>
    <numFmt numFmtId="171" formatCode="0.000"/>
    <numFmt numFmtId="172" formatCode="_(* #,##0.000_);_(* \(#,##0.000\);_(* &quot;-&quot;???_);_(@_)"/>
    <numFmt numFmtId="173" formatCode="0.00_);\(0.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Times New Roman"/>
      <family val="1"/>
    </font>
    <font>
      <sz val="11"/>
      <color theme="3" tint="-0.499984740745262"/>
      <name val="Calibri"/>
      <family val="2"/>
      <scheme val="minor"/>
    </font>
    <font>
      <sz val="16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FD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FD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7" tint="0.3999755851924192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</cellStyleXfs>
  <cellXfs count="420">
    <xf numFmtId="0" fontId="0" fillId="0" borderId="0" xfId="0"/>
    <xf numFmtId="0" fontId="2" fillId="0" borderId="0" xfId="0" applyFont="1" applyBorder="1" applyAlignment="1"/>
    <xf numFmtId="0" fontId="0" fillId="0" borderId="0" xfId="0" applyFill="1" applyBorder="1" applyAlignment="1"/>
    <xf numFmtId="0" fontId="0" fillId="0" borderId="4" xfId="0" applyBorder="1"/>
    <xf numFmtId="0" fontId="0" fillId="0" borderId="5" xfId="0" applyBorder="1" applyAlignment="1">
      <alignment vertical="center"/>
    </xf>
    <xf numFmtId="165" fontId="0" fillId="0" borderId="4" xfId="1" applyFont="1" applyBorder="1"/>
    <xf numFmtId="0" fontId="0" fillId="0" borderId="1" xfId="0" applyBorder="1" applyAlignment="1">
      <alignment vertical="center"/>
    </xf>
    <xf numFmtId="2" fontId="0" fillId="0" borderId="4" xfId="1" applyNumberFormat="1" applyFont="1" applyBorder="1"/>
    <xf numFmtId="0" fontId="0" fillId="0" borderId="4" xfId="0" applyFont="1" applyFill="1" applyBorder="1"/>
    <xf numFmtId="170" fontId="6" fillId="0" borderId="4" xfId="0" applyNumberFormat="1" applyFont="1" applyBorder="1"/>
    <xf numFmtId="165" fontId="6" fillId="0" borderId="4" xfId="1" applyFont="1" applyBorder="1"/>
    <xf numFmtId="0" fontId="6" fillId="0" borderId="4" xfId="0" applyFont="1" applyBorder="1"/>
    <xf numFmtId="166" fontId="6" fillId="0" borderId="4" xfId="0" applyNumberFormat="1" applyFont="1" applyFill="1" applyBorder="1" applyAlignment="1">
      <alignment horizontal="right"/>
    </xf>
    <xf numFmtId="165" fontId="6" fillId="0" borderId="4" xfId="1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0" xfId="0"/>
    <xf numFmtId="0" fontId="6" fillId="0" borderId="0" xfId="0" applyFont="1"/>
    <xf numFmtId="0" fontId="0" fillId="0" borderId="4" xfId="0" applyFont="1" applyBorder="1"/>
    <xf numFmtId="0" fontId="0" fillId="0" borderId="4" xfId="0" applyFont="1" applyFill="1" applyBorder="1" applyAlignment="1"/>
    <xf numFmtId="0" fontId="0" fillId="0" borderId="5" xfId="0" applyFont="1" applyBorder="1" applyAlignment="1">
      <alignment vertical="center"/>
    </xf>
    <xf numFmtId="0" fontId="0" fillId="0" borderId="6" xfId="0" applyFont="1" applyBorder="1"/>
    <xf numFmtId="0" fontId="0" fillId="0" borderId="0" xfId="0" applyFont="1"/>
    <xf numFmtId="0" fontId="0" fillId="0" borderId="0" xfId="0" applyFont="1" applyFill="1" applyBorder="1"/>
    <xf numFmtId="166" fontId="0" fillId="0" borderId="0" xfId="0" applyNumberFormat="1" applyFont="1"/>
    <xf numFmtId="167" fontId="5" fillId="4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right"/>
    </xf>
    <xf numFmtId="2" fontId="0" fillId="0" borderId="4" xfId="0" applyNumberFormat="1" applyFont="1" applyBorder="1"/>
    <xf numFmtId="165" fontId="0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/>
    <xf numFmtId="0" fontId="7" fillId="0" borderId="0" xfId="0" applyFont="1"/>
    <xf numFmtId="171" fontId="7" fillId="4" borderId="19" xfId="0" applyNumberFormat="1" applyFont="1" applyFill="1" applyBorder="1" applyAlignment="1">
      <alignment horizontal="center"/>
    </xf>
    <xf numFmtId="171" fontId="7" fillId="4" borderId="8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4" xfId="0" applyFill="1" applyBorder="1"/>
    <xf numFmtId="2" fontId="0" fillId="0" borderId="4" xfId="0" applyNumberFormat="1" applyBorder="1"/>
    <xf numFmtId="2" fontId="4" fillId="0" borderId="4" xfId="0" applyNumberFormat="1" applyFont="1" applyBorder="1"/>
    <xf numFmtId="2" fontId="0" fillId="0" borderId="0" xfId="0" applyNumberFormat="1"/>
    <xf numFmtId="165" fontId="4" fillId="0" borderId="4" xfId="1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2" fontId="7" fillId="5" borderId="9" xfId="1" applyNumberFormat="1" applyFont="1" applyFill="1" applyBorder="1"/>
    <xf numFmtId="172" fontId="7" fillId="5" borderId="4" xfId="1" applyNumberFormat="1" applyFont="1" applyFill="1" applyBorder="1"/>
    <xf numFmtId="172" fontId="7" fillId="5" borderId="22" xfId="1" applyNumberFormat="1" applyFont="1" applyFill="1" applyBorder="1"/>
    <xf numFmtId="171" fontId="7" fillId="4" borderId="0" xfId="0" applyNumberFormat="1" applyFont="1" applyFill="1" applyBorder="1" applyAlignment="1">
      <alignment horizontal="center"/>
    </xf>
    <xf numFmtId="2" fontId="0" fillId="0" borderId="0" xfId="0" applyNumberFormat="1" applyFont="1"/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0" fillId="0" borderId="0" xfId="0" applyNumberFormat="1"/>
    <xf numFmtId="170" fontId="0" fillId="0" borderId="4" xfId="0" applyNumberFormat="1" applyBorder="1"/>
    <xf numFmtId="0" fontId="0" fillId="0" borderId="4" xfId="0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170" fontId="0" fillId="5" borderId="4" xfId="0" applyNumberFormat="1" applyFill="1" applyBorder="1"/>
    <xf numFmtId="2" fontId="16" fillId="5" borderId="4" xfId="0" applyNumberFormat="1" applyFont="1" applyFill="1" applyBorder="1"/>
    <xf numFmtId="165" fontId="6" fillId="5" borderId="4" xfId="1" applyFont="1" applyFill="1" applyBorder="1"/>
    <xf numFmtId="0" fontId="0" fillId="0" borderId="6" xfId="0" applyFill="1" applyBorder="1" applyAlignment="1"/>
    <xf numFmtId="0" fontId="0" fillId="0" borderId="6" xfId="0" applyFill="1" applyBorder="1"/>
    <xf numFmtId="164" fontId="19" fillId="0" borderId="0" xfId="2" applyFont="1" applyBorder="1"/>
    <xf numFmtId="0" fontId="0" fillId="5" borderId="4" xfId="0" applyFont="1" applyFill="1" applyBorder="1"/>
    <xf numFmtId="2" fontId="6" fillId="0" borderId="4" xfId="1" applyNumberFormat="1" applyFont="1" applyFill="1" applyBorder="1" applyAlignment="1">
      <alignment horizontal="right"/>
    </xf>
    <xf numFmtId="0" fontId="5" fillId="7" borderId="5" xfId="0" applyFont="1" applyFill="1" applyBorder="1"/>
    <xf numFmtId="0" fontId="0" fillId="7" borderId="1" xfId="0" applyFill="1" applyBorder="1" applyAlignment="1">
      <alignment vertical="center"/>
    </xf>
    <xf numFmtId="0" fontId="0" fillId="7" borderId="5" xfId="0" applyFill="1" applyBorder="1"/>
    <xf numFmtId="0" fontId="0" fillId="8" borderId="5" xfId="0" applyFill="1" applyBorder="1"/>
    <xf numFmtId="4" fontId="6" fillId="0" borderId="4" xfId="0" applyNumberFormat="1" applyFont="1" applyBorder="1"/>
    <xf numFmtId="0" fontId="0" fillId="5" borderId="5" xfId="0" applyFont="1" applyFill="1" applyBorder="1" applyAlignment="1">
      <alignment vertical="center"/>
    </xf>
    <xf numFmtId="2" fontId="6" fillId="0" borderId="4" xfId="0" applyNumberFormat="1" applyFont="1" applyBorder="1"/>
    <xf numFmtId="4" fontId="0" fillId="0" borderId="4" xfId="0" applyNumberFormat="1" applyBorder="1"/>
    <xf numFmtId="165" fontId="0" fillId="0" borderId="4" xfId="0" applyNumberFormat="1" applyBorder="1"/>
    <xf numFmtId="0" fontId="0" fillId="0" borderId="6" xfId="0" applyBorder="1" applyAlignment="1">
      <alignment wrapText="1"/>
    </xf>
    <xf numFmtId="170" fontId="0" fillId="5" borderId="6" xfId="0" applyNumberFormat="1" applyFill="1" applyBorder="1"/>
    <xf numFmtId="170" fontId="0" fillId="0" borderId="6" xfId="0" applyNumberFormat="1" applyBorder="1"/>
    <xf numFmtId="2" fontId="0" fillId="0" borderId="6" xfId="0" applyNumberFormat="1" applyFont="1" applyBorder="1"/>
    <xf numFmtId="4" fontId="0" fillId="5" borderId="4" xfId="0" applyNumberFormat="1" applyFill="1" applyBorder="1"/>
    <xf numFmtId="0" fontId="0" fillId="5" borderId="4" xfId="0" applyFill="1" applyBorder="1"/>
    <xf numFmtId="0" fontId="5" fillId="5" borderId="4" xfId="0" applyFont="1" applyFill="1" applyBorder="1"/>
    <xf numFmtId="0" fontId="6" fillId="5" borderId="4" xfId="0" applyFont="1" applyFill="1" applyBorder="1" applyAlignment="1">
      <alignment horizontal="left" vertical="distributed"/>
    </xf>
    <xf numFmtId="0" fontId="6" fillId="0" borderId="6" xfId="0" applyFont="1" applyFill="1" applyBorder="1" applyAlignment="1"/>
    <xf numFmtId="171" fontId="7" fillId="4" borderId="4" xfId="0" applyNumberFormat="1" applyFont="1" applyFill="1" applyBorder="1" applyAlignment="1">
      <alignment horizontal="center"/>
    </xf>
    <xf numFmtId="165" fontId="0" fillId="5" borderId="4" xfId="0" applyNumberFormat="1" applyFill="1" applyBorder="1"/>
    <xf numFmtId="170" fontId="1" fillId="5" borderId="4" xfId="1" applyNumberFormat="1" applyFont="1" applyFill="1" applyBorder="1"/>
    <xf numFmtId="170" fontId="0" fillId="5" borderId="4" xfId="0" applyNumberFormat="1" applyFont="1" applyFill="1" applyBorder="1"/>
    <xf numFmtId="170" fontId="0" fillId="5" borderId="6" xfId="0" applyNumberFormat="1" applyFont="1" applyFill="1" applyBorder="1"/>
    <xf numFmtId="170" fontId="0" fillId="0" borderId="4" xfId="0" applyNumberFormat="1" applyFont="1" applyBorder="1"/>
    <xf numFmtId="170" fontId="0" fillId="0" borderId="6" xfId="0" applyNumberFormat="1" applyFont="1" applyBorder="1"/>
    <xf numFmtId="165" fontId="1" fillId="0" borderId="4" xfId="1" applyFont="1" applyBorder="1"/>
    <xf numFmtId="170" fontId="6" fillId="0" borderId="6" xfId="0" applyNumberFormat="1" applyFont="1" applyBorder="1"/>
    <xf numFmtId="0" fontId="20" fillId="4" borderId="4" xfId="0" applyFont="1" applyFill="1" applyBorder="1" applyAlignment="1">
      <alignment horizontal="center" wrapText="1"/>
    </xf>
    <xf numFmtId="171" fontId="21" fillId="4" borderId="4" xfId="0" applyNumberFormat="1" applyFont="1" applyFill="1" applyBorder="1" applyAlignment="1">
      <alignment horizontal="center" wrapText="1"/>
    </xf>
    <xf numFmtId="166" fontId="6" fillId="0" borderId="9" xfId="0" applyNumberFormat="1" applyFont="1" applyFill="1" applyBorder="1" applyAlignment="1">
      <alignment horizontal="right"/>
    </xf>
    <xf numFmtId="0" fontId="0" fillId="0" borderId="4" xfId="0" applyFont="1" applyBorder="1"/>
    <xf numFmtId="0" fontId="0" fillId="0" borderId="0" xfId="0" applyFont="1"/>
    <xf numFmtId="0" fontId="0" fillId="0" borderId="4" xfId="0" applyFill="1" applyBorder="1"/>
    <xf numFmtId="0" fontId="0" fillId="0" borderId="4" xfId="0" applyFill="1" applyBorder="1" applyAlignment="1"/>
    <xf numFmtId="165" fontId="0" fillId="0" borderId="4" xfId="1" applyFont="1" applyBorder="1"/>
    <xf numFmtId="0" fontId="0" fillId="8" borderId="5" xfId="0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28" xfId="0" applyNumberFormat="1" applyFont="1" applyFill="1" applyBorder="1"/>
    <xf numFmtId="4" fontId="1" fillId="0" borderId="29" xfId="0" applyNumberFormat="1" applyFont="1" applyFill="1" applyBorder="1"/>
    <xf numFmtId="4" fontId="1" fillId="0" borderId="0" xfId="0" applyNumberFormat="1" applyFont="1" applyFill="1"/>
    <xf numFmtId="0" fontId="1" fillId="0" borderId="25" xfId="0" applyFont="1" applyFill="1" applyBorder="1"/>
    <xf numFmtId="0" fontId="1" fillId="0" borderId="26" xfId="0" applyFont="1" applyFill="1" applyBorder="1"/>
    <xf numFmtId="0" fontId="1" fillId="0" borderId="0" xfId="0" applyFont="1" applyFill="1" applyBorder="1"/>
    <xf numFmtId="4" fontId="1" fillId="0" borderId="30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9" fontId="6" fillId="0" borderId="4" xfId="1" applyNumberFormat="1" applyFont="1" applyFill="1" applyBorder="1" applyAlignment="1">
      <alignment horizontal="right"/>
    </xf>
    <xf numFmtId="169" fontId="0" fillId="0" borderId="4" xfId="0" applyNumberFormat="1" applyBorder="1"/>
    <xf numFmtId="170" fontId="6" fillId="5" borderId="4" xfId="1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0" fillId="0" borderId="14" xfId="0" applyNumberFormat="1" applyFont="1" applyFill="1" applyBorder="1"/>
    <xf numFmtId="4" fontId="0" fillId="0" borderId="0" xfId="0" applyNumberFormat="1" applyFont="1" applyFill="1" applyBorder="1"/>
    <xf numFmtId="0" fontId="0" fillId="0" borderId="0" xfId="0" applyFont="1" applyBorder="1"/>
    <xf numFmtId="4" fontId="0" fillId="0" borderId="11" xfId="0" applyNumberFormat="1" applyBorder="1"/>
    <xf numFmtId="0" fontId="6" fillId="3" borderId="4" xfId="0" applyFont="1" applyFill="1" applyBorder="1"/>
    <xf numFmtId="4" fontId="6" fillId="0" borderId="4" xfId="2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1" fillId="0" borderId="0" xfId="0" applyFont="1"/>
    <xf numFmtId="165" fontId="0" fillId="0" borderId="7" xfId="0" applyNumberFormat="1" applyBorder="1"/>
    <xf numFmtId="0" fontId="27" fillId="10" borderId="35" xfId="0" applyFont="1" applyFill="1" applyBorder="1" applyAlignment="1">
      <alignment horizontal="center"/>
    </xf>
    <xf numFmtId="0" fontId="17" fillId="0" borderId="4" xfId="0" applyFont="1" applyBorder="1"/>
    <xf numFmtId="0" fontId="30" fillId="0" borderId="4" xfId="0" applyFont="1" applyFill="1" applyBorder="1" applyAlignment="1">
      <alignment horizontal="center"/>
    </xf>
    <xf numFmtId="0" fontId="27" fillId="0" borderId="4" xfId="0" applyFont="1" applyBorder="1"/>
    <xf numFmtId="0" fontId="0" fillId="0" borderId="4" xfId="0" applyBorder="1" applyAlignment="1">
      <alignment vertical="center"/>
    </xf>
    <xf numFmtId="170" fontId="0" fillId="0" borderId="0" xfId="0" applyNumberFormat="1"/>
    <xf numFmtId="0" fontId="0" fillId="11" borderId="0" xfId="0" applyFill="1"/>
    <xf numFmtId="0" fontId="0" fillId="12" borderId="0" xfId="0" applyFill="1"/>
    <xf numFmtId="170" fontId="0" fillId="12" borderId="0" xfId="0" applyNumberFormat="1" applyFill="1"/>
    <xf numFmtId="4" fontId="0" fillId="0" borderId="0" xfId="0" applyNumberFormat="1"/>
    <xf numFmtId="4" fontId="0" fillId="11" borderId="0" xfId="0" applyNumberFormat="1" applyFill="1"/>
    <xf numFmtId="4" fontId="0" fillId="12" borderId="0" xfId="0" applyNumberFormat="1" applyFill="1"/>
    <xf numFmtId="43" fontId="0" fillId="12" borderId="0" xfId="0" applyNumberFormat="1" applyFill="1"/>
    <xf numFmtId="0" fontId="6" fillId="0" borderId="4" xfId="1" applyNumberFormat="1" applyFont="1" applyFill="1" applyBorder="1" applyAlignment="1">
      <alignment horizontal="right"/>
    </xf>
    <xf numFmtId="4" fontId="5" fillId="5" borderId="4" xfId="0" applyNumberFormat="1" applyFont="1" applyFill="1" applyBorder="1" applyAlignment="1">
      <alignment horizontal="center" vertical="center"/>
    </xf>
    <xf numFmtId="171" fontId="0" fillId="0" borderId="4" xfId="1" applyNumberFormat="1" applyFont="1" applyFill="1" applyBorder="1" applyAlignment="1"/>
    <xf numFmtId="4" fontId="7" fillId="5" borderId="21" xfId="1" applyNumberFormat="1" applyFont="1" applyFill="1" applyBorder="1"/>
    <xf numFmtId="0" fontId="6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5" fontId="6" fillId="6" borderId="5" xfId="1" applyFont="1" applyFill="1" applyBorder="1" applyAlignment="1">
      <alignment wrapText="1"/>
    </xf>
    <xf numFmtId="165" fontId="6" fillId="6" borderId="5" xfId="1" applyFont="1" applyFill="1" applyBorder="1" applyAlignment="1">
      <alignment horizontal="center" wrapText="1"/>
    </xf>
    <xf numFmtId="165" fontId="6" fillId="6" borderId="4" xfId="1" applyFont="1" applyFill="1" applyBorder="1" applyAlignment="1">
      <alignment horizontal="center" wrapText="1"/>
    </xf>
    <xf numFmtId="171" fontId="7" fillId="4" borderId="4" xfId="0" applyNumberFormat="1" applyFont="1" applyFill="1" applyBorder="1" applyAlignment="1">
      <alignment horizontal="center" wrapText="1"/>
    </xf>
    <xf numFmtId="0" fontId="0" fillId="0" borderId="6" xfId="0" applyBorder="1"/>
    <xf numFmtId="0" fontId="0" fillId="0" borderId="36" xfId="0" applyBorder="1"/>
    <xf numFmtId="4" fontId="25" fillId="0" borderId="38" xfId="0" applyNumberFormat="1" applyFont="1" applyBorder="1" applyAlignment="1">
      <alignment horizontal="center"/>
    </xf>
    <xf numFmtId="4" fontId="25" fillId="0" borderId="11" xfId="0" applyNumberFormat="1" applyFont="1" applyBorder="1" applyAlignment="1">
      <alignment horizontal="center"/>
    </xf>
    <xf numFmtId="4" fontId="25" fillId="0" borderId="39" xfId="0" applyNumberFormat="1" applyFont="1" applyBorder="1" applyAlignment="1">
      <alignment horizontal="center"/>
    </xf>
    <xf numFmtId="4" fontId="25" fillId="0" borderId="4" xfId="0" applyNumberFormat="1" applyFont="1" applyBorder="1" applyAlignment="1">
      <alignment horizontal="center"/>
    </xf>
    <xf numFmtId="4" fontId="25" fillId="0" borderId="6" xfId="0" applyNumberFormat="1" applyFont="1" applyBorder="1" applyAlignment="1">
      <alignment horizontal="center"/>
    </xf>
    <xf numFmtId="4" fontId="25" fillId="5" borderId="4" xfId="0" applyNumberFormat="1" applyFont="1" applyFill="1" applyBorder="1" applyAlignment="1">
      <alignment horizontal="center"/>
    </xf>
    <xf numFmtId="4" fontId="25" fillId="5" borderId="6" xfId="0" applyNumberFormat="1" applyFont="1" applyFill="1" applyBorder="1" applyAlignment="1">
      <alignment horizontal="center"/>
    </xf>
    <xf numFmtId="4" fontId="25" fillId="5" borderId="9" xfId="0" applyNumberFormat="1" applyFont="1" applyFill="1" applyBorder="1" applyAlignment="1">
      <alignment horizontal="center"/>
    </xf>
    <xf numFmtId="4" fontId="25" fillId="5" borderId="12" xfId="0" applyNumberFormat="1" applyFont="1" applyFill="1" applyBorder="1" applyAlignment="1">
      <alignment horizontal="center"/>
    </xf>
    <xf numFmtId="4" fontId="25" fillId="5" borderId="11" xfId="0" applyNumberFormat="1" applyFont="1" applyFill="1" applyBorder="1" applyAlignment="1">
      <alignment horizontal="center"/>
    </xf>
    <xf numFmtId="4" fontId="25" fillId="5" borderId="14" xfId="0" applyNumberFormat="1" applyFont="1" applyFill="1" applyBorder="1" applyAlignment="1">
      <alignment horizontal="center"/>
    </xf>
    <xf numFmtId="0" fontId="26" fillId="0" borderId="21" xfId="0" applyFont="1" applyBorder="1"/>
    <xf numFmtId="4" fontId="26" fillId="0" borderId="21" xfId="0" applyNumberFormat="1" applyFont="1" applyBorder="1" applyAlignment="1">
      <alignment horizontal="center"/>
    </xf>
    <xf numFmtId="4" fontId="26" fillId="5" borderId="21" xfId="0" applyNumberFormat="1" applyFont="1" applyFill="1" applyBorder="1" applyAlignment="1">
      <alignment horizontal="center"/>
    </xf>
    <xf numFmtId="4" fontId="26" fillId="0" borderId="40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165" fontId="6" fillId="0" borderId="4" xfId="1" applyFont="1" applyBorder="1" applyAlignment="1">
      <alignment horizontal="center" vertical="center"/>
    </xf>
    <xf numFmtId="2" fontId="7" fillId="0" borderId="9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Fill="1" applyBorder="1" applyAlignment="1"/>
    <xf numFmtId="4" fontId="6" fillId="0" borderId="29" xfId="0" applyNumberFormat="1" applyFont="1" applyFill="1" applyBorder="1"/>
    <xf numFmtId="0" fontId="6" fillId="0" borderId="0" xfId="0" applyFont="1" applyFill="1" applyBorder="1"/>
    <xf numFmtId="0" fontId="5" fillId="7" borderId="1" xfId="0" applyFont="1" applyFill="1" applyBorder="1"/>
    <xf numFmtId="0" fontId="0" fillId="7" borderId="5" xfId="0" applyFill="1" applyBorder="1" applyAlignment="1">
      <alignment vertical="center"/>
    </xf>
    <xf numFmtId="0" fontId="6" fillId="3" borderId="0" xfId="0" applyFont="1" applyFill="1"/>
    <xf numFmtId="0" fontId="6" fillId="0" borderId="13" xfId="0" applyFont="1" applyBorder="1" applyAlignment="1">
      <alignment horizontal="right"/>
    </xf>
    <xf numFmtId="0" fontId="7" fillId="0" borderId="41" xfId="0" applyFont="1" applyBorder="1" applyAlignment="1">
      <alignment horizontal="right"/>
    </xf>
    <xf numFmtId="0" fontId="0" fillId="0" borderId="7" xfId="0" applyBorder="1"/>
    <xf numFmtId="0" fontId="6" fillId="0" borderId="7" xfId="0" applyFont="1" applyBorder="1"/>
    <xf numFmtId="0" fontId="6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5" fontId="21" fillId="0" borderId="4" xfId="1" quotePrefix="1" applyFont="1" applyFill="1" applyBorder="1" applyAlignment="1"/>
    <xf numFmtId="170" fontId="7" fillId="0" borderId="4" xfId="0" applyNumberFormat="1" applyFont="1" applyBorder="1"/>
    <xf numFmtId="170" fontId="5" fillId="0" borderId="4" xfId="0" applyNumberFormat="1" applyFont="1" applyBorder="1"/>
    <xf numFmtId="0" fontId="5" fillId="0" borderId="0" xfId="0" applyFont="1"/>
    <xf numFmtId="171" fontId="33" fillId="5" borderId="4" xfId="0" applyNumberFormat="1" applyFont="1" applyFill="1" applyBorder="1"/>
    <xf numFmtId="0" fontId="18" fillId="5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0" fillId="0" borderId="4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5" fontId="31" fillId="5" borderId="4" xfId="1" applyFont="1" applyFill="1" applyBorder="1"/>
    <xf numFmtId="165" fontId="35" fillId="5" borderId="4" xfId="1" applyFont="1" applyFill="1" applyBorder="1"/>
    <xf numFmtId="170" fontId="6" fillId="5" borderId="4" xfId="0" applyNumberFormat="1" applyFont="1" applyFill="1" applyBorder="1"/>
    <xf numFmtId="4" fontId="6" fillId="5" borderId="4" xfId="0" applyNumberFormat="1" applyFont="1" applyFill="1" applyBorder="1"/>
    <xf numFmtId="4" fontId="6" fillId="5" borderId="4" xfId="1" applyNumberFormat="1" applyFont="1" applyFill="1" applyBorder="1"/>
    <xf numFmtId="2" fontId="6" fillId="5" borderId="4" xfId="0" applyNumberFormat="1" applyFont="1" applyFill="1" applyBorder="1"/>
    <xf numFmtId="0" fontId="28" fillId="10" borderId="42" xfId="0" applyFont="1" applyFill="1" applyBorder="1" applyAlignment="1">
      <alignment horizontal="center"/>
    </xf>
    <xf numFmtId="0" fontId="28" fillId="10" borderId="35" xfId="0" applyFont="1" applyFill="1" applyBorder="1" applyAlignment="1">
      <alignment horizontal="center"/>
    </xf>
    <xf numFmtId="0" fontId="7" fillId="4" borderId="6" xfId="0" applyFont="1" applyFill="1" applyBorder="1" applyAlignment="1"/>
    <xf numFmtId="0" fontId="7" fillId="4" borderId="36" xfId="0" applyFont="1" applyFill="1" applyBorder="1" applyAlignment="1"/>
    <xf numFmtId="0" fontId="7" fillId="4" borderId="7" xfId="0" applyFont="1" applyFill="1" applyBorder="1" applyAlignment="1"/>
    <xf numFmtId="0" fontId="32" fillId="0" borderId="0" xfId="0" applyFont="1" applyAlignment="1"/>
    <xf numFmtId="0" fontId="7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0" fillId="0" borderId="2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6" fillId="0" borderId="0" xfId="0" applyFont="1"/>
    <xf numFmtId="170" fontId="6" fillId="0" borderId="4" xfId="1" applyNumberFormat="1" applyFont="1" applyBorder="1" applyAlignment="1">
      <alignment horizontal="right" wrapText="1"/>
    </xf>
    <xf numFmtId="170" fontId="6" fillId="0" borderId="4" xfId="0" applyNumberFormat="1" applyFont="1" applyBorder="1" applyAlignment="1">
      <alignment horizontal="right" wrapText="1"/>
    </xf>
    <xf numFmtId="170" fontId="0" fillId="0" borderId="4" xfId="0" applyNumberFormat="1" applyFont="1" applyBorder="1" applyAlignment="1">
      <alignment horizontal="right" wrapText="1"/>
    </xf>
    <xf numFmtId="170" fontId="6" fillId="0" borderId="7" xfId="2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 wrapText="1"/>
    </xf>
    <xf numFmtId="170" fontId="6" fillId="3" borderId="4" xfId="0" applyNumberFormat="1" applyFont="1" applyFill="1" applyBorder="1" applyAlignment="1">
      <alignment horizontal="right"/>
    </xf>
    <xf numFmtId="170" fontId="0" fillId="0" borderId="7" xfId="2" applyNumberFormat="1" applyFont="1" applyBorder="1" applyAlignment="1">
      <alignment horizontal="right"/>
    </xf>
    <xf numFmtId="170" fontId="0" fillId="0" borderId="4" xfId="2" applyNumberFormat="1" applyFont="1" applyBorder="1" applyAlignment="1">
      <alignment horizontal="right"/>
    </xf>
    <xf numFmtId="170" fontId="0" fillId="0" borderId="36" xfId="0" applyNumberForma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0" fillId="0" borderId="24" xfId="0" applyFont="1" applyBorder="1"/>
    <xf numFmtId="168" fontId="20" fillId="0" borderId="9" xfId="0" applyNumberFormat="1" applyFont="1" applyBorder="1"/>
    <xf numFmtId="170" fontId="20" fillId="0" borderId="9" xfId="0" applyNumberFormat="1" applyFont="1" applyBorder="1"/>
    <xf numFmtId="168" fontId="20" fillId="0" borderId="4" xfId="0" applyNumberFormat="1" applyFont="1" applyBorder="1"/>
    <xf numFmtId="169" fontId="3" fillId="0" borderId="4" xfId="3" quotePrefix="1" applyNumberFormat="1" applyBorder="1"/>
    <xf numFmtId="170" fontId="3" fillId="0" borderId="4" xfId="3" quotePrefix="1" applyNumberFormat="1" applyBorder="1" applyAlignment="1">
      <alignment horizontal="right"/>
    </xf>
    <xf numFmtId="170" fontId="3" fillId="0" borderId="4" xfId="3" quotePrefix="1" applyNumberFormat="1" applyBorder="1"/>
    <xf numFmtId="168" fontId="20" fillId="0" borderId="4" xfId="0" applyNumberFormat="1" applyFont="1" applyBorder="1" applyAlignment="1">
      <alignment horizontal="left"/>
    </xf>
    <xf numFmtId="169" fontId="20" fillId="0" borderId="4" xfId="3" quotePrefix="1" applyNumberFormat="1" applyFont="1" applyBorder="1"/>
    <xf numFmtId="169" fontId="3" fillId="0" borderId="4" xfId="3" applyNumberFormat="1" applyBorder="1"/>
    <xf numFmtId="170" fontId="3" fillId="0" borderId="4" xfId="3" applyNumberFormat="1" applyBorder="1" applyAlignment="1">
      <alignment horizontal="right"/>
    </xf>
    <xf numFmtId="170" fontId="3" fillId="0" borderId="4" xfId="3" applyNumberFormat="1" applyBorder="1"/>
    <xf numFmtId="168" fontId="20" fillId="0" borderId="4" xfId="4" applyNumberFormat="1" applyFont="1" applyBorder="1"/>
    <xf numFmtId="170" fontId="0" fillId="0" borderId="4" xfId="1" applyNumberFormat="1" applyFont="1" applyFill="1" applyBorder="1" applyAlignment="1">
      <alignment horizontal="right"/>
    </xf>
    <xf numFmtId="170" fontId="0" fillId="0" borderId="4" xfId="1" applyNumberFormat="1" applyFont="1" applyFill="1" applyBorder="1" applyAlignment="1"/>
    <xf numFmtId="171" fontId="3" fillId="0" borderId="4" xfId="3" quotePrefix="1" applyNumberFormat="1" applyBorder="1"/>
    <xf numFmtId="171" fontId="20" fillId="0" borderId="4" xfId="0" applyNumberFormat="1" applyFont="1" applyBorder="1"/>
    <xf numFmtId="0" fontId="21" fillId="0" borderId="24" xfId="0" applyFont="1" applyBorder="1"/>
    <xf numFmtId="168" fontId="21" fillId="0" borderId="4" xfId="4" applyNumberFormat="1" applyFont="1" applyBorder="1"/>
    <xf numFmtId="0" fontId="20" fillId="0" borderId="4" xfId="0" applyFont="1" applyBorder="1"/>
    <xf numFmtId="171" fontId="0" fillId="0" borderId="4" xfId="0" applyNumberFormat="1" applyBorder="1"/>
    <xf numFmtId="170" fontId="3" fillId="0" borderId="4" xfId="5" applyNumberForma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/>
    </xf>
    <xf numFmtId="171" fontId="3" fillId="0" borderId="4" xfId="0" applyNumberFormat="1" applyFont="1" applyBorder="1"/>
    <xf numFmtId="170" fontId="3" fillId="0" borderId="4" xfId="0" applyNumberFormat="1" applyFont="1" applyBorder="1"/>
    <xf numFmtId="169" fontId="3" fillId="0" borderId="4" xfId="3" quotePrefix="1" applyNumberFormat="1" applyBorder="1" applyAlignment="1">
      <alignment horizontal="right"/>
    </xf>
    <xf numFmtId="0" fontId="20" fillId="0" borderId="5" xfId="0" applyFont="1" applyBorder="1"/>
    <xf numFmtId="170" fontId="3" fillId="0" borderId="4" xfId="3" applyNumberFormat="1" applyBorder="1" applyAlignment="1">
      <alignment horizontal="right" vertical="center"/>
    </xf>
    <xf numFmtId="0" fontId="20" fillId="0" borderId="4" xfId="3" applyFont="1" applyBorder="1"/>
    <xf numFmtId="0" fontId="20" fillId="0" borderId="4" xfId="3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1" fillId="0" borderId="23" xfId="0" applyFont="1" applyBorder="1" applyAlignment="1">
      <alignment horizontal="center"/>
    </xf>
    <xf numFmtId="0" fontId="20" fillId="0" borderId="0" xfId="0" applyFont="1"/>
    <xf numFmtId="165" fontId="6" fillId="0" borderId="0" xfId="0" applyNumberFormat="1" applyFont="1"/>
    <xf numFmtId="171" fontId="7" fillId="4" borderId="0" xfId="0" applyNumberFormat="1" applyFont="1" applyFill="1" applyAlignment="1">
      <alignment horizontal="center"/>
    </xf>
    <xf numFmtId="166" fontId="6" fillId="0" borderId="4" xfId="0" applyNumberFormat="1" applyFont="1" applyBorder="1" applyAlignment="1">
      <alignment horizontal="right"/>
    </xf>
    <xf numFmtId="170" fontId="0" fillId="5" borderId="4" xfId="1" applyNumberFormat="1" applyFont="1" applyFill="1" applyBorder="1"/>
    <xf numFmtId="170" fontId="7" fillId="0" borderId="6" xfId="0" applyNumberFormat="1" applyFont="1" applyBorder="1"/>
    <xf numFmtId="170" fontId="0" fillId="5" borderId="11" xfId="1" applyNumberFormat="1" applyFont="1" applyFill="1" applyBorder="1"/>
    <xf numFmtId="170" fontId="7" fillId="0" borderId="6" xfId="1" applyNumberFormat="1" applyFont="1" applyBorder="1"/>
    <xf numFmtId="170" fontId="7" fillId="5" borderId="6" xfId="1" applyNumberFormat="1" applyFont="1" applyFill="1" applyBorder="1"/>
    <xf numFmtId="170" fontId="7" fillId="0" borderId="4" xfId="1" applyNumberFormat="1" applyFont="1" applyBorder="1"/>
    <xf numFmtId="0" fontId="0" fillId="2" borderId="4" xfId="0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9" xfId="0" applyFont="1" applyBorder="1" applyAlignment="1">
      <alignment horizontal="right"/>
    </xf>
    <xf numFmtId="2" fontId="4" fillId="0" borderId="9" xfId="0" applyNumberFormat="1" applyFont="1" applyBorder="1"/>
    <xf numFmtId="2" fontId="0" fillId="0" borderId="9" xfId="1" applyNumberFormat="1" applyFont="1" applyBorder="1" applyAlignment="1">
      <alignment horizontal="center" vertical="center"/>
    </xf>
    <xf numFmtId="0" fontId="37" fillId="0" borderId="4" xfId="0" applyFont="1" applyBorder="1"/>
    <xf numFmtId="0" fontId="37" fillId="0" borderId="13" xfId="0" applyFont="1" applyBorder="1"/>
    <xf numFmtId="2" fontId="7" fillId="0" borderId="4" xfId="0" applyNumberFormat="1" applyFont="1" applyFill="1" applyBorder="1"/>
    <xf numFmtId="2" fontId="24" fillId="9" borderId="27" xfId="0" applyNumberFormat="1" applyFont="1" applyFill="1" applyBorder="1" applyAlignment="1">
      <alignment horizontal="right" vertical="top" wrapText="1"/>
    </xf>
    <xf numFmtId="4" fontId="0" fillId="5" borderId="4" xfId="0" applyNumberForma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/>
    </xf>
    <xf numFmtId="39" fontId="22" fillId="5" borderId="9" xfId="1" applyNumberFormat="1" applyFont="1" applyFill="1" applyBorder="1" applyAlignment="1">
      <alignment horizontal="right"/>
    </xf>
    <xf numFmtId="37" fontId="22" fillId="5" borderId="9" xfId="1" applyNumberFormat="1" applyFont="1" applyFill="1" applyBorder="1" applyAlignment="1">
      <alignment horizontal="right"/>
    </xf>
    <xf numFmtId="173" fontId="22" fillId="5" borderId="9" xfId="1" applyNumberFormat="1" applyFont="1" applyFill="1" applyBorder="1" applyAlignment="1">
      <alignment horizontal="right"/>
    </xf>
    <xf numFmtId="39" fontId="22" fillId="5" borderId="4" xfId="1" applyNumberFormat="1" applyFont="1" applyFill="1" applyBorder="1" applyAlignment="1">
      <alignment horizontal="right"/>
    </xf>
    <xf numFmtId="37" fontId="22" fillId="5" borderId="4" xfId="1" applyNumberFormat="1" applyFont="1" applyFill="1" applyBorder="1" applyAlignment="1">
      <alignment horizontal="right"/>
    </xf>
    <xf numFmtId="173" fontId="22" fillId="5" borderId="4" xfId="1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center"/>
    </xf>
    <xf numFmtId="2" fontId="0" fillId="5" borderId="4" xfId="0" applyNumberFormat="1" applyFill="1" applyBorder="1"/>
    <xf numFmtId="4" fontId="0" fillId="5" borderId="11" xfId="0" applyNumberFormat="1" applyFill="1" applyBorder="1"/>
    <xf numFmtId="0" fontId="0" fillId="5" borderId="0" xfId="0" applyFill="1"/>
    <xf numFmtId="4" fontId="5" fillId="5" borderId="4" xfId="0" applyNumberFormat="1" applyFont="1" applyFill="1" applyBorder="1"/>
    <xf numFmtId="4" fontId="0" fillId="5" borderId="0" xfId="0" applyNumberFormat="1" applyFill="1"/>
    <xf numFmtId="4" fontId="0" fillId="11" borderId="4" xfId="0" applyNumberFormat="1" applyFill="1" applyBorder="1"/>
    <xf numFmtId="0" fontId="6" fillId="0" borderId="5" xfId="0" applyFont="1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5" xfId="0" applyNumberFormat="1" applyBorder="1"/>
    <xf numFmtId="4" fontId="6" fillId="5" borderId="5" xfId="1" applyNumberFormat="1" applyFont="1" applyFill="1" applyBorder="1"/>
    <xf numFmtId="170" fontId="0" fillId="0" borderId="5" xfId="0" applyNumberFormat="1" applyBorder="1"/>
    <xf numFmtId="0" fontId="0" fillId="3" borderId="4" xfId="0" applyFill="1" applyBorder="1" applyAlignment="1">
      <alignment horizontal="right"/>
    </xf>
    <xf numFmtId="43" fontId="6" fillId="0" borderId="4" xfId="0" applyNumberFormat="1" applyFont="1" applyBorder="1"/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4" fontId="25" fillId="0" borderId="37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5" borderId="4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5" borderId="11" xfId="0" applyFill="1" applyBorder="1" applyAlignment="1">
      <alignment wrapText="1"/>
    </xf>
    <xf numFmtId="4" fontId="26" fillId="0" borderId="40" xfId="0" applyNumberFormat="1" applyFont="1" applyBorder="1" applyAlignment="1">
      <alignment horizontal="right"/>
    </xf>
    <xf numFmtId="0" fontId="0" fillId="0" borderId="29" xfId="0" applyBorder="1"/>
    <xf numFmtId="0" fontId="1" fillId="0" borderId="29" xfId="0" applyFont="1" applyBorder="1"/>
    <xf numFmtId="4" fontId="1" fillId="0" borderId="29" xfId="0" applyNumberFormat="1" applyFont="1" applyBorder="1"/>
    <xf numFmtId="4" fontId="0" fillId="0" borderId="29" xfId="0" applyNumberFormat="1" applyBorder="1"/>
    <xf numFmtId="4" fontId="0" fillId="0" borderId="43" xfId="0" applyNumberFormat="1" applyBorder="1"/>
    <xf numFmtId="0" fontId="0" fillId="5" borderId="29" xfId="0" applyFill="1" applyBorder="1"/>
    <xf numFmtId="0" fontId="0" fillId="0" borderId="30" xfId="0" applyBorder="1"/>
    <xf numFmtId="4" fontId="1" fillId="0" borderId="30" xfId="0" applyNumberFormat="1" applyFont="1" applyBorder="1"/>
    <xf numFmtId="4" fontId="0" fillId="0" borderId="30" xfId="0" applyNumberFormat="1" applyBorder="1"/>
    <xf numFmtId="0" fontId="6" fillId="0" borderId="44" xfId="0" applyFont="1" applyBorder="1"/>
    <xf numFmtId="0" fontId="6" fillId="0" borderId="45" xfId="0" applyFont="1" applyBorder="1"/>
    <xf numFmtId="4" fontId="6" fillId="0" borderId="45" xfId="0" applyNumberFormat="1" applyFont="1" applyBorder="1"/>
    <xf numFmtId="0" fontId="0" fillId="0" borderId="28" xfId="0" applyBorder="1"/>
    <xf numFmtId="4" fontId="1" fillId="0" borderId="28" xfId="0" applyNumberFormat="1" applyFont="1" applyBorder="1"/>
    <xf numFmtId="4" fontId="0" fillId="0" borderId="28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4" fontId="6" fillId="3" borderId="4" xfId="0" applyNumberFormat="1" applyFont="1" applyFill="1" applyBorder="1"/>
    <xf numFmtId="2" fontId="0" fillId="3" borderId="4" xfId="0" applyNumberFormat="1" applyFill="1" applyBorder="1" applyAlignment="1">
      <alignment horizontal="right"/>
    </xf>
    <xf numFmtId="170" fontId="0" fillId="0" borderId="4" xfId="0" applyNumberFormat="1" applyFill="1" applyBorder="1"/>
    <xf numFmtId="170" fontId="0" fillId="0" borderId="6" xfId="0" applyNumberFormat="1" applyFill="1" applyBorder="1"/>
    <xf numFmtId="4" fontId="0" fillId="0" borderId="4" xfId="0" applyNumberFormat="1" applyFill="1" applyBorder="1"/>
    <xf numFmtId="165" fontId="1" fillId="0" borderId="4" xfId="1" applyFont="1" applyFill="1" applyBorder="1"/>
    <xf numFmtId="170" fontId="0" fillId="0" borderId="4" xfId="0" applyNumberFormat="1" applyFont="1" applyFill="1" applyBorder="1"/>
    <xf numFmtId="2" fontId="0" fillId="0" borderId="6" xfId="0" applyNumberFormat="1" applyFont="1" applyFill="1" applyBorder="1"/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distributed"/>
    </xf>
    <xf numFmtId="0" fontId="7" fillId="2" borderId="5" xfId="0" applyFont="1" applyFill="1" applyBorder="1" applyAlignment="1">
      <alignment horizontal="center" vertical="distributed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distributed"/>
    </xf>
    <xf numFmtId="0" fontId="10" fillId="2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vertical="distributed"/>
    </xf>
    <xf numFmtId="0" fontId="36" fillId="0" borderId="0" xfId="0" applyFont="1" applyAlignment="1">
      <alignment horizontal="center" vertical="center"/>
    </xf>
    <xf numFmtId="165" fontId="6" fillId="0" borderId="6" xfId="1" applyNumberFormat="1" applyFont="1" applyFill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6" borderId="4" xfId="0" applyFont="1" applyFill="1" applyBorder="1" applyAlignment="1">
      <alignment horizontal="center" vertical="distributed"/>
    </xf>
    <xf numFmtId="0" fontId="15" fillId="0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distributed"/>
    </xf>
    <xf numFmtId="0" fontId="7" fillId="2" borderId="1" xfId="0" applyFont="1" applyFill="1" applyBorder="1" applyAlignment="1">
      <alignment horizontal="center" vertical="distributed"/>
    </xf>
    <xf numFmtId="0" fontId="12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6" fillId="10" borderId="15" xfId="0" applyFont="1" applyFill="1" applyBorder="1" applyAlignment="1">
      <alignment horizontal="center" wrapText="1"/>
    </xf>
    <xf numFmtId="0" fontId="6" fillId="10" borderId="33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right"/>
    </xf>
    <xf numFmtId="0" fontId="27" fillId="10" borderId="15" xfId="0" applyFont="1" applyFill="1" applyBorder="1" applyAlignment="1">
      <alignment horizontal="center"/>
    </xf>
    <xf numFmtId="0" fontId="27" fillId="10" borderId="33" xfId="0" applyFont="1" applyFill="1" applyBorder="1" applyAlignment="1">
      <alignment horizontal="center"/>
    </xf>
    <xf numFmtId="0" fontId="28" fillId="10" borderId="15" xfId="0" applyFont="1" applyFill="1" applyBorder="1" applyAlignment="1">
      <alignment horizontal="center"/>
    </xf>
    <xf numFmtId="0" fontId="28" fillId="10" borderId="33" xfId="0" applyFont="1" applyFill="1" applyBorder="1" applyAlignment="1">
      <alignment horizontal="center"/>
    </xf>
    <xf numFmtId="0" fontId="27" fillId="10" borderId="34" xfId="0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0" fontId="27" fillId="10" borderId="31" xfId="0" applyFont="1" applyFill="1" applyBorder="1" applyAlignment="1">
      <alignment horizontal="center"/>
    </xf>
    <xf numFmtId="0" fontId="29" fillId="10" borderId="15" xfId="0" applyFont="1" applyFill="1" applyBorder="1" applyAlignment="1">
      <alignment horizontal="center" wrapText="1"/>
    </xf>
    <xf numFmtId="0" fontId="29" fillId="10" borderId="3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71" fontId="7" fillId="4" borderId="16" xfId="0" applyNumberFormat="1" applyFont="1" applyFill="1" applyBorder="1" applyAlignment="1">
      <alignment horizontal="center"/>
    </xf>
    <xf numFmtId="171" fontId="7" fillId="4" borderId="1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6" borderId="24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distributed"/>
    </xf>
    <xf numFmtId="0" fontId="34" fillId="2" borderId="4" xfId="0" applyFont="1" applyFill="1" applyBorder="1" applyAlignment="1">
      <alignment horizontal="center" vertical="distributed"/>
    </xf>
    <xf numFmtId="0" fontId="36" fillId="0" borderId="24" xfId="0" applyFont="1" applyBorder="1" applyAlignment="1">
      <alignment horizontal="center"/>
    </xf>
    <xf numFmtId="0" fontId="36" fillId="0" borderId="0" xfId="0" applyFont="1" applyAlignment="1">
      <alignment horizontal="center"/>
    </xf>
  </cellXfs>
  <cellStyles count="8">
    <cellStyle name="Millares" xfId="1" builtinId="3"/>
    <cellStyle name="Moneda" xfId="2" builtinId="4"/>
    <cellStyle name="Normal" xfId="0" builtinId="0"/>
    <cellStyle name="Normal 2" xfId="4"/>
    <cellStyle name="Normal 2 2" xfId="7"/>
    <cellStyle name="Normal 2 4" xfId="5"/>
    <cellStyle name="Normal 3" xfId="6"/>
    <cellStyle name="Normal 4" xfId="3"/>
  </cellStyles>
  <dxfs count="0"/>
  <tableStyles count="0" defaultTableStyle="TableStyleMedium2" defaultPivotStyle="PivotStyleLight16"/>
  <colors>
    <mruColors>
      <color rgb="FF339933"/>
      <color rgb="FF866E40"/>
      <color rgb="FF00CC00"/>
      <color rgb="FFBEFDAD"/>
      <color rgb="FF99FF33"/>
      <color rgb="FFB6F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n-US"/>
              <a:t>PROMEDIO DIA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RELLENOS'!$D$5:$D$21</c:f>
              <c:numCache>
                <c:formatCode>#,##0.000</c:formatCode>
                <c:ptCount val="17"/>
                <c:pt idx="0">
                  <c:v>9.8219178082191778</c:v>
                </c:pt>
                <c:pt idx="1">
                  <c:v>26.545616438356163</c:v>
                </c:pt>
                <c:pt idx="2">
                  <c:v>261.98930136986303</c:v>
                </c:pt>
                <c:pt idx="3">
                  <c:v>657.73432876712332</c:v>
                </c:pt>
                <c:pt idx="4">
                  <c:v>3.3972602739726026</c:v>
                </c:pt>
                <c:pt idx="5">
                  <c:v>435.07906849315066</c:v>
                </c:pt>
                <c:pt idx="6">
                  <c:v>1538.7680928767122</c:v>
                </c:pt>
                <c:pt idx="7">
                  <c:v>0</c:v>
                </c:pt>
                <c:pt idx="8">
                  <c:v>0.54657534246575346</c:v>
                </c:pt>
                <c:pt idx="9">
                  <c:v>11.038356164383561</c:v>
                </c:pt>
                <c:pt idx="10">
                  <c:v>199.55119452054788</c:v>
                </c:pt>
                <c:pt idx="11">
                  <c:v>150.84668493150684</c:v>
                </c:pt>
                <c:pt idx="12">
                  <c:v>64.106972602739745</c:v>
                </c:pt>
                <c:pt idx="13">
                  <c:v>0</c:v>
                </c:pt>
                <c:pt idx="14">
                  <c:v>0.78219178082191776</c:v>
                </c:pt>
                <c:pt idx="15" formatCode="0.00">
                  <c:v>768.11999999999989</c:v>
                </c:pt>
                <c:pt idx="16" formatCode="0.00">
                  <c:v>7.6195068493150693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85-453A-89A9-A7EFF76F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9805792"/>
        <c:axId val="349207256"/>
        <c:axId val="0"/>
      </c:bar3DChart>
      <c:catAx>
        <c:axId val="34980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49207256"/>
        <c:crosses val="autoZero"/>
        <c:auto val="1"/>
        <c:lblAlgn val="ctr"/>
        <c:lblOffset val="100"/>
        <c:noMultiLvlLbl val="0"/>
      </c:catAx>
      <c:valAx>
        <c:axId val="349207256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SV"/>
              </a:pPr>
              <a:endParaRPr lang="es-SV"/>
            </a:p>
          </c:txPr>
        </c:title>
        <c:numFmt formatCode="#,##0.000" sourceLinked="1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498057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SV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s-SV"/>
              <a:t>TOTAL DEPOSITADO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RELLENOS'!$B$5:$B$21</c:f>
              <c:numCache>
                <c:formatCode>#,##0.000</c:formatCode>
                <c:ptCount val="17"/>
                <c:pt idx="0">
                  <c:v>3585</c:v>
                </c:pt>
                <c:pt idx="1">
                  <c:v>9689.15</c:v>
                </c:pt>
                <c:pt idx="2">
                  <c:v>95626.095000000016</c:v>
                </c:pt>
                <c:pt idx="3">
                  <c:v>240073.03000000003</c:v>
                </c:pt>
                <c:pt idx="4">
                  <c:v>1240</c:v>
                </c:pt>
                <c:pt idx="5">
                  <c:v>158803.85999999999</c:v>
                </c:pt>
                <c:pt idx="6">
                  <c:v>561650.35389999999</c:v>
                </c:pt>
                <c:pt idx="7">
                  <c:v>0</c:v>
                </c:pt>
                <c:pt idx="8">
                  <c:v>199.5</c:v>
                </c:pt>
                <c:pt idx="9">
                  <c:v>4029</c:v>
                </c:pt>
                <c:pt idx="10">
                  <c:v>72836.186000000045</c:v>
                </c:pt>
                <c:pt idx="11">
                  <c:v>55059.039999999994</c:v>
                </c:pt>
                <c:pt idx="12">
                  <c:v>23399.044999999998</c:v>
                </c:pt>
                <c:pt idx="13">
                  <c:v>134.08083333333335</c:v>
                </c:pt>
                <c:pt idx="14">
                  <c:v>285.5</c:v>
                </c:pt>
                <c:pt idx="15" formatCode="_(* #,##0.00_);_(* \(#,##0.00\);_(* &quot;-&quot;??_);_(@_)">
                  <c:v>8685.4500000000007</c:v>
                </c:pt>
                <c:pt idx="16" formatCode="_(* #,##0.00_);_(* \(#,##0.00\);_(* &quot;-&quot;??_);_(@_)">
                  <c:v>2781.12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6D-473A-AF28-88194663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9207648"/>
        <c:axId val="349209216"/>
        <c:axId val="0"/>
      </c:bar3DChart>
      <c:catAx>
        <c:axId val="34920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49209216"/>
        <c:crosses val="autoZero"/>
        <c:auto val="1"/>
        <c:lblAlgn val="ctr"/>
        <c:lblOffset val="100"/>
        <c:noMultiLvlLbl val="0"/>
      </c:catAx>
      <c:valAx>
        <c:axId val="349209216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SV"/>
              </a:pPr>
              <a:endParaRPr lang="es-SV"/>
            </a:p>
          </c:txPr>
        </c:title>
        <c:numFmt formatCode="#,##0.000" sourceLinked="1"/>
        <c:majorTickMark val="none"/>
        <c:minorTickMark val="none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349207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SV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s-SV"/>
            </a:pPr>
            <a:r>
              <a:rPr lang="es-SV"/>
              <a:t>TOTAL DEPOSITADO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6145198831278145E-2"/>
          <c:y val="0.12985317670557936"/>
          <c:w val="0.56871589164561964"/>
          <c:h val="0.83921880994574038"/>
        </c:manualLayout>
      </c:layout>
      <c:doughnutChart>
        <c:varyColors val="1"/>
        <c:ser>
          <c:idx val="0"/>
          <c:order val="0"/>
          <c:cat>
            <c:strRef>
              <c:f>'DESECHOS RELLENOS'!$A$5:$A$21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KALI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RELLENOS'!$B$5:$B$21</c:f>
              <c:numCache>
                <c:formatCode>#,##0.000</c:formatCode>
                <c:ptCount val="17"/>
                <c:pt idx="0">
                  <c:v>3585</c:v>
                </c:pt>
                <c:pt idx="1">
                  <c:v>9689.15</c:v>
                </c:pt>
                <c:pt idx="2">
                  <c:v>95626.095000000016</c:v>
                </c:pt>
                <c:pt idx="3">
                  <c:v>240073.03000000003</c:v>
                </c:pt>
                <c:pt idx="4">
                  <c:v>1240</c:v>
                </c:pt>
                <c:pt idx="5">
                  <c:v>158803.85999999999</c:v>
                </c:pt>
                <c:pt idx="6">
                  <c:v>561650.35389999999</c:v>
                </c:pt>
                <c:pt idx="7">
                  <c:v>0</c:v>
                </c:pt>
                <c:pt idx="8">
                  <c:v>199.5</c:v>
                </c:pt>
                <c:pt idx="9">
                  <c:v>4029</c:v>
                </c:pt>
                <c:pt idx="10">
                  <c:v>72836.186000000045</c:v>
                </c:pt>
                <c:pt idx="11">
                  <c:v>55059.039999999994</c:v>
                </c:pt>
                <c:pt idx="12">
                  <c:v>23399.044999999998</c:v>
                </c:pt>
                <c:pt idx="13">
                  <c:v>134.08083333333335</c:v>
                </c:pt>
                <c:pt idx="14">
                  <c:v>285.5</c:v>
                </c:pt>
                <c:pt idx="15" formatCode="_(* #,##0.00_);_(* \(#,##0.00\);_(* &quot;-&quot;??_);_(@_)">
                  <c:v>8685.4500000000007</c:v>
                </c:pt>
                <c:pt idx="16" formatCode="_(* #,##0.00_);_(* \(#,##0.00\);_(* &quot;-&quot;??_);_(@_)">
                  <c:v>2781.12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A6-4281-B5BF-7886F97C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8392710345169161"/>
          <c:y val="3.2419072615923354E-2"/>
          <c:w val="0.22124416051767198"/>
          <c:h val="0.93980314960629918"/>
        </c:manualLayout>
      </c:layout>
      <c:overlay val="0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zero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104775</xdr:rowOff>
    </xdr:from>
    <xdr:to>
      <xdr:col>17</xdr:col>
      <xdr:colOff>752474</xdr:colOff>
      <xdr:row>17</xdr:row>
      <xdr:rowOff>180975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23</xdr:row>
      <xdr:rowOff>0</xdr:rowOff>
    </xdr:from>
    <xdr:to>
      <xdr:col>20</xdr:col>
      <xdr:colOff>419100</xdr:colOff>
      <xdr:row>37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95249</xdr:colOff>
      <xdr:row>38</xdr:row>
      <xdr:rowOff>180975</xdr:rowOff>
    </xdr:from>
    <xdr:to>
      <xdr:col>18</xdr:col>
      <xdr:colOff>38100</xdr:colOff>
      <xdr:row>66</xdr:row>
      <xdr:rowOff>57150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sqref="A1:XFD2"/>
    </sheetView>
  </sheetViews>
  <sheetFormatPr baseColWidth="10" defaultRowHeight="15" x14ac:dyDescent="0.25"/>
  <cols>
    <col min="1" max="1" width="17.140625" customWidth="1"/>
    <col min="2" max="2" width="23" customWidth="1"/>
    <col min="3" max="3" width="19" style="127" customWidth="1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8" x14ac:dyDescent="0.25">
      <c r="B3" s="359" t="s">
        <v>0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8" x14ac:dyDescent="0.25">
      <c r="C4" s="3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362" t="s">
        <v>1</v>
      </c>
      <c r="B5" s="364" t="s">
        <v>2</v>
      </c>
      <c r="C5" s="367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 t="s">
        <v>3</v>
      </c>
      <c r="Q5" s="357" t="s">
        <v>121</v>
      </c>
      <c r="R5" s="357" t="s">
        <v>184</v>
      </c>
    </row>
    <row r="6" spans="1:18" x14ac:dyDescent="0.25">
      <c r="A6" s="363"/>
      <c r="B6" s="365"/>
      <c r="C6" s="365"/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1" t="s">
        <v>11</v>
      </c>
      <c r="L6" s="31" t="s">
        <v>12</v>
      </c>
      <c r="M6" s="31" t="s">
        <v>13</v>
      </c>
      <c r="N6" s="31" t="s">
        <v>14</v>
      </c>
      <c r="O6" s="31" t="s">
        <v>15</v>
      </c>
      <c r="P6" s="366"/>
      <c r="Q6" s="358"/>
      <c r="R6" s="358"/>
    </row>
    <row r="7" spans="1:18" x14ac:dyDescent="0.25">
      <c r="A7" s="3" t="s">
        <v>16</v>
      </c>
      <c r="B7" s="3" t="s">
        <v>17</v>
      </c>
      <c r="C7" s="61" t="s">
        <v>361</v>
      </c>
      <c r="D7" s="59">
        <v>304</v>
      </c>
      <c r="E7" s="59">
        <v>298</v>
      </c>
      <c r="F7" s="59">
        <v>322</v>
      </c>
      <c r="G7" s="59">
        <v>322</v>
      </c>
      <c r="H7" s="59">
        <v>288</v>
      </c>
      <c r="I7" s="59">
        <v>277</v>
      </c>
      <c r="J7" s="59">
        <v>295</v>
      </c>
      <c r="K7" s="59">
        <v>278</v>
      </c>
      <c r="L7" s="59">
        <v>270</v>
      </c>
      <c r="M7" s="59">
        <v>317</v>
      </c>
      <c r="N7" s="59">
        <v>300</v>
      </c>
      <c r="O7" s="59">
        <v>314</v>
      </c>
      <c r="P7" s="60">
        <f>SUM(D7:O7)</f>
        <v>3585</v>
      </c>
      <c r="Q7" s="74">
        <f>SUM(P7/12)</f>
        <v>298.75</v>
      </c>
      <c r="R7" s="74">
        <f>SUM(P7/365)</f>
        <v>9.8219178082191778</v>
      </c>
    </row>
  </sheetData>
  <mergeCells count="10">
    <mergeCell ref="A2:R2"/>
    <mergeCell ref="A1:R1"/>
    <mergeCell ref="R5:R6"/>
    <mergeCell ref="B3:Q3"/>
    <mergeCell ref="A5:A6"/>
    <mergeCell ref="B5:B6"/>
    <mergeCell ref="D5:O5"/>
    <mergeCell ref="P5:P6"/>
    <mergeCell ref="Q5:Q6"/>
    <mergeCell ref="C5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E1" workbookViewId="0">
      <selection activeCell="S1" sqref="S1"/>
    </sheetView>
  </sheetViews>
  <sheetFormatPr baseColWidth="10" defaultColWidth="11.42578125" defaultRowHeight="15" x14ac:dyDescent="0.25"/>
  <cols>
    <col min="1" max="1" width="17.140625" style="16" customWidth="1"/>
    <col min="2" max="2" width="11.42578125" style="16"/>
    <col min="3" max="3" width="11.42578125" style="127"/>
    <col min="4" max="16384" width="11.42578125" style="16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8" x14ac:dyDescent="0.25">
      <c r="A3" s="34"/>
      <c r="B3" s="406" t="s">
        <v>202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7"/>
    </row>
    <row r="4" spans="1:18" x14ac:dyDescent="0.25">
      <c r="A4" s="17"/>
      <c r="B4" s="17"/>
      <c r="C4" s="1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x14ac:dyDescent="0.25">
      <c r="A5" s="365" t="s">
        <v>1</v>
      </c>
      <c r="B5" s="364" t="s">
        <v>2</v>
      </c>
      <c r="C5" s="209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 t="s">
        <v>3</v>
      </c>
      <c r="Q5" s="357" t="s">
        <v>121</v>
      </c>
      <c r="R5" s="357" t="s">
        <v>184</v>
      </c>
    </row>
    <row r="6" spans="1:18" ht="15.75" thickBot="1" x14ac:dyDescent="0.3">
      <c r="A6" s="365"/>
      <c r="B6" s="365"/>
      <c r="C6" s="210"/>
      <c r="D6" s="44" t="s">
        <v>4</v>
      </c>
      <c r="E6" s="44" t="s">
        <v>5</v>
      </c>
      <c r="F6" s="44" t="s">
        <v>6</v>
      </c>
      <c r="G6" s="44" t="s">
        <v>7</v>
      </c>
      <c r="H6" s="44" t="s">
        <v>8</v>
      </c>
      <c r="I6" s="44" t="s">
        <v>9</v>
      </c>
      <c r="J6" s="44" t="s">
        <v>10</v>
      </c>
      <c r="K6" s="44" t="s">
        <v>11</v>
      </c>
      <c r="L6" s="44" t="s">
        <v>12</v>
      </c>
      <c r="M6" s="44" t="s">
        <v>13</v>
      </c>
      <c r="N6" s="44" t="s">
        <v>14</v>
      </c>
      <c r="O6" s="44" t="s">
        <v>15</v>
      </c>
      <c r="P6" s="366"/>
      <c r="Q6" s="358"/>
      <c r="R6" s="358"/>
    </row>
    <row r="7" spans="1:18" ht="15.75" thickBot="1" x14ac:dyDescent="0.3">
      <c r="A7" s="4" t="s">
        <v>113</v>
      </c>
      <c r="B7" s="3" t="s">
        <v>142</v>
      </c>
      <c r="C7" s="38" t="s">
        <v>401</v>
      </c>
      <c r="D7" s="299">
        <v>370</v>
      </c>
      <c r="E7" s="299">
        <v>328.5</v>
      </c>
      <c r="F7" s="299">
        <v>382.5</v>
      </c>
      <c r="G7" s="299">
        <v>331</v>
      </c>
      <c r="H7" s="299">
        <v>361.5</v>
      </c>
      <c r="I7" s="299">
        <v>329</v>
      </c>
      <c r="J7" s="299">
        <v>329</v>
      </c>
      <c r="K7" s="299">
        <v>353</v>
      </c>
      <c r="L7" s="299">
        <v>267.5</v>
      </c>
      <c r="M7" s="299">
        <v>311.5</v>
      </c>
      <c r="N7" s="299">
        <v>335.5</v>
      </c>
      <c r="O7" s="299">
        <v>330</v>
      </c>
      <c r="P7" s="10">
        <f>SUM(D7:O7)</f>
        <v>4029</v>
      </c>
      <c r="Q7" s="74">
        <f>SUM(P7/12)</f>
        <v>335.75</v>
      </c>
      <c r="R7" s="74">
        <f>SUM(P7/365)</f>
        <v>11.038356164383561</v>
      </c>
    </row>
    <row r="8" spans="1:18" x14ac:dyDescent="0.25">
      <c r="A8" s="6"/>
      <c r="B8" s="3"/>
      <c r="C8" s="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0">
        <f>SUM(D8:O8)</f>
        <v>0</v>
      </c>
    </row>
    <row r="9" spans="1:18" x14ac:dyDescent="0.25">
      <c r="A9" s="404" t="s">
        <v>116</v>
      </c>
      <c r="B9" s="405"/>
      <c r="C9" s="212"/>
      <c r="D9" s="173">
        <f t="shared" ref="D9" si="0">SUM(D7:D8)</f>
        <v>370</v>
      </c>
      <c r="E9" s="173">
        <f t="shared" ref="E9" si="1">SUM(E7:E8)</f>
        <v>328.5</v>
      </c>
      <c r="F9" s="173">
        <f t="shared" ref="F9" si="2">SUM(F7:F8)</f>
        <v>382.5</v>
      </c>
      <c r="G9" s="173">
        <f t="shared" ref="G9" si="3">SUM(G7:G8)</f>
        <v>331</v>
      </c>
      <c r="H9" s="173">
        <f t="shared" ref="H9" si="4">SUM(H7:H8)</f>
        <v>361.5</v>
      </c>
      <c r="I9" s="173">
        <f t="shared" ref="I9" si="5">SUM(I7:I8)</f>
        <v>329</v>
      </c>
      <c r="J9" s="173">
        <f t="shared" ref="J9" si="6">SUM(J7:J8)</f>
        <v>329</v>
      </c>
      <c r="K9" s="173">
        <f t="shared" ref="K9" si="7">SUM(K7:K8)</f>
        <v>353</v>
      </c>
      <c r="L9" s="173">
        <f t="shared" ref="L9" si="8">SUM(L7:L8)</f>
        <v>267.5</v>
      </c>
      <c r="M9" s="173">
        <f t="shared" ref="M9" si="9">SUM(M7:M8)</f>
        <v>311.5</v>
      </c>
      <c r="N9" s="173">
        <f t="shared" ref="N9" si="10">SUM(N7:N8)</f>
        <v>335.5</v>
      </c>
      <c r="O9" s="173">
        <f t="shared" ref="O9" si="11">SUM(O7:O8)</f>
        <v>330</v>
      </c>
      <c r="P9" s="173">
        <f t="shared" ref="P9" si="12">SUM(P7:P8)</f>
        <v>4029</v>
      </c>
      <c r="Q9" s="74">
        <f>SUM(P9/12)</f>
        <v>335.75</v>
      </c>
      <c r="R9" s="74">
        <f>SUM(P9/365)</f>
        <v>11.038356164383561</v>
      </c>
    </row>
  </sheetData>
  <mergeCells count="10">
    <mergeCell ref="A1:R1"/>
    <mergeCell ref="A2:R2"/>
    <mergeCell ref="A9:B9"/>
    <mergeCell ref="Q5:Q6"/>
    <mergeCell ref="R5:R6"/>
    <mergeCell ref="B3:Q3"/>
    <mergeCell ref="A5:A6"/>
    <mergeCell ref="B5:B6"/>
    <mergeCell ref="D5:O5"/>
    <mergeCell ref="P5:P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XFD2"/>
    </sheetView>
  </sheetViews>
  <sheetFormatPr baseColWidth="10" defaultColWidth="11.42578125" defaultRowHeight="15" x14ac:dyDescent="0.25"/>
  <cols>
    <col min="1" max="1" width="18.5703125" style="97" customWidth="1"/>
    <col min="2" max="2" width="27.140625" style="97" customWidth="1"/>
    <col min="3" max="3" width="15.7109375" style="97" customWidth="1"/>
    <col min="4" max="5" width="9.85546875" style="97" customWidth="1"/>
    <col min="6" max="7" width="9.5703125" style="97" customWidth="1"/>
    <col min="8" max="9" width="10.42578125" style="97" bestFit="1" customWidth="1"/>
    <col min="10" max="11" width="11.42578125" style="97"/>
    <col min="12" max="13" width="9.85546875" style="97" customWidth="1"/>
    <col min="14" max="14" width="10.28515625" style="97" customWidth="1"/>
    <col min="15" max="15" width="10.140625" style="97" customWidth="1"/>
    <col min="16" max="16" width="10.5703125" style="97" customWidth="1"/>
    <col min="17" max="17" width="9.85546875" style="97" customWidth="1"/>
    <col min="18" max="18" width="9.140625" style="97" customWidth="1"/>
    <col min="19" max="16384" width="11.42578125" style="97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21" x14ac:dyDescent="0.35">
      <c r="A3" s="226"/>
      <c r="B3" s="374" t="s">
        <v>407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  <c r="Q3" s="194"/>
    </row>
    <row r="4" spans="1:18" ht="21" x14ac:dyDescent="0.3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4"/>
    </row>
    <row r="5" spans="1:18" x14ac:dyDescent="0.25">
      <c r="A5" s="223"/>
      <c r="B5" s="224"/>
      <c r="C5" s="224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224"/>
      <c r="Q5" s="225"/>
    </row>
    <row r="6" spans="1:18" x14ac:dyDescent="0.25">
      <c r="A6" s="365" t="s">
        <v>1</v>
      </c>
      <c r="B6" s="379" t="s">
        <v>2</v>
      </c>
      <c r="C6" s="379" t="s">
        <v>370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14</v>
      </c>
      <c r="O6" s="25" t="s">
        <v>15</v>
      </c>
      <c r="P6" s="14" t="s">
        <v>25</v>
      </c>
      <c r="Q6" s="15" t="s">
        <v>25</v>
      </c>
    </row>
    <row r="7" spans="1:18" ht="27" customHeight="1" x14ac:dyDescent="0.25">
      <c r="A7" s="365"/>
      <c r="B7" s="365"/>
      <c r="C7" s="36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 t="s">
        <v>120</v>
      </c>
      <c r="Q7" s="93" t="s">
        <v>121</v>
      </c>
      <c r="R7" s="94" t="s">
        <v>157</v>
      </c>
    </row>
    <row r="8" spans="1:18" x14ac:dyDescent="0.25">
      <c r="A8" s="248" t="s">
        <v>241</v>
      </c>
      <c r="B8" s="249" t="s">
        <v>241</v>
      </c>
      <c r="C8" s="248" t="s">
        <v>370</v>
      </c>
      <c r="D8" s="248">
        <v>1004.415</v>
      </c>
      <c r="E8" s="248">
        <v>890.47</v>
      </c>
      <c r="F8" s="248">
        <v>1029.7349999999999</v>
      </c>
      <c r="G8" s="248">
        <v>1088.94</v>
      </c>
      <c r="H8" s="248">
        <v>1174.4100000000001</v>
      </c>
      <c r="I8" s="248">
        <v>1105.73</v>
      </c>
      <c r="J8" s="248">
        <v>1154.925</v>
      </c>
      <c r="K8" s="248">
        <v>1205.0250000000001</v>
      </c>
      <c r="L8" s="248">
        <v>1149.405</v>
      </c>
      <c r="M8" s="248">
        <v>1255.135</v>
      </c>
      <c r="N8" s="248">
        <v>1123.27</v>
      </c>
      <c r="O8" s="248">
        <v>1162.3150000000001</v>
      </c>
      <c r="P8" s="250">
        <f t="shared" ref="P8:P62" si="0">SUM(D8:O8)</f>
        <v>13343.775000000003</v>
      </c>
      <c r="Q8" s="9">
        <f t="shared" ref="Q8:Q62" si="1">SUM(P8/12)</f>
        <v>1111.9812500000003</v>
      </c>
      <c r="R8" s="55">
        <f t="shared" ref="R8:R62" si="2">SUM(P8/365)</f>
        <v>36.558287671232883</v>
      </c>
    </row>
    <row r="9" spans="1:18" x14ac:dyDescent="0.25">
      <c r="A9" s="248" t="s">
        <v>241</v>
      </c>
      <c r="B9" s="251" t="s">
        <v>242</v>
      </c>
      <c r="C9" s="248" t="s">
        <v>370</v>
      </c>
      <c r="D9" s="248">
        <v>143.64500000000001</v>
      </c>
      <c r="E9" s="248">
        <v>132.815</v>
      </c>
      <c r="F9" s="248">
        <v>172.29</v>
      </c>
      <c r="G9" s="248">
        <v>181.46</v>
      </c>
      <c r="H9" s="248">
        <v>190.435</v>
      </c>
      <c r="I9" s="248">
        <v>181.75</v>
      </c>
      <c r="J9" s="248">
        <v>193.935</v>
      </c>
      <c r="K9" s="248">
        <v>173.45</v>
      </c>
      <c r="L9" s="248">
        <v>159.875</v>
      </c>
      <c r="M9" s="248">
        <v>183.565</v>
      </c>
      <c r="N9" s="248">
        <v>160.53</v>
      </c>
      <c r="O9" s="248">
        <v>161.37</v>
      </c>
      <c r="P9" s="250">
        <f t="shared" si="0"/>
        <v>2035.12</v>
      </c>
      <c r="Q9" s="9">
        <f t="shared" si="1"/>
        <v>169.59333333333333</v>
      </c>
      <c r="R9" s="55">
        <f t="shared" si="2"/>
        <v>5.5756712328767124</v>
      </c>
    </row>
    <row r="10" spans="1:18" x14ac:dyDescent="0.25">
      <c r="A10" s="248" t="s">
        <v>241</v>
      </c>
      <c r="B10" s="251" t="s">
        <v>243</v>
      </c>
      <c r="C10" s="248" t="s">
        <v>370</v>
      </c>
      <c r="D10" s="248">
        <v>53.36</v>
      </c>
      <c r="E10" s="248">
        <v>50.47</v>
      </c>
      <c r="F10" s="248">
        <v>69.489999999999995</v>
      </c>
      <c r="G10" s="248">
        <v>78.61</v>
      </c>
      <c r="H10" s="248">
        <v>86.905000000000001</v>
      </c>
      <c r="I10" s="248">
        <v>66.935000000000002</v>
      </c>
      <c r="J10" s="248">
        <v>76.95</v>
      </c>
      <c r="K10" s="248">
        <v>65.36</v>
      </c>
      <c r="L10" s="248">
        <v>70.174999999999997</v>
      </c>
      <c r="M10" s="248">
        <v>71.454999999999998</v>
      </c>
      <c r="N10" s="248">
        <v>63.414999999999999</v>
      </c>
      <c r="O10" s="248">
        <v>63.61</v>
      </c>
      <c r="P10" s="250">
        <f t="shared" si="0"/>
        <v>816.73500000000001</v>
      </c>
      <c r="Q10" s="9">
        <f t="shared" si="1"/>
        <v>68.061250000000001</v>
      </c>
      <c r="R10" s="55">
        <f t="shared" si="2"/>
        <v>2.2376301369863012</v>
      </c>
    </row>
    <row r="11" spans="1:18" x14ac:dyDescent="0.25">
      <c r="A11" s="248" t="s">
        <v>241</v>
      </c>
      <c r="B11" s="251" t="s">
        <v>244</v>
      </c>
      <c r="C11" s="248" t="s">
        <v>370</v>
      </c>
      <c r="D11" s="252">
        <v>100.045</v>
      </c>
      <c r="E11" s="252">
        <v>62.25</v>
      </c>
      <c r="F11" s="252">
        <v>60.704999999999998</v>
      </c>
      <c r="G11" s="252">
        <v>137.91499999999999</v>
      </c>
      <c r="H11" s="252">
        <v>89.73</v>
      </c>
      <c r="I11" s="252">
        <v>77.239999999999995</v>
      </c>
      <c r="J11" s="252">
        <v>83.33</v>
      </c>
      <c r="K11" s="252">
        <v>72.05</v>
      </c>
      <c r="L11" s="253">
        <v>77.069999999999993</v>
      </c>
      <c r="M11" s="254">
        <v>88.91</v>
      </c>
      <c r="N11" s="254">
        <v>82.99</v>
      </c>
      <c r="O11" s="254">
        <v>77.52</v>
      </c>
      <c r="P11" s="250">
        <f t="shared" si="0"/>
        <v>1009.755</v>
      </c>
      <c r="Q11" s="9">
        <f t="shared" si="1"/>
        <v>84.146249999999995</v>
      </c>
      <c r="R11" s="55">
        <f t="shared" si="2"/>
        <v>2.7664520547945206</v>
      </c>
    </row>
    <row r="12" spans="1:18" x14ac:dyDescent="0.25">
      <c r="A12" s="248" t="s">
        <v>241</v>
      </c>
      <c r="B12" s="251" t="s">
        <v>245</v>
      </c>
      <c r="C12" s="248" t="s">
        <v>370</v>
      </c>
      <c r="D12" s="252">
        <v>235.29</v>
      </c>
      <c r="E12" s="252">
        <v>203.715</v>
      </c>
      <c r="F12" s="252">
        <v>223.125</v>
      </c>
      <c r="G12" s="252">
        <v>232.17</v>
      </c>
      <c r="H12" s="252">
        <v>302.47500000000002</v>
      </c>
      <c r="I12" s="252">
        <v>239.02</v>
      </c>
      <c r="J12" s="252">
        <v>314.38</v>
      </c>
      <c r="K12" s="252">
        <v>240.61500000000001</v>
      </c>
      <c r="L12" s="253">
        <v>305.77999999999997</v>
      </c>
      <c r="M12" s="254">
        <v>270.69</v>
      </c>
      <c r="N12" s="254">
        <v>238.755</v>
      </c>
      <c r="O12" s="254">
        <v>281.37</v>
      </c>
      <c r="P12" s="250">
        <f t="shared" si="0"/>
        <v>3087.3850000000002</v>
      </c>
      <c r="Q12" s="9">
        <f t="shared" si="1"/>
        <v>257.28208333333333</v>
      </c>
      <c r="R12" s="55">
        <f t="shared" si="2"/>
        <v>8.458589041095891</v>
      </c>
    </row>
    <row r="13" spans="1:18" x14ac:dyDescent="0.25">
      <c r="A13" s="248" t="s">
        <v>241</v>
      </c>
      <c r="B13" s="251" t="s">
        <v>246</v>
      </c>
      <c r="C13" s="248" t="s">
        <v>370</v>
      </c>
      <c r="D13" s="252">
        <v>46.74</v>
      </c>
      <c r="E13" s="252">
        <v>54.64</v>
      </c>
      <c r="F13" s="252">
        <v>48.825000000000003</v>
      </c>
      <c r="G13" s="252">
        <v>82.76</v>
      </c>
      <c r="H13" s="252">
        <v>61.325000000000003</v>
      </c>
      <c r="I13" s="252">
        <v>53.094999999999999</v>
      </c>
      <c r="J13" s="252">
        <v>60.01</v>
      </c>
      <c r="K13" s="252">
        <v>63.04</v>
      </c>
      <c r="L13" s="253">
        <v>64.025000000000006</v>
      </c>
      <c r="M13" s="254">
        <v>62.26</v>
      </c>
      <c r="N13" s="254">
        <v>62.81</v>
      </c>
      <c r="O13" s="254">
        <v>61.924999999999997</v>
      </c>
      <c r="P13" s="250">
        <f t="shared" si="0"/>
        <v>721.45499999999993</v>
      </c>
      <c r="Q13" s="9">
        <f t="shared" si="1"/>
        <v>60.121249999999996</v>
      </c>
      <c r="R13" s="55">
        <f t="shared" si="2"/>
        <v>1.9765890410958902</v>
      </c>
    </row>
    <row r="14" spans="1:18" x14ac:dyDescent="0.25">
      <c r="A14" s="248" t="s">
        <v>241</v>
      </c>
      <c r="B14" s="251" t="s">
        <v>247</v>
      </c>
      <c r="C14" s="248" t="s">
        <v>370</v>
      </c>
      <c r="D14" s="252">
        <v>157.97499999999999</v>
      </c>
      <c r="E14" s="252">
        <v>127.99</v>
      </c>
      <c r="F14" s="252">
        <v>169.97</v>
      </c>
      <c r="G14" s="252">
        <v>157.74</v>
      </c>
      <c r="H14" s="252">
        <v>184.39</v>
      </c>
      <c r="I14" s="252">
        <v>182.45500000000001</v>
      </c>
      <c r="J14" s="252">
        <v>200.85</v>
      </c>
      <c r="K14" s="252">
        <v>171.36500000000001</v>
      </c>
      <c r="L14" s="253">
        <v>179.36</v>
      </c>
      <c r="M14" s="254">
        <v>178.95500000000001</v>
      </c>
      <c r="N14" s="254">
        <v>183</v>
      </c>
      <c r="O14" s="254">
        <v>111.86</v>
      </c>
      <c r="P14" s="250">
        <f t="shared" si="0"/>
        <v>2005.9099999999996</v>
      </c>
      <c r="Q14" s="9">
        <f t="shared" si="1"/>
        <v>167.15916666666664</v>
      </c>
      <c r="R14" s="55">
        <f t="shared" si="2"/>
        <v>5.4956438356164377</v>
      </c>
    </row>
    <row r="15" spans="1:18" s="199" customFormat="1" x14ac:dyDescent="0.25">
      <c r="A15" s="248" t="s">
        <v>34</v>
      </c>
      <c r="B15" s="255" t="s">
        <v>368</v>
      </c>
      <c r="C15" s="248" t="s">
        <v>370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0">
        <f t="shared" si="0"/>
        <v>0</v>
      </c>
      <c r="Q15" s="197">
        <f t="shared" si="1"/>
        <v>0</v>
      </c>
      <c r="R15" s="198">
        <f t="shared" si="2"/>
        <v>0</v>
      </c>
    </row>
    <row r="16" spans="1:18" x14ac:dyDescent="0.25">
      <c r="A16" s="248" t="s">
        <v>241</v>
      </c>
      <c r="B16" s="251" t="s">
        <v>292</v>
      </c>
      <c r="C16" s="248" t="s">
        <v>370</v>
      </c>
      <c r="D16" s="252">
        <v>25.12</v>
      </c>
      <c r="E16" s="252">
        <v>22.08</v>
      </c>
      <c r="F16" s="252">
        <v>26.875</v>
      </c>
      <c r="G16" s="252">
        <v>27.92</v>
      </c>
      <c r="H16" s="252">
        <v>30.105</v>
      </c>
      <c r="I16" s="252">
        <v>31.875</v>
      </c>
      <c r="J16" s="252">
        <v>38.515000000000001</v>
      </c>
      <c r="K16" s="252">
        <v>27.164999999999999</v>
      </c>
      <c r="L16" s="253">
        <v>32.945</v>
      </c>
      <c r="M16" s="254">
        <v>30.055</v>
      </c>
      <c r="N16" s="254">
        <v>26.03</v>
      </c>
      <c r="O16" s="254">
        <v>24.11</v>
      </c>
      <c r="P16" s="250">
        <f t="shared" si="0"/>
        <v>342.79500000000007</v>
      </c>
      <c r="Q16" s="9">
        <f t="shared" si="1"/>
        <v>28.566250000000007</v>
      </c>
      <c r="R16" s="55">
        <f t="shared" si="2"/>
        <v>0.939164383561644</v>
      </c>
    </row>
    <row r="17" spans="1:18" x14ac:dyDescent="0.25">
      <c r="A17" s="248" t="s">
        <v>241</v>
      </c>
      <c r="B17" s="251" t="s">
        <v>248</v>
      </c>
      <c r="C17" s="248" t="s">
        <v>370</v>
      </c>
      <c r="D17" s="252">
        <v>23.152000000000001</v>
      </c>
      <c r="E17" s="252">
        <v>19.625</v>
      </c>
      <c r="F17" s="252">
        <v>22.395</v>
      </c>
      <c r="G17" s="252">
        <v>29.425000000000001</v>
      </c>
      <c r="H17" s="252">
        <v>31.355</v>
      </c>
      <c r="I17" s="252">
        <v>29.78</v>
      </c>
      <c r="J17" s="252">
        <v>34.049999999999997</v>
      </c>
      <c r="K17" s="252">
        <v>26.96</v>
      </c>
      <c r="L17" s="253">
        <v>24.07</v>
      </c>
      <c r="M17" s="254">
        <v>30.085000000000001</v>
      </c>
      <c r="N17" s="254">
        <v>24.86</v>
      </c>
      <c r="O17" s="254">
        <v>24.02</v>
      </c>
      <c r="P17" s="250">
        <f t="shared" si="0"/>
        <v>319.77699999999999</v>
      </c>
      <c r="Q17" s="9">
        <f t="shared" si="1"/>
        <v>26.648083333333332</v>
      </c>
      <c r="R17" s="55">
        <f t="shared" si="2"/>
        <v>0.87610136986301368</v>
      </c>
    </row>
    <row r="18" spans="1:18" x14ac:dyDescent="0.25">
      <c r="A18" s="248" t="s">
        <v>241</v>
      </c>
      <c r="B18" s="251" t="s">
        <v>249</v>
      </c>
      <c r="C18" s="248" t="s">
        <v>370</v>
      </c>
      <c r="D18" s="252">
        <v>305.16500000000002</v>
      </c>
      <c r="E18" s="252">
        <v>270.02999999999997</v>
      </c>
      <c r="F18" s="252">
        <v>292.80500000000001</v>
      </c>
      <c r="G18" s="252">
        <v>325.06</v>
      </c>
      <c r="H18" s="252">
        <v>360.5</v>
      </c>
      <c r="I18" s="252">
        <v>357.9</v>
      </c>
      <c r="J18" s="252">
        <v>379.77499999999998</v>
      </c>
      <c r="K18" s="252">
        <v>362.26499999999999</v>
      </c>
      <c r="L18" s="253">
        <v>334.625</v>
      </c>
      <c r="M18" s="254">
        <v>358.43</v>
      </c>
      <c r="N18" s="254">
        <v>325.125</v>
      </c>
      <c r="O18" s="254">
        <v>327.48500000000001</v>
      </c>
      <c r="P18" s="250">
        <f t="shared" si="0"/>
        <v>3999.165</v>
      </c>
      <c r="Q18" s="9">
        <f t="shared" si="1"/>
        <v>333.26375000000002</v>
      </c>
      <c r="R18" s="55">
        <f t="shared" si="2"/>
        <v>10.956616438356164</v>
      </c>
    </row>
    <row r="19" spans="1:18" x14ac:dyDescent="0.25">
      <c r="A19" s="248" t="s">
        <v>241</v>
      </c>
      <c r="B19" s="251" t="s">
        <v>250</v>
      </c>
      <c r="C19" s="248" t="s">
        <v>370</v>
      </c>
      <c r="D19" s="252">
        <v>111.465</v>
      </c>
      <c r="E19" s="252">
        <v>98.07</v>
      </c>
      <c r="F19" s="252">
        <v>112.32</v>
      </c>
      <c r="G19" s="252">
        <v>133.815</v>
      </c>
      <c r="H19" s="252">
        <v>143.65</v>
      </c>
      <c r="I19" s="252">
        <v>132.88499999999999</v>
      </c>
      <c r="J19" s="252">
        <v>137.47999999999999</v>
      </c>
      <c r="K19" s="252">
        <v>125.675</v>
      </c>
      <c r="L19" s="253">
        <v>119.855</v>
      </c>
      <c r="M19" s="254">
        <v>146.685</v>
      </c>
      <c r="N19" s="254">
        <v>121.11</v>
      </c>
      <c r="O19" s="254">
        <v>127.005</v>
      </c>
      <c r="P19" s="250">
        <f t="shared" si="0"/>
        <v>1510.0149999999999</v>
      </c>
      <c r="Q19" s="9">
        <f t="shared" si="1"/>
        <v>125.83458333333333</v>
      </c>
      <c r="R19" s="55">
        <f t="shared" si="2"/>
        <v>4.1370273972602734</v>
      </c>
    </row>
    <row r="20" spans="1:18" x14ac:dyDescent="0.25">
      <c r="A20" s="248" t="s">
        <v>109</v>
      </c>
      <c r="B20" s="251" t="s">
        <v>251</v>
      </c>
      <c r="C20" s="248" t="s">
        <v>370</v>
      </c>
      <c r="D20" s="252">
        <v>42.895000000000003</v>
      </c>
      <c r="E20" s="252">
        <v>39.075000000000003</v>
      </c>
      <c r="F20" s="252">
        <v>48.195</v>
      </c>
      <c r="G20" s="252">
        <v>45.15</v>
      </c>
      <c r="H20" s="252">
        <v>50.344999999999999</v>
      </c>
      <c r="I20" s="252">
        <v>44.384999999999998</v>
      </c>
      <c r="J20" s="252">
        <v>55.195</v>
      </c>
      <c r="K20" s="252">
        <v>47.57</v>
      </c>
      <c r="L20" s="253">
        <v>47.73</v>
      </c>
      <c r="M20" s="254">
        <v>51.085000000000001</v>
      </c>
      <c r="N20" s="254">
        <v>49.15</v>
      </c>
      <c r="O20" s="254">
        <v>45.475000000000001</v>
      </c>
      <c r="P20" s="250">
        <f t="shared" si="0"/>
        <v>566.25</v>
      </c>
      <c r="Q20" s="9">
        <f t="shared" si="1"/>
        <v>47.1875</v>
      </c>
      <c r="R20" s="55">
        <f t="shared" si="2"/>
        <v>1.5513698630136987</v>
      </c>
    </row>
    <row r="21" spans="1:18" x14ac:dyDescent="0.25">
      <c r="A21" s="248" t="s">
        <v>241</v>
      </c>
      <c r="B21" s="251" t="s">
        <v>252</v>
      </c>
      <c r="C21" s="248" t="s">
        <v>370</v>
      </c>
      <c r="D21" s="252">
        <v>49.024999999999999</v>
      </c>
      <c r="E21" s="252">
        <v>44.575000000000003</v>
      </c>
      <c r="F21" s="252">
        <v>48.134999999999998</v>
      </c>
      <c r="G21" s="252">
        <v>49.87</v>
      </c>
      <c r="H21" s="252">
        <v>58.88</v>
      </c>
      <c r="I21" s="252">
        <v>53.265000000000001</v>
      </c>
      <c r="J21" s="252">
        <v>56.835000000000001</v>
      </c>
      <c r="K21" s="252">
        <v>58.49</v>
      </c>
      <c r="L21" s="253">
        <v>57.085000000000001</v>
      </c>
      <c r="M21" s="254">
        <v>62.92</v>
      </c>
      <c r="N21" s="254">
        <v>55.7</v>
      </c>
      <c r="O21" s="254">
        <v>53.534999999999997</v>
      </c>
      <c r="P21" s="250">
        <f t="shared" si="0"/>
        <v>648.31499999999994</v>
      </c>
      <c r="Q21" s="9">
        <f t="shared" si="1"/>
        <v>54.026249999999997</v>
      </c>
      <c r="R21" s="55">
        <f t="shared" si="2"/>
        <v>1.7762054794520545</v>
      </c>
    </row>
    <row r="22" spans="1:18" x14ac:dyDescent="0.25">
      <c r="A22" s="248" t="s">
        <v>241</v>
      </c>
      <c r="B22" s="251" t="s">
        <v>253</v>
      </c>
      <c r="C22" s="248" t="s">
        <v>370</v>
      </c>
      <c r="D22" s="252">
        <v>23.675000000000001</v>
      </c>
      <c r="E22" s="252">
        <v>18.484999999999999</v>
      </c>
      <c r="F22" s="252">
        <v>16.734999999999999</v>
      </c>
      <c r="G22" s="252">
        <v>19.079999999999998</v>
      </c>
      <c r="H22" s="252">
        <v>30.19</v>
      </c>
      <c r="I22" s="252">
        <v>26.19</v>
      </c>
      <c r="J22" s="252">
        <v>29.96</v>
      </c>
      <c r="K22" s="252">
        <v>22.315000000000001</v>
      </c>
      <c r="L22" s="253">
        <v>24.77</v>
      </c>
      <c r="M22" s="254">
        <v>28.745000000000001</v>
      </c>
      <c r="N22" s="254">
        <v>22.91</v>
      </c>
      <c r="O22" s="254">
        <v>18.625</v>
      </c>
      <c r="P22" s="250">
        <f t="shared" si="0"/>
        <v>281.68</v>
      </c>
      <c r="Q22" s="9">
        <f t="shared" si="1"/>
        <v>23.473333333333333</v>
      </c>
      <c r="R22" s="55">
        <f t="shared" si="2"/>
        <v>0.77172602739726026</v>
      </c>
    </row>
    <row r="23" spans="1:18" x14ac:dyDescent="0.25">
      <c r="A23" s="248" t="s">
        <v>109</v>
      </c>
      <c r="B23" s="251" t="s">
        <v>254</v>
      </c>
      <c r="C23" s="248" t="s">
        <v>370</v>
      </c>
      <c r="D23" s="252">
        <v>74.97</v>
      </c>
      <c r="E23" s="252">
        <v>70.709999999999994</v>
      </c>
      <c r="F23" s="252">
        <v>77.11</v>
      </c>
      <c r="G23" s="252">
        <v>81.02</v>
      </c>
      <c r="H23" s="252">
        <v>93.625</v>
      </c>
      <c r="I23" s="252">
        <v>69.84</v>
      </c>
      <c r="J23" s="252">
        <v>93.02</v>
      </c>
      <c r="K23" s="252">
        <v>64.265000000000001</v>
      </c>
      <c r="L23" s="253">
        <v>79.97</v>
      </c>
      <c r="M23" s="254">
        <v>83.87</v>
      </c>
      <c r="N23" s="254">
        <v>80.105000000000004</v>
      </c>
      <c r="O23" s="254">
        <v>82.935000000000002</v>
      </c>
      <c r="P23" s="250">
        <f t="shared" si="0"/>
        <v>951.44</v>
      </c>
      <c r="Q23" s="9">
        <f t="shared" si="1"/>
        <v>79.286666666666676</v>
      </c>
      <c r="R23" s="55">
        <f t="shared" si="2"/>
        <v>2.6066849315068494</v>
      </c>
    </row>
    <row r="24" spans="1:18" x14ac:dyDescent="0.25">
      <c r="A24" s="248" t="s">
        <v>109</v>
      </c>
      <c r="B24" s="251" t="s">
        <v>255</v>
      </c>
      <c r="C24" s="248" t="s">
        <v>370</v>
      </c>
      <c r="D24" s="252">
        <v>90.96</v>
      </c>
      <c r="E24" s="252">
        <v>83.74</v>
      </c>
      <c r="F24" s="252">
        <v>89.36</v>
      </c>
      <c r="G24" s="252">
        <v>102.32</v>
      </c>
      <c r="H24" s="252">
        <v>119.355</v>
      </c>
      <c r="I24" s="252">
        <v>97.114999999999995</v>
      </c>
      <c r="J24" s="252">
        <v>101.625</v>
      </c>
      <c r="K24" s="252">
        <v>100.065</v>
      </c>
      <c r="L24" s="253">
        <v>96.204999999999998</v>
      </c>
      <c r="M24" s="254">
        <v>102.96</v>
      </c>
      <c r="N24" s="254">
        <v>112.435</v>
      </c>
      <c r="O24" s="254">
        <v>100.69</v>
      </c>
      <c r="P24" s="250">
        <f t="shared" si="0"/>
        <v>1196.8300000000002</v>
      </c>
      <c r="Q24" s="9">
        <f t="shared" si="1"/>
        <v>99.735833333333346</v>
      </c>
      <c r="R24" s="55">
        <f t="shared" si="2"/>
        <v>3.2789863013698635</v>
      </c>
    </row>
    <row r="25" spans="1:18" x14ac:dyDescent="0.25">
      <c r="A25" s="248" t="s">
        <v>371</v>
      </c>
      <c r="B25" s="251" t="s">
        <v>256</v>
      </c>
      <c r="C25" s="248" t="s">
        <v>370</v>
      </c>
      <c r="D25" s="252">
        <v>43.93</v>
      </c>
      <c r="E25" s="252">
        <v>44.515000000000001</v>
      </c>
      <c r="F25" s="252">
        <v>46.765000000000001</v>
      </c>
      <c r="G25" s="252">
        <v>48.835000000000001</v>
      </c>
      <c r="H25" s="252">
        <v>59.37</v>
      </c>
      <c r="I25" s="252">
        <v>54.994999999999997</v>
      </c>
      <c r="J25" s="252">
        <v>57.36</v>
      </c>
      <c r="K25" s="252">
        <v>50.27</v>
      </c>
      <c r="L25" s="253">
        <v>45.16</v>
      </c>
      <c r="M25" s="254">
        <v>51.945</v>
      </c>
      <c r="N25" s="254">
        <v>51.534999999999997</v>
      </c>
      <c r="O25" s="254">
        <v>49.354999999999997</v>
      </c>
      <c r="P25" s="250">
        <f t="shared" si="0"/>
        <v>604.03499999999997</v>
      </c>
      <c r="Q25" s="9">
        <f t="shared" si="1"/>
        <v>50.33625</v>
      </c>
      <c r="R25" s="55">
        <f t="shared" si="2"/>
        <v>1.654890410958904</v>
      </c>
    </row>
    <row r="26" spans="1:18" x14ac:dyDescent="0.25">
      <c r="A26" s="248" t="s">
        <v>241</v>
      </c>
      <c r="B26" s="251" t="s">
        <v>257</v>
      </c>
      <c r="C26" s="248" t="s">
        <v>370</v>
      </c>
      <c r="D26" s="252">
        <v>52.994999999999997</v>
      </c>
      <c r="E26" s="252">
        <v>51.46</v>
      </c>
      <c r="F26" s="252">
        <v>62.18</v>
      </c>
      <c r="G26" s="252">
        <v>66.88</v>
      </c>
      <c r="H26" s="252">
        <v>76.930000000000007</v>
      </c>
      <c r="I26" s="252">
        <v>67.239999999999995</v>
      </c>
      <c r="J26" s="252">
        <v>74.87</v>
      </c>
      <c r="K26" s="252">
        <v>76.94</v>
      </c>
      <c r="L26" s="253">
        <v>66.784999999999997</v>
      </c>
      <c r="M26" s="254">
        <v>62.174999999999997</v>
      </c>
      <c r="N26" s="254">
        <v>65.385000000000005</v>
      </c>
      <c r="O26" s="254">
        <v>59.615000000000002</v>
      </c>
      <c r="P26" s="250">
        <f t="shared" si="0"/>
        <v>783.45499999999993</v>
      </c>
      <c r="Q26" s="9">
        <f t="shared" si="1"/>
        <v>65.287916666666661</v>
      </c>
      <c r="R26" s="55">
        <f t="shared" si="2"/>
        <v>2.1464520547945205</v>
      </c>
    </row>
    <row r="27" spans="1:18" x14ac:dyDescent="0.25">
      <c r="A27" s="248" t="s">
        <v>241</v>
      </c>
      <c r="B27" s="251" t="s">
        <v>258</v>
      </c>
      <c r="C27" s="248" t="s">
        <v>370</v>
      </c>
      <c r="D27" s="252">
        <v>56.314999999999998</v>
      </c>
      <c r="E27" s="252">
        <v>45.83</v>
      </c>
      <c r="F27" s="252">
        <v>49.865000000000002</v>
      </c>
      <c r="G27" s="252">
        <v>58.344999999999999</v>
      </c>
      <c r="H27" s="252">
        <v>63.39</v>
      </c>
      <c r="I27" s="252">
        <v>58.92</v>
      </c>
      <c r="J27" s="252">
        <v>78.694999999999993</v>
      </c>
      <c r="K27" s="252">
        <v>68.555000000000007</v>
      </c>
      <c r="L27" s="253">
        <v>59.37</v>
      </c>
      <c r="M27" s="254">
        <v>65.19</v>
      </c>
      <c r="N27" s="254">
        <v>58.134999999999998</v>
      </c>
      <c r="O27" s="254">
        <v>60.12</v>
      </c>
      <c r="P27" s="250">
        <f t="shared" si="0"/>
        <v>722.7299999999999</v>
      </c>
      <c r="Q27" s="9">
        <f t="shared" si="1"/>
        <v>60.227499999999992</v>
      </c>
      <c r="R27" s="55">
        <f t="shared" si="2"/>
        <v>1.9800821917808216</v>
      </c>
    </row>
    <row r="28" spans="1:18" x14ac:dyDescent="0.25">
      <c r="A28" s="248" t="s">
        <v>109</v>
      </c>
      <c r="B28" s="251" t="s">
        <v>259</v>
      </c>
      <c r="C28" s="248" t="s">
        <v>370</v>
      </c>
      <c r="D28" s="252">
        <v>51.45</v>
      </c>
      <c r="E28" s="252">
        <v>56.33</v>
      </c>
      <c r="F28" s="252">
        <v>64.144999999999996</v>
      </c>
      <c r="G28" s="252">
        <v>65.245000000000005</v>
      </c>
      <c r="H28" s="252">
        <v>79.5</v>
      </c>
      <c r="I28" s="252">
        <v>71.484999999999999</v>
      </c>
      <c r="J28" s="252">
        <v>76.56</v>
      </c>
      <c r="K28" s="252">
        <v>66.504999999999995</v>
      </c>
      <c r="L28" s="253">
        <v>69.27</v>
      </c>
      <c r="M28" s="254">
        <v>69.77</v>
      </c>
      <c r="N28" s="254">
        <v>67.83</v>
      </c>
      <c r="O28" s="254">
        <v>62.98</v>
      </c>
      <c r="P28" s="250">
        <f t="shared" si="0"/>
        <v>801.07</v>
      </c>
      <c r="Q28" s="9">
        <f t="shared" si="1"/>
        <v>66.755833333333342</v>
      </c>
      <c r="R28" s="55">
        <f t="shared" si="2"/>
        <v>2.1947123287671233</v>
      </c>
    </row>
    <row r="29" spans="1:18" x14ac:dyDescent="0.25">
      <c r="A29" s="248" t="s">
        <v>109</v>
      </c>
      <c r="B29" s="251" t="s">
        <v>260</v>
      </c>
      <c r="C29" s="248" t="s">
        <v>370</v>
      </c>
      <c r="D29" s="252">
        <v>132.255</v>
      </c>
      <c r="E29" s="252">
        <v>115.95</v>
      </c>
      <c r="F29" s="252">
        <v>126.91500000000001</v>
      </c>
      <c r="G29" s="252">
        <v>146.51499999999999</v>
      </c>
      <c r="H29" s="252">
        <v>156.41</v>
      </c>
      <c r="I29" s="252">
        <v>151.13499999999999</v>
      </c>
      <c r="J29" s="252">
        <v>153.72</v>
      </c>
      <c r="K29" s="252">
        <v>150.4</v>
      </c>
      <c r="L29" s="253">
        <v>132.215</v>
      </c>
      <c r="M29" s="254">
        <v>148.08500000000001</v>
      </c>
      <c r="N29" s="254">
        <v>131.19999999999999</v>
      </c>
      <c r="O29" s="254">
        <v>136.44</v>
      </c>
      <c r="P29" s="250">
        <f t="shared" si="0"/>
        <v>1681.24</v>
      </c>
      <c r="Q29" s="9">
        <f t="shared" si="1"/>
        <v>140.10333333333332</v>
      </c>
      <c r="R29" s="55">
        <f t="shared" si="2"/>
        <v>4.6061369863013697</v>
      </c>
    </row>
    <row r="30" spans="1:18" x14ac:dyDescent="0.25">
      <c r="A30" s="248" t="s">
        <v>241</v>
      </c>
      <c r="B30" s="251" t="s">
        <v>261</v>
      </c>
      <c r="C30" s="248" t="s">
        <v>370</v>
      </c>
      <c r="D30" s="252">
        <v>22.734999999999999</v>
      </c>
      <c r="E30" s="252">
        <v>20.844999999999999</v>
      </c>
      <c r="F30" s="252">
        <v>23.29</v>
      </c>
      <c r="G30" s="252">
        <v>24.265000000000001</v>
      </c>
      <c r="H30" s="252">
        <v>28.535</v>
      </c>
      <c r="I30" s="252">
        <v>23.635000000000002</v>
      </c>
      <c r="J30" s="252">
        <v>27.645</v>
      </c>
      <c r="K30" s="252">
        <v>25.14</v>
      </c>
      <c r="L30" s="253">
        <v>23.015000000000001</v>
      </c>
      <c r="M30" s="254">
        <v>22.56</v>
      </c>
      <c r="N30" s="254">
        <v>23.09</v>
      </c>
      <c r="O30" s="254">
        <v>21.285</v>
      </c>
      <c r="P30" s="250">
        <f t="shared" si="0"/>
        <v>286.04000000000002</v>
      </c>
      <c r="Q30" s="9">
        <f t="shared" si="1"/>
        <v>23.83666666666667</v>
      </c>
      <c r="R30" s="55">
        <f t="shared" si="2"/>
        <v>0.78367123287671236</v>
      </c>
    </row>
    <row r="31" spans="1:18" x14ac:dyDescent="0.25">
      <c r="A31" s="248" t="s">
        <v>109</v>
      </c>
      <c r="B31" s="251" t="s">
        <v>262</v>
      </c>
      <c r="C31" s="248" t="s">
        <v>370</v>
      </c>
      <c r="D31" s="252">
        <v>51.32</v>
      </c>
      <c r="E31" s="252">
        <v>47.03</v>
      </c>
      <c r="F31" s="252">
        <v>53.43</v>
      </c>
      <c r="G31" s="252">
        <v>59.494999999999997</v>
      </c>
      <c r="H31" s="252">
        <v>65.14</v>
      </c>
      <c r="I31" s="252">
        <v>53.155000000000001</v>
      </c>
      <c r="J31" s="252">
        <v>60.45</v>
      </c>
      <c r="K31" s="252">
        <v>57.82</v>
      </c>
      <c r="L31" s="253">
        <v>54.83</v>
      </c>
      <c r="M31" s="254">
        <v>58.75</v>
      </c>
      <c r="N31" s="254">
        <v>53.884999999999998</v>
      </c>
      <c r="O31" s="254">
        <v>49.98</v>
      </c>
      <c r="P31" s="250">
        <f t="shared" si="0"/>
        <v>665.28500000000008</v>
      </c>
      <c r="Q31" s="9">
        <f t="shared" si="1"/>
        <v>55.440416666666671</v>
      </c>
      <c r="R31" s="55">
        <f t="shared" si="2"/>
        <v>1.8226986301369865</v>
      </c>
    </row>
    <row r="32" spans="1:18" x14ac:dyDescent="0.25">
      <c r="A32" s="248" t="s">
        <v>241</v>
      </c>
      <c r="B32" s="251" t="s">
        <v>263</v>
      </c>
      <c r="C32" s="248" t="s">
        <v>370</v>
      </c>
      <c r="D32" s="252">
        <v>215.16499999999999</v>
      </c>
      <c r="E32" s="252">
        <v>192.93</v>
      </c>
      <c r="F32" s="252">
        <v>210.185</v>
      </c>
      <c r="G32" s="252">
        <v>224.72</v>
      </c>
      <c r="H32" s="252">
        <v>266.89499999999998</v>
      </c>
      <c r="I32" s="252">
        <v>233.10499999999999</v>
      </c>
      <c r="J32" s="252">
        <v>252.12</v>
      </c>
      <c r="K32" s="252">
        <v>227.33</v>
      </c>
      <c r="L32" s="253">
        <v>225.75</v>
      </c>
      <c r="M32" s="254">
        <v>254.55</v>
      </c>
      <c r="N32" s="254">
        <v>274.38499999999999</v>
      </c>
      <c r="O32" s="254">
        <v>238.47499999999999</v>
      </c>
      <c r="P32" s="250">
        <f t="shared" si="0"/>
        <v>2815.61</v>
      </c>
      <c r="Q32" s="9">
        <f t="shared" si="1"/>
        <v>234.63416666666669</v>
      </c>
      <c r="R32" s="55">
        <f t="shared" si="2"/>
        <v>7.7140000000000004</v>
      </c>
    </row>
    <row r="33" spans="1:18" x14ac:dyDescent="0.25">
      <c r="A33" s="248" t="s">
        <v>109</v>
      </c>
      <c r="B33" s="251" t="s">
        <v>264</v>
      </c>
      <c r="C33" s="248" t="s">
        <v>370</v>
      </c>
      <c r="D33" s="252">
        <v>42.34</v>
      </c>
      <c r="E33" s="252">
        <v>39.984999999999999</v>
      </c>
      <c r="F33" s="252">
        <v>47.424999999999997</v>
      </c>
      <c r="G33" s="252">
        <v>53.61</v>
      </c>
      <c r="H33" s="252">
        <v>57.39</v>
      </c>
      <c r="I33" s="252">
        <v>46.854999999999997</v>
      </c>
      <c r="J33" s="252">
        <v>54.795000000000002</v>
      </c>
      <c r="K33" s="252">
        <v>49.284999999999997</v>
      </c>
      <c r="L33" s="253">
        <v>52.255000000000003</v>
      </c>
      <c r="M33" s="254">
        <v>55.765000000000001</v>
      </c>
      <c r="N33" s="254">
        <v>51.38</v>
      </c>
      <c r="O33" s="254">
        <v>51.325000000000003</v>
      </c>
      <c r="P33" s="250">
        <f t="shared" si="0"/>
        <v>602.41000000000008</v>
      </c>
      <c r="Q33" s="9">
        <f t="shared" si="1"/>
        <v>50.200833333333343</v>
      </c>
      <c r="R33" s="55">
        <f t="shared" si="2"/>
        <v>1.6504383561643838</v>
      </c>
    </row>
    <row r="34" spans="1:18" x14ac:dyDescent="0.25">
      <c r="A34" s="248" t="s">
        <v>241</v>
      </c>
      <c r="B34" s="251" t="s">
        <v>265</v>
      </c>
      <c r="C34" s="248" t="s">
        <v>370</v>
      </c>
      <c r="D34" s="252">
        <v>88.185000000000002</v>
      </c>
      <c r="E34" s="252">
        <v>83.59</v>
      </c>
      <c r="F34" s="252">
        <v>95.21</v>
      </c>
      <c r="G34" s="252">
        <v>96.484999999999999</v>
      </c>
      <c r="H34" s="252">
        <v>117.81</v>
      </c>
      <c r="I34" s="252">
        <v>98.674999999999997</v>
      </c>
      <c r="J34" s="252">
        <v>109.54</v>
      </c>
      <c r="K34" s="252">
        <v>97.155000000000001</v>
      </c>
      <c r="L34" s="253">
        <v>94.44</v>
      </c>
      <c r="M34" s="254">
        <v>97.655000000000001</v>
      </c>
      <c r="N34" s="254">
        <v>96.06</v>
      </c>
      <c r="O34" s="254">
        <v>93.355000000000004</v>
      </c>
      <c r="P34" s="250">
        <f t="shared" si="0"/>
        <v>1168.1599999999999</v>
      </c>
      <c r="Q34" s="9">
        <f t="shared" si="1"/>
        <v>97.34666666666665</v>
      </c>
      <c r="R34" s="55">
        <f t="shared" si="2"/>
        <v>3.200438356164383</v>
      </c>
    </row>
    <row r="35" spans="1:18" x14ac:dyDescent="0.25">
      <c r="A35" s="248" t="s">
        <v>109</v>
      </c>
      <c r="B35" s="251" t="s">
        <v>266</v>
      </c>
      <c r="C35" s="248" t="s">
        <v>370</v>
      </c>
      <c r="D35" s="252">
        <v>104.38500000000001</v>
      </c>
      <c r="E35" s="252">
        <v>107.02</v>
      </c>
      <c r="F35" s="252">
        <v>87.924999999999997</v>
      </c>
      <c r="G35" s="252">
        <v>104.285</v>
      </c>
      <c r="H35" s="252">
        <v>150.07499999999999</v>
      </c>
      <c r="I35" s="252">
        <v>123.56</v>
      </c>
      <c r="J35" s="252">
        <v>115.342</v>
      </c>
      <c r="K35" s="252">
        <v>114.79</v>
      </c>
      <c r="L35" s="253">
        <v>111.13</v>
      </c>
      <c r="M35" s="254">
        <v>137.08000000000001</v>
      </c>
      <c r="N35" s="254">
        <v>143.27000000000001</v>
      </c>
      <c r="O35" s="254">
        <v>107.99</v>
      </c>
      <c r="P35" s="250">
        <f t="shared" si="0"/>
        <v>1406.8519999999999</v>
      </c>
      <c r="Q35" s="9">
        <f t="shared" si="1"/>
        <v>117.23766666666666</v>
      </c>
      <c r="R35" s="55">
        <f t="shared" si="2"/>
        <v>3.8543890410958901</v>
      </c>
    </row>
    <row r="36" spans="1:18" x14ac:dyDescent="0.25">
      <c r="A36" s="248" t="s">
        <v>241</v>
      </c>
      <c r="B36" s="251" t="s">
        <v>267</v>
      </c>
      <c r="C36" s="248" t="s">
        <v>370</v>
      </c>
      <c r="D36" s="252">
        <v>59.36</v>
      </c>
      <c r="E36" s="252">
        <v>67.495000000000005</v>
      </c>
      <c r="F36" s="252">
        <v>66.86</v>
      </c>
      <c r="G36" s="252">
        <v>85.69</v>
      </c>
      <c r="H36" s="252">
        <v>75.984999999999999</v>
      </c>
      <c r="I36" s="252">
        <v>77.77</v>
      </c>
      <c r="J36" s="252">
        <v>95.685000000000002</v>
      </c>
      <c r="K36" s="252">
        <v>70.650000000000006</v>
      </c>
      <c r="L36" s="253">
        <v>80.67</v>
      </c>
      <c r="M36" s="254">
        <v>86.125</v>
      </c>
      <c r="N36" s="254">
        <v>80.92</v>
      </c>
      <c r="O36" s="254">
        <v>76.834999999999994</v>
      </c>
      <c r="P36" s="250">
        <f t="shared" si="0"/>
        <v>924.04499999999996</v>
      </c>
      <c r="Q36" s="9">
        <f t="shared" si="1"/>
        <v>77.003749999999997</v>
      </c>
      <c r="R36" s="55">
        <f t="shared" si="2"/>
        <v>2.5316301369863012</v>
      </c>
    </row>
    <row r="37" spans="1:18" x14ac:dyDescent="0.25">
      <c r="A37" s="248" t="s">
        <v>109</v>
      </c>
      <c r="B37" s="251" t="s">
        <v>268</v>
      </c>
      <c r="C37" s="248" t="s">
        <v>370</v>
      </c>
      <c r="D37" s="252">
        <v>79.91</v>
      </c>
      <c r="E37" s="252">
        <v>69.31</v>
      </c>
      <c r="F37" s="252">
        <v>82.625</v>
      </c>
      <c r="G37" s="252">
        <v>100.15</v>
      </c>
      <c r="H37" s="252">
        <v>95.754999999999995</v>
      </c>
      <c r="I37" s="252">
        <v>104.25</v>
      </c>
      <c r="J37" s="252">
        <v>95.704999999999998</v>
      </c>
      <c r="K37" s="252">
        <v>98.685000000000002</v>
      </c>
      <c r="L37" s="253">
        <v>88.11</v>
      </c>
      <c r="M37" s="254">
        <v>100.425</v>
      </c>
      <c r="N37" s="254">
        <v>91.26</v>
      </c>
      <c r="O37" s="254">
        <v>84.715000000000003</v>
      </c>
      <c r="P37" s="250">
        <f t="shared" si="0"/>
        <v>1090.9000000000001</v>
      </c>
      <c r="Q37" s="9">
        <f t="shared" si="1"/>
        <v>90.908333333333346</v>
      </c>
      <c r="R37" s="55">
        <f t="shared" si="2"/>
        <v>2.9887671232876714</v>
      </c>
    </row>
    <row r="38" spans="1:18" x14ac:dyDescent="0.25">
      <c r="A38" s="248" t="s">
        <v>241</v>
      </c>
      <c r="B38" s="251" t="s">
        <v>269</v>
      </c>
      <c r="C38" s="248" t="s">
        <v>370</v>
      </c>
      <c r="D38" s="252">
        <v>19.72</v>
      </c>
      <c r="E38" s="252">
        <v>15.005000000000001</v>
      </c>
      <c r="F38" s="252">
        <v>15.535</v>
      </c>
      <c r="G38" s="252">
        <v>17.465</v>
      </c>
      <c r="H38" s="252">
        <v>19.504999999999999</v>
      </c>
      <c r="I38" s="252">
        <v>20.9</v>
      </c>
      <c r="J38" s="252">
        <v>18.03</v>
      </c>
      <c r="K38" s="252">
        <v>21.35</v>
      </c>
      <c r="L38" s="253">
        <v>18.905000000000001</v>
      </c>
      <c r="M38" s="254">
        <v>19.829999999999998</v>
      </c>
      <c r="N38" s="254">
        <v>17.225000000000001</v>
      </c>
      <c r="O38" s="254">
        <v>16.965</v>
      </c>
      <c r="P38" s="250">
        <f t="shared" si="0"/>
        <v>220.435</v>
      </c>
      <c r="Q38" s="9">
        <f t="shared" si="1"/>
        <v>18.369583333333335</v>
      </c>
      <c r="R38" s="55">
        <f t="shared" si="2"/>
        <v>0.60393150684931507</v>
      </c>
    </row>
    <row r="39" spans="1:18" x14ac:dyDescent="0.25">
      <c r="A39" s="248" t="s">
        <v>109</v>
      </c>
      <c r="B39" s="251" t="s">
        <v>270</v>
      </c>
      <c r="C39" s="248" t="s">
        <v>370</v>
      </c>
      <c r="D39" s="252">
        <v>192.27</v>
      </c>
      <c r="E39" s="252">
        <v>167.82</v>
      </c>
      <c r="F39" s="252">
        <v>212</v>
      </c>
      <c r="G39" s="252">
        <v>218.94</v>
      </c>
      <c r="H39" s="252">
        <v>225.42500000000001</v>
      </c>
      <c r="I39" s="252">
        <v>214.24</v>
      </c>
      <c r="J39" s="252">
        <v>223.91</v>
      </c>
      <c r="K39" s="252">
        <v>234.655</v>
      </c>
      <c r="L39" s="253">
        <v>221.46</v>
      </c>
      <c r="M39" s="254">
        <v>241.53</v>
      </c>
      <c r="N39" s="254">
        <v>223.96</v>
      </c>
      <c r="O39" s="254">
        <v>224.14</v>
      </c>
      <c r="P39" s="250">
        <f t="shared" si="0"/>
        <v>2600.35</v>
      </c>
      <c r="Q39" s="9">
        <f t="shared" si="1"/>
        <v>216.69583333333333</v>
      </c>
      <c r="R39" s="55">
        <f t="shared" si="2"/>
        <v>7.1242465753424655</v>
      </c>
    </row>
    <row r="40" spans="1:18" x14ac:dyDescent="0.25">
      <c r="A40" s="248" t="s">
        <v>241</v>
      </c>
      <c r="B40" s="251" t="s">
        <v>271</v>
      </c>
      <c r="C40" s="248" t="s">
        <v>370</v>
      </c>
      <c r="D40" s="252">
        <v>213.61</v>
      </c>
      <c r="E40" s="252">
        <v>175.78</v>
      </c>
      <c r="F40" s="252">
        <v>188.04499999999999</v>
      </c>
      <c r="G40" s="252">
        <v>210.19499999999999</v>
      </c>
      <c r="H40" s="252">
        <v>249.73500000000001</v>
      </c>
      <c r="I40" s="252">
        <v>239.55500000000001</v>
      </c>
      <c r="J40" s="252">
        <v>276.63499999999999</v>
      </c>
      <c r="K40" s="252">
        <v>251.52</v>
      </c>
      <c r="L40" s="253">
        <v>224.44499999999999</v>
      </c>
      <c r="M40" s="254">
        <v>252.60499999999999</v>
      </c>
      <c r="N40" s="254">
        <v>221.26499999999999</v>
      </c>
      <c r="O40" s="254">
        <v>221.39</v>
      </c>
      <c r="P40" s="250">
        <f t="shared" si="0"/>
        <v>2724.7799999999993</v>
      </c>
      <c r="Q40" s="9">
        <f t="shared" si="1"/>
        <v>227.06499999999994</v>
      </c>
      <c r="R40" s="55">
        <f t="shared" si="2"/>
        <v>7.4651506849315048</v>
      </c>
    </row>
    <row r="41" spans="1:18" x14ac:dyDescent="0.25">
      <c r="A41" s="248" t="s">
        <v>241</v>
      </c>
      <c r="B41" s="251" t="s">
        <v>272</v>
      </c>
      <c r="C41" s="248" t="s">
        <v>370</v>
      </c>
      <c r="D41" s="252">
        <v>18.89</v>
      </c>
      <c r="E41" s="252">
        <v>17.855</v>
      </c>
      <c r="F41" s="252">
        <v>23.36</v>
      </c>
      <c r="G41" s="252">
        <v>22.57</v>
      </c>
      <c r="H41" s="252">
        <v>30.11</v>
      </c>
      <c r="I41" s="252">
        <v>25.225000000000001</v>
      </c>
      <c r="J41" s="252">
        <v>33.204999999999998</v>
      </c>
      <c r="K41" s="252">
        <v>27.835000000000001</v>
      </c>
      <c r="L41" s="253">
        <v>29.07</v>
      </c>
      <c r="M41" s="254">
        <v>28.52</v>
      </c>
      <c r="N41" s="254">
        <v>25.324999999999999</v>
      </c>
      <c r="O41" s="254">
        <v>20.68</v>
      </c>
      <c r="P41" s="250">
        <f t="shared" si="0"/>
        <v>302.64500000000004</v>
      </c>
      <c r="Q41" s="9">
        <f t="shared" si="1"/>
        <v>25.220416666666669</v>
      </c>
      <c r="R41" s="55">
        <f t="shared" si="2"/>
        <v>0.8291643835616439</v>
      </c>
    </row>
    <row r="42" spans="1:18" x14ac:dyDescent="0.25">
      <c r="A42" s="248" t="s">
        <v>241</v>
      </c>
      <c r="B42" s="251" t="s">
        <v>273</v>
      </c>
      <c r="C42" s="248" t="s">
        <v>370</v>
      </c>
      <c r="D42" s="252">
        <v>47.37</v>
      </c>
      <c r="E42" s="252">
        <v>47.75</v>
      </c>
      <c r="F42" s="252">
        <v>61.34</v>
      </c>
      <c r="G42" s="252">
        <v>54.79</v>
      </c>
      <c r="H42" s="252">
        <v>66.334999999999994</v>
      </c>
      <c r="I42" s="252">
        <v>54.68</v>
      </c>
      <c r="J42" s="252">
        <v>60.84</v>
      </c>
      <c r="K42" s="252">
        <v>63.375</v>
      </c>
      <c r="L42" s="253">
        <v>73.069999999999993</v>
      </c>
      <c r="M42" s="254">
        <v>64.825000000000003</v>
      </c>
      <c r="N42" s="254">
        <v>58.94</v>
      </c>
      <c r="O42" s="254">
        <v>56.844999999999999</v>
      </c>
      <c r="P42" s="250">
        <f t="shared" si="0"/>
        <v>710.16000000000008</v>
      </c>
      <c r="Q42" s="9">
        <f t="shared" si="1"/>
        <v>59.180000000000007</v>
      </c>
      <c r="R42" s="55">
        <f t="shared" si="2"/>
        <v>1.9456438356164385</v>
      </c>
    </row>
    <row r="43" spans="1:18" x14ac:dyDescent="0.25">
      <c r="A43" s="248" t="s">
        <v>23</v>
      </c>
      <c r="B43" s="251" t="s">
        <v>274</v>
      </c>
      <c r="C43" s="248" t="s">
        <v>370</v>
      </c>
      <c r="D43" s="252">
        <v>35.92</v>
      </c>
      <c r="E43" s="252">
        <v>30.405000000000001</v>
      </c>
      <c r="F43" s="252">
        <v>30.265000000000001</v>
      </c>
      <c r="G43" s="252">
        <v>34.314999999999998</v>
      </c>
      <c r="H43" s="252">
        <v>35.984999999999999</v>
      </c>
      <c r="I43" s="252">
        <v>31.42</v>
      </c>
      <c r="J43" s="252">
        <v>36.604999999999997</v>
      </c>
      <c r="K43" s="252">
        <v>34.090000000000003</v>
      </c>
      <c r="L43" s="253">
        <v>33.465000000000003</v>
      </c>
      <c r="M43" s="254">
        <v>38.515000000000001</v>
      </c>
      <c r="N43" s="254">
        <v>34.18</v>
      </c>
      <c r="O43" s="254">
        <v>31.53</v>
      </c>
      <c r="P43" s="250">
        <f t="shared" si="0"/>
        <v>406.69500000000005</v>
      </c>
      <c r="Q43" s="9">
        <f t="shared" si="1"/>
        <v>33.891250000000007</v>
      </c>
      <c r="R43" s="55">
        <f t="shared" si="2"/>
        <v>1.1142328767123288</v>
      </c>
    </row>
    <row r="44" spans="1:18" x14ac:dyDescent="0.25">
      <c r="A44" s="248" t="s">
        <v>109</v>
      </c>
      <c r="B44" s="251" t="s">
        <v>275</v>
      </c>
      <c r="C44" s="248" t="s">
        <v>370</v>
      </c>
      <c r="D44" s="252">
        <v>35.69</v>
      </c>
      <c r="E44" s="252">
        <v>37.65</v>
      </c>
      <c r="F44" s="252">
        <v>39.6</v>
      </c>
      <c r="G44" s="252">
        <v>44.405000000000001</v>
      </c>
      <c r="H44" s="252">
        <v>57.274999999999999</v>
      </c>
      <c r="I44" s="252">
        <v>47.914999999999999</v>
      </c>
      <c r="J44" s="252">
        <v>50.63</v>
      </c>
      <c r="K44" s="252">
        <v>43.484999999999999</v>
      </c>
      <c r="L44" s="253">
        <v>48.54</v>
      </c>
      <c r="M44" s="254">
        <v>48.06</v>
      </c>
      <c r="N44" s="254">
        <v>46.42</v>
      </c>
      <c r="O44" s="254">
        <v>41.87</v>
      </c>
      <c r="P44" s="250">
        <f t="shared" si="0"/>
        <v>541.54000000000008</v>
      </c>
      <c r="Q44" s="9">
        <f t="shared" si="1"/>
        <v>45.128333333333337</v>
      </c>
      <c r="R44" s="55">
        <f t="shared" si="2"/>
        <v>1.4836712328767125</v>
      </c>
    </row>
    <row r="45" spans="1:18" x14ac:dyDescent="0.25">
      <c r="A45" s="248" t="s">
        <v>23</v>
      </c>
      <c r="B45" s="251" t="s">
        <v>276</v>
      </c>
      <c r="C45" s="248" t="s">
        <v>370</v>
      </c>
      <c r="D45" s="252">
        <v>183.35</v>
      </c>
      <c r="E45" s="252">
        <v>178.11500000000001</v>
      </c>
      <c r="F45" s="252">
        <v>188.96</v>
      </c>
      <c r="G45" s="252">
        <v>237.69</v>
      </c>
      <c r="H45" s="252">
        <v>264.24</v>
      </c>
      <c r="I45" s="252">
        <v>243.49</v>
      </c>
      <c r="J45" s="252">
        <v>277.95499999999998</v>
      </c>
      <c r="K45" s="252">
        <v>264.54000000000002</v>
      </c>
      <c r="L45" s="253">
        <v>263.7</v>
      </c>
      <c r="M45" s="254">
        <v>307.19499999999999</v>
      </c>
      <c r="N45" s="254">
        <v>260.07</v>
      </c>
      <c r="O45" s="254">
        <v>250.52</v>
      </c>
      <c r="P45" s="250">
        <f t="shared" si="0"/>
        <v>2919.8250000000003</v>
      </c>
      <c r="Q45" s="9">
        <f t="shared" si="1"/>
        <v>243.31875000000002</v>
      </c>
      <c r="R45" s="55">
        <f t="shared" si="2"/>
        <v>7.9995205479452061</v>
      </c>
    </row>
    <row r="46" spans="1:18" x14ac:dyDescent="0.25">
      <c r="A46" s="248" t="s">
        <v>109</v>
      </c>
      <c r="B46" s="251" t="s">
        <v>277</v>
      </c>
      <c r="C46" s="248" t="s">
        <v>370</v>
      </c>
      <c r="D46" s="257">
        <v>137.5</v>
      </c>
      <c r="E46" s="257">
        <v>124.715</v>
      </c>
      <c r="F46" s="257">
        <v>152.815</v>
      </c>
      <c r="G46" s="257">
        <v>202.97499999999999</v>
      </c>
      <c r="H46" s="257">
        <v>180.55</v>
      </c>
      <c r="I46" s="257">
        <v>153.845</v>
      </c>
      <c r="J46" s="257">
        <v>173.19</v>
      </c>
      <c r="K46" s="257">
        <v>158</v>
      </c>
      <c r="L46" s="258">
        <v>144.88499999999999</v>
      </c>
      <c r="M46" s="259">
        <v>159.80500000000001</v>
      </c>
      <c r="N46" s="259">
        <v>144.27500000000001</v>
      </c>
      <c r="O46" s="259">
        <v>146.45500000000001</v>
      </c>
      <c r="P46" s="250">
        <f t="shared" si="0"/>
        <v>1879.0100000000002</v>
      </c>
      <c r="Q46" s="9">
        <f t="shared" si="1"/>
        <v>156.58416666666668</v>
      </c>
      <c r="R46" s="55">
        <f t="shared" si="2"/>
        <v>5.1479726027397268</v>
      </c>
    </row>
    <row r="47" spans="1:18" x14ac:dyDescent="0.25">
      <c r="A47" s="248" t="s">
        <v>113</v>
      </c>
      <c r="B47" s="251" t="s">
        <v>278</v>
      </c>
      <c r="C47" s="248" t="s">
        <v>370</v>
      </c>
      <c r="D47" s="252">
        <v>401.81</v>
      </c>
      <c r="E47" s="252">
        <v>352.45499999999998</v>
      </c>
      <c r="F47" s="252">
        <v>390.67</v>
      </c>
      <c r="G47" s="252">
        <v>408.60500000000002</v>
      </c>
      <c r="H47" s="252">
        <v>449.82499999999999</v>
      </c>
      <c r="I47" s="252">
        <v>418.77</v>
      </c>
      <c r="J47" s="252">
        <v>432.40499999999997</v>
      </c>
      <c r="K47" s="252">
        <v>410.44</v>
      </c>
      <c r="L47" s="253">
        <v>420.125</v>
      </c>
      <c r="M47" s="254">
        <v>422.255</v>
      </c>
      <c r="N47" s="254">
        <v>414.315</v>
      </c>
      <c r="O47" s="254">
        <v>409.29500000000002</v>
      </c>
      <c r="P47" s="250">
        <f t="shared" si="0"/>
        <v>4930.9699999999993</v>
      </c>
      <c r="Q47" s="9">
        <f t="shared" si="1"/>
        <v>410.91416666666663</v>
      </c>
      <c r="R47" s="55">
        <f t="shared" si="2"/>
        <v>13.509506849315066</v>
      </c>
    </row>
    <row r="48" spans="1:18" x14ac:dyDescent="0.25">
      <c r="A48" s="248" t="s">
        <v>239</v>
      </c>
      <c r="B48" s="260" t="s">
        <v>293</v>
      </c>
      <c r="C48" s="248" t="s">
        <v>370</v>
      </c>
      <c r="D48" s="145">
        <v>73.040000000000006</v>
      </c>
      <c r="E48" s="145">
        <v>65.31</v>
      </c>
      <c r="F48" s="145">
        <v>90.025000000000006</v>
      </c>
      <c r="G48" s="145">
        <v>96.355000000000004</v>
      </c>
      <c r="H48" s="145">
        <v>81.790000000000006</v>
      </c>
      <c r="I48" s="145">
        <v>80.62</v>
      </c>
      <c r="J48" s="145">
        <v>86.885000000000005</v>
      </c>
      <c r="K48" s="145">
        <v>84.07</v>
      </c>
      <c r="L48" s="261">
        <v>83.844999999999999</v>
      </c>
      <c r="M48" s="262">
        <v>86.5</v>
      </c>
      <c r="N48" s="262">
        <v>71.91</v>
      </c>
      <c r="O48" s="262">
        <v>73.33</v>
      </c>
      <c r="P48" s="250">
        <f t="shared" si="0"/>
        <v>973.68000000000006</v>
      </c>
      <c r="Q48" s="9">
        <f t="shared" si="1"/>
        <v>81.14</v>
      </c>
      <c r="R48" s="55">
        <f t="shared" si="2"/>
        <v>2.6676164383561645</v>
      </c>
    </row>
    <row r="49" spans="1:18" x14ac:dyDescent="0.25">
      <c r="A49" s="248" t="s">
        <v>113</v>
      </c>
      <c r="B49" s="251" t="s">
        <v>279</v>
      </c>
      <c r="C49" s="248" t="s">
        <v>370</v>
      </c>
      <c r="D49" s="263">
        <v>41.375</v>
      </c>
      <c r="E49" s="263">
        <v>34.4</v>
      </c>
      <c r="F49" s="263">
        <v>40.475000000000001</v>
      </c>
      <c r="G49" s="263">
        <v>44</v>
      </c>
      <c r="H49" s="263">
        <v>49.83</v>
      </c>
      <c r="I49" s="263">
        <v>40.729999999999997</v>
      </c>
      <c r="J49" s="263">
        <v>48.204999999999998</v>
      </c>
      <c r="K49" s="263">
        <v>42.715000000000003</v>
      </c>
      <c r="L49" s="253">
        <v>45.1</v>
      </c>
      <c r="M49" s="254">
        <v>40.965000000000003</v>
      </c>
      <c r="N49" s="254">
        <v>46.44</v>
      </c>
      <c r="O49" s="254">
        <v>42.05</v>
      </c>
      <c r="P49" s="250">
        <f t="shared" si="0"/>
        <v>516.28500000000008</v>
      </c>
      <c r="Q49" s="9">
        <f t="shared" si="1"/>
        <v>43.023750000000007</v>
      </c>
      <c r="R49" s="55">
        <f t="shared" si="2"/>
        <v>1.4144794520547948</v>
      </c>
    </row>
    <row r="50" spans="1:18" x14ac:dyDescent="0.25">
      <c r="A50" s="248" t="s">
        <v>113</v>
      </c>
      <c r="B50" s="251" t="s">
        <v>280</v>
      </c>
      <c r="C50" s="248" t="s">
        <v>370</v>
      </c>
      <c r="D50" s="263">
        <v>34.69</v>
      </c>
      <c r="E50" s="263">
        <v>31.375</v>
      </c>
      <c r="F50" s="263">
        <v>35.454999999999998</v>
      </c>
      <c r="G50" s="263">
        <v>38.645000000000003</v>
      </c>
      <c r="H50" s="263">
        <v>42.615000000000002</v>
      </c>
      <c r="I50" s="263">
        <v>36.29</v>
      </c>
      <c r="J50" s="263">
        <v>43.58</v>
      </c>
      <c r="K50" s="263">
        <v>37.954999999999998</v>
      </c>
      <c r="L50" s="253">
        <v>36.344999999999999</v>
      </c>
      <c r="M50" s="254">
        <v>39.335000000000001</v>
      </c>
      <c r="N50" s="254">
        <v>40.045000000000002</v>
      </c>
      <c r="O50" s="254">
        <v>35.04</v>
      </c>
      <c r="P50" s="250">
        <f t="shared" si="0"/>
        <v>451.36999999999995</v>
      </c>
      <c r="Q50" s="9">
        <f t="shared" si="1"/>
        <v>37.614166666666662</v>
      </c>
      <c r="R50" s="55">
        <f t="shared" si="2"/>
        <v>1.2366301369863013</v>
      </c>
    </row>
    <row r="51" spans="1:18" x14ac:dyDescent="0.25">
      <c r="A51" s="248" t="s">
        <v>113</v>
      </c>
      <c r="B51" s="251" t="s">
        <v>281</v>
      </c>
      <c r="C51" s="248" t="s">
        <v>370</v>
      </c>
      <c r="D51" s="252">
        <v>24.6</v>
      </c>
      <c r="E51" s="252">
        <v>16.14</v>
      </c>
      <c r="F51" s="252">
        <v>21.954999999999998</v>
      </c>
      <c r="G51" s="252">
        <v>22.69</v>
      </c>
      <c r="H51" s="252">
        <v>28.33</v>
      </c>
      <c r="I51" s="252">
        <v>21.984999999999999</v>
      </c>
      <c r="J51" s="252">
        <v>24.135000000000002</v>
      </c>
      <c r="K51" s="252">
        <v>20.170000000000002</v>
      </c>
      <c r="L51" s="253">
        <v>24.88</v>
      </c>
      <c r="M51" s="254">
        <v>26.045000000000002</v>
      </c>
      <c r="N51" s="254">
        <v>23.695</v>
      </c>
      <c r="O51" s="254">
        <v>21.204999999999998</v>
      </c>
      <c r="P51" s="250">
        <f t="shared" si="0"/>
        <v>275.83</v>
      </c>
      <c r="Q51" s="9">
        <f t="shared" si="1"/>
        <v>22.985833333333332</v>
      </c>
      <c r="R51" s="55">
        <f t="shared" si="2"/>
        <v>0.75569863013698624</v>
      </c>
    </row>
    <row r="52" spans="1:18" x14ac:dyDescent="0.25">
      <c r="A52" s="248" t="s">
        <v>113</v>
      </c>
      <c r="B52" s="251" t="s">
        <v>282</v>
      </c>
      <c r="C52" s="248" t="s">
        <v>370</v>
      </c>
      <c r="D52" s="252">
        <v>16.524999999999999</v>
      </c>
      <c r="E52" s="252">
        <v>13.29</v>
      </c>
      <c r="F52" s="252">
        <v>13.77</v>
      </c>
      <c r="G52" s="252">
        <v>17.77</v>
      </c>
      <c r="H52" s="252">
        <v>22.13</v>
      </c>
      <c r="I52" s="252">
        <v>17.524999999999999</v>
      </c>
      <c r="J52" s="252">
        <v>19.579999999999998</v>
      </c>
      <c r="K52" s="252">
        <v>18.035</v>
      </c>
      <c r="L52" s="253">
        <v>17.010000000000002</v>
      </c>
      <c r="M52" s="254">
        <v>20.61</v>
      </c>
      <c r="N52" s="254">
        <v>15.865</v>
      </c>
      <c r="O52" s="254">
        <v>16.489999999999998</v>
      </c>
      <c r="P52" s="250">
        <f t="shared" si="0"/>
        <v>208.60000000000002</v>
      </c>
      <c r="Q52" s="9">
        <f t="shared" si="1"/>
        <v>17.383333333333336</v>
      </c>
      <c r="R52" s="55">
        <f t="shared" si="2"/>
        <v>0.57150684931506857</v>
      </c>
    </row>
    <row r="53" spans="1:18" s="199" customFormat="1" x14ac:dyDescent="0.25">
      <c r="A53" s="248" t="s">
        <v>239</v>
      </c>
      <c r="B53" s="251" t="s">
        <v>283</v>
      </c>
      <c r="C53" s="248" t="s">
        <v>370</v>
      </c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50">
        <f t="shared" si="0"/>
        <v>0</v>
      </c>
      <c r="Q53" s="197">
        <f t="shared" si="1"/>
        <v>0</v>
      </c>
      <c r="R53" s="198">
        <f t="shared" si="2"/>
        <v>0</v>
      </c>
    </row>
    <row r="54" spans="1:18" x14ac:dyDescent="0.25">
      <c r="A54" s="248" t="s">
        <v>113</v>
      </c>
      <c r="B54" s="251" t="s">
        <v>284</v>
      </c>
      <c r="C54" s="248" t="s">
        <v>370</v>
      </c>
      <c r="D54" s="263">
        <v>26.22</v>
      </c>
      <c r="E54" s="263">
        <v>27.8</v>
      </c>
      <c r="F54" s="263">
        <v>24.65</v>
      </c>
      <c r="G54" s="263">
        <v>31.49</v>
      </c>
      <c r="H54" s="263">
        <v>36.01</v>
      </c>
      <c r="I54" s="263">
        <v>29.582999999999998</v>
      </c>
      <c r="J54" s="263">
        <v>36.549999999999997</v>
      </c>
      <c r="K54" s="263">
        <v>36.090000000000003</v>
      </c>
      <c r="L54" s="253">
        <v>44.055</v>
      </c>
      <c r="M54" s="254">
        <v>48.914999999999999</v>
      </c>
      <c r="N54" s="254">
        <v>41.164999999999999</v>
      </c>
      <c r="O54" s="254">
        <v>40.950000000000003</v>
      </c>
      <c r="P54" s="250">
        <f t="shared" si="0"/>
        <v>423.47800000000001</v>
      </c>
      <c r="Q54" s="9">
        <f t="shared" si="1"/>
        <v>35.289833333333334</v>
      </c>
      <c r="R54" s="55">
        <f t="shared" si="2"/>
        <v>1.160213698630137</v>
      </c>
    </row>
    <row r="55" spans="1:18" x14ac:dyDescent="0.25">
      <c r="A55" s="248" t="s">
        <v>113</v>
      </c>
      <c r="B55" s="251" t="s">
        <v>285</v>
      </c>
      <c r="C55" s="248" t="s">
        <v>370</v>
      </c>
      <c r="D55" s="263">
        <v>5.96</v>
      </c>
      <c r="E55" s="263">
        <v>5.4749999999999996</v>
      </c>
      <c r="F55" s="263">
        <v>6.11</v>
      </c>
      <c r="G55" s="263">
        <v>8.1950000000000003</v>
      </c>
      <c r="H55" s="263">
        <v>7.1849999999999996</v>
      </c>
      <c r="I55" s="263">
        <v>6.4050000000000002</v>
      </c>
      <c r="J55" s="263">
        <v>9.9</v>
      </c>
      <c r="K55" s="263">
        <v>6.7750000000000004</v>
      </c>
      <c r="L55" s="253">
        <v>8.9450000000000003</v>
      </c>
      <c r="M55" s="254">
        <v>6.8449999999999998</v>
      </c>
      <c r="N55" s="254">
        <v>9.9550000000000001</v>
      </c>
      <c r="O55" s="254">
        <v>7.8049999999999997</v>
      </c>
      <c r="P55" s="250">
        <f t="shared" si="0"/>
        <v>89.554999999999978</v>
      </c>
      <c r="Q55" s="9">
        <f t="shared" si="1"/>
        <v>7.4629166666666649</v>
      </c>
      <c r="R55" s="55">
        <f t="shared" si="2"/>
        <v>0.24535616438356159</v>
      </c>
    </row>
    <row r="56" spans="1:18" x14ac:dyDescent="0.25">
      <c r="A56" s="248" t="s">
        <v>109</v>
      </c>
      <c r="B56" s="251" t="s">
        <v>286</v>
      </c>
      <c r="C56" s="248" t="s">
        <v>370</v>
      </c>
      <c r="D56" s="263">
        <v>32.22</v>
      </c>
      <c r="E56" s="263">
        <v>29.42</v>
      </c>
      <c r="F56" s="263">
        <v>31.225000000000001</v>
      </c>
      <c r="G56" s="263">
        <v>37.545000000000002</v>
      </c>
      <c r="H56" s="263">
        <v>34.94</v>
      </c>
      <c r="I56" s="263">
        <v>35.155000000000001</v>
      </c>
      <c r="J56" s="263">
        <v>35.69</v>
      </c>
      <c r="K56" s="263">
        <v>35.79</v>
      </c>
      <c r="L56" s="253">
        <v>31.79</v>
      </c>
      <c r="M56" s="254">
        <v>36.405000000000001</v>
      </c>
      <c r="N56" s="254">
        <v>44.74</v>
      </c>
      <c r="O56" s="254">
        <v>32.865000000000002</v>
      </c>
      <c r="P56" s="250">
        <f t="shared" si="0"/>
        <v>417.78500000000008</v>
      </c>
      <c r="Q56" s="9">
        <f t="shared" si="1"/>
        <v>34.815416666666671</v>
      </c>
      <c r="R56" s="55">
        <f t="shared" si="2"/>
        <v>1.1446164383561646</v>
      </c>
    </row>
    <row r="57" spans="1:18" s="199" customFormat="1" x14ac:dyDescent="0.25">
      <c r="A57" s="248" t="s">
        <v>109</v>
      </c>
      <c r="B57" s="251" t="s">
        <v>287</v>
      </c>
      <c r="C57" s="248" t="s">
        <v>370</v>
      </c>
      <c r="D57" s="263">
        <v>32.42</v>
      </c>
      <c r="E57" s="263">
        <v>24.97</v>
      </c>
      <c r="F57" s="263">
        <v>22.51</v>
      </c>
      <c r="G57" s="263">
        <v>29.73</v>
      </c>
      <c r="H57" s="263">
        <v>37.75</v>
      </c>
      <c r="I57" s="263">
        <v>26.135000000000002</v>
      </c>
      <c r="J57" s="263">
        <v>29.395</v>
      </c>
      <c r="K57" s="263">
        <v>27.315000000000001</v>
      </c>
      <c r="L57" s="253">
        <v>26.83</v>
      </c>
      <c r="M57" s="254">
        <v>36.94</v>
      </c>
      <c r="N57" s="254">
        <v>28.42</v>
      </c>
      <c r="O57" s="254">
        <v>28.664999999999999</v>
      </c>
      <c r="P57" s="250">
        <f t="shared" si="0"/>
        <v>351.08000000000004</v>
      </c>
      <c r="Q57" s="197">
        <f t="shared" si="1"/>
        <v>29.256666666666671</v>
      </c>
      <c r="R57" s="198">
        <f t="shared" si="2"/>
        <v>0.96186301369863025</v>
      </c>
    </row>
    <row r="58" spans="1:18" x14ac:dyDescent="0.25">
      <c r="A58" s="248" t="s">
        <v>239</v>
      </c>
      <c r="B58" s="251" t="s">
        <v>288</v>
      </c>
      <c r="C58" s="248" t="s">
        <v>370</v>
      </c>
      <c r="D58" s="263">
        <v>28.94</v>
      </c>
      <c r="E58" s="263">
        <v>25.66</v>
      </c>
      <c r="F58" s="263">
        <v>28.8</v>
      </c>
      <c r="G58" s="263">
        <v>35.450000000000003</v>
      </c>
      <c r="H58" s="263">
        <v>34.22</v>
      </c>
      <c r="I58" s="263">
        <v>28.51</v>
      </c>
      <c r="J58" s="263">
        <v>31.344999999999999</v>
      </c>
      <c r="K58" s="263">
        <v>32.505000000000003</v>
      </c>
      <c r="L58" s="253">
        <v>33.225000000000001</v>
      </c>
      <c r="M58" s="254">
        <v>41.34</v>
      </c>
      <c r="N58" s="254">
        <v>32.085000000000001</v>
      </c>
      <c r="O58" s="254">
        <v>29.61</v>
      </c>
      <c r="P58" s="250">
        <f t="shared" si="0"/>
        <v>381.69</v>
      </c>
      <c r="Q58" s="9">
        <f t="shared" si="1"/>
        <v>31.807500000000001</v>
      </c>
      <c r="R58" s="55">
        <f t="shared" si="2"/>
        <v>1.0457260273972602</v>
      </c>
    </row>
    <row r="59" spans="1:18" x14ac:dyDescent="0.25">
      <c r="A59" s="248" t="s">
        <v>109</v>
      </c>
      <c r="B59" s="251" t="s">
        <v>289</v>
      </c>
      <c r="C59" s="248" t="s">
        <v>370</v>
      </c>
      <c r="D59" s="263">
        <v>6.19</v>
      </c>
      <c r="E59" s="263">
        <v>7.4450000000000003</v>
      </c>
      <c r="F59" s="263">
        <v>8.1050000000000004</v>
      </c>
      <c r="G59" s="263">
        <v>6.5</v>
      </c>
      <c r="H59" s="263">
        <v>11.33</v>
      </c>
      <c r="I59" s="263">
        <v>7.79</v>
      </c>
      <c r="J59" s="263">
        <v>7.01</v>
      </c>
      <c r="K59" s="263">
        <v>8.7899999999999991</v>
      </c>
      <c r="L59" s="253">
        <v>6.8949999999999996</v>
      </c>
      <c r="M59" s="254">
        <v>7.4050000000000002</v>
      </c>
      <c r="N59" s="254">
        <v>7.49</v>
      </c>
      <c r="O59" s="254">
        <v>5.18</v>
      </c>
      <c r="P59" s="250">
        <f t="shared" si="0"/>
        <v>90.13</v>
      </c>
      <c r="Q59" s="9">
        <f t="shared" si="1"/>
        <v>7.5108333333333333</v>
      </c>
      <c r="R59" s="55">
        <f t="shared" si="2"/>
        <v>0.24693150684931506</v>
      </c>
    </row>
    <row r="60" spans="1:18" x14ac:dyDescent="0.25">
      <c r="A60" s="248" t="s">
        <v>113</v>
      </c>
      <c r="B60" s="260" t="s">
        <v>290</v>
      </c>
      <c r="C60" s="248" t="s">
        <v>370</v>
      </c>
      <c r="D60" s="263">
        <v>7.2649999999999997</v>
      </c>
      <c r="E60" s="263">
        <v>7.11</v>
      </c>
      <c r="F60" s="263">
        <v>8.33</v>
      </c>
      <c r="G60" s="263">
        <v>6.6150000000000002</v>
      </c>
      <c r="H60" s="263">
        <v>9.26</v>
      </c>
      <c r="I60" s="263">
        <v>8.61</v>
      </c>
      <c r="J60" s="263">
        <v>8.1750000000000007</v>
      </c>
      <c r="K60" s="263">
        <v>8.2650000000000006</v>
      </c>
      <c r="L60" s="253">
        <v>7.2450000000000001</v>
      </c>
      <c r="M60" s="254">
        <v>7.87</v>
      </c>
      <c r="N60" s="254">
        <v>8.2050000000000001</v>
      </c>
      <c r="O60" s="254">
        <v>6.77</v>
      </c>
      <c r="P60" s="250">
        <f t="shared" si="0"/>
        <v>93.72</v>
      </c>
      <c r="Q60" s="9">
        <f t="shared" si="1"/>
        <v>7.81</v>
      </c>
      <c r="R60" s="55">
        <f t="shared" si="2"/>
        <v>0.25676712328767121</v>
      </c>
    </row>
    <row r="61" spans="1:18" x14ac:dyDescent="0.25">
      <c r="A61" s="248" t="s">
        <v>239</v>
      </c>
      <c r="B61" s="260" t="s">
        <v>369</v>
      </c>
      <c r="C61" s="248" t="s">
        <v>370</v>
      </c>
      <c r="D61" s="263">
        <v>25.195</v>
      </c>
      <c r="E61" s="263">
        <v>21.975000000000001</v>
      </c>
      <c r="F61" s="263">
        <v>27.344999999999999</v>
      </c>
      <c r="G61" s="263">
        <v>29.79</v>
      </c>
      <c r="H61" s="263">
        <v>30.07</v>
      </c>
      <c r="I61" s="263">
        <v>26.11</v>
      </c>
      <c r="J61" s="263">
        <v>34.215000000000003</v>
      </c>
      <c r="K61" s="263">
        <v>29.86</v>
      </c>
      <c r="L61" s="253">
        <v>30.11</v>
      </c>
      <c r="M61" s="254">
        <v>39.655000000000001</v>
      </c>
      <c r="N61" s="254">
        <v>32.835000000000001</v>
      </c>
      <c r="O61" s="254">
        <v>32.774999999999999</v>
      </c>
      <c r="P61" s="250">
        <f t="shared" si="0"/>
        <v>359.935</v>
      </c>
      <c r="Q61" s="9">
        <f t="shared" si="1"/>
        <v>29.994583333333335</v>
      </c>
      <c r="R61" s="55">
        <f t="shared" si="2"/>
        <v>0.98612328767123292</v>
      </c>
    </row>
    <row r="62" spans="1:18" x14ac:dyDescent="0.25">
      <c r="A62" s="248" t="s">
        <v>113</v>
      </c>
      <c r="B62" s="260" t="s">
        <v>291</v>
      </c>
      <c r="C62" s="248" t="s">
        <v>370</v>
      </c>
      <c r="D62" s="263">
        <v>12.29</v>
      </c>
      <c r="E62" s="263">
        <v>12.425000000000001</v>
      </c>
      <c r="F62" s="263">
        <v>15.065</v>
      </c>
      <c r="G62" s="263">
        <v>13.845000000000001</v>
      </c>
      <c r="H62" s="263">
        <v>17.91</v>
      </c>
      <c r="I62" s="263">
        <v>13.67</v>
      </c>
      <c r="J62" s="263">
        <v>14.31</v>
      </c>
      <c r="K62" s="263">
        <v>15.41</v>
      </c>
      <c r="L62" s="253">
        <v>0</v>
      </c>
      <c r="M62" s="254">
        <v>0</v>
      </c>
      <c r="N62" s="254">
        <v>0</v>
      </c>
      <c r="O62" s="254">
        <v>0</v>
      </c>
      <c r="P62" s="250">
        <f t="shared" si="0"/>
        <v>114.925</v>
      </c>
      <c r="Q62" s="9">
        <f t="shared" si="1"/>
        <v>9.5770833333333325</v>
      </c>
      <c r="R62" s="55">
        <f t="shared" si="2"/>
        <v>0.31486301369863012</v>
      </c>
    </row>
    <row r="63" spans="1:18" s="17" customFormat="1" x14ac:dyDescent="0.25">
      <c r="A63" s="265"/>
      <c r="B63" s="266" t="s">
        <v>372</v>
      </c>
      <c r="C63" s="266"/>
      <c r="D63" s="196">
        <f>SUM(D8:D62)</f>
        <v>5141.3019999999997</v>
      </c>
      <c r="E63" s="196">
        <f t="shared" ref="E63:Q63" si="3">SUM(E8:E62)</f>
        <v>4601.3750000000009</v>
      </c>
      <c r="F63" s="196">
        <f t="shared" si="3"/>
        <v>5201.2999999999993</v>
      </c>
      <c r="G63" s="196">
        <f t="shared" si="3"/>
        <v>5778.3449999999975</v>
      </c>
      <c r="H63" s="196">
        <f t="shared" si="3"/>
        <v>6323.2149999999974</v>
      </c>
      <c r="I63" s="196">
        <f t="shared" si="3"/>
        <v>5743.3979999999983</v>
      </c>
      <c r="J63" s="196">
        <f t="shared" si="3"/>
        <v>6275.7020000000002</v>
      </c>
      <c r="K63" s="196">
        <f t="shared" si="3"/>
        <v>5892.2349999999988</v>
      </c>
      <c r="L63" s="196">
        <f t="shared" si="3"/>
        <v>5799.8850000000002</v>
      </c>
      <c r="M63" s="196">
        <f t="shared" si="3"/>
        <v>6237.8499999999995</v>
      </c>
      <c r="N63" s="196">
        <f t="shared" si="3"/>
        <v>5769.3549999999977</v>
      </c>
      <c r="O63" s="196">
        <f t="shared" si="3"/>
        <v>5608.744999999999</v>
      </c>
      <c r="P63" s="196">
        <f t="shared" si="3"/>
        <v>68372.707000000039</v>
      </c>
      <c r="Q63" s="196">
        <f t="shared" si="3"/>
        <v>5697.7255833333329</v>
      </c>
      <c r="R63" s="196">
        <f>SUM(R8:R62)</f>
        <v>187.32248493150678</v>
      </c>
    </row>
    <row r="64" spans="1:18" x14ac:dyDescent="0.25">
      <c r="A64" s="134" t="s">
        <v>365</v>
      </c>
      <c r="B64" s="267" t="s">
        <v>124</v>
      </c>
      <c r="C64" s="248" t="s">
        <v>370</v>
      </c>
      <c r="D64" s="268">
        <v>34.72</v>
      </c>
      <c r="E64" s="268">
        <v>34.445</v>
      </c>
      <c r="F64" s="268">
        <v>17.21</v>
      </c>
      <c r="G64" s="268">
        <v>14.145</v>
      </c>
      <c r="H64" s="268">
        <v>92.965000000000003</v>
      </c>
      <c r="I64" s="268">
        <v>42.98</v>
      </c>
      <c r="J64" s="268">
        <v>15.145</v>
      </c>
      <c r="K64" s="268">
        <v>15.145</v>
      </c>
      <c r="L64" s="269">
        <v>10.52</v>
      </c>
      <c r="M64" s="55">
        <v>19.305</v>
      </c>
      <c r="N64" s="55">
        <v>9.0649999999999995</v>
      </c>
      <c r="O64" s="55">
        <v>9.4600000000000009</v>
      </c>
      <c r="P64" s="250">
        <f t="shared" ref="P64:P82" si="4">SUM(D64:O64)</f>
        <v>315.10499999999996</v>
      </c>
      <c r="Q64" s="9">
        <f t="shared" ref="Q64:Q82" si="5">SUM(P64/12)</f>
        <v>26.258749999999996</v>
      </c>
      <c r="R64" s="55">
        <f t="shared" ref="R64:R82" si="6">SUM(P64/365)</f>
        <v>0.86330136986301365</v>
      </c>
    </row>
    <row r="65" spans="1:18" x14ac:dyDescent="0.25">
      <c r="A65" s="134" t="s">
        <v>365</v>
      </c>
      <c r="B65" s="267" t="s">
        <v>125</v>
      </c>
      <c r="C65" s="248" t="s">
        <v>370</v>
      </c>
      <c r="D65" s="263">
        <v>5.0199999999999996</v>
      </c>
      <c r="E65" s="263">
        <v>11.32</v>
      </c>
      <c r="F65" s="263">
        <v>4.9249999999999998</v>
      </c>
      <c r="G65" s="263">
        <v>21.024999999999999</v>
      </c>
      <c r="H65" s="263">
        <v>8.9350000000000005</v>
      </c>
      <c r="I65" s="263">
        <v>9.625</v>
      </c>
      <c r="J65" s="263">
        <v>5.7249999999999996</v>
      </c>
      <c r="K65" s="263">
        <v>3.0449999999999999</v>
      </c>
      <c r="L65" s="269">
        <v>3.55</v>
      </c>
      <c r="M65" s="254">
        <v>3.9649999999999999</v>
      </c>
      <c r="N65" s="254">
        <v>3.07</v>
      </c>
      <c r="O65" s="254">
        <v>2.5499999999999998</v>
      </c>
      <c r="P65" s="250">
        <f t="shared" si="4"/>
        <v>82.754999999999995</v>
      </c>
      <c r="Q65" s="9">
        <f t="shared" si="5"/>
        <v>6.8962499999999993</v>
      </c>
      <c r="R65" s="55">
        <f t="shared" si="6"/>
        <v>0.22672602739726025</v>
      </c>
    </row>
    <row r="66" spans="1:18" x14ac:dyDescent="0.25">
      <c r="A66" s="134" t="s">
        <v>365</v>
      </c>
      <c r="B66" s="267" t="s">
        <v>122</v>
      </c>
      <c r="C66" s="248" t="s">
        <v>370</v>
      </c>
      <c r="D66" s="263">
        <v>52.215000000000003</v>
      </c>
      <c r="E66" s="263">
        <v>4.4000000000000004</v>
      </c>
      <c r="F66" s="263">
        <v>43.594999999999999</v>
      </c>
      <c r="G66" s="263">
        <v>14.33</v>
      </c>
      <c r="H66" s="263">
        <v>13.51</v>
      </c>
      <c r="I66" s="263">
        <v>20.965</v>
      </c>
      <c r="J66" s="263">
        <v>8.1300000000000008</v>
      </c>
      <c r="K66" s="263">
        <v>26.54</v>
      </c>
      <c r="L66" s="270">
        <v>17.7</v>
      </c>
      <c r="M66" s="254">
        <v>24.515000000000001</v>
      </c>
      <c r="N66" s="254">
        <v>29.95</v>
      </c>
      <c r="O66" s="254">
        <v>40.575000000000003</v>
      </c>
      <c r="P66" s="250">
        <f t="shared" si="4"/>
        <v>296.42499999999995</v>
      </c>
      <c r="Q66" s="9">
        <f t="shared" si="5"/>
        <v>24.702083333333331</v>
      </c>
      <c r="R66" s="55">
        <f t="shared" si="6"/>
        <v>0.81212328767123276</v>
      </c>
    </row>
    <row r="67" spans="1:18" x14ac:dyDescent="0.25">
      <c r="A67" s="134" t="s">
        <v>365</v>
      </c>
      <c r="B67" s="267" t="s">
        <v>156</v>
      </c>
      <c r="C67" s="248" t="s">
        <v>370</v>
      </c>
      <c r="D67" s="263">
        <v>6.46</v>
      </c>
      <c r="E67" s="263">
        <v>2.9449999999999998</v>
      </c>
      <c r="F67" s="263">
        <v>2.92</v>
      </c>
      <c r="G67" s="263">
        <v>5.12</v>
      </c>
      <c r="H67" s="263">
        <v>5.9450000000000003</v>
      </c>
      <c r="I67" s="263">
        <v>3.6949999999999998</v>
      </c>
      <c r="J67" s="263">
        <v>4.4649999999999999</v>
      </c>
      <c r="K67" s="263">
        <v>0</v>
      </c>
      <c r="L67" s="269">
        <v>0</v>
      </c>
      <c r="M67" s="254">
        <v>0</v>
      </c>
      <c r="N67" s="254">
        <v>9.8849999999999998</v>
      </c>
      <c r="O67" s="254">
        <v>3.09</v>
      </c>
      <c r="P67" s="250">
        <f t="shared" si="4"/>
        <v>44.525000000000006</v>
      </c>
      <c r="Q67" s="9">
        <f t="shared" si="5"/>
        <v>3.7104166666666671</v>
      </c>
      <c r="R67" s="55">
        <f t="shared" si="6"/>
        <v>0.12198630136986303</v>
      </c>
    </row>
    <row r="68" spans="1:18" x14ac:dyDescent="0.25">
      <c r="A68" s="134" t="s">
        <v>365</v>
      </c>
      <c r="B68" s="267" t="s">
        <v>233</v>
      </c>
      <c r="C68" s="248" t="s">
        <v>370</v>
      </c>
      <c r="D68" s="271">
        <v>0</v>
      </c>
      <c r="E68" s="271">
        <v>0</v>
      </c>
      <c r="F68" s="252">
        <v>0</v>
      </c>
      <c r="G68" s="271">
        <v>0</v>
      </c>
      <c r="H68" s="252">
        <v>0</v>
      </c>
      <c r="I68" s="252">
        <v>0</v>
      </c>
      <c r="J68" s="271">
        <v>0</v>
      </c>
      <c r="K68" s="271">
        <v>0</v>
      </c>
      <c r="L68" s="269">
        <v>0</v>
      </c>
      <c r="M68" s="272">
        <v>0</v>
      </c>
      <c r="N68" s="272">
        <v>0</v>
      </c>
      <c r="O68" s="272">
        <v>0</v>
      </c>
      <c r="P68" s="250">
        <f t="shared" si="4"/>
        <v>0</v>
      </c>
      <c r="Q68" s="9">
        <f t="shared" si="5"/>
        <v>0</v>
      </c>
      <c r="R68" s="55">
        <f t="shared" si="6"/>
        <v>0</v>
      </c>
    </row>
    <row r="69" spans="1:18" x14ac:dyDescent="0.25">
      <c r="A69" s="134" t="s">
        <v>365</v>
      </c>
      <c r="B69" s="267" t="s">
        <v>123</v>
      </c>
      <c r="C69" s="248" t="s">
        <v>370</v>
      </c>
      <c r="D69" s="273">
        <v>0</v>
      </c>
      <c r="E69" s="273">
        <v>0</v>
      </c>
      <c r="F69" s="252">
        <v>0</v>
      </c>
      <c r="G69" s="271">
        <v>13.62</v>
      </c>
      <c r="H69" s="252">
        <v>0</v>
      </c>
      <c r="I69" s="252">
        <v>0</v>
      </c>
      <c r="J69" s="271">
        <v>12.475</v>
      </c>
      <c r="K69" s="273">
        <v>34.494999999999997</v>
      </c>
      <c r="L69" s="269">
        <v>0</v>
      </c>
      <c r="M69" s="272">
        <v>0</v>
      </c>
      <c r="N69" s="272">
        <v>8.4499999999999993</v>
      </c>
      <c r="O69" s="253">
        <v>0</v>
      </c>
      <c r="P69" s="250">
        <f t="shared" si="4"/>
        <v>69.039999999999992</v>
      </c>
      <c r="Q69" s="9">
        <f t="shared" si="5"/>
        <v>5.753333333333333</v>
      </c>
      <c r="R69" s="55">
        <f t="shared" si="6"/>
        <v>0.18915068493150683</v>
      </c>
    </row>
    <row r="70" spans="1:18" x14ac:dyDescent="0.25">
      <c r="A70" s="134" t="s">
        <v>365</v>
      </c>
      <c r="B70" s="267" t="s">
        <v>126</v>
      </c>
      <c r="C70" s="248" t="s">
        <v>370</v>
      </c>
      <c r="D70" s="271">
        <v>0</v>
      </c>
      <c r="E70" s="271">
        <v>0</v>
      </c>
      <c r="F70" s="252">
        <v>0</v>
      </c>
      <c r="G70" s="271">
        <v>0</v>
      </c>
      <c r="H70" s="252">
        <v>0</v>
      </c>
      <c r="I70" s="252">
        <v>0</v>
      </c>
      <c r="J70" s="271">
        <v>0</v>
      </c>
      <c r="K70" s="271">
        <v>0</v>
      </c>
      <c r="L70" s="269">
        <v>0</v>
      </c>
      <c r="M70" s="272">
        <v>0</v>
      </c>
      <c r="N70" s="272">
        <v>0</v>
      </c>
      <c r="O70" s="272">
        <v>0</v>
      </c>
      <c r="P70" s="250">
        <f t="shared" si="4"/>
        <v>0</v>
      </c>
      <c r="Q70" s="9">
        <f t="shared" si="5"/>
        <v>0</v>
      </c>
      <c r="R70" s="55">
        <f t="shared" si="6"/>
        <v>0</v>
      </c>
    </row>
    <row r="71" spans="1:18" x14ac:dyDescent="0.25">
      <c r="A71" s="134" t="s">
        <v>365</v>
      </c>
      <c r="B71" s="274" t="s">
        <v>234</v>
      </c>
      <c r="C71" s="248" t="s">
        <v>370</v>
      </c>
      <c r="D71" s="271">
        <v>1.48</v>
      </c>
      <c r="E71" s="271">
        <v>0</v>
      </c>
      <c r="F71" s="252">
        <v>0</v>
      </c>
      <c r="G71" s="271">
        <v>4.97</v>
      </c>
      <c r="H71" s="252">
        <v>1.7849999999999999</v>
      </c>
      <c r="I71" s="252">
        <v>0</v>
      </c>
      <c r="J71" s="271">
        <v>0</v>
      </c>
      <c r="K71" s="271">
        <v>1.75</v>
      </c>
      <c r="L71" s="275">
        <v>0</v>
      </c>
      <c r="M71" s="272">
        <v>0</v>
      </c>
      <c r="N71" s="272">
        <v>0</v>
      </c>
      <c r="O71" s="272">
        <v>1.9</v>
      </c>
      <c r="P71" s="250">
        <f t="shared" si="4"/>
        <v>11.885</v>
      </c>
      <c r="Q71" s="9">
        <f t="shared" si="5"/>
        <v>0.99041666666666661</v>
      </c>
      <c r="R71" s="55">
        <f t="shared" si="6"/>
        <v>3.2561643835616438E-2</v>
      </c>
    </row>
    <row r="72" spans="1:18" x14ac:dyDescent="0.25">
      <c r="A72" s="134" t="s">
        <v>365</v>
      </c>
      <c r="B72" s="276" t="s">
        <v>235</v>
      </c>
      <c r="C72" s="248" t="s">
        <v>370</v>
      </c>
      <c r="D72" s="271">
        <v>0</v>
      </c>
      <c r="E72" s="271">
        <v>0</v>
      </c>
      <c r="F72" s="252">
        <v>0</v>
      </c>
      <c r="G72" s="271">
        <v>0</v>
      </c>
      <c r="H72" s="252">
        <v>0</v>
      </c>
      <c r="I72" s="252">
        <v>0</v>
      </c>
      <c r="J72" s="271">
        <v>0</v>
      </c>
      <c r="K72" s="271">
        <v>0</v>
      </c>
      <c r="L72" s="275">
        <v>0</v>
      </c>
      <c r="M72" s="272">
        <v>0</v>
      </c>
      <c r="N72" s="272">
        <v>0</v>
      </c>
      <c r="O72" s="272">
        <v>0</v>
      </c>
      <c r="P72" s="250">
        <f t="shared" si="4"/>
        <v>0</v>
      </c>
      <c r="Q72" s="9">
        <f t="shared" si="5"/>
        <v>0</v>
      </c>
      <c r="R72" s="55">
        <f t="shared" si="6"/>
        <v>0</v>
      </c>
    </row>
    <row r="73" spans="1:18" x14ac:dyDescent="0.25">
      <c r="A73" s="134" t="s">
        <v>365</v>
      </c>
      <c r="B73" s="276" t="s">
        <v>236</v>
      </c>
      <c r="C73" s="248" t="s">
        <v>370</v>
      </c>
      <c r="D73" s="271">
        <v>0</v>
      </c>
      <c r="E73" s="271">
        <v>2.145</v>
      </c>
      <c r="F73" s="252">
        <v>0</v>
      </c>
      <c r="G73" s="271">
        <v>0</v>
      </c>
      <c r="H73" s="252">
        <v>0</v>
      </c>
      <c r="I73" s="252">
        <v>0</v>
      </c>
      <c r="J73" s="271">
        <v>0</v>
      </c>
      <c r="K73" s="271">
        <v>0</v>
      </c>
      <c r="L73" s="275">
        <v>0</v>
      </c>
      <c r="M73" s="272">
        <v>0</v>
      </c>
      <c r="N73" s="272">
        <v>0</v>
      </c>
      <c r="O73" s="272">
        <v>1.81</v>
      </c>
      <c r="P73" s="250">
        <f t="shared" si="4"/>
        <v>3.9550000000000001</v>
      </c>
      <c r="Q73" s="9">
        <f t="shared" si="5"/>
        <v>0.32958333333333334</v>
      </c>
      <c r="R73" s="55">
        <f t="shared" si="6"/>
        <v>1.0835616438356165E-2</v>
      </c>
    </row>
    <row r="74" spans="1:18" x14ac:dyDescent="0.25">
      <c r="A74" s="134" t="s">
        <v>365</v>
      </c>
      <c r="B74" s="277" t="s">
        <v>341</v>
      </c>
      <c r="C74" s="248" t="s">
        <v>370</v>
      </c>
      <c r="D74" s="271">
        <v>0</v>
      </c>
      <c r="E74" s="271">
        <v>0</v>
      </c>
      <c r="F74" s="252">
        <v>0</v>
      </c>
      <c r="G74" s="271">
        <v>0</v>
      </c>
      <c r="H74" s="252">
        <v>0</v>
      </c>
      <c r="I74" s="252">
        <v>0</v>
      </c>
      <c r="J74" s="271">
        <v>0</v>
      </c>
      <c r="K74" s="271">
        <v>0</v>
      </c>
      <c r="L74" s="275">
        <v>0</v>
      </c>
      <c r="M74" s="272">
        <v>0</v>
      </c>
      <c r="N74" s="272">
        <v>0</v>
      </c>
      <c r="O74" s="272">
        <v>0</v>
      </c>
      <c r="P74" s="250">
        <f t="shared" si="4"/>
        <v>0</v>
      </c>
      <c r="Q74" s="9">
        <f t="shared" si="5"/>
        <v>0</v>
      </c>
      <c r="R74" s="55">
        <f t="shared" si="6"/>
        <v>0</v>
      </c>
    </row>
    <row r="75" spans="1:18" x14ac:dyDescent="0.25">
      <c r="A75" s="134" t="s">
        <v>365</v>
      </c>
      <c r="B75" s="277" t="s">
        <v>410</v>
      </c>
      <c r="C75" s="248" t="s">
        <v>370</v>
      </c>
      <c r="D75" s="271">
        <v>0</v>
      </c>
      <c r="E75" s="271">
        <v>7.0250000000000004</v>
      </c>
      <c r="F75" s="252">
        <v>0</v>
      </c>
      <c r="G75" s="271">
        <v>0</v>
      </c>
      <c r="H75" s="252">
        <v>0</v>
      </c>
      <c r="I75" s="252">
        <v>0</v>
      </c>
      <c r="J75" s="271">
        <v>0</v>
      </c>
      <c r="K75" s="271">
        <v>0</v>
      </c>
      <c r="L75" s="275">
        <v>0</v>
      </c>
      <c r="M75" s="272">
        <v>0</v>
      </c>
      <c r="N75" s="272">
        <v>0</v>
      </c>
      <c r="O75" s="272">
        <v>0</v>
      </c>
      <c r="P75" s="250">
        <f t="shared" si="4"/>
        <v>7.0250000000000004</v>
      </c>
      <c r="Q75" s="9">
        <f t="shared" si="5"/>
        <v>0.5854166666666667</v>
      </c>
      <c r="R75" s="55">
        <f t="shared" si="6"/>
        <v>1.9246575342465756E-2</v>
      </c>
    </row>
    <row r="76" spans="1:18" x14ac:dyDescent="0.25">
      <c r="A76" s="134" t="s">
        <v>365</v>
      </c>
      <c r="B76" s="277" t="s">
        <v>411</v>
      </c>
      <c r="C76" s="248" t="s">
        <v>370</v>
      </c>
      <c r="D76" s="271">
        <v>0</v>
      </c>
      <c r="E76" s="271">
        <v>0</v>
      </c>
      <c r="F76" s="252">
        <v>0</v>
      </c>
      <c r="G76" s="271">
        <v>793.16499999999996</v>
      </c>
      <c r="H76" s="252">
        <v>1375.174</v>
      </c>
      <c r="I76" s="252">
        <v>0</v>
      </c>
      <c r="J76" s="271">
        <v>0</v>
      </c>
      <c r="K76" s="271">
        <v>0</v>
      </c>
      <c r="L76" s="275">
        <v>0</v>
      </c>
      <c r="M76" s="272">
        <v>104.72499999999999</v>
      </c>
      <c r="N76" s="272">
        <v>0</v>
      </c>
      <c r="O76" s="272">
        <v>1.45</v>
      </c>
      <c r="P76" s="250">
        <f t="shared" si="4"/>
        <v>2274.5139999999997</v>
      </c>
      <c r="Q76" s="9">
        <f t="shared" si="5"/>
        <v>189.54283333333331</v>
      </c>
      <c r="R76" s="55">
        <f t="shared" si="6"/>
        <v>6.2315452054794509</v>
      </c>
    </row>
    <row r="77" spans="1:18" s="17" customFormat="1" x14ac:dyDescent="0.25">
      <c r="A77" s="134" t="s">
        <v>365</v>
      </c>
      <c r="B77" s="277" t="s">
        <v>412</v>
      </c>
      <c r="C77" s="248" t="s">
        <v>370</v>
      </c>
      <c r="D77" s="271">
        <v>0</v>
      </c>
      <c r="E77" s="271">
        <v>0</v>
      </c>
      <c r="F77" s="252">
        <v>0</v>
      </c>
      <c r="G77" s="271">
        <v>0</v>
      </c>
      <c r="H77" s="252">
        <v>0</v>
      </c>
      <c r="I77" s="252">
        <v>0.67</v>
      </c>
      <c r="J77" s="271">
        <v>0</v>
      </c>
      <c r="K77" s="271">
        <v>0</v>
      </c>
      <c r="L77" s="275">
        <v>0</v>
      </c>
      <c r="M77" s="272">
        <v>0</v>
      </c>
      <c r="N77" s="272">
        <v>0</v>
      </c>
      <c r="O77" s="272">
        <v>0</v>
      </c>
      <c r="P77" s="250">
        <f t="shared" si="4"/>
        <v>0.67</v>
      </c>
      <c r="Q77" s="9">
        <f t="shared" si="5"/>
        <v>5.5833333333333339E-2</v>
      </c>
      <c r="R77" s="55">
        <f t="shared" si="6"/>
        <v>1.8356164383561645E-3</v>
      </c>
    </row>
    <row r="78" spans="1:18" x14ac:dyDescent="0.25">
      <c r="A78" s="134" t="s">
        <v>365</v>
      </c>
      <c r="B78" s="277" t="s">
        <v>413</v>
      </c>
      <c r="C78" s="248" t="s">
        <v>370</v>
      </c>
      <c r="D78" s="271">
        <v>0</v>
      </c>
      <c r="E78" s="271">
        <v>0</v>
      </c>
      <c r="F78" s="252">
        <v>0</v>
      </c>
      <c r="G78" s="271">
        <v>0</v>
      </c>
      <c r="H78" s="252">
        <v>0</v>
      </c>
      <c r="I78" s="252">
        <v>0</v>
      </c>
      <c r="J78" s="252">
        <v>54.774999999999999</v>
      </c>
      <c r="K78" s="271">
        <v>0</v>
      </c>
      <c r="L78" s="275">
        <v>0</v>
      </c>
      <c r="M78" s="272">
        <v>0</v>
      </c>
      <c r="N78" s="272">
        <v>0</v>
      </c>
      <c r="O78" s="272">
        <v>0</v>
      </c>
      <c r="P78" s="250">
        <f t="shared" si="4"/>
        <v>54.774999999999999</v>
      </c>
      <c r="Q78" s="9">
        <f t="shared" si="5"/>
        <v>4.5645833333333332</v>
      </c>
      <c r="R78" s="55">
        <f t="shared" si="6"/>
        <v>0.15006849315068493</v>
      </c>
    </row>
    <row r="79" spans="1:18" x14ac:dyDescent="0.25">
      <c r="A79" s="134" t="s">
        <v>365</v>
      </c>
      <c r="B79" s="277" t="s">
        <v>414</v>
      </c>
      <c r="C79" s="248" t="s">
        <v>370</v>
      </c>
      <c r="D79" s="271">
        <v>0</v>
      </c>
      <c r="E79" s="271">
        <v>0</v>
      </c>
      <c r="F79" s="252">
        <v>0</v>
      </c>
      <c r="G79" s="271">
        <v>0</v>
      </c>
      <c r="H79" s="252">
        <v>0</v>
      </c>
      <c r="I79" s="252">
        <v>0</v>
      </c>
      <c r="J79" s="252">
        <v>7.1449999999999996</v>
      </c>
      <c r="K79" s="271">
        <v>0</v>
      </c>
      <c r="L79" s="275">
        <v>0</v>
      </c>
      <c r="M79" s="272">
        <v>0</v>
      </c>
      <c r="N79" s="272">
        <v>0</v>
      </c>
      <c r="O79" s="272">
        <v>0</v>
      </c>
      <c r="P79" s="250">
        <f t="shared" si="4"/>
        <v>7.1449999999999996</v>
      </c>
      <c r="Q79" s="9">
        <f t="shared" si="5"/>
        <v>0.59541666666666659</v>
      </c>
      <c r="R79" s="55">
        <f t="shared" si="6"/>
        <v>1.9575342465753424E-2</v>
      </c>
    </row>
    <row r="80" spans="1:18" x14ac:dyDescent="0.25">
      <c r="A80" s="134" t="s">
        <v>365</v>
      </c>
      <c r="B80" s="277" t="s">
        <v>415</v>
      </c>
      <c r="C80" s="248" t="s">
        <v>370</v>
      </c>
      <c r="D80" s="271">
        <v>0</v>
      </c>
      <c r="E80" s="271">
        <v>0</v>
      </c>
      <c r="F80" s="252">
        <v>0</v>
      </c>
      <c r="G80" s="271">
        <v>0</v>
      </c>
      <c r="H80" s="252">
        <v>0</v>
      </c>
      <c r="I80" s="252">
        <v>0</v>
      </c>
      <c r="J80" s="252">
        <v>5.4</v>
      </c>
      <c r="K80" s="271">
        <v>8.0950000000000006</v>
      </c>
      <c r="L80" s="275">
        <v>0</v>
      </c>
      <c r="M80" s="272">
        <v>0</v>
      </c>
      <c r="N80" s="272">
        <v>0</v>
      </c>
      <c r="O80" s="272">
        <v>0</v>
      </c>
      <c r="P80" s="250">
        <f t="shared" si="4"/>
        <v>13.495000000000001</v>
      </c>
      <c r="Q80" s="9">
        <f t="shared" si="5"/>
        <v>1.1245833333333335</v>
      </c>
      <c r="R80" s="55">
        <f t="shared" si="6"/>
        <v>3.6972602739726031E-2</v>
      </c>
    </row>
    <row r="81" spans="1:18" x14ac:dyDescent="0.25">
      <c r="A81" s="134" t="s">
        <v>365</v>
      </c>
      <c r="B81" s="277" t="s">
        <v>416</v>
      </c>
      <c r="C81" s="248" t="s">
        <v>370</v>
      </c>
      <c r="D81" s="271">
        <v>0</v>
      </c>
      <c r="E81" s="271">
        <v>0</v>
      </c>
      <c r="F81" s="252">
        <v>0</v>
      </c>
      <c r="G81" s="271">
        <v>0</v>
      </c>
      <c r="H81" s="252">
        <v>0</v>
      </c>
      <c r="I81" s="252">
        <v>0</v>
      </c>
      <c r="J81" s="252">
        <v>0</v>
      </c>
      <c r="K81" s="271">
        <v>0</v>
      </c>
      <c r="L81" s="275">
        <v>16.13</v>
      </c>
      <c r="M81" s="272">
        <v>17.895</v>
      </c>
      <c r="N81" s="272">
        <v>0</v>
      </c>
      <c r="O81" s="272">
        <v>0</v>
      </c>
      <c r="P81" s="250">
        <f t="shared" si="4"/>
        <v>34.024999999999999</v>
      </c>
      <c r="Q81" s="9">
        <f t="shared" si="5"/>
        <v>2.8354166666666667</v>
      </c>
      <c r="R81" s="55">
        <f t="shared" si="6"/>
        <v>9.3219178082191781E-2</v>
      </c>
    </row>
    <row r="82" spans="1:18" x14ac:dyDescent="0.25">
      <c r="A82" s="134" t="s">
        <v>365</v>
      </c>
      <c r="B82" s="277" t="s">
        <v>417</v>
      </c>
      <c r="C82" s="248" t="s">
        <v>370</v>
      </c>
      <c r="D82" s="271">
        <v>0</v>
      </c>
      <c r="E82" s="271">
        <v>0</v>
      </c>
      <c r="F82" s="271">
        <v>0</v>
      </c>
      <c r="G82" s="271">
        <v>0</v>
      </c>
      <c r="H82" s="271">
        <v>0</v>
      </c>
      <c r="I82" s="271">
        <v>0</v>
      </c>
      <c r="J82" s="271">
        <v>0</v>
      </c>
      <c r="K82" s="271">
        <v>0</v>
      </c>
      <c r="L82" s="271">
        <v>0</v>
      </c>
      <c r="M82" s="272">
        <v>358.16500000000002</v>
      </c>
      <c r="N82" s="272">
        <v>889.11500000000001</v>
      </c>
      <c r="O82" s="272">
        <v>0.86</v>
      </c>
      <c r="P82" s="250">
        <f t="shared" si="4"/>
        <v>1248.1399999999999</v>
      </c>
      <c r="Q82" s="9">
        <f t="shared" si="5"/>
        <v>104.01166666666666</v>
      </c>
      <c r="R82" s="55">
        <f t="shared" si="6"/>
        <v>3.4195616438356162</v>
      </c>
    </row>
    <row r="83" spans="1:18" ht="15.75" thickBot="1" x14ac:dyDescent="0.3">
      <c r="A83" s="278"/>
      <c r="B83" s="279" t="s">
        <v>373</v>
      </c>
      <c r="C83" s="280"/>
      <c r="D83" s="196">
        <f>SUM(D64:D82)</f>
        <v>99.894999999999996</v>
      </c>
      <c r="E83" s="196">
        <f>SUM(E64:E82)</f>
        <v>62.28</v>
      </c>
      <c r="F83" s="196">
        <f t="shared" ref="F83:N83" si="7">SUM(F64:F82)</f>
        <v>68.650000000000006</v>
      </c>
      <c r="G83" s="196">
        <f t="shared" si="7"/>
        <v>866.375</v>
      </c>
      <c r="H83" s="196">
        <f t="shared" si="7"/>
        <v>1498.3140000000001</v>
      </c>
      <c r="I83" s="196">
        <f t="shared" si="7"/>
        <v>77.934999999999988</v>
      </c>
      <c r="J83" s="196">
        <f t="shared" si="7"/>
        <v>113.26</v>
      </c>
      <c r="K83" s="196">
        <f t="shared" si="7"/>
        <v>89.07</v>
      </c>
      <c r="L83" s="196">
        <f t="shared" si="7"/>
        <v>47.9</v>
      </c>
      <c r="M83" s="196">
        <f t="shared" si="7"/>
        <v>528.57000000000005</v>
      </c>
      <c r="N83" s="196">
        <f t="shared" si="7"/>
        <v>949.53499999999997</v>
      </c>
      <c r="O83" s="196">
        <f>SUM(O64:O82)</f>
        <v>61.695000000000014</v>
      </c>
      <c r="P83" s="196">
        <f>SUM(P64:P82)</f>
        <v>4463.4789999999994</v>
      </c>
      <c r="Q83" s="196">
        <f t="shared" ref="Q83:R83" si="8">SUM(Q64:Q82)</f>
        <v>371.9565833333333</v>
      </c>
      <c r="R83" s="196">
        <f t="shared" si="8"/>
        <v>12.228709589041094</v>
      </c>
    </row>
    <row r="84" spans="1:18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</row>
    <row r="85" spans="1:18" x14ac:dyDescent="0.25">
      <c r="A85" s="17"/>
      <c r="B85" s="17" t="s">
        <v>389</v>
      </c>
      <c r="C85" s="17"/>
      <c r="D85" s="281">
        <f>D63+D83</f>
        <v>5241.1970000000001</v>
      </c>
      <c r="E85" s="281">
        <f t="shared" ref="E85:R85" si="9">E63+E83</f>
        <v>4663.6550000000007</v>
      </c>
      <c r="F85" s="281">
        <f t="shared" si="9"/>
        <v>5269.9499999999989</v>
      </c>
      <c r="G85" s="281">
        <f t="shared" si="9"/>
        <v>6644.7199999999975</v>
      </c>
      <c r="H85" s="281">
        <f t="shared" si="9"/>
        <v>7821.5289999999977</v>
      </c>
      <c r="I85" s="281">
        <f t="shared" si="9"/>
        <v>5821.3329999999987</v>
      </c>
      <c r="J85" s="281">
        <f t="shared" si="9"/>
        <v>6388.9620000000004</v>
      </c>
      <c r="K85" s="281">
        <f t="shared" si="9"/>
        <v>5981.3049999999985</v>
      </c>
      <c r="L85" s="281">
        <f t="shared" si="9"/>
        <v>5847.7849999999999</v>
      </c>
      <c r="M85" s="281">
        <f t="shared" si="9"/>
        <v>6766.4199999999992</v>
      </c>
      <c r="N85" s="281">
        <f t="shared" si="9"/>
        <v>6718.8899999999976</v>
      </c>
      <c r="O85" s="281">
        <f t="shared" si="9"/>
        <v>5670.4399999999987</v>
      </c>
      <c r="P85" s="281">
        <f t="shared" si="9"/>
        <v>72836.186000000045</v>
      </c>
      <c r="Q85" s="281">
        <f t="shared" si="9"/>
        <v>6069.6821666666665</v>
      </c>
      <c r="R85" s="281">
        <f t="shared" si="9"/>
        <v>199.55119452054788</v>
      </c>
    </row>
  </sheetData>
  <mergeCells count="7">
    <mergeCell ref="A1:R1"/>
    <mergeCell ref="A2:R2"/>
    <mergeCell ref="A6:A7"/>
    <mergeCell ref="B6:B7"/>
    <mergeCell ref="C6:C7"/>
    <mergeCell ref="D5:O5"/>
    <mergeCell ref="B3:P3"/>
  </mergeCells>
  <conditionalFormatting sqref="B83">
    <cfRule type="dataBar" priority="1">
      <dataBar>
        <cfvo type="min"/>
        <cfvo type="max"/>
        <color rgb="FFFF555A"/>
      </dataBar>
    </cfRule>
  </conditionalFormatting>
  <pageMargins left="0.25" right="0.25" top="0.75" bottom="0.75" header="0.3" footer="0.3"/>
  <pageSetup paperSize="12" scale="82" fitToHeight="0" orientation="landscape" r:id="rId1"/>
  <headerFooter>
    <oddFooter>&amp;C&amp;N&amp;R&amp;A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zoomScaleNormal="100" workbookViewId="0">
      <pane xSplit="2" ySplit="4" topLeftCell="C5" activePane="bottomRight" state="frozen"/>
      <selection pane="topRight" activeCell="B1" sqref="B1"/>
      <selection pane="bottomLeft" activeCell="A4" sqref="A4"/>
      <selection pane="bottomRight" sqref="A1:XFD2"/>
    </sheetView>
  </sheetViews>
  <sheetFormatPr baseColWidth="10" defaultColWidth="11.5703125" defaultRowHeight="15" x14ac:dyDescent="0.25"/>
  <cols>
    <col min="1" max="1" width="12.28515625" style="97" customWidth="1"/>
    <col min="2" max="2" width="25.5703125" style="97" customWidth="1"/>
    <col min="3" max="3" width="18.42578125" style="97" customWidth="1"/>
    <col min="4" max="4" width="11.5703125" style="97"/>
    <col min="5" max="5" width="12" style="97" bestFit="1" customWidth="1"/>
    <col min="6" max="6" width="11.5703125" style="97"/>
    <col min="7" max="7" width="12" style="97" bestFit="1" customWidth="1"/>
    <col min="8" max="10" width="11.5703125" style="97"/>
    <col min="11" max="14" width="12" style="97" bestFit="1" customWidth="1"/>
    <col min="15" max="15" width="12.42578125" style="97" bestFit="1" customWidth="1"/>
    <col min="16" max="16" width="17.140625" style="97" customWidth="1"/>
    <col min="17" max="17" width="15.5703125" style="97" customWidth="1"/>
    <col min="18" max="18" width="13.140625" style="97" customWidth="1"/>
    <col min="19" max="16384" width="11.5703125" style="97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x14ac:dyDescent="0.25">
      <c r="B3" s="408" t="s">
        <v>127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35"/>
    </row>
    <row r="4" spans="1:18" x14ac:dyDescent="0.25">
      <c r="B4" s="408" t="s">
        <v>128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35"/>
    </row>
    <row r="5" spans="1:18" ht="15.75" thickBot="1" x14ac:dyDescent="0.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x14ac:dyDescent="0.25">
      <c r="A6" s="384" t="s">
        <v>1</v>
      </c>
      <c r="B6" s="379" t="s">
        <v>2</v>
      </c>
      <c r="C6" s="384"/>
      <c r="D6" s="409" t="s">
        <v>404</v>
      </c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180" t="s">
        <v>25</v>
      </c>
    </row>
    <row r="7" spans="1:18" ht="18.75" customHeight="1" thickBot="1" x14ac:dyDescent="0.3">
      <c r="A7" s="385"/>
      <c r="B7" s="384"/>
      <c r="C7" s="385"/>
      <c r="D7" s="36" t="s">
        <v>4</v>
      </c>
      <c r="E7" s="37" t="s">
        <v>5</v>
      </c>
      <c r="F7" s="37" t="s">
        <v>6</v>
      </c>
      <c r="G7" s="37" t="s">
        <v>7</v>
      </c>
      <c r="H7" s="37" t="s">
        <v>8</v>
      </c>
      <c r="I7" s="37" t="s">
        <v>9</v>
      </c>
      <c r="J7" s="37" t="s">
        <v>10</v>
      </c>
      <c r="K7" s="37" t="s">
        <v>11</v>
      </c>
      <c r="L7" s="37" t="s">
        <v>129</v>
      </c>
      <c r="M7" s="37" t="s">
        <v>13</v>
      </c>
      <c r="N7" s="37" t="s">
        <v>130</v>
      </c>
      <c r="O7" s="37" t="s">
        <v>131</v>
      </c>
      <c r="P7" s="181" t="s">
        <v>132</v>
      </c>
      <c r="Q7" s="27" t="s">
        <v>121</v>
      </c>
      <c r="R7" s="84" t="s">
        <v>157</v>
      </c>
    </row>
    <row r="8" spans="1:18" x14ac:dyDescent="0.25">
      <c r="A8" s="96" t="s">
        <v>109</v>
      </c>
      <c r="B8" s="200" t="s">
        <v>109</v>
      </c>
      <c r="C8" s="200" t="s">
        <v>375</v>
      </c>
      <c r="D8" s="215">
        <v>3714.29</v>
      </c>
      <c r="E8" s="215">
        <v>3402.4250000000002</v>
      </c>
      <c r="F8" s="215">
        <v>3927.8850000000002</v>
      </c>
      <c r="G8" s="215">
        <v>4016.83</v>
      </c>
      <c r="H8" s="215">
        <v>3988.52</v>
      </c>
      <c r="I8" s="216">
        <v>4416.8050000000003</v>
      </c>
      <c r="J8" s="216">
        <v>4924.7250000000004</v>
      </c>
      <c r="K8" s="216">
        <v>4900.3050000000003</v>
      </c>
      <c r="L8" s="216">
        <v>4630.83</v>
      </c>
      <c r="M8" s="216">
        <v>5104.2950000000001</v>
      </c>
      <c r="N8" s="216">
        <v>4811.5450000000001</v>
      </c>
      <c r="O8" s="216">
        <v>4911.7950000000001</v>
      </c>
      <c r="P8" s="46">
        <f t="shared" ref="P8:P13" si="0">SUM(D8:O8)</f>
        <v>52750.25</v>
      </c>
      <c r="Q8" s="9">
        <f>SUM(P8/12)</f>
        <v>4395.854166666667</v>
      </c>
      <c r="R8" s="89">
        <f>SUM(P8/365)</f>
        <v>144.52123287671233</v>
      </c>
    </row>
    <row r="9" spans="1:18" x14ac:dyDescent="0.25">
      <c r="A9" s="8" t="s">
        <v>339</v>
      </c>
      <c r="B9" s="200" t="s">
        <v>217</v>
      </c>
      <c r="C9" s="200" t="s">
        <v>375</v>
      </c>
      <c r="D9" s="215">
        <v>54.58</v>
      </c>
      <c r="E9" s="215">
        <v>47.2</v>
      </c>
      <c r="F9" s="215">
        <v>59.005000000000003</v>
      </c>
      <c r="G9" s="215">
        <v>56.27</v>
      </c>
      <c r="H9" s="215">
        <v>62.615000000000002</v>
      </c>
      <c r="I9" s="216">
        <v>64.91</v>
      </c>
      <c r="J9" s="216">
        <v>82.775000000000006</v>
      </c>
      <c r="K9" s="216">
        <v>71.86</v>
      </c>
      <c r="L9" s="216">
        <v>64.06</v>
      </c>
      <c r="M9" s="216">
        <v>69.275000000000006</v>
      </c>
      <c r="N9" s="216">
        <v>69.775000000000006</v>
      </c>
      <c r="O9" s="216">
        <v>69.25</v>
      </c>
      <c r="P9" s="46">
        <f t="shared" ref="P9:P10" si="1">SUM(D9:O9)</f>
        <v>771.57500000000005</v>
      </c>
      <c r="Q9" s="9">
        <f t="shared" ref="Q9:Q10" si="2">SUM(P9/12)</f>
        <v>64.297916666666666</v>
      </c>
      <c r="R9" s="89">
        <f t="shared" ref="R9:R10" si="3">SUM(P9/365)</f>
        <v>2.1139041095890412</v>
      </c>
    </row>
    <row r="10" spans="1:18" x14ac:dyDescent="0.25">
      <c r="A10" s="8" t="s">
        <v>365</v>
      </c>
      <c r="B10" s="200" t="s">
        <v>115</v>
      </c>
      <c r="C10" s="200" t="s">
        <v>375</v>
      </c>
      <c r="D10" s="215">
        <v>52.06</v>
      </c>
      <c r="E10" s="215">
        <v>43.44</v>
      </c>
      <c r="F10" s="215">
        <v>43.835000000000001</v>
      </c>
      <c r="G10" s="215">
        <v>65.790000000000006</v>
      </c>
      <c r="H10" s="215">
        <v>51.19</v>
      </c>
      <c r="I10" s="216">
        <v>50.75</v>
      </c>
      <c r="J10" s="216">
        <v>57.005000000000003</v>
      </c>
      <c r="K10" s="216">
        <v>78.465000000000003</v>
      </c>
      <c r="L10" s="216">
        <v>59.13</v>
      </c>
      <c r="M10" s="216">
        <v>64.44</v>
      </c>
      <c r="N10" s="216">
        <v>59.895000000000003</v>
      </c>
      <c r="O10" s="216">
        <v>83.855000000000004</v>
      </c>
      <c r="P10" s="46">
        <f t="shared" si="1"/>
        <v>709.85500000000002</v>
      </c>
      <c r="Q10" s="9">
        <f t="shared" si="2"/>
        <v>59.154583333333335</v>
      </c>
      <c r="R10" s="89">
        <f t="shared" si="3"/>
        <v>1.9448082191780822</v>
      </c>
    </row>
    <row r="11" spans="1:18" x14ac:dyDescent="0.25">
      <c r="A11" s="96" t="s">
        <v>365</v>
      </c>
      <c r="B11" s="200" t="s">
        <v>114</v>
      </c>
      <c r="C11" s="200" t="s">
        <v>375</v>
      </c>
      <c r="D11" s="215">
        <v>35.479999999999997</v>
      </c>
      <c r="E11" s="215">
        <v>33.225000000000001</v>
      </c>
      <c r="F11" s="215">
        <v>46.954999999999998</v>
      </c>
      <c r="G11" s="215">
        <v>58.47</v>
      </c>
      <c r="H11" s="215">
        <v>51.38</v>
      </c>
      <c r="I11" s="215">
        <v>62.545000000000002</v>
      </c>
      <c r="J11" s="215">
        <v>81.424999999999997</v>
      </c>
      <c r="K11" s="215">
        <v>90.245000000000005</v>
      </c>
      <c r="L11" s="215">
        <v>85.525000000000006</v>
      </c>
      <c r="M11" s="215">
        <v>64.83</v>
      </c>
      <c r="N11" s="215">
        <v>83.87</v>
      </c>
      <c r="O11" s="215">
        <v>98.435000000000002</v>
      </c>
      <c r="P11" s="47">
        <f t="shared" si="0"/>
        <v>792.38499999999999</v>
      </c>
      <c r="Q11" s="9">
        <f t="shared" ref="Q11" si="4">SUM(P11/12)</f>
        <v>66.032083333333333</v>
      </c>
      <c r="R11" s="89">
        <f t="shared" ref="R11:R13" si="5">SUM(P11/365)</f>
        <v>2.170917808219178</v>
      </c>
    </row>
    <row r="12" spans="1:18" ht="15.75" thickBot="1" x14ac:dyDescent="0.3">
      <c r="A12" s="96" t="s">
        <v>113</v>
      </c>
      <c r="B12" s="200" t="s">
        <v>294</v>
      </c>
      <c r="C12" s="200" t="s">
        <v>375</v>
      </c>
      <c r="D12" s="215">
        <v>2.0350000000000001</v>
      </c>
      <c r="E12" s="215">
        <v>4.43</v>
      </c>
      <c r="F12" s="215">
        <v>0</v>
      </c>
      <c r="G12" s="215">
        <v>2.11</v>
      </c>
      <c r="H12" s="215">
        <v>6.4349999999999996</v>
      </c>
      <c r="I12" s="215">
        <v>0</v>
      </c>
      <c r="J12" s="215">
        <v>4.5650000000000004</v>
      </c>
      <c r="K12" s="215">
        <v>2.48</v>
      </c>
      <c r="L12" s="215">
        <v>3.04</v>
      </c>
      <c r="M12" s="215">
        <v>2.7549999999999999</v>
      </c>
      <c r="N12" s="215">
        <v>3.04</v>
      </c>
      <c r="O12" s="215">
        <v>4.085</v>
      </c>
      <c r="P12" s="47">
        <f t="shared" si="0"/>
        <v>34.974999999999994</v>
      </c>
      <c r="Q12" s="9">
        <f t="shared" ref="Q12" si="6">SUM(P12/12)</f>
        <v>2.9145833333333329</v>
      </c>
      <c r="R12" s="89">
        <f t="shared" si="5"/>
        <v>9.5821917808219165E-2</v>
      </c>
    </row>
    <row r="13" spans="1:18" ht="15.75" thickBot="1" x14ac:dyDescent="0.3">
      <c r="B13" s="28" t="s">
        <v>133</v>
      </c>
      <c r="C13" s="190"/>
      <c r="D13" s="146">
        <f t="shared" ref="D13:O13" si="7">SUM(D8:D12)</f>
        <v>3858.4449999999997</v>
      </c>
      <c r="E13" s="146">
        <f t="shared" si="7"/>
        <v>3530.72</v>
      </c>
      <c r="F13" s="146">
        <f t="shared" si="7"/>
        <v>4077.6800000000003</v>
      </c>
      <c r="G13" s="146">
        <f t="shared" si="7"/>
        <v>4199.47</v>
      </c>
      <c r="H13" s="146">
        <f t="shared" si="7"/>
        <v>4160.1400000000003</v>
      </c>
      <c r="I13" s="146">
        <f t="shared" si="7"/>
        <v>4595.01</v>
      </c>
      <c r="J13" s="146">
        <f t="shared" si="7"/>
        <v>5150.4949999999999</v>
      </c>
      <c r="K13" s="146">
        <f t="shared" si="7"/>
        <v>5143.3549999999996</v>
      </c>
      <c r="L13" s="146">
        <f t="shared" si="7"/>
        <v>4842.585</v>
      </c>
      <c r="M13" s="146">
        <f t="shared" si="7"/>
        <v>5305.5949999999993</v>
      </c>
      <c r="N13" s="146">
        <f t="shared" si="7"/>
        <v>5028.125</v>
      </c>
      <c r="O13" s="146">
        <f t="shared" si="7"/>
        <v>5167.42</v>
      </c>
      <c r="P13" s="48">
        <f t="shared" si="0"/>
        <v>55059.039999999994</v>
      </c>
      <c r="Q13" s="9">
        <f t="shared" ref="Q13" si="8">SUM(P13/12)</f>
        <v>4588.2533333333331</v>
      </c>
      <c r="R13" s="89">
        <f t="shared" si="5"/>
        <v>150.84668493150684</v>
      </c>
    </row>
  </sheetData>
  <mergeCells count="8">
    <mergeCell ref="A1:R1"/>
    <mergeCell ref="A2:R2"/>
    <mergeCell ref="A6:A7"/>
    <mergeCell ref="C6:C7"/>
    <mergeCell ref="B3:O3"/>
    <mergeCell ref="B4:O4"/>
    <mergeCell ref="B6:B7"/>
    <mergeCell ref="D6:O6"/>
  </mergeCells>
  <pageMargins left="0.25" right="0.25" top="0.75" bottom="0.75" header="0.3" footer="0.3"/>
  <pageSetup paperSize="12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pane xSplit="2" ySplit="3" topLeftCell="C25" activePane="bottomRight" state="frozen"/>
      <selection pane="topRight" activeCell="B1" sqref="B1"/>
      <selection pane="bottomLeft" activeCell="A2" sqref="A2"/>
      <selection pane="bottomRight" sqref="A1:XFD2"/>
    </sheetView>
  </sheetViews>
  <sheetFormatPr baseColWidth="10" defaultColWidth="11.5703125" defaultRowHeight="15" x14ac:dyDescent="0.25"/>
  <cols>
    <col min="1" max="1" width="18.140625" style="148" customWidth="1"/>
    <col min="2" max="2" width="22.85546875" style="148" customWidth="1"/>
    <col min="3" max="3" width="13.7109375" style="148" customWidth="1"/>
    <col min="4" max="11" width="13.42578125" style="148" bestFit="1" customWidth="1"/>
    <col min="12" max="12" width="13.42578125" style="148" customWidth="1"/>
    <col min="13" max="13" width="13.42578125" style="148" bestFit="1" customWidth="1"/>
    <col min="14" max="14" width="13.140625" style="148" customWidth="1"/>
    <col min="15" max="15" width="12.7109375" style="148" customWidth="1"/>
    <col min="16" max="16" width="14.7109375" style="148" customWidth="1"/>
    <col min="17" max="16384" width="11.5703125" style="148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x14ac:dyDescent="0.25">
      <c r="A3" s="147"/>
      <c r="B3" s="411" t="s">
        <v>134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</row>
    <row r="4" spans="1:18" x14ac:dyDescent="0.25">
      <c r="A4" s="147"/>
      <c r="B4" s="147"/>
      <c r="C4" s="182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spans="1:18" ht="15" customHeight="1" x14ac:dyDescent="0.25">
      <c r="A5" s="412" t="s">
        <v>405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</row>
    <row r="6" spans="1:18" ht="30" x14ac:dyDescent="0.25">
      <c r="A6" s="149" t="s">
        <v>1</v>
      </c>
      <c r="B6" s="149" t="s">
        <v>2</v>
      </c>
      <c r="C6" s="149" t="s">
        <v>376</v>
      </c>
      <c r="D6" s="150" t="s">
        <v>4</v>
      </c>
      <c r="E6" s="150" t="s">
        <v>5</v>
      </c>
      <c r="F6" s="150" t="s">
        <v>6</v>
      </c>
      <c r="G6" s="150" t="s">
        <v>7</v>
      </c>
      <c r="H6" s="150" t="s">
        <v>8</v>
      </c>
      <c r="I6" s="150" t="s">
        <v>9</v>
      </c>
      <c r="J6" s="150" t="s">
        <v>10</v>
      </c>
      <c r="K6" s="150" t="s">
        <v>11</v>
      </c>
      <c r="L6" s="150" t="s">
        <v>12</v>
      </c>
      <c r="M6" s="151" t="s">
        <v>13</v>
      </c>
      <c r="N6" s="151" t="s">
        <v>14</v>
      </c>
      <c r="O6" s="151" t="s">
        <v>15</v>
      </c>
      <c r="P6" s="151" t="s">
        <v>25</v>
      </c>
      <c r="Q6" s="27" t="s">
        <v>121</v>
      </c>
      <c r="R6" s="152" t="s">
        <v>157</v>
      </c>
    </row>
    <row r="7" spans="1:18" x14ac:dyDescent="0.25">
      <c r="A7" s="3" t="s">
        <v>239</v>
      </c>
      <c r="B7" s="3" t="s">
        <v>390</v>
      </c>
      <c r="C7" s="191" t="s">
        <v>376</v>
      </c>
      <c r="D7" s="241">
        <v>91.444999999999993</v>
      </c>
      <c r="E7" s="242">
        <v>85.075000000000003</v>
      </c>
      <c r="F7" s="242">
        <v>97.204999999999998</v>
      </c>
      <c r="G7" s="242">
        <v>94.84</v>
      </c>
      <c r="H7" s="242">
        <v>93.04</v>
      </c>
      <c r="I7" s="242">
        <v>83.85</v>
      </c>
      <c r="J7" s="242">
        <v>93.32</v>
      </c>
      <c r="K7" s="242">
        <v>100.02</v>
      </c>
      <c r="L7" s="242">
        <v>81.015000000000001</v>
      </c>
      <c r="M7" s="242">
        <v>101.355</v>
      </c>
      <c r="N7" s="242">
        <v>98.194999999999993</v>
      </c>
      <c r="O7" s="242">
        <v>96.67</v>
      </c>
      <c r="P7" s="235">
        <f>SUM(D7:O7)</f>
        <v>1116.03</v>
      </c>
      <c r="Q7" s="236">
        <f>SUM(P7/12)</f>
        <v>93.002499999999998</v>
      </c>
      <c r="R7" s="237">
        <f>SUM(P7/365)</f>
        <v>3.0576164383561641</v>
      </c>
    </row>
    <row r="8" spans="1:18" x14ac:dyDescent="0.25">
      <c r="A8" s="3" t="s">
        <v>239</v>
      </c>
      <c r="B8" s="3" t="s">
        <v>380</v>
      </c>
      <c r="C8" s="191" t="s">
        <v>376</v>
      </c>
      <c r="D8" s="241">
        <v>16.545000000000002</v>
      </c>
      <c r="E8" s="242">
        <v>16.14</v>
      </c>
      <c r="F8" s="242">
        <v>18.88</v>
      </c>
      <c r="G8" s="242">
        <v>19.614999999999998</v>
      </c>
      <c r="H8" s="242">
        <v>18.41</v>
      </c>
      <c r="I8" s="242">
        <v>16.22</v>
      </c>
      <c r="J8" s="242">
        <v>17.52</v>
      </c>
      <c r="K8" s="242">
        <v>15.92</v>
      </c>
      <c r="L8" s="242">
        <v>15.29</v>
      </c>
      <c r="M8" s="242">
        <v>27.73</v>
      </c>
      <c r="N8" s="242">
        <v>23.44</v>
      </c>
      <c r="O8" s="242">
        <v>17.98</v>
      </c>
      <c r="P8" s="235">
        <f t="shared" ref="P8:P34" si="0">SUM(D8:O8)</f>
        <v>223.68999999999994</v>
      </c>
      <c r="Q8" s="236">
        <f t="shared" ref="Q8:Q34" si="1">SUM(P8/12)</f>
        <v>18.64083333333333</v>
      </c>
      <c r="R8" s="237">
        <f t="shared" ref="R8:R34" si="2">SUM(P8/365)</f>
        <v>0.61284931506849294</v>
      </c>
    </row>
    <row r="9" spans="1:18" x14ac:dyDescent="0.25">
      <c r="A9" s="3" t="s">
        <v>239</v>
      </c>
      <c r="B9" s="3" t="s">
        <v>381</v>
      </c>
      <c r="C9" s="191" t="s">
        <v>376</v>
      </c>
      <c r="D9" s="241">
        <v>30.065000000000001</v>
      </c>
      <c r="E9" s="242">
        <v>21.18</v>
      </c>
      <c r="F9" s="242">
        <v>20.945</v>
      </c>
      <c r="G9" s="242">
        <v>28.11</v>
      </c>
      <c r="H9" s="242">
        <v>26.815000000000001</v>
      </c>
      <c r="I9" s="242">
        <v>21.695</v>
      </c>
      <c r="J9" s="242">
        <v>21.725000000000001</v>
      </c>
      <c r="K9" s="242">
        <v>25.2</v>
      </c>
      <c r="L9" s="242">
        <v>24.414999999999999</v>
      </c>
      <c r="M9" s="242">
        <v>30.2</v>
      </c>
      <c r="N9" s="242">
        <v>24.914999999999999</v>
      </c>
      <c r="O9" s="242">
        <v>24.59</v>
      </c>
      <c r="P9" s="235">
        <f t="shared" si="0"/>
        <v>299.85499999999996</v>
      </c>
      <c r="Q9" s="236">
        <f t="shared" si="1"/>
        <v>24.987916666666663</v>
      </c>
      <c r="R9" s="237">
        <f t="shared" si="2"/>
        <v>0.82152054794520535</v>
      </c>
    </row>
    <row r="10" spans="1:18" x14ac:dyDescent="0.25">
      <c r="A10" s="3" t="s">
        <v>239</v>
      </c>
      <c r="B10" s="3" t="s">
        <v>295</v>
      </c>
      <c r="C10" s="191" t="s">
        <v>376</v>
      </c>
      <c r="D10" s="241">
        <v>23.475000000000001</v>
      </c>
      <c r="E10" s="242">
        <v>19.309999999999999</v>
      </c>
      <c r="F10" s="242">
        <v>24.82</v>
      </c>
      <c r="G10" s="242">
        <v>24.01</v>
      </c>
      <c r="H10" s="242">
        <v>23.734999999999999</v>
      </c>
      <c r="I10" s="242">
        <v>22.324999999999999</v>
      </c>
      <c r="J10" s="242">
        <v>23.504999999999999</v>
      </c>
      <c r="K10" s="242">
        <v>22.475000000000001</v>
      </c>
      <c r="L10" s="242">
        <v>20.6</v>
      </c>
      <c r="M10" s="242">
        <v>25.385000000000002</v>
      </c>
      <c r="N10" s="242">
        <v>23.55</v>
      </c>
      <c r="O10" s="242">
        <v>27.44</v>
      </c>
      <c r="P10" s="235">
        <f t="shared" si="0"/>
        <v>280.63</v>
      </c>
      <c r="Q10" s="236">
        <f t="shared" si="1"/>
        <v>23.385833333333334</v>
      </c>
      <c r="R10" s="237">
        <f t="shared" si="2"/>
        <v>0.76884931506849319</v>
      </c>
    </row>
    <row r="11" spans="1:18" x14ac:dyDescent="0.25">
      <c r="A11" s="3" t="s">
        <v>239</v>
      </c>
      <c r="B11" s="3" t="s">
        <v>296</v>
      </c>
      <c r="C11" s="191" t="s">
        <v>376</v>
      </c>
      <c r="D11" s="241">
        <v>28.515000000000001</v>
      </c>
      <c r="E11" s="242">
        <v>23.64</v>
      </c>
      <c r="F11" s="242">
        <v>24.18</v>
      </c>
      <c r="G11" s="242">
        <v>28.024999999999999</v>
      </c>
      <c r="H11" s="242">
        <v>29.12</v>
      </c>
      <c r="I11" s="242">
        <v>26.1</v>
      </c>
      <c r="J11" s="242">
        <v>33.344999999999999</v>
      </c>
      <c r="K11" s="242">
        <v>30.12</v>
      </c>
      <c r="L11" s="242">
        <v>23.4</v>
      </c>
      <c r="M11" s="242">
        <v>29.36</v>
      </c>
      <c r="N11" s="242">
        <v>26.01</v>
      </c>
      <c r="O11" s="242">
        <v>25.155000000000001</v>
      </c>
      <c r="P11" s="235">
        <f t="shared" si="0"/>
        <v>326.97000000000003</v>
      </c>
      <c r="Q11" s="236">
        <f t="shared" si="1"/>
        <v>27.247500000000002</v>
      </c>
      <c r="R11" s="237">
        <f t="shared" si="2"/>
        <v>0.89580821917808229</v>
      </c>
    </row>
    <row r="12" spans="1:18" x14ac:dyDescent="0.25">
      <c r="A12" s="3" t="s">
        <v>239</v>
      </c>
      <c r="B12" s="3" t="s">
        <v>297</v>
      </c>
      <c r="C12" s="191" t="s">
        <v>376</v>
      </c>
      <c r="D12" s="241">
        <v>29.93</v>
      </c>
      <c r="E12" s="242">
        <v>23.81</v>
      </c>
      <c r="F12" s="242">
        <v>32.414999999999999</v>
      </c>
      <c r="G12" s="242">
        <v>30.605</v>
      </c>
      <c r="H12" s="242">
        <v>32.615000000000002</v>
      </c>
      <c r="I12" s="242">
        <v>28.015000000000001</v>
      </c>
      <c r="J12" s="242">
        <v>30.39</v>
      </c>
      <c r="K12" s="242">
        <v>29.135000000000002</v>
      </c>
      <c r="L12" s="242">
        <v>30.754999999999999</v>
      </c>
      <c r="M12" s="242">
        <v>31.024999999999999</v>
      </c>
      <c r="N12" s="242">
        <v>29.79</v>
      </c>
      <c r="O12" s="242">
        <v>34.234999999999999</v>
      </c>
      <c r="P12" s="235">
        <f t="shared" si="0"/>
        <v>362.71999999999997</v>
      </c>
      <c r="Q12" s="236">
        <f t="shared" si="1"/>
        <v>30.226666666666663</v>
      </c>
      <c r="R12" s="237">
        <f t="shared" si="2"/>
        <v>0.99375342465753413</v>
      </c>
    </row>
    <row r="13" spans="1:18" x14ac:dyDescent="0.25">
      <c r="A13" s="3" t="s">
        <v>239</v>
      </c>
      <c r="B13" s="3" t="s">
        <v>382</v>
      </c>
      <c r="C13" s="191" t="s">
        <v>376</v>
      </c>
      <c r="D13" s="241">
        <v>28.625</v>
      </c>
      <c r="E13" s="242">
        <v>25.57</v>
      </c>
      <c r="F13" s="242">
        <v>39.505000000000003</v>
      </c>
      <c r="G13" s="242">
        <v>31.535</v>
      </c>
      <c r="H13" s="242">
        <v>39.465000000000003</v>
      </c>
      <c r="I13" s="242">
        <v>29.86</v>
      </c>
      <c r="J13" s="242">
        <v>29.56</v>
      </c>
      <c r="K13" s="242">
        <v>34.29</v>
      </c>
      <c r="L13" s="242">
        <v>30.41</v>
      </c>
      <c r="M13" s="242">
        <v>34.685000000000002</v>
      </c>
      <c r="N13" s="242">
        <v>31.09</v>
      </c>
      <c r="O13" s="242">
        <v>24.66</v>
      </c>
      <c r="P13" s="235">
        <f t="shared" si="0"/>
        <v>379.25500000000005</v>
      </c>
      <c r="Q13" s="236">
        <f t="shared" si="1"/>
        <v>31.604583333333338</v>
      </c>
      <c r="R13" s="237">
        <f t="shared" si="2"/>
        <v>1.0390547945205482</v>
      </c>
    </row>
    <row r="14" spans="1:18" x14ac:dyDescent="0.25">
      <c r="A14" s="3" t="s">
        <v>239</v>
      </c>
      <c r="B14" s="3" t="s">
        <v>383</v>
      </c>
      <c r="C14" s="191" t="s">
        <v>376</v>
      </c>
      <c r="D14" s="241">
        <v>20.184999999999999</v>
      </c>
      <c r="E14" s="242">
        <v>19.504999999999999</v>
      </c>
      <c r="F14" s="242">
        <v>27.29</v>
      </c>
      <c r="G14" s="242">
        <v>23.25</v>
      </c>
      <c r="H14" s="242">
        <v>24.01</v>
      </c>
      <c r="I14" s="242">
        <v>18.899999999999999</v>
      </c>
      <c r="J14" s="242">
        <v>21.77</v>
      </c>
      <c r="K14" s="242">
        <v>21.835000000000001</v>
      </c>
      <c r="L14" s="242">
        <v>18.399999999999999</v>
      </c>
      <c r="M14" s="242">
        <v>21.57</v>
      </c>
      <c r="N14" s="242">
        <v>24.004999999999999</v>
      </c>
      <c r="O14" s="242">
        <v>18.75</v>
      </c>
      <c r="P14" s="235">
        <f t="shared" si="0"/>
        <v>259.47000000000003</v>
      </c>
      <c r="Q14" s="236">
        <f t="shared" si="1"/>
        <v>21.622500000000002</v>
      </c>
      <c r="R14" s="237">
        <f t="shared" si="2"/>
        <v>0.71087671232876715</v>
      </c>
    </row>
    <row r="15" spans="1:18" x14ac:dyDescent="0.25">
      <c r="A15" s="3" t="s">
        <v>239</v>
      </c>
      <c r="B15" s="3" t="s">
        <v>298</v>
      </c>
      <c r="C15" s="191" t="s">
        <v>376</v>
      </c>
      <c r="D15" s="241">
        <v>428.745</v>
      </c>
      <c r="E15" s="242">
        <v>366.55</v>
      </c>
      <c r="F15" s="242">
        <v>426.60500000000002</v>
      </c>
      <c r="G15" s="242">
        <v>437.995</v>
      </c>
      <c r="H15" s="242">
        <v>490.2</v>
      </c>
      <c r="I15" s="242">
        <v>451.935</v>
      </c>
      <c r="J15" s="242">
        <v>472.755</v>
      </c>
      <c r="K15" s="242">
        <v>485.73500000000001</v>
      </c>
      <c r="L15" s="242">
        <v>495.13499999999999</v>
      </c>
      <c r="M15" s="242">
        <v>510.13</v>
      </c>
      <c r="N15" s="242">
        <v>462.65</v>
      </c>
      <c r="O15" s="242">
        <v>495.565</v>
      </c>
      <c r="P15" s="235">
        <f t="shared" si="0"/>
        <v>5523.9999999999991</v>
      </c>
      <c r="Q15" s="236">
        <f t="shared" si="1"/>
        <v>460.33333333333326</v>
      </c>
      <c r="R15" s="237">
        <f t="shared" si="2"/>
        <v>15.134246575342463</v>
      </c>
    </row>
    <row r="16" spans="1:18" x14ac:dyDescent="0.25">
      <c r="A16" s="3" t="s">
        <v>113</v>
      </c>
      <c r="B16" s="3" t="s">
        <v>299</v>
      </c>
      <c r="C16" s="191" t="s">
        <v>376</v>
      </c>
      <c r="D16" s="241">
        <v>8.5</v>
      </c>
      <c r="E16" s="242">
        <v>7.25</v>
      </c>
      <c r="F16" s="242">
        <v>8.25</v>
      </c>
      <c r="G16" s="242">
        <v>9.7799999999999994</v>
      </c>
      <c r="H16" s="242">
        <v>9.75</v>
      </c>
      <c r="I16" s="242">
        <v>10.035</v>
      </c>
      <c r="J16" s="242">
        <v>9.43</v>
      </c>
      <c r="K16" s="242">
        <v>12.125</v>
      </c>
      <c r="L16" s="242">
        <v>10.555</v>
      </c>
      <c r="M16" s="242">
        <v>9.7550000000000008</v>
      </c>
      <c r="N16" s="242">
        <v>10.06</v>
      </c>
      <c r="O16" s="242">
        <v>9.7799999999999994</v>
      </c>
      <c r="P16" s="235">
        <f t="shared" ref="P16" si="3">SUM(D16:O16)</f>
        <v>115.27000000000001</v>
      </c>
      <c r="Q16" s="236">
        <f t="shared" si="1"/>
        <v>9.6058333333333348</v>
      </c>
      <c r="R16" s="237">
        <f t="shared" si="2"/>
        <v>0.31580821917808222</v>
      </c>
    </row>
    <row r="17" spans="1:18" x14ac:dyDescent="0.25">
      <c r="A17" s="3" t="s">
        <v>109</v>
      </c>
      <c r="B17" s="3" t="s">
        <v>385</v>
      </c>
      <c r="C17" s="191" t="s">
        <v>376</v>
      </c>
      <c r="D17" s="241">
        <v>13.815</v>
      </c>
      <c r="E17" s="242">
        <v>9.0549999999999997</v>
      </c>
      <c r="F17" s="242">
        <v>9.56</v>
      </c>
      <c r="G17" s="242">
        <v>8.7650000000000006</v>
      </c>
      <c r="H17" s="242">
        <v>13.845000000000001</v>
      </c>
      <c r="I17" s="242">
        <v>9.7850000000000001</v>
      </c>
      <c r="J17" s="242">
        <v>12.185</v>
      </c>
      <c r="K17" s="242">
        <v>9.6199999999999992</v>
      </c>
      <c r="L17" s="242">
        <v>9.1050000000000004</v>
      </c>
      <c r="M17" s="242">
        <v>13.355</v>
      </c>
      <c r="N17" s="242">
        <v>9.8249999999999993</v>
      </c>
      <c r="O17" s="242">
        <v>8.8699999999999992</v>
      </c>
      <c r="P17" s="235">
        <f t="shared" ref="P17:P18" si="4">SUM(D17:O17)</f>
        <v>127.78500000000003</v>
      </c>
      <c r="Q17" s="236">
        <f t="shared" si="1"/>
        <v>10.648750000000001</v>
      </c>
      <c r="R17" s="237">
        <f t="shared" si="2"/>
        <v>0.35009589041095895</v>
      </c>
    </row>
    <row r="18" spans="1:18" x14ac:dyDescent="0.25">
      <c r="A18" s="3" t="s">
        <v>239</v>
      </c>
      <c r="B18" s="3" t="s">
        <v>283</v>
      </c>
      <c r="C18" s="191" t="s">
        <v>376</v>
      </c>
      <c r="D18" s="241">
        <v>152.94999999999999</v>
      </c>
      <c r="E18" s="242">
        <v>118.74</v>
      </c>
      <c r="F18" s="242">
        <v>140.85499999999999</v>
      </c>
      <c r="G18" s="242">
        <v>173.495</v>
      </c>
      <c r="H18" s="242">
        <v>173.30500000000001</v>
      </c>
      <c r="I18" s="242">
        <v>169.095</v>
      </c>
      <c r="J18" s="242">
        <v>183.38499999999999</v>
      </c>
      <c r="K18" s="242">
        <v>180.10499999999999</v>
      </c>
      <c r="L18" s="242">
        <v>175.34</v>
      </c>
      <c r="M18" s="242">
        <v>190.345</v>
      </c>
      <c r="N18" s="242">
        <v>174.07499999999999</v>
      </c>
      <c r="O18" s="242">
        <v>165.36</v>
      </c>
      <c r="P18" s="235">
        <f t="shared" si="4"/>
        <v>1997.0500000000002</v>
      </c>
      <c r="Q18" s="236">
        <f t="shared" si="1"/>
        <v>166.42083333333335</v>
      </c>
      <c r="R18" s="237">
        <f t="shared" si="2"/>
        <v>5.4713698630136989</v>
      </c>
    </row>
    <row r="19" spans="1:18" x14ac:dyDescent="0.25">
      <c r="A19" s="3" t="s">
        <v>113</v>
      </c>
      <c r="B19" s="3" t="s">
        <v>384</v>
      </c>
      <c r="C19" s="191" t="s">
        <v>376</v>
      </c>
      <c r="D19" s="241">
        <v>20.49</v>
      </c>
      <c r="E19" s="242">
        <v>18.545000000000002</v>
      </c>
      <c r="F19" s="242">
        <v>21.99</v>
      </c>
      <c r="G19" s="242">
        <v>23.704999999999998</v>
      </c>
      <c r="H19" s="242">
        <v>24.24</v>
      </c>
      <c r="I19" s="242">
        <v>19.79</v>
      </c>
      <c r="J19" s="242">
        <v>22.71</v>
      </c>
      <c r="K19" s="242">
        <v>23.4</v>
      </c>
      <c r="L19" s="242">
        <v>19.855</v>
      </c>
      <c r="M19" s="242">
        <v>22.72</v>
      </c>
      <c r="N19" s="242">
        <v>22.535</v>
      </c>
      <c r="O19" s="242">
        <v>23.734999999999999</v>
      </c>
      <c r="P19" s="235">
        <f t="shared" si="0"/>
        <v>263.71499999999997</v>
      </c>
      <c r="Q19" s="236">
        <f t="shared" si="1"/>
        <v>21.976249999999997</v>
      </c>
      <c r="R19" s="237">
        <f t="shared" si="2"/>
        <v>0.72250684931506848</v>
      </c>
    </row>
    <row r="20" spans="1:18" x14ac:dyDescent="0.25">
      <c r="A20" s="3" t="s">
        <v>113</v>
      </c>
      <c r="B20" s="3" t="s">
        <v>300</v>
      </c>
      <c r="C20" s="191" t="s">
        <v>376</v>
      </c>
      <c r="D20" s="241">
        <v>16.745000000000001</v>
      </c>
      <c r="E20" s="242">
        <v>17.399999999999999</v>
      </c>
      <c r="F20" s="242">
        <v>17.105</v>
      </c>
      <c r="G20" s="242">
        <v>18.164999999999999</v>
      </c>
      <c r="H20" s="242">
        <v>23.4</v>
      </c>
      <c r="I20" s="242">
        <v>21.12</v>
      </c>
      <c r="J20" s="242">
        <v>22.76</v>
      </c>
      <c r="K20" s="242">
        <v>23.27</v>
      </c>
      <c r="L20" s="242">
        <v>26.454999999999998</v>
      </c>
      <c r="M20" s="242">
        <v>28.38</v>
      </c>
      <c r="N20" s="242">
        <v>24.094999999999999</v>
      </c>
      <c r="O20" s="242">
        <v>24.484999999999999</v>
      </c>
      <c r="P20" s="235">
        <f t="shared" si="0"/>
        <v>263.38</v>
      </c>
      <c r="Q20" s="236">
        <f t="shared" si="1"/>
        <v>21.948333333333334</v>
      </c>
      <c r="R20" s="237">
        <f t="shared" si="2"/>
        <v>0.72158904109589039</v>
      </c>
    </row>
    <row r="21" spans="1:18" x14ac:dyDescent="0.25">
      <c r="A21" s="3" t="s">
        <v>113</v>
      </c>
      <c r="B21" s="3" t="s">
        <v>301</v>
      </c>
      <c r="C21" s="191" t="s">
        <v>376</v>
      </c>
      <c r="D21" s="241">
        <v>0</v>
      </c>
      <c r="E21" s="242">
        <v>1.18</v>
      </c>
      <c r="F21" s="242">
        <v>1.075</v>
      </c>
      <c r="G21" s="242">
        <v>1.2549999999999999</v>
      </c>
      <c r="H21" s="242">
        <v>0</v>
      </c>
      <c r="I21" s="242">
        <v>1.45</v>
      </c>
      <c r="J21" s="242">
        <v>4.28</v>
      </c>
      <c r="K21" s="242">
        <v>1.42</v>
      </c>
      <c r="L21" s="242">
        <v>1.5349999999999999</v>
      </c>
      <c r="M21" s="242">
        <v>2.5649999999999999</v>
      </c>
      <c r="N21" s="242">
        <v>1.145</v>
      </c>
      <c r="O21" s="242">
        <v>3.41</v>
      </c>
      <c r="P21" s="235">
        <f t="shared" si="0"/>
        <v>19.314999999999998</v>
      </c>
      <c r="Q21" s="236">
        <f t="shared" si="1"/>
        <v>1.6095833333333331</v>
      </c>
      <c r="R21" s="237">
        <f t="shared" si="2"/>
        <v>5.2917808219178075E-2</v>
      </c>
    </row>
    <row r="22" spans="1:18" x14ac:dyDescent="0.25">
      <c r="A22" s="3" t="s">
        <v>113</v>
      </c>
      <c r="B22" s="3" t="s">
        <v>302</v>
      </c>
      <c r="C22" s="191" t="s">
        <v>376</v>
      </c>
      <c r="D22" s="241">
        <v>9.7899999999999991</v>
      </c>
      <c r="E22" s="242">
        <v>7.67</v>
      </c>
      <c r="F22" s="242">
        <v>6.7850000000000001</v>
      </c>
      <c r="G22" s="242">
        <v>11.44</v>
      </c>
      <c r="H22" s="242">
        <v>11.195</v>
      </c>
      <c r="I22" s="242">
        <v>12.47</v>
      </c>
      <c r="J22" s="242">
        <v>14.335000000000001</v>
      </c>
      <c r="K22" s="242">
        <v>11.05</v>
      </c>
      <c r="L22" s="242">
        <v>10.07</v>
      </c>
      <c r="M22" s="242">
        <v>12.14</v>
      </c>
      <c r="N22" s="242">
        <v>13.61</v>
      </c>
      <c r="O22" s="242">
        <v>10.744999999999999</v>
      </c>
      <c r="P22" s="235">
        <f t="shared" si="0"/>
        <v>131.30000000000001</v>
      </c>
      <c r="Q22" s="236">
        <f t="shared" si="1"/>
        <v>10.941666666666668</v>
      </c>
      <c r="R22" s="237">
        <f t="shared" si="2"/>
        <v>0.35972602739726028</v>
      </c>
    </row>
    <row r="23" spans="1:18" x14ac:dyDescent="0.25">
      <c r="A23" s="3" t="s">
        <v>113</v>
      </c>
      <c r="B23" s="3" t="s">
        <v>303</v>
      </c>
      <c r="C23" s="191" t="s">
        <v>376</v>
      </c>
      <c r="D23" s="241">
        <v>18.995000000000001</v>
      </c>
      <c r="E23" s="242">
        <v>14.92</v>
      </c>
      <c r="F23" s="242">
        <v>17.555</v>
      </c>
      <c r="G23" s="242">
        <v>22.065000000000001</v>
      </c>
      <c r="H23" s="242">
        <v>30.725000000000001</v>
      </c>
      <c r="I23" s="242">
        <v>22.18</v>
      </c>
      <c r="J23" s="242">
        <v>24.63</v>
      </c>
      <c r="K23" s="242">
        <v>22.274999999999999</v>
      </c>
      <c r="L23" s="242">
        <v>24.155000000000001</v>
      </c>
      <c r="M23" s="242">
        <v>26.295000000000002</v>
      </c>
      <c r="N23" s="242">
        <v>21.015000000000001</v>
      </c>
      <c r="O23" s="242">
        <v>21.454999999999998</v>
      </c>
      <c r="P23" s="235">
        <f t="shared" si="0"/>
        <v>266.26499999999999</v>
      </c>
      <c r="Q23" s="236">
        <f t="shared" si="1"/>
        <v>22.188749999999999</v>
      </c>
      <c r="R23" s="237">
        <f t="shared" si="2"/>
        <v>0.72949315068493148</v>
      </c>
    </row>
    <row r="24" spans="1:18" x14ac:dyDescent="0.25">
      <c r="A24" s="3" t="s">
        <v>113</v>
      </c>
      <c r="B24" s="3" t="s">
        <v>304</v>
      </c>
      <c r="C24" s="191" t="s">
        <v>376</v>
      </c>
      <c r="D24" s="241">
        <v>59.43</v>
      </c>
      <c r="E24" s="242">
        <v>66.575000000000003</v>
      </c>
      <c r="F24" s="242">
        <v>67.3</v>
      </c>
      <c r="G24" s="242">
        <v>71.605000000000004</v>
      </c>
      <c r="H24" s="242">
        <v>75.319999999999993</v>
      </c>
      <c r="I24" s="242">
        <v>67.185000000000002</v>
      </c>
      <c r="J24" s="242">
        <v>76.33</v>
      </c>
      <c r="K24" s="242">
        <v>64.155000000000001</v>
      </c>
      <c r="L24" s="242">
        <v>81.97</v>
      </c>
      <c r="M24" s="242">
        <v>80.97</v>
      </c>
      <c r="N24" s="242">
        <v>73.81</v>
      </c>
      <c r="O24" s="242">
        <v>71.974999999999994</v>
      </c>
      <c r="P24" s="235">
        <f t="shared" si="0"/>
        <v>856.62500000000011</v>
      </c>
      <c r="Q24" s="236">
        <f t="shared" si="1"/>
        <v>71.385416666666671</v>
      </c>
      <c r="R24" s="237">
        <f t="shared" si="2"/>
        <v>2.3469178082191786</v>
      </c>
    </row>
    <row r="25" spans="1:18" x14ac:dyDescent="0.25">
      <c r="A25" s="3" t="s">
        <v>239</v>
      </c>
      <c r="B25" s="3" t="s">
        <v>239</v>
      </c>
      <c r="C25" s="191" t="s">
        <v>376</v>
      </c>
      <c r="D25" s="241">
        <v>510.28</v>
      </c>
      <c r="E25" s="242">
        <v>437.2</v>
      </c>
      <c r="F25" s="242">
        <v>551.26499999999999</v>
      </c>
      <c r="G25" s="242">
        <v>591.04</v>
      </c>
      <c r="H25" s="242">
        <v>567.19500000000005</v>
      </c>
      <c r="I25" s="242">
        <v>528.53</v>
      </c>
      <c r="J25" s="242">
        <v>573.59500000000003</v>
      </c>
      <c r="K25" s="242">
        <v>529.875</v>
      </c>
      <c r="L25" s="242">
        <v>520.09500000000003</v>
      </c>
      <c r="M25" s="242">
        <v>536.03499999999997</v>
      </c>
      <c r="N25" s="242">
        <v>584.49</v>
      </c>
      <c r="O25" s="242">
        <v>540.45500000000004</v>
      </c>
      <c r="P25" s="235">
        <f t="shared" si="0"/>
        <v>6470.0550000000003</v>
      </c>
      <c r="Q25" s="236">
        <f t="shared" si="1"/>
        <v>539.17124999999999</v>
      </c>
      <c r="R25" s="237">
        <f t="shared" si="2"/>
        <v>17.726178082191783</v>
      </c>
    </row>
    <row r="26" spans="1:18" x14ac:dyDescent="0.25">
      <c r="A26" s="3" t="s">
        <v>113</v>
      </c>
      <c r="B26" s="3" t="s">
        <v>305</v>
      </c>
      <c r="C26" s="191" t="s">
        <v>376</v>
      </c>
      <c r="D26" s="241">
        <v>20.84</v>
      </c>
      <c r="E26" s="242">
        <v>18.715</v>
      </c>
      <c r="F26" s="242">
        <v>19.399999999999999</v>
      </c>
      <c r="G26" s="242">
        <v>20.835000000000001</v>
      </c>
      <c r="H26" s="242">
        <v>22.19</v>
      </c>
      <c r="I26" s="242">
        <v>21.995000000000001</v>
      </c>
      <c r="J26" s="242">
        <v>24.07</v>
      </c>
      <c r="K26" s="242">
        <v>19.024999999999999</v>
      </c>
      <c r="L26" s="242">
        <v>21.1</v>
      </c>
      <c r="M26" s="242">
        <v>20.75</v>
      </c>
      <c r="N26" s="242">
        <v>19.555</v>
      </c>
      <c r="O26" s="242">
        <v>17.245000000000001</v>
      </c>
      <c r="P26" s="235">
        <f t="shared" si="0"/>
        <v>245.72</v>
      </c>
      <c r="Q26" s="236">
        <f t="shared" si="1"/>
        <v>20.476666666666667</v>
      </c>
      <c r="R26" s="237">
        <f t="shared" si="2"/>
        <v>0.67320547945205478</v>
      </c>
    </row>
    <row r="27" spans="1:18" x14ac:dyDescent="0.25">
      <c r="A27" s="3" t="s">
        <v>113</v>
      </c>
      <c r="B27" s="3" t="s">
        <v>306</v>
      </c>
      <c r="C27" s="191" t="s">
        <v>376</v>
      </c>
      <c r="D27" s="241">
        <v>57.555</v>
      </c>
      <c r="E27" s="242">
        <v>51.49</v>
      </c>
      <c r="F27" s="242">
        <v>52.975000000000001</v>
      </c>
      <c r="G27" s="242">
        <v>59.3</v>
      </c>
      <c r="H27" s="242">
        <v>68.650000000000006</v>
      </c>
      <c r="I27" s="242">
        <v>61.734999999999999</v>
      </c>
      <c r="J27" s="242">
        <v>65.834999999999994</v>
      </c>
      <c r="K27" s="242">
        <v>59.58</v>
      </c>
      <c r="L27" s="242">
        <v>59.66</v>
      </c>
      <c r="M27" s="242">
        <v>62.19</v>
      </c>
      <c r="N27" s="242">
        <v>58.51</v>
      </c>
      <c r="O27" s="242">
        <v>54.734999999999999</v>
      </c>
      <c r="P27" s="235">
        <f t="shared" si="0"/>
        <v>712.21500000000003</v>
      </c>
      <c r="Q27" s="236">
        <f t="shared" si="1"/>
        <v>59.35125</v>
      </c>
      <c r="R27" s="237">
        <f t="shared" si="2"/>
        <v>1.9512739726027397</v>
      </c>
    </row>
    <row r="28" spans="1:18" x14ac:dyDescent="0.25">
      <c r="A28" s="3" t="s">
        <v>239</v>
      </c>
      <c r="B28" s="3" t="s">
        <v>307</v>
      </c>
      <c r="C28" s="191" t="s">
        <v>376</v>
      </c>
      <c r="D28" s="241">
        <v>119.76</v>
      </c>
      <c r="E28" s="242">
        <v>86.625</v>
      </c>
      <c r="F28" s="242">
        <v>111.85</v>
      </c>
      <c r="G28" s="242">
        <v>114.46</v>
      </c>
      <c r="H28" s="242">
        <v>134.28</v>
      </c>
      <c r="I28" s="242">
        <v>121.185</v>
      </c>
      <c r="J28" s="242">
        <v>123.065</v>
      </c>
      <c r="K28" s="242">
        <v>119.035</v>
      </c>
      <c r="L28" s="242">
        <v>120.66</v>
      </c>
      <c r="M28" s="242">
        <v>146.60499999999999</v>
      </c>
      <c r="N28" s="242">
        <v>119.58499999999999</v>
      </c>
      <c r="O28" s="242">
        <v>118.495</v>
      </c>
      <c r="P28" s="235">
        <f t="shared" si="0"/>
        <v>1435.605</v>
      </c>
      <c r="Q28" s="236">
        <f t="shared" si="1"/>
        <v>119.63375000000001</v>
      </c>
      <c r="R28" s="237">
        <f t="shared" si="2"/>
        <v>3.9331643835616439</v>
      </c>
    </row>
    <row r="29" spans="1:18" x14ac:dyDescent="0.25">
      <c r="A29" s="3" t="s">
        <v>239</v>
      </c>
      <c r="B29" s="3" t="s">
        <v>308</v>
      </c>
      <c r="C29" s="191" t="s">
        <v>376</v>
      </c>
      <c r="D29" s="241">
        <v>69.319999999999993</v>
      </c>
      <c r="E29" s="242">
        <v>55.805</v>
      </c>
      <c r="F29" s="242">
        <v>63.73</v>
      </c>
      <c r="G29" s="242">
        <v>65.704999999999998</v>
      </c>
      <c r="H29" s="242">
        <v>71.944999999999993</v>
      </c>
      <c r="I29" s="242">
        <v>69.504999999999995</v>
      </c>
      <c r="J29" s="242">
        <v>77.14</v>
      </c>
      <c r="K29" s="242">
        <v>65.56</v>
      </c>
      <c r="L29" s="242">
        <v>74.305000000000007</v>
      </c>
      <c r="M29" s="242">
        <v>75.36</v>
      </c>
      <c r="N29" s="242">
        <v>78.959999999999994</v>
      </c>
      <c r="O29" s="242">
        <v>77.349999999999994</v>
      </c>
      <c r="P29" s="235">
        <f t="shared" si="0"/>
        <v>844.68500000000017</v>
      </c>
      <c r="Q29" s="236">
        <f t="shared" si="1"/>
        <v>70.390416666666681</v>
      </c>
      <c r="R29" s="237">
        <f t="shared" si="2"/>
        <v>2.3142054794520552</v>
      </c>
    </row>
    <row r="30" spans="1:18" x14ac:dyDescent="0.25">
      <c r="A30" s="3" t="s">
        <v>113</v>
      </c>
      <c r="B30" s="3" t="s">
        <v>77</v>
      </c>
      <c r="C30" s="191" t="s">
        <v>376</v>
      </c>
      <c r="D30" s="241">
        <v>9.1349999999999998</v>
      </c>
      <c r="E30" s="242">
        <v>11.2</v>
      </c>
      <c r="F30" s="242">
        <v>9.2850000000000001</v>
      </c>
      <c r="G30" s="242">
        <v>7.835</v>
      </c>
      <c r="H30" s="242">
        <v>12.58</v>
      </c>
      <c r="I30" s="242">
        <v>9.9600000000000009</v>
      </c>
      <c r="J30" s="242">
        <v>8.19</v>
      </c>
      <c r="K30" s="242">
        <v>9.99</v>
      </c>
      <c r="L30" s="242">
        <v>6.6</v>
      </c>
      <c r="M30" s="242">
        <v>9.6</v>
      </c>
      <c r="N30" s="242">
        <v>7.7</v>
      </c>
      <c r="O30" s="242">
        <v>6.625</v>
      </c>
      <c r="P30" s="235">
        <f t="shared" si="0"/>
        <v>108.69999999999999</v>
      </c>
      <c r="Q30" s="236">
        <f t="shared" si="1"/>
        <v>9.0583333333333318</v>
      </c>
      <c r="R30" s="237">
        <f t="shared" si="2"/>
        <v>0.29780821917808215</v>
      </c>
    </row>
    <row r="31" spans="1:18" x14ac:dyDescent="0.25">
      <c r="A31" s="3" t="s">
        <v>113</v>
      </c>
      <c r="B31" s="3" t="s">
        <v>97</v>
      </c>
      <c r="C31" s="191" t="s">
        <v>376</v>
      </c>
      <c r="D31" s="241">
        <v>7.5049999999999999</v>
      </c>
      <c r="E31" s="242">
        <v>0</v>
      </c>
      <c r="F31" s="242">
        <v>5.6150000000000002</v>
      </c>
      <c r="G31" s="242">
        <v>8.5950000000000006</v>
      </c>
      <c r="H31" s="242">
        <v>5.6</v>
      </c>
      <c r="I31" s="242">
        <v>3.3</v>
      </c>
      <c r="J31" s="242">
        <v>6.9649999999999999</v>
      </c>
      <c r="K31" s="242">
        <v>5.93</v>
      </c>
      <c r="L31" s="242">
        <v>1.835</v>
      </c>
      <c r="M31" s="242">
        <v>5.8250000000000002</v>
      </c>
      <c r="N31" s="242">
        <v>5.4850000000000003</v>
      </c>
      <c r="O31" s="242">
        <v>4.68</v>
      </c>
      <c r="P31" s="235">
        <f t="shared" si="0"/>
        <v>61.335000000000008</v>
      </c>
      <c r="Q31" s="236">
        <f t="shared" si="1"/>
        <v>5.111250000000001</v>
      </c>
      <c r="R31" s="237">
        <f t="shared" si="2"/>
        <v>0.16804109589041097</v>
      </c>
    </row>
    <row r="32" spans="1:18" x14ac:dyDescent="0.25">
      <c r="A32" s="3" t="s">
        <v>113</v>
      </c>
      <c r="B32" s="3" t="s">
        <v>309</v>
      </c>
      <c r="C32" s="191" t="s">
        <v>376</v>
      </c>
      <c r="D32" s="241">
        <v>19.545000000000002</v>
      </c>
      <c r="E32" s="242">
        <v>18.774999999999999</v>
      </c>
      <c r="F32" s="242">
        <v>22.53</v>
      </c>
      <c r="G32" s="242">
        <v>21.434999999999999</v>
      </c>
      <c r="H32" s="242">
        <v>25.734999999999999</v>
      </c>
      <c r="I32" s="242">
        <v>22.535</v>
      </c>
      <c r="J32" s="242">
        <v>29.13</v>
      </c>
      <c r="K32" s="242">
        <v>21.64</v>
      </c>
      <c r="L32" s="242">
        <v>21.91</v>
      </c>
      <c r="M32" s="242">
        <v>25.315000000000001</v>
      </c>
      <c r="N32" s="242">
        <v>22.77</v>
      </c>
      <c r="O32" s="242">
        <v>21.215</v>
      </c>
      <c r="P32" s="235">
        <f t="shared" si="0"/>
        <v>272.53499999999997</v>
      </c>
      <c r="Q32" s="236">
        <f t="shared" si="1"/>
        <v>22.711249999999996</v>
      </c>
      <c r="R32" s="237">
        <f t="shared" si="2"/>
        <v>0.74667123287671222</v>
      </c>
    </row>
    <row r="33" spans="1:18" x14ac:dyDescent="0.25">
      <c r="A33" s="3" t="s">
        <v>239</v>
      </c>
      <c r="B33" s="3" t="s">
        <v>409</v>
      </c>
      <c r="C33" s="191" t="s">
        <v>376</v>
      </c>
      <c r="D33" s="241">
        <v>2.7250000000000001</v>
      </c>
      <c r="E33" s="242">
        <v>1.07</v>
      </c>
      <c r="F33" s="242">
        <v>3.16</v>
      </c>
      <c r="G33" s="242">
        <v>4.32</v>
      </c>
      <c r="H33" s="242">
        <v>0.94499999999999995</v>
      </c>
      <c r="I33" s="242">
        <v>1.95</v>
      </c>
      <c r="J33" s="242">
        <v>2.915</v>
      </c>
      <c r="K33" s="242">
        <v>0.80500000000000005</v>
      </c>
      <c r="L33" s="242">
        <v>2.77</v>
      </c>
      <c r="M33" s="242">
        <v>1.0149999999999999</v>
      </c>
      <c r="N33" s="242">
        <v>0.41499999999999998</v>
      </c>
      <c r="O33" s="242">
        <v>1.655</v>
      </c>
      <c r="P33" s="235">
        <f t="shared" si="0"/>
        <v>23.745000000000001</v>
      </c>
      <c r="Q33" s="236">
        <f t="shared" si="1"/>
        <v>1.97875</v>
      </c>
      <c r="R33" s="237">
        <f t="shared" si="2"/>
        <v>6.5054794520547951E-2</v>
      </c>
    </row>
    <row r="34" spans="1:18" x14ac:dyDescent="0.25">
      <c r="A34" s="3" t="s">
        <v>113</v>
      </c>
      <c r="B34" s="3" t="s">
        <v>374</v>
      </c>
      <c r="C34" s="191" t="s">
        <v>376</v>
      </c>
      <c r="D34" s="241">
        <v>1.655</v>
      </c>
      <c r="E34" s="242">
        <v>1.575</v>
      </c>
      <c r="F34" s="242">
        <v>1.575</v>
      </c>
      <c r="G34" s="242">
        <v>3.95</v>
      </c>
      <c r="H34" s="242">
        <v>2.0449999999999999</v>
      </c>
      <c r="I34" s="242">
        <v>5.6050000000000004</v>
      </c>
      <c r="J34" s="242">
        <v>4.88</v>
      </c>
      <c r="K34" s="242">
        <v>2.19</v>
      </c>
      <c r="L34" s="242">
        <v>7.68</v>
      </c>
      <c r="M34" s="242">
        <v>5.39</v>
      </c>
      <c r="N34" s="242">
        <v>2.2400000000000002</v>
      </c>
      <c r="O34" s="242">
        <v>4.2699999999999996</v>
      </c>
      <c r="P34" s="235">
        <f t="shared" si="0"/>
        <v>43.055000000000007</v>
      </c>
      <c r="Q34" s="236">
        <f t="shared" si="1"/>
        <v>3.5879166666666671</v>
      </c>
      <c r="R34" s="237">
        <f t="shared" si="2"/>
        <v>0.11795890410958906</v>
      </c>
    </row>
    <row r="35" spans="1:18" x14ac:dyDescent="0.25">
      <c r="A35" s="3" t="s">
        <v>113</v>
      </c>
      <c r="B35" s="3" t="s">
        <v>310</v>
      </c>
      <c r="C35" s="191" t="s">
        <v>376</v>
      </c>
      <c r="D35" s="241">
        <v>7.8949999999999996</v>
      </c>
      <c r="E35" s="242">
        <v>6.93</v>
      </c>
      <c r="F35" s="242">
        <v>8.9250000000000007</v>
      </c>
      <c r="G35" s="242">
        <v>8.8650000000000002</v>
      </c>
      <c r="H35" s="242">
        <v>10.414999999999999</v>
      </c>
      <c r="I35" s="242">
        <v>8.4749999999999996</v>
      </c>
      <c r="J35" s="242">
        <v>9.7100000000000009</v>
      </c>
      <c r="K35" s="242">
        <v>11.38</v>
      </c>
      <c r="L35" s="242">
        <v>7.165</v>
      </c>
      <c r="M35" s="242">
        <v>10.355</v>
      </c>
      <c r="N35" s="242">
        <v>10.69</v>
      </c>
      <c r="O35" s="242">
        <v>7.28</v>
      </c>
      <c r="P35" s="235">
        <f t="shared" ref="P35:P37" si="5">SUM(D35:O35)</f>
        <v>108.08500000000001</v>
      </c>
      <c r="Q35" s="236">
        <f t="shared" ref="Q35:Q37" si="6">SUM(P35/12)</f>
        <v>9.007083333333334</v>
      </c>
      <c r="R35" s="237">
        <f t="shared" ref="R35:R37" si="7">SUM(P35/365)</f>
        <v>0.29612328767123292</v>
      </c>
    </row>
    <row r="36" spans="1:18" s="193" customFormat="1" x14ac:dyDescent="0.25">
      <c r="A36" s="11"/>
      <c r="B36" s="11" t="s">
        <v>387</v>
      </c>
      <c r="C36" s="192" t="s">
        <v>376</v>
      </c>
      <c r="D36" s="238">
        <f t="shared" ref="D36:R36" si="8">SUM(D7:D35)</f>
        <v>1824.46</v>
      </c>
      <c r="E36" s="238">
        <f t="shared" si="8"/>
        <v>1551.5</v>
      </c>
      <c r="F36" s="238">
        <f t="shared" si="8"/>
        <v>1852.63</v>
      </c>
      <c r="G36" s="238">
        <f t="shared" si="8"/>
        <v>1964.6</v>
      </c>
      <c r="H36" s="238">
        <f t="shared" si="8"/>
        <v>2060.77</v>
      </c>
      <c r="I36" s="238">
        <f t="shared" si="8"/>
        <v>1886.7849999999996</v>
      </c>
      <c r="J36" s="238">
        <f t="shared" si="8"/>
        <v>2039.4300000000003</v>
      </c>
      <c r="K36" s="238">
        <f t="shared" si="8"/>
        <v>1957.1600000000005</v>
      </c>
      <c r="L36" s="238">
        <f t="shared" si="8"/>
        <v>1942.2400000000002</v>
      </c>
      <c r="M36" s="238">
        <f t="shared" si="8"/>
        <v>2096.4050000000002</v>
      </c>
      <c r="N36" s="238">
        <f t="shared" si="8"/>
        <v>2004.2150000000001</v>
      </c>
      <c r="O36" s="238">
        <f t="shared" si="8"/>
        <v>1958.8649999999998</v>
      </c>
      <c r="P36" s="238">
        <f t="shared" si="8"/>
        <v>23139.059999999998</v>
      </c>
      <c r="Q36" s="238">
        <f t="shared" si="8"/>
        <v>1928.2549999999999</v>
      </c>
      <c r="R36" s="238">
        <f t="shared" si="8"/>
        <v>63.394684931506866</v>
      </c>
    </row>
    <row r="37" spans="1:18" x14ac:dyDescent="0.25">
      <c r="A37" s="3" t="s">
        <v>386</v>
      </c>
      <c r="B37" s="3" t="s">
        <v>213</v>
      </c>
      <c r="C37" s="191" t="s">
        <v>376</v>
      </c>
      <c r="D37" s="241">
        <v>20.574999999999999</v>
      </c>
      <c r="E37" s="242">
        <v>11.32</v>
      </c>
      <c r="F37" s="242">
        <v>14.66</v>
      </c>
      <c r="G37" s="242">
        <v>16.355</v>
      </c>
      <c r="H37" s="242">
        <v>18.82</v>
      </c>
      <c r="I37" s="242">
        <v>20.16</v>
      </c>
      <c r="J37" s="242">
        <v>32.564999999999998</v>
      </c>
      <c r="K37" s="242">
        <v>20.795000000000002</v>
      </c>
      <c r="L37" s="242">
        <v>17.765000000000001</v>
      </c>
      <c r="M37" s="242">
        <v>33.08</v>
      </c>
      <c r="N37" s="242">
        <v>22.87</v>
      </c>
      <c r="O37" s="242">
        <v>31.02</v>
      </c>
      <c r="P37" s="235">
        <f t="shared" si="5"/>
        <v>259.98499999999996</v>
      </c>
      <c r="Q37" s="236">
        <f t="shared" si="6"/>
        <v>21.665416666666662</v>
      </c>
      <c r="R37" s="237">
        <f t="shared" si="7"/>
        <v>0.71228767123287662</v>
      </c>
    </row>
    <row r="38" spans="1:18" s="193" customFormat="1" x14ac:dyDescent="0.25">
      <c r="B38" s="193" t="s">
        <v>388</v>
      </c>
      <c r="C38" s="192" t="s">
        <v>376</v>
      </c>
      <c r="D38" s="239">
        <f t="shared" ref="D38:R38" si="9">SUM(D37:D37)</f>
        <v>20.574999999999999</v>
      </c>
      <c r="E38" s="239">
        <f t="shared" si="9"/>
        <v>11.32</v>
      </c>
      <c r="F38" s="239">
        <f t="shared" si="9"/>
        <v>14.66</v>
      </c>
      <c r="G38" s="239">
        <f t="shared" si="9"/>
        <v>16.355</v>
      </c>
      <c r="H38" s="239">
        <f t="shared" si="9"/>
        <v>18.82</v>
      </c>
      <c r="I38" s="239">
        <f t="shared" si="9"/>
        <v>20.16</v>
      </c>
      <c r="J38" s="239">
        <f t="shared" si="9"/>
        <v>32.564999999999998</v>
      </c>
      <c r="K38" s="239">
        <f t="shared" si="9"/>
        <v>20.795000000000002</v>
      </c>
      <c r="L38" s="239">
        <f t="shared" si="9"/>
        <v>17.765000000000001</v>
      </c>
      <c r="M38" s="239">
        <f t="shared" si="9"/>
        <v>33.08</v>
      </c>
      <c r="N38" s="239">
        <f t="shared" si="9"/>
        <v>22.87</v>
      </c>
      <c r="O38" s="239">
        <f t="shared" si="9"/>
        <v>31.02</v>
      </c>
      <c r="P38" s="239">
        <f t="shared" si="9"/>
        <v>259.98499999999996</v>
      </c>
      <c r="Q38" s="239">
        <f t="shared" si="9"/>
        <v>21.665416666666662</v>
      </c>
      <c r="R38" s="239">
        <f t="shared" si="9"/>
        <v>0.71228767123287662</v>
      </c>
    </row>
    <row r="39" spans="1:18" x14ac:dyDescent="0.25">
      <c r="A39" s="153"/>
      <c r="B39" s="153"/>
      <c r="C39" s="154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35"/>
      <c r="Q39" s="236"/>
      <c r="R39" s="237"/>
    </row>
    <row r="40" spans="1:18" x14ac:dyDescent="0.25">
      <c r="A40" s="124"/>
      <c r="B40" s="124" t="s">
        <v>158</v>
      </c>
      <c r="C40" s="124"/>
      <c r="D40" s="240">
        <f t="shared" ref="D40:R40" si="10">SUM(D38,D36)</f>
        <v>1845.0350000000001</v>
      </c>
      <c r="E40" s="240">
        <f t="shared" si="10"/>
        <v>1562.82</v>
      </c>
      <c r="F40" s="240">
        <f t="shared" si="10"/>
        <v>1867.2900000000002</v>
      </c>
      <c r="G40" s="240">
        <f t="shared" si="10"/>
        <v>1980.9549999999999</v>
      </c>
      <c r="H40" s="240">
        <f t="shared" si="10"/>
        <v>2079.59</v>
      </c>
      <c r="I40" s="240">
        <f t="shared" si="10"/>
        <v>1906.9449999999997</v>
      </c>
      <c r="J40" s="240">
        <f t="shared" si="10"/>
        <v>2071.9950000000003</v>
      </c>
      <c r="K40" s="240">
        <f t="shared" si="10"/>
        <v>1977.9550000000006</v>
      </c>
      <c r="L40" s="240">
        <f t="shared" si="10"/>
        <v>1960.0050000000003</v>
      </c>
      <c r="M40" s="240">
        <f t="shared" si="10"/>
        <v>2129.4850000000001</v>
      </c>
      <c r="N40" s="240">
        <f t="shared" si="10"/>
        <v>2027.085</v>
      </c>
      <c r="O40" s="240">
        <f t="shared" si="10"/>
        <v>1989.8849999999998</v>
      </c>
      <c r="P40" s="240">
        <f t="shared" si="10"/>
        <v>23399.044999999998</v>
      </c>
      <c r="Q40" s="240">
        <f t="shared" si="10"/>
        <v>1949.9204166666666</v>
      </c>
      <c r="R40" s="240">
        <f t="shared" si="10"/>
        <v>64.106972602739745</v>
      </c>
    </row>
  </sheetData>
  <mergeCells count="4">
    <mergeCell ref="B3:P3"/>
    <mergeCell ref="A5:R5"/>
    <mergeCell ref="A1:R1"/>
    <mergeCell ref="A2:R2"/>
  </mergeCells>
  <pageMargins left="0.25" right="0.25" top="0.75" bottom="0.75" header="0.3" footer="0.3"/>
  <pageSetup paperSize="12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sqref="A1:XFD2"/>
    </sheetView>
  </sheetViews>
  <sheetFormatPr baseColWidth="10" defaultColWidth="11.42578125" defaultRowHeight="15" x14ac:dyDescent="0.25"/>
  <cols>
    <col min="1" max="16384" width="11.42578125" style="127"/>
  </cols>
  <sheetData>
    <row r="1" spans="1:18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8" x14ac:dyDescent="0.25">
      <c r="B3" s="360" t="s">
        <v>154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1"/>
    </row>
    <row r="4" spans="1:18" x14ac:dyDescent="0.25"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</row>
    <row r="5" spans="1:18" x14ac:dyDescent="0.25">
      <c r="A5" s="363" t="s">
        <v>1</v>
      </c>
      <c r="B5" s="363" t="s">
        <v>2</v>
      </c>
      <c r="C5" s="363" t="s">
        <v>402</v>
      </c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416" t="s">
        <v>3</v>
      </c>
    </row>
    <row r="6" spans="1:18" ht="17.25" customHeight="1" x14ac:dyDescent="0.25">
      <c r="A6" s="363"/>
      <c r="B6" s="363"/>
      <c r="C6" s="290" t="s">
        <v>4</v>
      </c>
      <c r="D6" s="290" t="s">
        <v>5</v>
      </c>
      <c r="E6" s="290" t="s">
        <v>6</v>
      </c>
      <c r="F6" s="290" t="s">
        <v>7</v>
      </c>
      <c r="G6" s="290" t="s">
        <v>8</v>
      </c>
      <c r="H6" s="290" t="s">
        <v>9</v>
      </c>
      <c r="I6" s="290" t="s">
        <v>10</v>
      </c>
      <c r="J6" s="290" t="s">
        <v>11</v>
      </c>
      <c r="K6" s="290" t="s">
        <v>12</v>
      </c>
      <c r="L6" s="290" t="s">
        <v>13</v>
      </c>
      <c r="M6" s="290" t="s">
        <v>14</v>
      </c>
      <c r="N6" s="290" t="s">
        <v>15</v>
      </c>
      <c r="O6" s="416"/>
      <c r="P6" s="27" t="s">
        <v>121</v>
      </c>
      <c r="Q6" s="84" t="s">
        <v>157</v>
      </c>
    </row>
    <row r="7" spans="1:18" x14ac:dyDescent="0.25">
      <c r="A7" s="4" t="s">
        <v>148</v>
      </c>
      <c r="B7" s="3" t="s">
        <v>155</v>
      </c>
      <c r="C7" s="40">
        <v>77.849999999999994</v>
      </c>
      <c r="D7" s="40">
        <v>72.900000000000006</v>
      </c>
      <c r="E7" s="40">
        <v>73.8</v>
      </c>
      <c r="F7" s="40">
        <v>64.349999999999994</v>
      </c>
      <c r="G7" s="40">
        <v>93.6</v>
      </c>
      <c r="H7" s="40">
        <v>87.75</v>
      </c>
      <c r="I7" s="40">
        <v>85.5</v>
      </c>
      <c r="J7" s="40">
        <v>77.849999999999994</v>
      </c>
      <c r="K7" s="40">
        <v>79.2</v>
      </c>
      <c r="L7" s="40">
        <v>106.65</v>
      </c>
      <c r="M7" s="40">
        <v>81.900000000000006</v>
      </c>
      <c r="N7" s="40">
        <v>40.950000000000003</v>
      </c>
      <c r="O7" s="100">
        <f>SUM(C7:N7)</f>
        <v>942.30000000000007</v>
      </c>
      <c r="P7" s="9">
        <f>SUM(O7/12)</f>
        <v>78.525000000000006</v>
      </c>
      <c r="Q7" s="40">
        <f>SUM(P7/30)</f>
        <v>2.6175000000000002</v>
      </c>
    </row>
    <row r="8" spans="1:18" x14ac:dyDescent="0.25">
      <c r="A8" s="6"/>
      <c r="B8" s="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100">
        <f>SUM(C8:N8)</f>
        <v>0</v>
      </c>
    </row>
    <row r="9" spans="1:18" x14ac:dyDescent="0.25">
      <c r="A9" s="414" t="s">
        <v>116</v>
      </c>
      <c r="B9" s="415"/>
      <c r="C9" s="41">
        <f t="shared" ref="C9:O9" si="0">SUM(C7:C8)</f>
        <v>77.849999999999994</v>
      </c>
      <c r="D9" s="41">
        <f t="shared" si="0"/>
        <v>72.900000000000006</v>
      </c>
      <c r="E9" s="41">
        <f t="shared" si="0"/>
        <v>73.8</v>
      </c>
      <c r="F9" s="41">
        <f t="shared" si="0"/>
        <v>64.349999999999994</v>
      </c>
      <c r="G9" s="41">
        <f t="shared" si="0"/>
        <v>93.6</v>
      </c>
      <c r="H9" s="41">
        <f t="shared" si="0"/>
        <v>87.75</v>
      </c>
      <c r="I9" s="41">
        <f t="shared" si="0"/>
        <v>85.5</v>
      </c>
      <c r="J9" s="41">
        <f t="shared" si="0"/>
        <v>77.849999999999994</v>
      </c>
      <c r="K9" s="41">
        <f t="shared" si="0"/>
        <v>79.2</v>
      </c>
      <c r="L9" s="41">
        <f t="shared" si="0"/>
        <v>106.65</v>
      </c>
      <c r="M9" s="41">
        <f t="shared" si="0"/>
        <v>81.900000000000006</v>
      </c>
      <c r="N9" s="41">
        <f t="shared" si="0"/>
        <v>40.950000000000003</v>
      </c>
      <c r="O9" s="43">
        <f t="shared" si="0"/>
        <v>942.30000000000007</v>
      </c>
      <c r="P9" s="292"/>
    </row>
    <row r="10" spans="1:18" x14ac:dyDescent="0.25"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8" x14ac:dyDescent="0.25">
      <c r="B11" s="3" t="s">
        <v>420</v>
      </c>
      <c r="C11" s="40">
        <v>63</v>
      </c>
      <c r="D11" s="40">
        <v>60.55</v>
      </c>
      <c r="E11" s="40">
        <v>60.02</v>
      </c>
      <c r="F11" s="40">
        <v>35.979999999999997</v>
      </c>
      <c r="G11" s="40">
        <v>57.75</v>
      </c>
      <c r="H11" s="40">
        <v>55.3</v>
      </c>
      <c r="I11" s="40">
        <v>62.65</v>
      </c>
      <c r="J11" s="40">
        <v>58.62</v>
      </c>
      <c r="K11" s="40">
        <v>57.05</v>
      </c>
      <c r="L11" s="40">
        <v>67.55</v>
      </c>
      <c r="M11" s="40">
        <v>59.85</v>
      </c>
      <c r="N11" s="40">
        <v>28.35</v>
      </c>
      <c r="O11" s="100">
        <f t="shared" ref="O11:O12" si="1">SUM(C11:N11)</f>
        <v>666.67</v>
      </c>
      <c r="P11" s="9">
        <f>SUM(O11/12)</f>
        <v>55.555833333333332</v>
      </c>
      <c r="Q11" s="40">
        <f>SUM(P11/30)</f>
        <v>1.8518611111111112</v>
      </c>
    </row>
    <row r="12" spans="1:18" x14ac:dyDescent="0.25">
      <c r="B12" s="293" t="s">
        <v>25</v>
      </c>
      <c r="C12" s="294">
        <f t="shared" ref="C12:N12" si="2">SUM(C11:C11)</f>
        <v>63</v>
      </c>
      <c r="D12" s="294">
        <f t="shared" si="2"/>
        <v>60.55</v>
      </c>
      <c r="E12" s="294">
        <f t="shared" si="2"/>
        <v>60.02</v>
      </c>
      <c r="F12" s="294">
        <f t="shared" si="2"/>
        <v>35.979999999999997</v>
      </c>
      <c r="G12" s="294">
        <f t="shared" si="2"/>
        <v>57.75</v>
      </c>
      <c r="H12" s="294">
        <f t="shared" si="2"/>
        <v>55.3</v>
      </c>
      <c r="I12" s="294">
        <f t="shared" si="2"/>
        <v>62.65</v>
      </c>
      <c r="J12" s="294">
        <f t="shared" si="2"/>
        <v>58.62</v>
      </c>
      <c r="K12" s="294">
        <f t="shared" si="2"/>
        <v>57.05</v>
      </c>
      <c r="L12" s="294">
        <f t="shared" si="2"/>
        <v>67.55</v>
      </c>
      <c r="M12" s="294">
        <f t="shared" si="2"/>
        <v>59.85</v>
      </c>
      <c r="N12" s="294">
        <f t="shared" si="2"/>
        <v>28.35</v>
      </c>
      <c r="O12" s="100">
        <f t="shared" si="1"/>
        <v>666.67</v>
      </c>
    </row>
    <row r="14" spans="1:18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00">
        <f>SUM(O9+O12)</f>
        <v>1608.97</v>
      </c>
      <c r="P14" s="9">
        <f>SUM(O14/12)</f>
        <v>134.08083333333335</v>
      </c>
      <c r="Q14" s="40">
        <f>SUM(P14/30)</f>
        <v>4.4693611111111116</v>
      </c>
    </row>
  </sheetData>
  <mergeCells count="8">
    <mergeCell ref="A1:R1"/>
    <mergeCell ref="A2:R2"/>
    <mergeCell ref="A9:B9"/>
    <mergeCell ref="A5:A6"/>
    <mergeCell ref="B5:B6"/>
    <mergeCell ref="B3:P3"/>
    <mergeCell ref="C5:N5"/>
    <mergeCell ref="O5:O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XFD2"/>
    </sheetView>
  </sheetViews>
  <sheetFormatPr baseColWidth="10" defaultColWidth="11.42578125" defaultRowHeight="15" x14ac:dyDescent="0.25"/>
  <cols>
    <col min="1" max="1" width="11.42578125" style="16"/>
    <col min="2" max="2" width="11.5703125" style="16" customWidth="1"/>
    <col min="3" max="3" width="13.7109375" style="127" customWidth="1"/>
    <col min="4" max="16384" width="11.42578125" style="16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s="127" customFormat="1" x14ac:dyDescent="0.25"/>
    <row r="4" spans="1:18" ht="18" x14ac:dyDescent="0.25">
      <c r="A4" s="38"/>
      <c r="B4" s="360" t="s">
        <v>195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1"/>
    </row>
    <row r="5" spans="1:18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5">
      <c r="A6" s="363" t="s">
        <v>1</v>
      </c>
      <c r="B6" s="363" t="s">
        <v>2</v>
      </c>
      <c r="C6" s="174"/>
      <c r="D6" s="363" t="s">
        <v>402</v>
      </c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416" t="s">
        <v>3</v>
      </c>
      <c r="Q6" s="2"/>
    </row>
    <row r="7" spans="1:18" ht="18" customHeight="1" x14ac:dyDescent="0.25">
      <c r="A7" s="363"/>
      <c r="B7" s="363"/>
      <c r="C7" s="174"/>
      <c r="D7" s="118" t="s">
        <v>4</v>
      </c>
      <c r="E7" s="118" t="s">
        <v>5</v>
      </c>
      <c r="F7" s="118" t="s">
        <v>6</v>
      </c>
      <c r="G7" s="118" t="s">
        <v>7</v>
      </c>
      <c r="H7" s="118" t="s">
        <v>8</v>
      </c>
      <c r="I7" s="118" t="s">
        <v>9</v>
      </c>
      <c r="J7" s="118" t="s">
        <v>10</v>
      </c>
      <c r="K7" s="118" t="s">
        <v>11</v>
      </c>
      <c r="L7" s="118" t="s">
        <v>12</v>
      </c>
      <c r="M7" s="118" t="s">
        <v>13</v>
      </c>
      <c r="N7" s="118" t="s">
        <v>14</v>
      </c>
      <c r="O7" s="118" t="s">
        <v>15</v>
      </c>
      <c r="P7" s="416"/>
      <c r="Q7" s="27" t="s">
        <v>121</v>
      </c>
      <c r="R7" s="49" t="s">
        <v>157</v>
      </c>
    </row>
    <row r="8" spans="1:18" x14ac:dyDescent="0.25">
      <c r="A8" s="4" t="s">
        <v>94</v>
      </c>
      <c r="B8" s="3" t="s">
        <v>137</v>
      </c>
      <c r="C8" s="3" t="s">
        <v>377</v>
      </c>
      <c r="D8" s="40">
        <v>15</v>
      </c>
      <c r="E8" s="40">
        <v>12</v>
      </c>
      <c r="F8" s="40">
        <v>12</v>
      </c>
      <c r="G8" s="40">
        <v>15</v>
      </c>
      <c r="H8" s="40">
        <v>12</v>
      </c>
      <c r="I8" s="40">
        <v>15</v>
      </c>
      <c r="J8" s="40">
        <v>12</v>
      </c>
      <c r="K8" s="40">
        <v>12</v>
      </c>
      <c r="L8" s="40">
        <v>12</v>
      </c>
      <c r="M8" s="40">
        <v>12</v>
      </c>
      <c r="N8" s="40">
        <v>13</v>
      </c>
      <c r="O8" s="40">
        <v>15</v>
      </c>
      <c r="P8" s="100">
        <f>SUM(D8:O8)</f>
        <v>157</v>
      </c>
      <c r="Q8" s="9">
        <f>SUM(P8/12)</f>
        <v>13.083333333333334</v>
      </c>
      <c r="R8" s="42">
        <f>SUM(P8/365)</f>
        <v>0.43013698630136987</v>
      </c>
    </row>
    <row r="9" spans="1:18" x14ac:dyDescent="0.25">
      <c r="A9" s="4" t="s">
        <v>94</v>
      </c>
      <c r="B9" s="3" t="s">
        <v>152</v>
      </c>
      <c r="C9" s="3" t="s">
        <v>377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100">
        <f>SUM(D9:O9)</f>
        <v>0</v>
      </c>
      <c r="Q9" s="9">
        <f>SUM(P9/12)</f>
        <v>0</v>
      </c>
      <c r="R9" s="42">
        <f t="shared" ref="R9:R12" si="0">SUM(P9/365)</f>
        <v>0</v>
      </c>
    </row>
    <row r="10" spans="1:18" x14ac:dyDescent="0.25">
      <c r="A10" s="6" t="s">
        <v>94</v>
      </c>
      <c r="B10" s="3"/>
      <c r="C10" s="3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00">
        <f>SUM(D10:O10)</f>
        <v>0</v>
      </c>
      <c r="Q10" s="9">
        <f t="shared" ref="Q10:Q11" si="1">SUM(P10/12)</f>
        <v>0</v>
      </c>
      <c r="R10" s="42">
        <f t="shared" si="0"/>
        <v>0</v>
      </c>
    </row>
    <row r="11" spans="1:18" x14ac:dyDescent="0.25">
      <c r="A11" s="414" t="s">
        <v>116</v>
      </c>
      <c r="B11" s="415"/>
      <c r="C11" s="247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3">
        <f t="shared" ref="P11" si="2">SUM(P8:P10)</f>
        <v>157</v>
      </c>
      <c r="Q11" s="9">
        <f t="shared" si="1"/>
        <v>13.083333333333334</v>
      </c>
      <c r="R11" s="42">
        <f t="shared" si="0"/>
        <v>0.43013698630136987</v>
      </c>
    </row>
    <row r="12" spans="1:18" x14ac:dyDescent="0.25">
      <c r="A12" s="127"/>
      <c r="B12" s="127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127"/>
      <c r="R12" s="42">
        <f t="shared" si="0"/>
        <v>0</v>
      </c>
    </row>
    <row r="13" spans="1:18" x14ac:dyDescent="0.25">
      <c r="A13" s="127"/>
      <c r="B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</row>
    <row r="14" spans="1:18" x14ac:dyDescent="0.25">
      <c r="A14" s="363" t="s">
        <v>1</v>
      </c>
      <c r="B14" s="363" t="s">
        <v>2</v>
      </c>
      <c r="C14" s="244"/>
      <c r="D14" s="363" t="s">
        <v>418</v>
      </c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416" t="s">
        <v>3</v>
      </c>
      <c r="Q14" s="127"/>
      <c r="R14" s="127"/>
    </row>
    <row r="15" spans="1:18" ht="30" x14ac:dyDescent="0.25">
      <c r="A15" s="363"/>
      <c r="B15" s="363"/>
      <c r="C15" s="244"/>
      <c r="D15" s="244" t="s">
        <v>4</v>
      </c>
      <c r="E15" s="244" t="s">
        <v>5</v>
      </c>
      <c r="F15" s="244" t="s">
        <v>6</v>
      </c>
      <c r="G15" s="244" t="s">
        <v>7</v>
      </c>
      <c r="H15" s="244" t="s">
        <v>8</v>
      </c>
      <c r="I15" s="244" t="s">
        <v>9</v>
      </c>
      <c r="J15" s="244" t="s">
        <v>10</v>
      </c>
      <c r="K15" s="244" t="s">
        <v>11</v>
      </c>
      <c r="L15" s="244" t="s">
        <v>12</v>
      </c>
      <c r="M15" s="244" t="s">
        <v>13</v>
      </c>
      <c r="N15" s="244" t="s">
        <v>14</v>
      </c>
      <c r="O15" s="244" t="s">
        <v>15</v>
      </c>
      <c r="P15" s="416"/>
      <c r="Q15" s="27" t="s">
        <v>121</v>
      </c>
      <c r="R15" s="282" t="s">
        <v>157</v>
      </c>
    </row>
    <row r="16" spans="1:18" x14ac:dyDescent="0.25">
      <c r="A16" s="4" t="s">
        <v>94</v>
      </c>
      <c r="B16" s="3" t="s">
        <v>137</v>
      </c>
      <c r="C16" s="3" t="s">
        <v>377</v>
      </c>
      <c r="D16" s="40">
        <v>12.5</v>
      </c>
      <c r="E16" s="40">
        <v>10</v>
      </c>
      <c r="F16" s="40">
        <v>10</v>
      </c>
      <c r="G16" s="40">
        <v>12.5</v>
      </c>
      <c r="H16" s="40">
        <v>10</v>
      </c>
      <c r="I16" s="40">
        <v>10</v>
      </c>
      <c r="J16" s="40">
        <v>12.5</v>
      </c>
      <c r="K16" s="40">
        <v>10</v>
      </c>
      <c r="L16" s="40">
        <v>10</v>
      </c>
      <c r="M16" s="40">
        <v>10</v>
      </c>
      <c r="N16" s="40">
        <v>11</v>
      </c>
      <c r="O16" s="40">
        <v>10</v>
      </c>
      <c r="P16" s="100">
        <f>SUM(D16:O16)</f>
        <v>128.5</v>
      </c>
      <c r="Q16" s="9">
        <f>SUM(P16/12)</f>
        <v>10.708333333333334</v>
      </c>
      <c r="R16" s="42">
        <f>SUM(P16/365)</f>
        <v>0.35205479452054794</v>
      </c>
    </row>
    <row r="17" spans="1:18" x14ac:dyDescent="0.25">
      <c r="A17" s="4" t="s">
        <v>94</v>
      </c>
      <c r="B17" s="3" t="s">
        <v>152</v>
      </c>
      <c r="C17" s="3" t="s">
        <v>377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100">
        <f>SUM(D17:O17)</f>
        <v>0</v>
      </c>
      <c r="Q17" s="9">
        <f>SUM(P17/12)</f>
        <v>0</v>
      </c>
      <c r="R17" s="42">
        <f t="shared" ref="R17:R19" si="3">SUM(P17/365)</f>
        <v>0</v>
      </c>
    </row>
    <row r="18" spans="1:18" x14ac:dyDescent="0.25">
      <c r="A18" s="6" t="s">
        <v>94</v>
      </c>
      <c r="B18" s="3"/>
      <c r="C18" s="3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00">
        <f>SUM(D18:O18)</f>
        <v>0</v>
      </c>
      <c r="Q18" s="9">
        <f t="shared" ref="Q18:Q19" si="4">SUM(P18/12)</f>
        <v>0</v>
      </c>
      <c r="R18" s="42">
        <f t="shared" si="3"/>
        <v>0</v>
      </c>
    </row>
    <row r="19" spans="1:18" x14ac:dyDescent="0.25">
      <c r="A19" s="414" t="s">
        <v>116</v>
      </c>
      <c r="B19" s="415"/>
      <c r="C19" s="247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3">
        <f t="shared" ref="P19" si="5">SUM(P16:P18)</f>
        <v>128.5</v>
      </c>
      <c r="Q19" s="9">
        <f t="shared" si="4"/>
        <v>10.708333333333334</v>
      </c>
      <c r="R19" s="42">
        <f t="shared" si="3"/>
        <v>0.35205479452054794</v>
      </c>
    </row>
    <row r="21" spans="1:18" x14ac:dyDescent="0.25">
      <c r="N21" s="11" t="s">
        <v>427</v>
      </c>
      <c r="O21" s="11"/>
      <c r="P21" s="321">
        <f>SUM(P11+P19)</f>
        <v>285.5</v>
      </c>
      <c r="Q21" s="9">
        <f t="shared" ref="Q21" si="6">SUM(P21/12)</f>
        <v>23.791666666666668</v>
      </c>
      <c r="R21" s="72">
        <f t="shared" ref="R21" si="7">SUM(P21/365)</f>
        <v>0.78219178082191776</v>
      </c>
    </row>
  </sheetData>
  <mergeCells count="13">
    <mergeCell ref="A19:B19"/>
    <mergeCell ref="A11:B11"/>
    <mergeCell ref="B4:Q4"/>
    <mergeCell ref="A6:A7"/>
    <mergeCell ref="B6:B7"/>
    <mergeCell ref="D6:O6"/>
    <mergeCell ref="P6:P7"/>
    <mergeCell ref="A1:R1"/>
    <mergeCell ref="A2:R2"/>
    <mergeCell ref="A14:A15"/>
    <mergeCell ref="B14:B15"/>
    <mergeCell ref="D14:O14"/>
    <mergeCell ref="P14:P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XFD2"/>
    </sheetView>
  </sheetViews>
  <sheetFormatPr baseColWidth="10" defaultColWidth="11.42578125" defaultRowHeight="15" x14ac:dyDescent="0.25"/>
  <cols>
    <col min="1" max="1" width="14" style="97" customWidth="1"/>
    <col min="2" max="2" width="20.5703125" style="97" customWidth="1"/>
    <col min="3" max="3" width="13.140625" style="97" customWidth="1"/>
    <col min="4" max="16384" width="11.42578125" style="97"/>
  </cols>
  <sheetData>
    <row r="1" spans="1:21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21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21" s="234" customFormat="1" ht="21" x14ac:dyDescent="0.35">
      <c r="B3" s="418" t="s">
        <v>200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</row>
    <row r="4" spans="1:21" x14ac:dyDescent="0.25">
      <c r="B4" s="233"/>
      <c r="C4" s="233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21" ht="15" customHeight="1" x14ac:dyDescent="0.25">
      <c r="A5" s="365" t="s">
        <v>1</v>
      </c>
      <c r="B5" s="227" t="s">
        <v>2</v>
      </c>
      <c r="C5" s="227"/>
      <c r="D5" s="365" t="s">
        <v>1</v>
      </c>
      <c r="E5" s="227" t="s">
        <v>2</v>
      </c>
      <c r="F5" s="227"/>
      <c r="G5" s="228" t="s">
        <v>402</v>
      </c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30"/>
      <c r="S5" s="417" t="s">
        <v>3</v>
      </c>
      <c r="T5" s="127"/>
      <c r="U5" s="127"/>
    </row>
    <row r="6" spans="1:21" ht="17.25" customHeight="1" x14ac:dyDescent="0.25">
      <c r="A6" s="365"/>
      <c r="B6" s="231"/>
      <c r="C6" s="231"/>
      <c r="D6" s="365"/>
      <c r="E6" s="231"/>
      <c r="F6" s="231"/>
      <c r="G6" s="245" t="s">
        <v>4</v>
      </c>
      <c r="H6" s="245" t="s">
        <v>5</v>
      </c>
      <c r="I6" s="245" t="s">
        <v>6</v>
      </c>
      <c r="J6" s="245" t="s">
        <v>7</v>
      </c>
      <c r="K6" s="245" t="s">
        <v>8</v>
      </c>
      <c r="L6" s="245" t="s">
        <v>9</v>
      </c>
      <c r="M6" s="245" t="s">
        <v>10</v>
      </c>
      <c r="N6" s="245" t="s">
        <v>11</v>
      </c>
      <c r="O6" s="245" t="s">
        <v>12</v>
      </c>
      <c r="P6" s="245" t="s">
        <v>13</v>
      </c>
      <c r="Q6" s="245" t="s">
        <v>14</v>
      </c>
      <c r="R6" s="245" t="s">
        <v>15</v>
      </c>
      <c r="S6" s="417"/>
      <c r="T6" s="27" t="s">
        <v>121</v>
      </c>
      <c r="U6" s="84" t="s">
        <v>157</v>
      </c>
    </row>
    <row r="7" spans="1:21" ht="15.75" x14ac:dyDescent="0.25">
      <c r="A7" s="96" t="s">
        <v>60</v>
      </c>
      <c r="B7" s="19" t="s">
        <v>62</v>
      </c>
      <c r="C7" s="19" t="s">
        <v>378</v>
      </c>
      <c r="D7" s="3" t="s">
        <v>60</v>
      </c>
      <c r="E7" s="3" t="s">
        <v>62</v>
      </c>
      <c r="F7" s="3" t="s">
        <v>378</v>
      </c>
      <c r="G7" s="201">
        <v>180.12</v>
      </c>
      <c r="H7" s="201">
        <v>156.13</v>
      </c>
      <c r="I7" s="201">
        <v>174.77</v>
      </c>
      <c r="J7" s="201">
        <v>177.93</v>
      </c>
      <c r="K7" s="201">
        <v>214.1</v>
      </c>
      <c r="L7" s="201">
        <v>187.69</v>
      </c>
      <c r="M7" s="201">
        <v>218.74</v>
      </c>
      <c r="N7" s="201">
        <v>202.49</v>
      </c>
      <c r="O7" s="201">
        <v>203.35</v>
      </c>
      <c r="P7" s="201">
        <v>225.9</v>
      </c>
      <c r="Q7" s="201">
        <v>192.77</v>
      </c>
      <c r="R7" s="201">
        <v>195.15</v>
      </c>
      <c r="S7" s="65">
        <f t="shared" ref="S7:S13" si="0">SUM(G7:R7)</f>
        <v>2329.1400000000003</v>
      </c>
      <c r="T7" s="9">
        <f>SUM(S7/12)</f>
        <v>194.09500000000003</v>
      </c>
      <c r="U7" s="40">
        <f>SUM(S7/365)</f>
        <v>6.3812054794520554</v>
      </c>
    </row>
    <row r="8" spans="1:21" ht="15.75" x14ac:dyDescent="0.25">
      <c r="A8" s="96" t="s">
        <v>60</v>
      </c>
      <c r="B8" s="8" t="s">
        <v>199</v>
      </c>
      <c r="C8" s="19" t="s">
        <v>378</v>
      </c>
      <c r="D8" s="3" t="s">
        <v>60</v>
      </c>
      <c r="E8" s="3" t="s">
        <v>199</v>
      </c>
      <c r="F8" s="3" t="s">
        <v>378</v>
      </c>
      <c r="G8" s="201">
        <v>96.29</v>
      </c>
      <c r="H8" s="201">
        <v>89.87</v>
      </c>
      <c r="I8" s="201">
        <v>95.75</v>
      </c>
      <c r="J8" s="201">
        <v>101.82</v>
      </c>
      <c r="K8" s="201">
        <v>116.38</v>
      </c>
      <c r="L8" s="201">
        <v>96.67</v>
      </c>
      <c r="M8" s="201">
        <v>104.93</v>
      </c>
      <c r="N8" s="201">
        <v>100.36</v>
      </c>
      <c r="O8" s="201">
        <v>103.22</v>
      </c>
      <c r="P8" s="201">
        <v>105.22</v>
      </c>
      <c r="Q8" s="201">
        <v>96.67</v>
      </c>
      <c r="R8" s="201">
        <v>94.91</v>
      </c>
      <c r="S8" s="65">
        <f t="shared" si="0"/>
        <v>1202.0900000000001</v>
      </c>
      <c r="T8" s="9">
        <f t="shared" ref="T8:T13" si="1">SUM(S8/12)</f>
        <v>100.17416666666668</v>
      </c>
      <c r="U8" s="40">
        <f t="shared" ref="U8:U13" si="2">SUM(S8/365)</f>
        <v>3.2933972602739732</v>
      </c>
    </row>
    <row r="9" spans="1:21" ht="15.75" x14ac:dyDescent="0.25">
      <c r="A9" s="96" t="s">
        <v>60</v>
      </c>
      <c r="B9" s="8" t="s">
        <v>63</v>
      </c>
      <c r="C9" s="19" t="s">
        <v>378</v>
      </c>
      <c r="D9" s="3" t="s">
        <v>60</v>
      </c>
      <c r="E9" s="3" t="s">
        <v>63</v>
      </c>
      <c r="F9" s="3" t="s">
        <v>378</v>
      </c>
      <c r="G9" s="201">
        <v>71.36</v>
      </c>
      <c r="H9" s="201">
        <v>65.2</v>
      </c>
      <c r="I9" s="201">
        <v>82.95</v>
      </c>
      <c r="J9" s="201">
        <v>66.040000000000006</v>
      </c>
      <c r="K9" s="201">
        <v>83.15</v>
      </c>
      <c r="L9" s="201">
        <v>66.8</v>
      </c>
      <c r="M9" s="201">
        <v>76.47</v>
      </c>
      <c r="N9" s="201">
        <v>74.62</v>
      </c>
      <c r="O9" s="201">
        <v>74.5</v>
      </c>
      <c r="P9" s="202">
        <v>79.709999999999994</v>
      </c>
      <c r="Q9" s="202">
        <v>65.86</v>
      </c>
      <c r="R9" s="202">
        <v>66.010000000000005</v>
      </c>
      <c r="S9" s="65">
        <f t="shared" si="0"/>
        <v>872.67000000000007</v>
      </c>
      <c r="T9" s="9">
        <f t="shared" si="1"/>
        <v>72.722500000000011</v>
      </c>
      <c r="U9" s="40">
        <f t="shared" si="2"/>
        <v>2.3908767123287675</v>
      </c>
    </row>
    <row r="10" spans="1:21" ht="15.75" x14ac:dyDescent="0.25">
      <c r="A10" s="96" t="s">
        <v>60</v>
      </c>
      <c r="B10" s="8" t="s">
        <v>67</v>
      </c>
      <c r="C10" s="19" t="s">
        <v>378</v>
      </c>
      <c r="D10" s="3" t="s">
        <v>60</v>
      </c>
      <c r="E10" s="3" t="s">
        <v>67</v>
      </c>
      <c r="F10" s="3" t="s">
        <v>378</v>
      </c>
      <c r="G10" s="201">
        <v>81.33</v>
      </c>
      <c r="H10" s="201">
        <v>70.010000000000005</v>
      </c>
      <c r="I10" s="201">
        <v>83.62</v>
      </c>
      <c r="J10" s="201">
        <v>81.099999999999994</v>
      </c>
      <c r="K10" s="201">
        <v>98.05</v>
      </c>
      <c r="L10" s="201">
        <v>79.3</v>
      </c>
      <c r="M10" s="201">
        <v>90.69</v>
      </c>
      <c r="N10" s="201">
        <v>83.54</v>
      </c>
      <c r="O10" s="201">
        <v>89.14</v>
      </c>
      <c r="P10" s="201">
        <v>93.2</v>
      </c>
      <c r="Q10" s="201">
        <v>82.74</v>
      </c>
      <c r="R10" s="201">
        <v>86.57</v>
      </c>
      <c r="S10" s="65">
        <f t="shared" si="0"/>
        <v>1019.29</v>
      </c>
      <c r="T10" s="9">
        <f t="shared" si="1"/>
        <v>84.94083333333333</v>
      </c>
      <c r="U10" s="40">
        <f t="shared" si="2"/>
        <v>2.7925753424657533</v>
      </c>
    </row>
    <row r="11" spans="1:21" ht="15.75" x14ac:dyDescent="0.25">
      <c r="A11" s="96" t="s">
        <v>60</v>
      </c>
      <c r="B11" s="8" t="s">
        <v>74</v>
      </c>
      <c r="C11" s="19" t="s">
        <v>378</v>
      </c>
      <c r="D11" s="3" t="s">
        <v>60</v>
      </c>
      <c r="E11" s="3" t="s">
        <v>74</v>
      </c>
      <c r="F11" s="3" t="s">
        <v>378</v>
      </c>
      <c r="G11" s="203">
        <v>14.9</v>
      </c>
      <c r="H11" s="203">
        <v>15.77</v>
      </c>
      <c r="I11" s="203">
        <v>17.760000000000002</v>
      </c>
      <c r="J11" s="203">
        <v>16.010000000000002</v>
      </c>
      <c r="K11" s="203">
        <v>16.329999999999998</v>
      </c>
      <c r="L11" s="203">
        <v>20.11</v>
      </c>
      <c r="M11" s="203">
        <v>17.79</v>
      </c>
      <c r="N11" s="203">
        <v>17.7</v>
      </c>
      <c r="O11" s="203">
        <v>19.399999999999999</v>
      </c>
      <c r="P11" s="203">
        <v>15.87</v>
      </c>
      <c r="Q11" s="203">
        <v>19.260000000000002</v>
      </c>
      <c r="R11" s="203">
        <v>17.7</v>
      </c>
      <c r="S11" s="65">
        <f t="shared" si="0"/>
        <v>208.6</v>
      </c>
      <c r="T11" s="9">
        <f t="shared" si="1"/>
        <v>17.383333333333333</v>
      </c>
      <c r="U11" s="40">
        <f t="shared" si="2"/>
        <v>0.57150684931506845</v>
      </c>
    </row>
    <row r="12" spans="1:21" ht="15.75" x14ac:dyDescent="0.25">
      <c r="A12" s="368"/>
      <c r="B12" s="369"/>
      <c r="C12" s="177"/>
      <c r="D12" s="153" t="s">
        <v>60</v>
      </c>
      <c r="E12" s="191" t="s">
        <v>61</v>
      </c>
      <c r="F12" s="191" t="s">
        <v>378</v>
      </c>
      <c r="G12" s="203">
        <v>0</v>
      </c>
      <c r="H12" s="203">
        <v>0</v>
      </c>
      <c r="I12" s="203">
        <v>270.52</v>
      </c>
      <c r="J12" s="203">
        <v>277.10000000000002</v>
      </c>
      <c r="K12" s="203">
        <v>329.52</v>
      </c>
      <c r="L12" s="203">
        <v>290.22000000000003</v>
      </c>
      <c r="M12" s="203">
        <v>320.52</v>
      </c>
      <c r="N12" s="203">
        <v>295.75</v>
      </c>
      <c r="O12" s="203">
        <v>297.95</v>
      </c>
      <c r="P12" s="203">
        <v>348.36</v>
      </c>
      <c r="Q12" s="203">
        <v>315.94</v>
      </c>
      <c r="R12" s="203">
        <v>307.77999999999997</v>
      </c>
      <c r="S12" s="65">
        <f t="shared" si="0"/>
        <v>3053.66</v>
      </c>
      <c r="T12" s="9">
        <f t="shared" si="1"/>
        <v>254.47166666666666</v>
      </c>
      <c r="U12" s="40">
        <f t="shared" si="2"/>
        <v>8.3661917808219179</v>
      </c>
    </row>
    <row r="13" spans="1:21" x14ac:dyDescent="0.25">
      <c r="D13" s="404"/>
      <c r="E13" s="405"/>
      <c r="F13" s="246"/>
      <c r="G13" s="283">
        <f t="shared" ref="G13:R13" si="3">SUM(G7:G12)</f>
        <v>444</v>
      </c>
      <c r="H13" s="283">
        <f t="shared" si="3"/>
        <v>396.97999999999996</v>
      </c>
      <c r="I13" s="283">
        <f t="shared" si="3"/>
        <v>725.36999999999989</v>
      </c>
      <c r="J13" s="283">
        <f t="shared" si="3"/>
        <v>720</v>
      </c>
      <c r="K13" s="283">
        <f t="shared" si="3"/>
        <v>857.53</v>
      </c>
      <c r="L13" s="283">
        <f t="shared" si="3"/>
        <v>740.79000000000008</v>
      </c>
      <c r="M13" s="283">
        <f t="shared" si="3"/>
        <v>829.14</v>
      </c>
      <c r="N13" s="283">
        <f t="shared" si="3"/>
        <v>774.46</v>
      </c>
      <c r="O13" s="283">
        <f t="shared" si="3"/>
        <v>787.56</v>
      </c>
      <c r="P13" s="283">
        <f t="shared" si="3"/>
        <v>868.26</v>
      </c>
      <c r="Q13" s="283">
        <f t="shared" si="3"/>
        <v>773.24</v>
      </c>
      <c r="R13" s="283">
        <f t="shared" si="3"/>
        <v>768.11999999999989</v>
      </c>
      <c r="S13" s="13">
        <f t="shared" si="0"/>
        <v>8685.4500000000007</v>
      </c>
      <c r="T13" s="9">
        <f t="shared" si="1"/>
        <v>723.78750000000002</v>
      </c>
      <c r="U13" s="40">
        <f t="shared" si="2"/>
        <v>23.795753424657537</v>
      </c>
    </row>
    <row r="14" spans="1:21" x14ac:dyDescent="0.25">
      <c r="P14" s="50"/>
    </row>
  </sheetData>
  <mergeCells count="8">
    <mergeCell ref="A1:R1"/>
    <mergeCell ref="A2:R2"/>
    <mergeCell ref="S5:S6"/>
    <mergeCell ref="D13:E13"/>
    <mergeCell ref="B3:P3"/>
    <mergeCell ref="A12:B12"/>
    <mergeCell ref="A5:A6"/>
    <mergeCell ref="D5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sqref="A1:XFD2"/>
    </sheetView>
  </sheetViews>
  <sheetFormatPr baseColWidth="10" defaultColWidth="11.42578125" defaultRowHeight="15" x14ac:dyDescent="0.25"/>
  <cols>
    <col min="1" max="1" width="15" style="97" customWidth="1"/>
    <col min="2" max="2" width="29.5703125" style="97" customWidth="1"/>
    <col min="3" max="3" width="15.28515625" style="97" customWidth="1"/>
    <col min="4" max="15" width="11.42578125" style="97" customWidth="1"/>
    <col min="16" max="16" width="16" style="97" customWidth="1"/>
    <col min="17" max="17" width="14.85546875" style="97" customWidth="1"/>
    <col min="18" max="18" width="15" style="97" customWidth="1"/>
    <col min="19" max="16384" width="11.42578125" style="97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21" x14ac:dyDescent="0.35">
      <c r="C3" s="419" t="s">
        <v>218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</row>
    <row r="5" spans="1:18" x14ac:dyDescent="0.25">
      <c r="A5" s="365" t="s">
        <v>1</v>
      </c>
      <c r="B5" s="379" t="s">
        <v>2</v>
      </c>
      <c r="C5" s="178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417" t="s">
        <v>206</v>
      </c>
    </row>
    <row r="6" spans="1:18" ht="18.75" customHeight="1" thickBot="1" x14ac:dyDescent="0.3">
      <c r="A6" s="365"/>
      <c r="B6" s="365"/>
      <c r="C6" s="176"/>
      <c r="D6" s="176" t="s">
        <v>4</v>
      </c>
      <c r="E6" s="176" t="s">
        <v>5</v>
      </c>
      <c r="F6" s="176" t="s">
        <v>6</v>
      </c>
      <c r="G6" s="176" t="s">
        <v>7</v>
      </c>
      <c r="H6" s="176" t="s">
        <v>8</v>
      </c>
      <c r="I6" s="176" t="s">
        <v>9</v>
      </c>
      <c r="J6" s="176" t="s">
        <v>10</v>
      </c>
      <c r="K6" s="176" t="s">
        <v>11</v>
      </c>
      <c r="L6" s="176" t="s">
        <v>12</v>
      </c>
      <c r="M6" s="176" t="s">
        <v>13</v>
      </c>
      <c r="N6" s="176" t="s">
        <v>14</v>
      </c>
      <c r="O6" s="176" t="s">
        <v>15</v>
      </c>
      <c r="P6" s="417"/>
      <c r="Q6" s="27" t="s">
        <v>121</v>
      </c>
      <c r="R6" s="84" t="s">
        <v>157</v>
      </c>
    </row>
    <row r="7" spans="1:18" x14ac:dyDescent="0.25">
      <c r="A7" s="96" t="s">
        <v>60</v>
      </c>
      <c r="B7" s="322" t="s">
        <v>78</v>
      </c>
      <c r="C7" s="323" t="s">
        <v>205</v>
      </c>
      <c r="D7" s="324">
        <v>10.09</v>
      </c>
      <c r="E7" s="324">
        <v>6.61</v>
      </c>
      <c r="F7" s="324">
        <v>8.68</v>
      </c>
      <c r="G7" s="324">
        <v>8.43</v>
      </c>
      <c r="H7" s="324">
        <v>11.39</v>
      </c>
      <c r="I7" s="324">
        <v>9.4499999999999993</v>
      </c>
      <c r="J7" s="324">
        <v>10.37</v>
      </c>
      <c r="K7" s="324">
        <v>11.18</v>
      </c>
      <c r="L7" s="155">
        <v>7.75</v>
      </c>
      <c r="M7" s="155">
        <v>11.67</v>
      </c>
      <c r="N7" s="156">
        <v>7.91</v>
      </c>
      <c r="O7" s="157">
        <v>11.87</v>
      </c>
      <c r="P7" s="65">
        <f t="shared" ref="P7:P22" si="0">SUM(D7:O7)</f>
        <v>115.40000000000002</v>
      </c>
      <c r="Q7" s="9">
        <f>SUM(P7/12)</f>
        <v>9.6166666666666689</v>
      </c>
      <c r="R7" s="29">
        <f>SUM(P7/365)</f>
        <v>0.31616438356164389</v>
      </c>
    </row>
    <row r="8" spans="1:18" x14ac:dyDescent="0.25">
      <c r="A8" s="96" t="s">
        <v>60</v>
      </c>
      <c r="B8" s="56" t="s">
        <v>204</v>
      </c>
      <c r="C8" s="325" t="s">
        <v>205</v>
      </c>
      <c r="D8" s="158">
        <v>7.32</v>
      </c>
      <c r="E8" s="158">
        <v>4.03</v>
      </c>
      <c r="F8" s="158">
        <v>5.63</v>
      </c>
      <c r="G8" s="158">
        <v>4.6100000000000003</v>
      </c>
      <c r="H8" s="158">
        <v>7.13</v>
      </c>
      <c r="I8" s="158">
        <v>5.84</v>
      </c>
      <c r="J8" s="158">
        <v>4.24</v>
      </c>
      <c r="K8" s="158">
        <v>7.6</v>
      </c>
      <c r="L8" s="158">
        <v>6.23</v>
      </c>
      <c r="M8" s="158">
        <v>7.9</v>
      </c>
      <c r="N8" s="158">
        <v>5.65</v>
      </c>
      <c r="O8" s="159">
        <v>4.28</v>
      </c>
      <c r="P8" s="65">
        <f t="shared" si="0"/>
        <v>70.460000000000008</v>
      </c>
      <c r="Q8" s="9">
        <f t="shared" ref="Q8:Q22" si="1">SUM(P8/12)</f>
        <v>5.871666666666667</v>
      </c>
      <c r="R8" s="29">
        <f t="shared" ref="R8:R23" si="2">SUM(P8/365)</f>
        <v>0.19304109589041099</v>
      </c>
    </row>
    <row r="9" spans="1:18" x14ac:dyDescent="0.25">
      <c r="A9" s="96" t="s">
        <v>60</v>
      </c>
      <c r="B9" s="3" t="s">
        <v>75</v>
      </c>
      <c r="C9" s="56" t="s">
        <v>205</v>
      </c>
      <c r="D9" s="158">
        <v>10.050000000000001</v>
      </c>
      <c r="E9" s="158">
        <v>8.66</v>
      </c>
      <c r="F9" s="158">
        <v>7.6</v>
      </c>
      <c r="G9" s="158">
        <v>4.75</v>
      </c>
      <c r="H9" s="158">
        <v>13.84</v>
      </c>
      <c r="I9" s="158">
        <v>17.79</v>
      </c>
      <c r="J9" s="158">
        <v>10.69</v>
      </c>
      <c r="K9" s="158">
        <v>0</v>
      </c>
      <c r="L9" s="158">
        <v>24.19</v>
      </c>
      <c r="M9" s="158">
        <v>14.26</v>
      </c>
      <c r="N9" s="158">
        <v>12.13</v>
      </c>
      <c r="O9" s="159">
        <v>6.11</v>
      </c>
      <c r="P9" s="65">
        <f t="shared" si="0"/>
        <v>130.07000000000002</v>
      </c>
      <c r="Q9" s="9">
        <f t="shared" si="1"/>
        <v>10.839166666666669</v>
      </c>
      <c r="R9" s="29">
        <f t="shared" si="2"/>
        <v>0.35635616438356171</v>
      </c>
    </row>
    <row r="10" spans="1:18" x14ac:dyDescent="0.25">
      <c r="A10" s="96" t="s">
        <v>60</v>
      </c>
      <c r="B10" s="80" t="s">
        <v>138</v>
      </c>
      <c r="C10" s="56" t="s">
        <v>205</v>
      </c>
      <c r="D10" s="160">
        <v>8.76</v>
      </c>
      <c r="E10" s="160">
        <v>7.91</v>
      </c>
      <c r="F10" s="160">
        <v>7.56</v>
      </c>
      <c r="G10" s="160">
        <v>7.61</v>
      </c>
      <c r="H10" s="160">
        <v>14.57</v>
      </c>
      <c r="I10" s="160">
        <v>6.82</v>
      </c>
      <c r="J10" s="160">
        <v>7.7</v>
      </c>
      <c r="K10" s="160">
        <v>10.77</v>
      </c>
      <c r="L10" s="160">
        <v>8.35</v>
      </c>
      <c r="M10" s="160">
        <v>10.47</v>
      </c>
      <c r="N10" s="160">
        <v>8.1300000000000008</v>
      </c>
      <c r="O10" s="161">
        <v>6.36</v>
      </c>
      <c r="P10" s="65">
        <f t="shared" ref="P10:P19" si="3">SUM(D10:O10)</f>
        <v>105.00999999999999</v>
      </c>
      <c r="Q10" s="9">
        <f t="shared" ref="Q10:Q19" si="4">SUM(P10/12)</f>
        <v>8.7508333333333326</v>
      </c>
      <c r="R10" s="29">
        <f t="shared" si="2"/>
        <v>0.28769863013698627</v>
      </c>
    </row>
    <row r="11" spans="1:18" x14ac:dyDescent="0.25">
      <c r="A11" s="96" t="s">
        <v>60</v>
      </c>
      <c r="B11" s="80" t="s">
        <v>76</v>
      </c>
      <c r="C11" s="56" t="s">
        <v>205</v>
      </c>
      <c r="D11" s="160">
        <v>5.24</v>
      </c>
      <c r="E11" s="160">
        <v>3.03</v>
      </c>
      <c r="F11" s="160">
        <v>7.23</v>
      </c>
      <c r="G11" s="160">
        <v>9.92</v>
      </c>
      <c r="H11" s="160">
        <v>7.77</v>
      </c>
      <c r="I11" s="160">
        <v>5.18</v>
      </c>
      <c r="J11" s="160">
        <v>4.26</v>
      </c>
      <c r="K11" s="160">
        <v>3.23</v>
      </c>
      <c r="L11" s="160">
        <v>3.09</v>
      </c>
      <c r="M11" s="160">
        <v>4.91</v>
      </c>
      <c r="N11" s="160">
        <v>3</v>
      </c>
      <c r="O11" s="161">
        <v>2.56</v>
      </c>
      <c r="P11" s="65">
        <f t="shared" si="3"/>
        <v>59.419999999999987</v>
      </c>
      <c r="Q11" s="9">
        <f t="shared" si="4"/>
        <v>4.9516666666666653</v>
      </c>
      <c r="R11" s="29">
        <f t="shared" si="2"/>
        <v>0.16279452054794516</v>
      </c>
    </row>
    <row r="12" spans="1:18" x14ac:dyDescent="0.25">
      <c r="A12" s="96" t="s">
        <v>60</v>
      </c>
      <c r="B12" s="326" t="s">
        <v>342</v>
      </c>
      <c r="C12" s="56" t="s">
        <v>205</v>
      </c>
      <c r="D12" s="160">
        <v>7.57</v>
      </c>
      <c r="E12" s="160">
        <v>5.53</v>
      </c>
      <c r="F12" s="160">
        <v>7.54</v>
      </c>
      <c r="G12" s="160">
        <v>6.74</v>
      </c>
      <c r="H12" s="160">
        <v>8.09</v>
      </c>
      <c r="I12" s="160">
        <v>8.0500000000000007</v>
      </c>
      <c r="J12" s="160">
        <v>8.83</v>
      </c>
      <c r="K12" s="160">
        <v>7.07</v>
      </c>
      <c r="L12" s="160">
        <v>6.91</v>
      </c>
      <c r="M12" s="160">
        <v>8.14</v>
      </c>
      <c r="N12" s="160">
        <v>6.06</v>
      </c>
      <c r="O12" s="161">
        <v>6.05</v>
      </c>
      <c r="P12" s="65">
        <f t="shared" ref="P12:P16" si="5">SUM(D12:O12)</f>
        <v>86.58</v>
      </c>
      <c r="Q12" s="9">
        <f t="shared" ref="Q12:Q16" si="6">SUM(P12/12)</f>
        <v>7.2149999999999999</v>
      </c>
      <c r="R12" s="29">
        <f t="shared" si="2"/>
        <v>0.23720547945205478</v>
      </c>
    </row>
    <row r="13" spans="1:18" x14ac:dyDescent="0.25">
      <c r="A13" s="96" t="s">
        <v>60</v>
      </c>
      <c r="B13" s="80" t="s">
        <v>141</v>
      </c>
      <c r="C13" s="56" t="s">
        <v>205</v>
      </c>
      <c r="D13" s="160">
        <v>10.220000000000001</v>
      </c>
      <c r="E13" s="160">
        <v>7.27</v>
      </c>
      <c r="F13" s="160">
        <v>3.63</v>
      </c>
      <c r="G13" s="160">
        <v>7</v>
      </c>
      <c r="H13" s="160">
        <v>10.26</v>
      </c>
      <c r="I13" s="160">
        <v>10.23</v>
      </c>
      <c r="J13" s="160">
        <v>9.86</v>
      </c>
      <c r="K13" s="160">
        <v>9.8000000000000007</v>
      </c>
      <c r="L13" s="160">
        <v>4.66</v>
      </c>
      <c r="M13" s="160">
        <v>10.3</v>
      </c>
      <c r="N13" s="160">
        <v>10.25</v>
      </c>
      <c r="O13" s="161">
        <v>7.03</v>
      </c>
      <c r="P13" s="65">
        <f t="shared" si="5"/>
        <v>100.50999999999999</v>
      </c>
      <c r="Q13" s="9">
        <f t="shared" si="6"/>
        <v>8.3758333333333326</v>
      </c>
      <c r="R13" s="29">
        <f t="shared" si="2"/>
        <v>0.27536986301369859</v>
      </c>
    </row>
    <row r="14" spans="1:18" x14ac:dyDescent="0.25">
      <c r="A14" s="96" t="s">
        <v>60</v>
      </c>
      <c r="B14" s="326" t="s">
        <v>140</v>
      </c>
      <c r="C14" s="56" t="s">
        <v>205</v>
      </c>
      <c r="D14" s="160">
        <v>7.35</v>
      </c>
      <c r="E14" s="160">
        <v>2.8</v>
      </c>
      <c r="F14" s="160">
        <v>3.06</v>
      </c>
      <c r="G14" s="160">
        <v>5.0199999999999996</v>
      </c>
      <c r="H14" s="160">
        <v>6.1</v>
      </c>
      <c r="I14" s="160">
        <v>1.64</v>
      </c>
      <c r="J14" s="160">
        <v>4.87</v>
      </c>
      <c r="K14" s="160">
        <v>2.7</v>
      </c>
      <c r="L14" s="160">
        <v>2.75</v>
      </c>
      <c r="M14" s="160">
        <v>2.98</v>
      </c>
      <c r="N14" s="160">
        <v>4.22</v>
      </c>
      <c r="O14" s="161">
        <v>1.42</v>
      </c>
      <c r="P14" s="65">
        <f t="shared" si="5"/>
        <v>44.91</v>
      </c>
      <c r="Q14" s="9">
        <f t="shared" si="6"/>
        <v>3.7424999999999997</v>
      </c>
      <c r="R14" s="29">
        <f t="shared" si="2"/>
        <v>0.12304109589041096</v>
      </c>
    </row>
    <row r="15" spans="1:18" x14ac:dyDescent="0.25">
      <c r="A15" s="96" t="s">
        <v>60</v>
      </c>
      <c r="B15" s="326" t="s">
        <v>71</v>
      </c>
      <c r="C15" s="56" t="s">
        <v>205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1">
        <v>0</v>
      </c>
      <c r="P15" s="65">
        <f t="shared" si="5"/>
        <v>0</v>
      </c>
      <c r="Q15" s="9">
        <f t="shared" si="6"/>
        <v>0</v>
      </c>
      <c r="R15" s="29">
        <f t="shared" si="2"/>
        <v>0</v>
      </c>
    </row>
    <row r="16" spans="1:18" x14ac:dyDescent="0.25">
      <c r="A16" s="96" t="s">
        <v>60</v>
      </c>
      <c r="B16" s="80" t="s">
        <v>139</v>
      </c>
      <c r="C16" s="56" t="s">
        <v>205</v>
      </c>
      <c r="D16" s="160">
        <v>12.9</v>
      </c>
      <c r="E16" s="160">
        <v>20.81</v>
      </c>
      <c r="F16" s="160">
        <v>19.18</v>
      </c>
      <c r="G16" s="160">
        <v>9.24</v>
      </c>
      <c r="H16" s="160">
        <v>19.29</v>
      </c>
      <c r="I16" s="160">
        <v>8.9700000000000006</v>
      </c>
      <c r="J16" s="160">
        <v>14.64</v>
      </c>
      <c r="K16" s="160">
        <v>10.68</v>
      </c>
      <c r="L16" s="160">
        <v>19.25</v>
      </c>
      <c r="M16" s="160">
        <v>16.190000000000001</v>
      </c>
      <c r="N16" s="160">
        <v>12.6</v>
      </c>
      <c r="O16" s="161">
        <v>7.54</v>
      </c>
      <c r="P16" s="65">
        <f t="shared" si="5"/>
        <v>171.29</v>
      </c>
      <c r="Q16" s="9">
        <f t="shared" si="6"/>
        <v>14.274166666666666</v>
      </c>
      <c r="R16" s="29">
        <f t="shared" si="2"/>
        <v>0.46928767123287668</v>
      </c>
    </row>
    <row r="17" spans="1:18" x14ac:dyDescent="0.25">
      <c r="A17" s="96" t="s">
        <v>60</v>
      </c>
      <c r="B17" s="80" t="s">
        <v>150</v>
      </c>
      <c r="C17" s="56" t="s">
        <v>205</v>
      </c>
      <c r="D17" s="160">
        <v>5.63</v>
      </c>
      <c r="E17" s="160">
        <v>4.67</v>
      </c>
      <c r="F17" s="160">
        <v>5.12</v>
      </c>
      <c r="G17" s="160">
        <v>4.9000000000000004</v>
      </c>
      <c r="H17" s="160">
        <v>6.29</v>
      </c>
      <c r="I17" s="160">
        <v>5.92</v>
      </c>
      <c r="J17" s="160">
        <v>5.4</v>
      </c>
      <c r="K17" s="160">
        <v>10.59</v>
      </c>
      <c r="L17" s="160">
        <v>5.97</v>
      </c>
      <c r="M17" s="160">
        <v>5.75</v>
      </c>
      <c r="N17" s="160">
        <v>5.05</v>
      </c>
      <c r="O17" s="161">
        <v>4.34</v>
      </c>
      <c r="P17" s="65">
        <f t="shared" si="3"/>
        <v>69.63</v>
      </c>
      <c r="Q17" s="9">
        <f t="shared" si="4"/>
        <v>5.8024999999999993</v>
      </c>
      <c r="R17" s="29">
        <f t="shared" si="2"/>
        <v>0.19076712328767123</v>
      </c>
    </row>
    <row r="18" spans="1:18" x14ac:dyDescent="0.25">
      <c r="A18" s="96" t="s">
        <v>60</v>
      </c>
      <c r="B18" s="326" t="s">
        <v>343</v>
      </c>
      <c r="C18" s="56" t="s">
        <v>205</v>
      </c>
      <c r="D18" s="160">
        <v>18.88</v>
      </c>
      <c r="E18" s="160">
        <v>15.14</v>
      </c>
      <c r="F18" s="160">
        <v>16.13</v>
      </c>
      <c r="G18" s="160">
        <v>28.88</v>
      </c>
      <c r="H18" s="160">
        <v>19.98</v>
      </c>
      <c r="I18" s="160">
        <v>19.989999999999998</v>
      </c>
      <c r="J18" s="160">
        <v>23.58</v>
      </c>
      <c r="K18" s="160">
        <v>21.66</v>
      </c>
      <c r="L18" s="160">
        <v>17.37</v>
      </c>
      <c r="M18" s="160">
        <v>19.53</v>
      </c>
      <c r="N18" s="160">
        <v>18.420000000000002</v>
      </c>
      <c r="O18" s="161">
        <v>20.190000000000001</v>
      </c>
      <c r="P18" s="65">
        <f t="shared" si="3"/>
        <v>239.75</v>
      </c>
      <c r="Q18" s="9">
        <f t="shared" si="4"/>
        <v>19.979166666666668</v>
      </c>
      <c r="R18" s="29">
        <f t="shared" si="2"/>
        <v>0.6568493150684932</v>
      </c>
    </row>
    <row r="19" spans="1:18" x14ac:dyDescent="0.25">
      <c r="A19" s="96" t="s">
        <v>60</v>
      </c>
      <c r="B19" s="326" t="s">
        <v>151</v>
      </c>
      <c r="C19" s="56" t="s">
        <v>205</v>
      </c>
      <c r="D19" s="160">
        <v>3.63</v>
      </c>
      <c r="E19" s="160">
        <v>0</v>
      </c>
      <c r="F19" s="160">
        <v>1.32</v>
      </c>
      <c r="G19" s="160">
        <v>1.75</v>
      </c>
      <c r="H19" s="160">
        <v>2.93</v>
      </c>
      <c r="I19" s="160">
        <v>1.34</v>
      </c>
      <c r="J19" s="160">
        <v>2.75</v>
      </c>
      <c r="K19" s="160">
        <v>4.53</v>
      </c>
      <c r="L19" s="160">
        <v>3.64</v>
      </c>
      <c r="M19" s="160">
        <v>3.52</v>
      </c>
      <c r="N19" s="160">
        <v>3.15</v>
      </c>
      <c r="O19" s="161">
        <v>1.35</v>
      </c>
      <c r="P19" s="65">
        <f t="shared" si="3"/>
        <v>29.91</v>
      </c>
      <c r="Q19" s="9">
        <f t="shared" si="4"/>
        <v>2.4925000000000002</v>
      </c>
      <c r="R19" s="29">
        <f t="shared" si="2"/>
        <v>8.1945205479452055E-2</v>
      </c>
    </row>
    <row r="20" spans="1:18" x14ac:dyDescent="0.25">
      <c r="A20" s="96" t="s">
        <v>60</v>
      </c>
      <c r="B20" s="80" t="s">
        <v>149</v>
      </c>
      <c r="C20" s="56" t="s">
        <v>205</v>
      </c>
      <c r="D20" s="160">
        <v>1.18</v>
      </c>
      <c r="E20" s="160">
        <v>2.52</v>
      </c>
      <c r="F20" s="160">
        <v>1.33</v>
      </c>
      <c r="G20" s="160">
        <v>0.94</v>
      </c>
      <c r="H20" s="160">
        <v>3.01</v>
      </c>
      <c r="I20" s="160">
        <v>1.93</v>
      </c>
      <c r="J20" s="160">
        <v>1.39</v>
      </c>
      <c r="K20" s="160">
        <v>3.6</v>
      </c>
      <c r="L20" s="160">
        <v>1.69</v>
      </c>
      <c r="M20" s="160">
        <v>1.72</v>
      </c>
      <c r="N20" s="160">
        <v>3.06</v>
      </c>
      <c r="O20" s="161">
        <v>1.61</v>
      </c>
      <c r="P20" s="65">
        <f t="shared" si="0"/>
        <v>23.979999999999997</v>
      </c>
      <c r="Q20" s="9">
        <f t="shared" si="1"/>
        <v>1.9983333333333331</v>
      </c>
      <c r="R20" s="29">
        <f t="shared" si="2"/>
        <v>6.5698630136986291E-2</v>
      </c>
    </row>
    <row r="21" spans="1:18" x14ac:dyDescent="0.25">
      <c r="A21" s="96" t="s">
        <v>60</v>
      </c>
      <c r="B21" s="326" t="s">
        <v>344</v>
      </c>
      <c r="C21" s="56" t="s">
        <v>205</v>
      </c>
      <c r="D21" s="160">
        <v>4.5999999999999996</v>
      </c>
      <c r="E21" s="160">
        <v>3.82</v>
      </c>
      <c r="F21" s="160">
        <v>3.44</v>
      </c>
      <c r="G21" s="160">
        <v>3.85</v>
      </c>
      <c r="H21" s="160">
        <v>6.18</v>
      </c>
      <c r="I21" s="160">
        <v>5.54</v>
      </c>
      <c r="J21" s="160">
        <v>4.93</v>
      </c>
      <c r="K21" s="160">
        <v>6.75</v>
      </c>
      <c r="L21" s="162">
        <v>5.24</v>
      </c>
      <c r="M21" s="162">
        <v>5.49</v>
      </c>
      <c r="N21" s="162">
        <v>4.8499999999999996</v>
      </c>
      <c r="O21" s="163">
        <v>4.62</v>
      </c>
      <c r="P21" s="143">
        <f t="shared" si="0"/>
        <v>59.31</v>
      </c>
      <c r="Q21" s="9">
        <f t="shared" si="1"/>
        <v>4.9424999999999999</v>
      </c>
      <c r="R21" s="29">
        <f t="shared" si="2"/>
        <v>0.1624931506849315</v>
      </c>
    </row>
    <row r="22" spans="1:18" x14ac:dyDescent="0.25">
      <c r="A22" s="96" t="s">
        <v>60</v>
      </c>
      <c r="B22" s="326" t="s">
        <v>73</v>
      </c>
      <c r="C22" s="327" t="s">
        <v>205</v>
      </c>
      <c r="D22" s="160">
        <v>16.920000000000002</v>
      </c>
      <c r="E22" s="160">
        <v>8.39</v>
      </c>
      <c r="F22" s="160">
        <v>15.61</v>
      </c>
      <c r="G22" s="160">
        <v>13.59</v>
      </c>
      <c r="H22" s="160">
        <v>29.82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1">
        <v>0</v>
      </c>
      <c r="P22" s="143">
        <f t="shared" si="0"/>
        <v>84.330000000000013</v>
      </c>
      <c r="Q22" s="9">
        <f t="shared" si="1"/>
        <v>7.0275000000000007</v>
      </c>
      <c r="R22" s="29">
        <f t="shared" si="2"/>
        <v>0.231041095890411</v>
      </c>
    </row>
    <row r="23" spans="1:18" ht="15.75" thickBot="1" x14ac:dyDescent="0.3">
      <c r="A23" s="96" t="s">
        <v>60</v>
      </c>
      <c r="B23" s="328" t="s">
        <v>69</v>
      </c>
      <c r="C23" s="327" t="s">
        <v>205</v>
      </c>
      <c r="D23" s="164">
        <v>76.8</v>
      </c>
      <c r="E23" s="164">
        <v>42.71</v>
      </c>
      <c r="F23" s="164">
        <v>35.83</v>
      </c>
      <c r="G23" s="164">
        <v>54.68</v>
      </c>
      <c r="H23" s="164">
        <v>63.48</v>
      </c>
      <c r="I23" s="164">
        <v>46.32</v>
      </c>
      <c r="J23" s="164">
        <v>82.23</v>
      </c>
      <c r="K23" s="164">
        <v>74.75</v>
      </c>
      <c r="L23" s="164">
        <v>68.89</v>
      </c>
      <c r="M23" s="164">
        <v>68.400000000000006</v>
      </c>
      <c r="N23" s="164">
        <v>66.13</v>
      </c>
      <c r="O23" s="165">
        <v>58</v>
      </c>
      <c r="P23" s="12">
        <f t="shared" ref="P23:Q23" si="7">SUM(P7:P22)</f>
        <v>1390.56</v>
      </c>
      <c r="Q23" s="12">
        <f t="shared" si="7"/>
        <v>115.88000000000001</v>
      </c>
      <c r="R23" s="29">
        <f t="shared" si="2"/>
        <v>3.8097534246575342</v>
      </c>
    </row>
    <row r="24" spans="1:18" ht="15.75" thickBot="1" x14ac:dyDescent="0.3">
      <c r="B24" s="166" t="s">
        <v>25</v>
      </c>
      <c r="C24" s="166"/>
      <c r="D24" s="167">
        <f t="shared" ref="D24:R24" si="8">SUM(D7:D23)</f>
        <v>207.14</v>
      </c>
      <c r="E24" s="167">
        <f t="shared" si="8"/>
        <v>143.9</v>
      </c>
      <c r="F24" s="167">
        <f t="shared" si="8"/>
        <v>148.88999999999999</v>
      </c>
      <c r="G24" s="167">
        <f t="shared" si="8"/>
        <v>171.91</v>
      </c>
      <c r="H24" s="167">
        <f t="shared" si="8"/>
        <v>230.13</v>
      </c>
      <c r="I24" s="167">
        <f t="shared" si="8"/>
        <v>155.01000000000002</v>
      </c>
      <c r="J24" s="167">
        <f t="shared" si="8"/>
        <v>195.74</v>
      </c>
      <c r="K24" s="168">
        <f t="shared" si="8"/>
        <v>184.91</v>
      </c>
      <c r="L24" s="167">
        <f t="shared" si="8"/>
        <v>185.98</v>
      </c>
      <c r="M24" s="167">
        <f t="shared" si="8"/>
        <v>191.23</v>
      </c>
      <c r="N24" s="167">
        <f t="shared" si="8"/>
        <v>170.61</v>
      </c>
      <c r="O24" s="169">
        <f t="shared" si="8"/>
        <v>143.32999999999998</v>
      </c>
      <c r="P24" s="329">
        <f t="shared" si="8"/>
        <v>2781.12</v>
      </c>
      <c r="Q24" s="329">
        <f t="shared" si="8"/>
        <v>231.76000000000002</v>
      </c>
      <c r="R24" s="329">
        <f t="shared" si="8"/>
        <v>7.6195068493150693</v>
      </c>
    </row>
  </sheetData>
  <mergeCells count="7">
    <mergeCell ref="A1:R1"/>
    <mergeCell ref="A2:R2"/>
    <mergeCell ref="A5:A6"/>
    <mergeCell ref="B5:B6"/>
    <mergeCell ref="D5:O5"/>
    <mergeCell ref="P5:P6"/>
    <mergeCell ref="C3:P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="90" zoomScaleNormal="90" workbookViewId="0">
      <selection activeCell="F10" sqref="F10"/>
    </sheetView>
  </sheetViews>
  <sheetFormatPr baseColWidth="10" defaultRowHeight="15" x14ac:dyDescent="0.25"/>
  <cols>
    <col min="1" max="1" width="25.85546875" customWidth="1"/>
    <col min="2" max="2" width="17.140625" customWidth="1"/>
    <col min="3" max="3" width="12.7109375" customWidth="1"/>
    <col min="4" max="4" width="12.85546875" customWidth="1"/>
    <col min="5" max="5" width="14.7109375" style="16" customWidth="1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30" x14ac:dyDescent="0.25">
      <c r="A3" s="3" t="s">
        <v>188</v>
      </c>
      <c r="B3" s="56" t="str">
        <f>'Sn Fco. Menendez'!P5</f>
        <v>TOTAL DEPOSITADO</v>
      </c>
      <c r="C3" s="56" t="str">
        <f>'Sn Fco. Menendez'!Q5</f>
        <v>PROMEDIO MENSUAL</v>
      </c>
      <c r="D3" s="75" t="str">
        <f>'Sn Fco. Menendez'!R5</f>
        <v>PROMEDIO DIA</v>
      </c>
      <c r="E3" s="56" t="s">
        <v>207</v>
      </c>
    </row>
    <row r="4" spans="1:18" x14ac:dyDescent="0.25">
      <c r="E4" s="38"/>
    </row>
    <row r="5" spans="1:18" x14ac:dyDescent="0.25">
      <c r="A5" s="3" t="s">
        <v>185</v>
      </c>
      <c r="B5" s="58">
        <f>'Sn Fco. Menendez'!P7</f>
        <v>3585</v>
      </c>
      <c r="C5" s="58">
        <f>'Sn Fco. Menendez'!Q7</f>
        <v>298.75</v>
      </c>
      <c r="D5" s="76">
        <f>'Sn Fco. Menendez'!R7</f>
        <v>9.8219178082191778</v>
      </c>
      <c r="E5" s="79">
        <f>SUM(100*B5/B22)</f>
        <v>0.28956209559606622</v>
      </c>
    </row>
    <row r="6" spans="1:18" x14ac:dyDescent="0.25">
      <c r="A6" s="3" t="s">
        <v>186</v>
      </c>
      <c r="B6" s="58">
        <f>Atiquizaya!P12</f>
        <v>9689.15</v>
      </c>
      <c r="C6" s="58">
        <f>Atiquizaya!Q12</f>
        <v>807.42916666666667</v>
      </c>
      <c r="D6" s="76">
        <f>Atiquizaya!R12</f>
        <v>26.545616438356163</v>
      </c>
      <c r="E6" s="79">
        <f>SUM(100*B6/B22)</f>
        <v>0.78259709303894698</v>
      </c>
    </row>
    <row r="7" spans="1:18" s="16" customFormat="1" x14ac:dyDescent="0.25">
      <c r="A7" s="98" t="s">
        <v>147</v>
      </c>
      <c r="B7" s="350">
        <f>'SANTA ANA'!P21</f>
        <v>95626.095000000016</v>
      </c>
      <c r="C7" s="350">
        <f>'SANTA ANA'!Q21</f>
        <v>7968.8412500000013</v>
      </c>
      <c r="D7" s="351">
        <f>'SANTA ANA'!R21</f>
        <v>261.98930136986303</v>
      </c>
      <c r="E7" s="352">
        <f>SUM(100*B7/B22)</f>
        <v>7.7237635876899624</v>
      </c>
    </row>
    <row r="8" spans="1:18" x14ac:dyDescent="0.25">
      <c r="A8" s="3" t="s">
        <v>145</v>
      </c>
      <c r="B8" s="55">
        <f>'LA LIBERTAD'!P74</f>
        <v>240073.03000000003</v>
      </c>
      <c r="C8" s="55">
        <f>'LA LIBERTAD'!Q74</f>
        <v>20006.085833333334</v>
      </c>
      <c r="D8" s="77">
        <f>'LA LIBERTAD'!R74</f>
        <v>657.73432876712332</v>
      </c>
      <c r="E8" s="79">
        <f>SUM(100*B8/B22)</f>
        <v>19.390808832049451</v>
      </c>
    </row>
    <row r="9" spans="1:18" x14ac:dyDescent="0.25">
      <c r="A9" s="3" t="s">
        <v>187</v>
      </c>
      <c r="B9" s="58">
        <f>Ishuatan!O8</f>
        <v>1240</v>
      </c>
      <c r="C9" s="58">
        <f>Ishuatan!P8</f>
        <v>103.33333333333333</v>
      </c>
      <c r="D9" s="76">
        <f>Ishuatan!Q8</f>
        <v>3.3972602739726026</v>
      </c>
      <c r="E9" s="79">
        <f>SUM(100*B9/B22)</f>
        <v>0.10015536918803963</v>
      </c>
    </row>
    <row r="10" spans="1:18" x14ac:dyDescent="0.25">
      <c r="A10" s="98" t="s">
        <v>379</v>
      </c>
      <c r="B10" s="350">
        <f>'SONSONATE-KALI'!P46</f>
        <v>158803.85999999999</v>
      </c>
      <c r="C10" s="350">
        <f>'SONSONATE-KALI'!Q46</f>
        <v>13233.654999999999</v>
      </c>
      <c r="D10" s="351">
        <f>'SONSONATE-KALI'!R46</f>
        <v>435.07906849315066</v>
      </c>
      <c r="E10" s="352">
        <f>SUM(100*B10/B22)</f>
        <v>12.826660666762708</v>
      </c>
    </row>
    <row r="11" spans="1:18" x14ac:dyDescent="0.25">
      <c r="A11" s="80" t="s">
        <v>189</v>
      </c>
      <c r="B11" s="58">
        <f>MIDES!P90</f>
        <v>561650.35389999999</v>
      </c>
      <c r="C11" s="58">
        <f>MIDES!Q90</f>
        <v>46804.196158333332</v>
      </c>
      <c r="D11" s="76">
        <f>MIDES!R90</f>
        <v>1538.7680928767122</v>
      </c>
      <c r="E11" s="79">
        <f>SUM(100*B11/B22)</f>
        <v>45.364756894715825</v>
      </c>
    </row>
    <row r="12" spans="1:18" x14ac:dyDescent="0.25">
      <c r="A12" s="3" t="s">
        <v>190</v>
      </c>
      <c r="B12" s="86">
        <f>Meanguera!P9</f>
        <v>0</v>
      </c>
      <c r="C12" s="87">
        <f>Meanguera!Q9</f>
        <v>0</v>
      </c>
      <c r="D12" s="88">
        <f>Meanguera!R9</f>
        <v>0</v>
      </c>
      <c r="E12" s="79">
        <f>SUM(100*B12/B22)</f>
        <v>0</v>
      </c>
    </row>
    <row r="13" spans="1:18" x14ac:dyDescent="0.25">
      <c r="A13" s="39" t="s">
        <v>191</v>
      </c>
      <c r="B13" s="87">
        <f>Perquin!P9</f>
        <v>199.5</v>
      </c>
      <c r="C13" s="87">
        <f>Perquin!Q9</f>
        <v>16.625</v>
      </c>
      <c r="D13" s="88">
        <f>Perquin!R9</f>
        <v>0.54657534246575346</v>
      </c>
      <c r="E13" s="79">
        <f>SUM(100*B13/B22)</f>
        <v>1.6113706575011218E-2</v>
      </c>
    </row>
    <row r="14" spans="1:18" x14ac:dyDescent="0.25">
      <c r="A14" s="39" t="s">
        <v>192</v>
      </c>
      <c r="B14" s="86">
        <f>CORINTO!P7</f>
        <v>4029</v>
      </c>
      <c r="C14" s="87">
        <f>CORINTO!Q7</f>
        <v>335.75</v>
      </c>
      <c r="D14" s="88">
        <f>CORINTO!R7</f>
        <v>11.038356164383561</v>
      </c>
      <c r="E14" s="79">
        <f>SUM(100*B14/B22)</f>
        <v>0.32542417940210622</v>
      </c>
    </row>
    <row r="15" spans="1:18" x14ac:dyDescent="0.25">
      <c r="A15" s="39" t="s">
        <v>193</v>
      </c>
      <c r="B15" s="89">
        <f>SOCINUS!P85</f>
        <v>72836.186000000045</v>
      </c>
      <c r="C15" s="89">
        <f>SOCINUS!Q85</f>
        <v>6069.6821666666665</v>
      </c>
      <c r="D15" s="90">
        <f>SOCINUS!R85</f>
        <v>199.55119452054788</v>
      </c>
      <c r="E15" s="79">
        <f>SUM(100*B15/B22)</f>
        <v>5.8830121766763934</v>
      </c>
    </row>
    <row r="16" spans="1:18" x14ac:dyDescent="0.25">
      <c r="A16" s="39" t="s">
        <v>146</v>
      </c>
      <c r="B16" s="89">
        <f>'San Miguel'!P13</f>
        <v>55059.039999999994</v>
      </c>
      <c r="C16" s="89">
        <f>'San Miguel'!Q13</f>
        <v>4588.2533333333331</v>
      </c>
      <c r="D16" s="90">
        <f>'San Miguel'!R13</f>
        <v>150.84668493150684</v>
      </c>
      <c r="E16" s="79">
        <f>SUM(100*B16/B22)</f>
        <v>4.4471439341443881</v>
      </c>
    </row>
    <row r="17" spans="1:6" x14ac:dyDescent="0.25">
      <c r="A17" s="39" t="s">
        <v>194</v>
      </c>
      <c r="B17" s="89">
        <f>'SANTA ROSA DE LIMA (ASINORLU)'!P40</f>
        <v>23399.044999999998</v>
      </c>
      <c r="C17" s="89">
        <f>'SANTA ROSA DE LIMA (ASINORLU)'!Q40</f>
        <v>1949.9204166666666</v>
      </c>
      <c r="D17" s="90">
        <f>'SANTA ROSA DE LIMA (ASINORLU)'!R40</f>
        <v>64.106972602739745</v>
      </c>
      <c r="E17" s="79">
        <f>SUM(100*B17/B22)</f>
        <v>1.8899516053407686</v>
      </c>
    </row>
    <row r="18" spans="1:6" x14ac:dyDescent="0.25">
      <c r="A18" s="39" t="s">
        <v>155</v>
      </c>
      <c r="B18" s="87">
        <f>Suchitoto!P14</f>
        <v>134.08083333333335</v>
      </c>
      <c r="C18" s="87">
        <f>Suchitoto!Q14</f>
        <v>4.4693611111111116</v>
      </c>
      <c r="D18" s="88">
        <f>Suchitoto!R14</f>
        <v>0</v>
      </c>
      <c r="E18" s="79">
        <f>SUM(100*B18/B22)</f>
        <v>1.0829770454467752E-2</v>
      </c>
    </row>
    <row r="19" spans="1:6" x14ac:dyDescent="0.25">
      <c r="A19" s="39" t="s">
        <v>196</v>
      </c>
      <c r="B19" s="87">
        <f>CINQUERA!P21</f>
        <v>285.5</v>
      </c>
      <c r="C19" s="87">
        <f>CINQUERA!Q21</f>
        <v>23.791666666666668</v>
      </c>
      <c r="D19" s="88">
        <f>CINQUERA!R21</f>
        <v>0.78219178082191776</v>
      </c>
      <c r="E19" s="79">
        <f>SUM(100*B19/B22)</f>
        <v>2.30599660509559E-2</v>
      </c>
    </row>
    <row r="20" spans="1:6" x14ac:dyDescent="0.25">
      <c r="A20" s="39" t="s">
        <v>201</v>
      </c>
      <c r="B20" s="91">
        <f>CHALATENANGO!S13</f>
        <v>8685.4500000000007</v>
      </c>
      <c r="C20" s="89">
        <f>CHALATENANGO!Q13</f>
        <v>773.24</v>
      </c>
      <c r="D20" s="78">
        <f>CHALATENANGO!R13</f>
        <v>768.11999999999989</v>
      </c>
      <c r="E20" s="79">
        <f>SUM(100*B20/B22)</f>
        <v>0.70152778331795085</v>
      </c>
    </row>
    <row r="21" spans="1:6" s="16" customFormat="1" x14ac:dyDescent="0.25">
      <c r="A21" s="98" t="s">
        <v>205</v>
      </c>
      <c r="B21" s="353">
        <f>AMUCHADES!P24</f>
        <v>2781.12</v>
      </c>
      <c r="C21" s="354">
        <f>AMUCHADES!Q24</f>
        <v>231.76000000000002</v>
      </c>
      <c r="D21" s="355">
        <f>AMUCHADES!R24</f>
        <v>7.6195068493150693</v>
      </c>
      <c r="E21" s="352">
        <f>SUM(100*B21/B22)</f>
        <v>0.22463233899696838</v>
      </c>
      <c r="F21" s="135"/>
    </row>
    <row r="22" spans="1:6" x14ac:dyDescent="0.25">
      <c r="A22" s="3"/>
      <c r="B22" s="9">
        <f>SUM(B5:B21)</f>
        <v>1238076.4107333333</v>
      </c>
      <c r="C22" s="9">
        <f t="shared" ref="C22:E22" si="0">SUM(C5:C21)</f>
        <v>103215.78268611111</v>
      </c>
      <c r="D22" s="92">
        <f t="shared" si="0"/>
        <v>4135.9470682191777</v>
      </c>
      <c r="E22" s="70">
        <f t="shared" si="0"/>
        <v>100.00000000000001</v>
      </c>
    </row>
    <row r="25" spans="1:6" x14ac:dyDescent="0.25">
      <c r="A25" t="s">
        <v>313</v>
      </c>
      <c r="B25" t="s">
        <v>315</v>
      </c>
    </row>
    <row r="26" spans="1:6" x14ac:dyDescent="0.25">
      <c r="A26" s="136" t="s">
        <v>205</v>
      </c>
      <c r="B26" s="140">
        <f>B21</f>
        <v>2781.12</v>
      </c>
      <c r="C26" s="142"/>
    </row>
    <row r="27" spans="1:6" x14ac:dyDescent="0.25">
      <c r="A27" s="136" t="s">
        <v>312</v>
      </c>
      <c r="B27" s="140">
        <f>B20</f>
        <v>8685.4500000000007</v>
      </c>
    </row>
    <row r="28" spans="1:6" x14ac:dyDescent="0.25">
      <c r="A28" s="136" t="s">
        <v>194</v>
      </c>
      <c r="B28" s="140">
        <f>B17</f>
        <v>23399.044999999998</v>
      </c>
    </row>
    <row r="29" spans="1:6" x14ac:dyDescent="0.25">
      <c r="A29" s="136" t="s">
        <v>20</v>
      </c>
      <c r="B29" s="140">
        <f>B6</f>
        <v>9689.15</v>
      </c>
    </row>
    <row r="30" spans="1:6" x14ac:dyDescent="0.25">
      <c r="A30" s="137" t="s">
        <v>379</v>
      </c>
      <c r="B30" s="141">
        <f>B10</f>
        <v>158803.85999999999</v>
      </c>
      <c r="C30" s="135"/>
    </row>
    <row r="31" spans="1:6" x14ac:dyDescent="0.25">
      <c r="A31" s="136" t="s">
        <v>137</v>
      </c>
      <c r="B31" s="140">
        <f>B19</f>
        <v>285.5</v>
      </c>
    </row>
    <row r="32" spans="1:6" x14ac:dyDescent="0.25">
      <c r="A32" s="136" t="s">
        <v>142</v>
      </c>
      <c r="B32" s="140">
        <f>B14</f>
        <v>4029</v>
      </c>
    </row>
    <row r="33" spans="1:3" x14ac:dyDescent="0.25">
      <c r="A33" s="136" t="s">
        <v>19</v>
      </c>
      <c r="B33" s="140">
        <f>B8</f>
        <v>240073.03000000003</v>
      </c>
    </row>
    <row r="34" spans="1:3" x14ac:dyDescent="0.25">
      <c r="A34" s="136" t="s">
        <v>238</v>
      </c>
      <c r="B34" s="140">
        <f>B12</f>
        <v>0</v>
      </c>
    </row>
    <row r="35" spans="1:3" x14ac:dyDescent="0.25">
      <c r="A35" s="136" t="s">
        <v>189</v>
      </c>
      <c r="B35" s="140">
        <f>B11</f>
        <v>561650.35389999999</v>
      </c>
    </row>
    <row r="36" spans="1:3" x14ac:dyDescent="0.25">
      <c r="A36" s="136" t="s">
        <v>240</v>
      </c>
      <c r="B36" s="140">
        <f>B13</f>
        <v>199.5</v>
      </c>
    </row>
    <row r="37" spans="1:3" x14ac:dyDescent="0.25">
      <c r="A37" s="136" t="s">
        <v>17</v>
      </c>
      <c r="B37" s="140">
        <f>B5</f>
        <v>3585</v>
      </c>
    </row>
    <row r="38" spans="1:3" x14ac:dyDescent="0.25">
      <c r="A38" s="136" t="s">
        <v>109</v>
      </c>
      <c r="B38" s="140">
        <f>B16</f>
        <v>55059.039999999994</v>
      </c>
    </row>
    <row r="39" spans="1:3" x14ac:dyDescent="0.25">
      <c r="A39" s="136" t="s">
        <v>29</v>
      </c>
      <c r="B39" s="140">
        <f>B7</f>
        <v>95626.095000000016</v>
      </c>
      <c r="C39" s="138"/>
    </row>
    <row r="40" spans="1:3" x14ac:dyDescent="0.25">
      <c r="A40" s="136" t="s">
        <v>28</v>
      </c>
      <c r="B40" s="140">
        <f>B9</f>
        <v>1240</v>
      </c>
    </row>
    <row r="41" spans="1:3" x14ac:dyDescent="0.25">
      <c r="A41" s="136" t="s">
        <v>193</v>
      </c>
      <c r="B41" s="140">
        <f>B15</f>
        <v>72836.186000000045</v>
      </c>
    </row>
    <row r="42" spans="1:3" x14ac:dyDescent="0.25">
      <c r="A42" s="136" t="s">
        <v>311</v>
      </c>
      <c r="B42" s="140">
        <f>B18</f>
        <v>134.08083333333335</v>
      </c>
    </row>
    <row r="43" spans="1:3" x14ac:dyDescent="0.25">
      <c r="A43" t="s">
        <v>314</v>
      </c>
      <c r="B43" s="139">
        <f>+SUM(B26:B42)</f>
        <v>1238076.4107333333</v>
      </c>
    </row>
    <row r="45" spans="1:3" x14ac:dyDescent="0.25">
      <c r="B45" s="135">
        <f>+B22-B43</f>
        <v>0</v>
      </c>
    </row>
    <row r="50" spans="1:3" x14ac:dyDescent="0.25">
      <c r="C50" s="127"/>
    </row>
    <row r="51" spans="1:3" x14ac:dyDescent="0.25">
      <c r="C51" s="127"/>
    </row>
    <row r="52" spans="1:3" x14ac:dyDescent="0.25">
      <c r="C52" s="127"/>
    </row>
    <row r="53" spans="1:3" x14ac:dyDescent="0.25">
      <c r="A53" s="137"/>
      <c r="B53" s="137"/>
      <c r="C53" s="137"/>
    </row>
    <row r="54" spans="1:3" x14ac:dyDescent="0.25">
      <c r="C54" s="127"/>
    </row>
    <row r="55" spans="1:3" x14ac:dyDescent="0.25">
      <c r="C55" s="127"/>
    </row>
    <row r="56" spans="1:3" x14ac:dyDescent="0.25">
      <c r="C56" s="127"/>
    </row>
    <row r="57" spans="1:3" x14ac:dyDescent="0.25">
      <c r="C57" s="127"/>
    </row>
    <row r="58" spans="1:3" x14ac:dyDescent="0.25">
      <c r="C58" s="127"/>
    </row>
    <row r="59" spans="1:3" x14ac:dyDescent="0.25">
      <c r="C59" s="127"/>
    </row>
    <row r="60" spans="1:3" x14ac:dyDescent="0.25">
      <c r="C60" s="127"/>
    </row>
    <row r="61" spans="1:3" x14ac:dyDescent="0.25">
      <c r="C61" s="127"/>
    </row>
    <row r="62" spans="1:3" x14ac:dyDescent="0.25">
      <c r="C62" s="127"/>
    </row>
    <row r="63" spans="1:3" x14ac:dyDescent="0.25">
      <c r="C63" s="127"/>
    </row>
    <row r="64" spans="1:3" x14ac:dyDescent="0.25">
      <c r="C64" s="127"/>
    </row>
    <row r="65" spans="3:5" x14ac:dyDescent="0.25">
      <c r="C65" s="127"/>
    </row>
    <row r="66" spans="3:5" x14ac:dyDescent="0.25">
      <c r="C66" s="127"/>
      <c r="E66" s="135"/>
    </row>
  </sheetData>
  <mergeCells count="2">
    <mergeCell ref="A1:R1"/>
    <mergeCell ref="A2:R2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XFD2"/>
    </sheetView>
  </sheetViews>
  <sheetFormatPr baseColWidth="10" defaultRowHeight="15" x14ac:dyDescent="0.25"/>
  <cols>
    <col min="1" max="1" width="16.5703125" customWidth="1"/>
    <col min="2" max="2" width="26.28515625" customWidth="1"/>
    <col min="3" max="3" width="14.7109375" style="127" customWidth="1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8" x14ac:dyDescent="0.25">
      <c r="A3" s="17"/>
      <c r="B3" s="359" t="s">
        <v>18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8" x14ac:dyDescent="0.25">
      <c r="A4" s="17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x14ac:dyDescent="0.25">
      <c r="A5" s="365" t="s">
        <v>1</v>
      </c>
      <c r="B5" s="367" t="s">
        <v>2</v>
      </c>
      <c r="C5" s="367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70" t="s">
        <v>3</v>
      </c>
      <c r="Q5" s="357" t="s">
        <v>121</v>
      </c>
      <c r="R5" s="357" t="s">
        <v>184</v>
      </c>
    </row>
    <row r="6" spans="1:18" ht="15" customHeight="1" x14ac:dyDescent="0.25">
      <c r="A6" s="365"/>
      <c r="B6" s="365"/>
      <c r="C6" s="365"/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1" t="s">
        <v>11</v>
      </c>
      <c r="L6" s="31" t="s">
        <v>12</v>
      </c>
      <c r="M6" s="31" t="s">
        <v>13</v>
      </c>
      <c r="N6" s="31" t="s">
        <v>14</v>
      </c>
      <c r="O6" s="31" t="s">
        <v>15</v>
      </c>
      <c r="P6" s="370"/>
      <c r="Q6" s="358"/>
      <c r="R6" s="358"/>
    </row>
    <row r="7" spans="1:18" x14ac:dyDescent="0.25">
      <c r="A7" s="20" t="s">
        <v>21</v>
      </c>
      <c r="B7" s="61" t="s">
        <v>20</v>
      </c>
      <c r="C7" s="61" t="s">
        <v>360</v>
      </c>
      <c r="D7" s="300">
        <v>286.52999999999997</v>
      </c>
      <c r="E7" s="300">
        <v>270.01</v>
      </c>
      <c r="F7" s="300">
        <v>302</v>
      </c>
      <c r="G7" s="300">
        <v>330.63</v>
      </c>
      <c r="H7" s="300">
        <v>320.02</v>
      </c>
      <c r="I7" s="300">
        <v>380.32</v>
      </c>
      <c r="J7" s="300">
        <v>358.72</v>
      </c>
      <c r="K7" s="300">
        <v>334.18</v>
      </c>
      <c r="L7" s="300">
        <v>321.63</v>
      </c>
      <c r="M7" s="300">
        <v>329.38</v>
      </c>
      <c r="N7" s="300">
        <v>359</v>
      </c>
      <c r="O7" s="300">
        <v>360.29</v>
      </c>
      <c r="P7" s="13">
        <f t="shared" ref="P7:P10" si="0">SUM(D7:O7)</f>
        <v>3952.71</v>
      </c>
      <c r="Q7" s="74">
        <f>SUM(P7/12)</f>
        <v>329.39249999999998</v>
      </c>
      <c r="R7" s="74">
        <f>SUM(P7/365)</f>
        <v>10.829342465753426</v>
      </c>
    </row>
    <row r="8" spans="1:18" x14ac:dyDescent="0.25">
      <c r="A8" s="20" t="s">
        <v>21</v>
      </c>
      <c r="B8" s="62" t="s">
        <v>135</v>
      </c>
      <c r="C8" s="61" t="s">
        <v>360</v>
      </c>
      <c r="D8" s="300">
        <v>173.45</v>
      </c>
      <c r="E8" s="300">
        <v>146.82</v>
      </c>
      <c r="F8" s="300">
        <v>149.44</v>
      </c>
      <c r="G8" s="300">
        <v>184.27</v>
      </c>
      <c r="H8" s="300">
        <v>151</v>
      </c>
      <c r="I8" s="300">
        <v>144.55000000000001</v>
      </c>
      <c r="J8" s="300">
        <v>177.78</v>
      </c>
      <c r="K8" s="300">
        <v>179.45</v>
      </c>
      <c r="L8" s="300">
        <v>189.33</v>
      </c>
      <c r="M8" s="300">
        <v>169.79</v>
      </c>
      <c r="N8" s="300">
        <v>175</v>
      </c>
      <c r="O8" s="300">
        <v>203.16</v>
      </c>
      <c r="P8" s="13">
        <f t="shared" si="0"/>
        <v>2044.04</v>
      </c>
      <c r="Q8" s="74">
        <f t="shared" ref="Q8:Q12" si="1">SUM(P8/12)</f>
        <v>170.33666666666667</v>
      </c>
      <c r="R8" s="74">
        <f t="shared" ref="R8:R12" si="2">SUM(P8/365)</f>
        <v>5.6001095890410957</v>
      </c>
    </row>
    <row r="9" spans="1:18" x14ac:dyDescent="0.25">
      <c r="A9" s="20" t="s">
        <v>21</v>
      </c>
      <c r="B9" s="62" t="s">
        <v>24</v>
      </c>
      <c r="C9" s="61" t="s">
        <v>360</v>
      </c>
      <c r="D9" s="300">
        <v>70.42</v>
      </c>
      <c r="E9" s="300">
        <v>63.05</v>
      </c>
      <c r="F9" s="300">
        <v>68.02</v>
      </c>
      <c r="G9" s="144">
        <v>83.42</v>
      </c>
      <c r="H9" s="144">
        <v>68.75</v>
      </c>
      <c r="I9" s="144">
        <v>63.9</v>
      </c>
      <c r="J9" s="144">
        <v>83.96</v>
      </c>
      <c r="K9" s="144">
        <v>69.45</v>
      </c>
      <c r="L9" s="144">
        <v>72.760000000000005</v>
      </c>
      <c r="M9" s="144">
        <v>56.81</v>
      </c>
      <c r="N9" s="144">
        <v>74.650000000000006</v>
      </c>
      <c r="O9" s="144">
        <v>67.45</v>
      </c>
      <c r="P9" s="13">
        <f t="shared" si="0"/>
        <v>842.64</v>
      </c>
      <c r="Q9" s="74">
        <f t="shared" si="1"/>
        <v>70.22</v>
      </c>
      <c r="R9" s="74">
        <f t="shared" si="2"/>
        <v>2.3086027397260271</v>
      </c>
    </row>
    <row r="10" spans="1:18" x14ac:dyDescent="0.25">
      <c r="A10" s="20" t="s">
        <v>21</v>
      </c>
      <c r="B10" s="62" t="s">
        <v>30</v>
      </c>
      <c r="C10" s="61" t="s">
        <v>360</v>
      </c>
      <c r="D10" s="300">
        <v>160.49</v>
      </c>
      <c r="E10" s="300">
        <v>130.56</v>
      </c>
      <c r="F10" s="300">
        <v>138.01</v>
      </c>
      <c r="G10" s="144">
        <v>134.12</v>
      </c>
      <c r="H10" s="144">
        <v>151.72999999999999</v>
      </c>
      <c r="I10" s="144">
        <v>141.96</v>
      </c>
      <c r="J10" s="144">
        <v>168.69</v>
      </c>
      <c r="K10" s="144">
        <v>141.05000000000001</v>
      </c>
      <c r="L10" s="144">
        <v>144.88</v>
      </c>
      <c r="M10" s="144">
        <v>163.16</v>
      </c>
      <c r="N10" s="144">
        <v>157.4</v>
      </c>
      <c r="O10" s="144">
        <v>154.97999999999999</v>
      </c>
      <c r="P10" s="13">
        <f t="shared" si="0"/>
        <v>1787.0300000000004</v>
      </c>
      <c r="Q10" s="74">
        <f t="shared" si="1"/>
        <v>148.91916666666671</v>
      </c>
      <c r="R10" s="74">
        <f t="shared" si="2"/>
        <v>4.895972602739727</v>
      </c>
    </row>
    <row r="11" spans="1:18" x14ac:dyDescent="0.25">
      <c r="A11" s="18" t="s">
        <v>21</v>
      </c>
      <c r="B11" s="8" t="s">
        <v>340</v>
      </c>
      <c r="C11" s="61" t="s">
        <v>360</v>
      </c>
      <c r="D11" s="300">
        <v>77.38</v>
      </c>
      <c r="E11" s="300">
        <v>77.430000000000007</v>
      </c>
      <c r="F11" s="300">
        <v>84.58</v>
      </c>
      <c r="G11" s="300">
        <v>85.26</v>
      </c>
      <c r="H11" s="300">
        <v>87.27</v>
      </c>
      <c r="I11" s="300">
        <v>85.04</v>
      </c>
      <c r="J11" s="300">
        <v>101.71</v>
      </c>
      <c r="K11" s="300">
        <v>93.57</v>
      </c>
      <c r="L11" s="300">
        <v>90.72</v>
      </c>
      <c r="M11" s="300">
        <v>90.47</v>
      </c>
      <c r="N11" s="300">
        <v>93.56</v>
      </c>
      <c r="O11" s="300">
        <v>95.74</v>
      </c>
      <c r="P11" s="13">
        <f t="shared" ref="P11" si="3">SUM(D11:O11)</f>
        <v>1062.73</v>
      </c>
      <c r="Q11" s="74">
        <f t="shared" ref="Q11" si="4">SUM(P11/12)</f>
        <v>88.560833333333335</v>
      </c>
      <c r="R11" s="74">
        <f t="shared" ref="R11" si="5">SUM(P11/365)</f>
        <v>2.9115890410958905</v>
      </c>
    </row>
    <row r="12" spans="1:18" x14ac:dyDescent="0.25">
      <c r="A12" s="368" t="s">
        <v>25</v>
      </c>
      <c r="B12" s="369"/>
      <c r="C12" s="177"/>
      <c r="D12" s="301">
        <f t="shared" ref="D12:O12" si="6">SUM(D7:D11)</f>
        <v>768.27</v>
      </c>
      <c r="E12" s="301">
        <f t="shared" si="6"/>
        <v>687.87000000000012</v>
      </c>
      <c r="F12" s="301">
        <f t="shared" si="6"/>
        <v>742.05000000000007</v>
      </c>
      <c r="G12" s="301">
        <f t="shared" si="6"/>
        <v>817.69999999999993</v>
      </c>
      <c r="H12" s="301">
        <f t="shared" si="6"/>
        <v>778.77</v>
      </c>
      <c r="I12" s="301">
        <f t="shared" si="6"/>
        <v>815.77</v>
      </c>
      <c r="J12" s="301">
        <f t="shared" si="6"/>
        <v>890.86000000000013</v>
      </c>
      <c r="K12" s="301">
        <f t="shared" si="6"/>
        <v>817.7</v>
      </c>
      <c r="L12" s="301">
        <f t="shared" si="6"/>
        <v>819.32</v>
      </c>
      <c r="M12" s="301">
        <f t="shared" si="6"/>
        <v>809.61</v>
      </c>
      <c r="N12" s="301">
        <f t="shared" si="6"/>
        <v>859.6099999999999</v>
      </c>
      <c r="O12" s="301">
        <f t="shared" si="6"/>
        <v>881.62000000000012</v>
      </c>
      <c r="P12" s="13">
        <f>SUM(P7:P11)</f>
        <v>9689.15</v>
      </c>
      <c r="Q12" s="74">
        <f t="shared" si="1"/>
        <v>807.42916666666667</v>
      </c>
      <c r="R12" s="74">
        <f t="shared" si="2"/>
        <v>26.545616438356163</v>
      </c>
    </row>
  </sheetData>
  <mergeCells count="11">
    <mergeCell ref="A1:R1"/>
    <mergeCell ref="A2:R2"/>
    <mergeCell ref="Q5:Q6"/>
    <mergeCell ref="R5:R6"/>
    <mergeCell ref="A12:B12"/>
    <mergeCell ref="B3:Q3"/>
    <mergeCell ref="A5:A6"/>
    <mergeCell ref="B5:B6"/>
    <mergeCell ref="D5:O5"/>
    <mergeCell ref="P5:P6"/>
    <mergeCell ref="C5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="80" zoomScaleNormal="80" workbookViewId="0">
      <pane xSplit="2" topLeftCell="C1" activePane="topRight" state="frozen"/>
      <selection pane="topRight" sqref="A1:XFD2"/>
    </sheetView>
  </sheetViews>
  <sheetFormatPr baseColWidth="10" defaultColWidth="11.42578125" defaultRowHeight="15" x14ac:dyDescent="0.25"/>
  <cols>
    <col min="1" max="1" width="11.42578125" style="16"/>
    <col min="2" max="2" width="24.42578125" style="16" customWidth="1"/>
    <col min="3" max="3" width="12" style="127" customWidth="1"/>
    <col min="4" max="15" width="13.7109375" style="16" customWidth="1"/>
    <col min="16" max="16" width="15.5703125" style="16" customWidth="1"/>
    <col min="17" max="17" width="18.42578125" style="16" customWidth="1"/>
    <col min="18" max="18" width="14.140625" style="16" customWidth="1"/>
    <col min="19" max="16384" width="11.42578125" style="16"/>
  </cols>
  <sheetData>
    <row r="1" spans="1:19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9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9" s="97" customFormat="1" ht="30.75" customHeight="1" x14ac:dyDescent="0.25">
      <c r="B3" s="371" t="s">
        <v>219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</row>
    <row r="4" spans="1:19" x14ac:dyDescent="0.25">
      <c r="A4" s="365" t="s">
        <v>1</v>
      </c>
      <c r="B4" s="367" t="s">
        <v>2</v>
      </c>
      <c r="C4" s="367"/>
      <c r="D4" s="365" t="s">
        <v>402</v>
      </c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70" t="s">
        <v>3</v>
      </c>
      <c r="Q4" s="357" t="s">
        <v>121</v>
      </c>
      <c r="R4" s="357" t="s">
        <v>184</v>
      </c>
      <c r="S4" s="38"/>
    </row>
    <row r="5" spans="1:19" x14ac:dyDescent="0.25">
      <c r="A5" s="365"/>
      <c r="B5" s="365"/>
      <c r="C5" s="365"/>
      <c r="D5" s="57" t="s">
        <v>4</v>
      </c>
      <c r="E5" s="57" t="s">
        <v>5</v>
      </c>
      <c r="F5" s="57" t="s">
        <v>6</v>
      </c>
      <c r="G5" s="57" t="s">
        <v>7</v>
      </c>
      <c r="H5" s="57" t="s">
        <v>8</v>
      </c>
      <c r="I5" s="57" t="s">
        <v>9</v>
      </c>
      <c r="J5" s="57" t="s">
        <v>10</v>
      </c>
      <c r="K5" s="57" t="s">
        <v>11</v>
      </c>
      <c r="L5" s="57" t="s">
        <v>12</v>
      </c>
      <c r="M5" s="57" t="s">
        <v>13</v>
      </c>
      <c r="N5" s="57" t="s">
        <v>14</v>
      </c>
      <c r="O5" s="57" t="s">
        <v>15</v>
      </c>
      <c r="P5" s="370"/>
      <c r="Q5" s="358"/>
      <c r="R5" s="358"/>
      <c r="S5" s="38"/>
    </row>
    <row r="6" spans="1:19" x14ac:dyDescent="0.25">
      <c r="A6" s="99" t="s">
        <v>29</v>
      </c>
      <c r="B6" s="99" t="s">
        <v>29</v>
      </c>
      <c r="C6" s="183" t="s">
        <v>362</v>
      </c>
      <c r="D6" s="302">
        <f>4153110/1000</f>
        <v>4153.1099999999997</v>
      </c>
      <c r="E6" s="302">
        <f>3940310/1000</f>
        <v>3940.31</v>
      </c>
      <c r="F6" s="302">
        <f>4384230/1000</f>
        <v>4384.2299999999996</v>
      </c>
      <c r="G6" s="303">
        <f>4287080/1000</f>
        <v>4287.08</v>
      </c>
      <c r="H6" s="303">
        <f>5041550/1000</f>
        <v>5041.55</v>
      </c>
      <c r="I6" s="304">
        <f>4527310/1000</f>
        <v>4527.3100000000004</v>
      </c>
      <c r="J6" s="303">
        <f>4954720/1000</f>
        <v>4954.72</v>
      </c>
      <c r="K6" s="302">
        <f>5000330/1000</f>
        <v>5000.33</v>
      </c>
      <c r="L6" s="302">
        <f>4534410/1000</f>
        <v>4534.41</v>
      </c>
      <c r="M6" s="302">
        <f>4902790/1000</f>
        <v>4902.79</v>
      </c>
      <c r="N6" s="302">
        <f>4311600/1000</f>
        <v>4311.6000000000004</v>
      </c>
      <c r="O6" s="302">
        <f>4445220/1000</f>
        <v>4445.22</v>
      </c>
      <c r="P6" s="115">
        <f t="shared" ref="P6:P20" si="0">SUM(D6:O6)</f>
        <v>54482.66</v>
      </c>
      <c r="Q6" s="116">
        <f>SUM(P6/12)</f>
        <v>4540.2216666666673</v>
      </c>
      <c r="R6" s="116">
        <f>SUM(P6/365)</f>
        <v>149.26756164383562</v>
      </c>
      <c r="S6" s="38"/>
    </row>
    <row r="7" spans="1:19" x14ac:dyDescent="0.25">
      <c r="A7" s="99" t="s">
        <v>29</v>
      </c>
      <c r="B7" s="98" t="s">
        <v>41</v>
      </c>
      <c r="C7" s="183" t="s">
        <v>362</v>
      </c>
      <c r="D7" s="302">
        <f>754310/1000</f>
        <v>754.31</v>
      </c>
      <c r="E7" s="305">
        <f>683380/1000</f>
        <v>683.38</v>
      </c>
      <c r="F7" s="305">
        <f>730960/1000</f>
        <v>730.96</v>
      </c>
      <c r="G7" s="306">
        <f>803990/1000</f>
        <v>803.99</v>
      </c>
      <c r="H7" s="306">
        <f>897990/1000</f>
        <v>897.99</v>
      </c>
      <c r="I7" s="307">
        <f>859590/1000</f>
        <v>859.59</v>
      </c>
      <c r="J7" s="306">
        <f>881070/1000</f>
        <v>881.07</v>
      </c>
      <c r="K7" s="305">
        <f>853850/1000</f>
        <v>853.85</v>
      </c>
      <c r="L7" s="302">
        <f>802270/1000</f>
        <v>802.27</v>
      </c>
      <c r="M7" s="302">
        <f>879170/1000</f>
        <v>879.17</v>
      </c>
      <c r="N7" s="302">
        <f>785870/1000</f>
        <v>785.87</v>
      </c>
      <c r="O7" s="302">
        <f>784750/1000</f>
        <v>784.75</v>
      </c>
      <c r="P7" s="115">
        <f t="shared" si="0"/>
        <v>9717.2000000000007</v>
      </c>
      <c r="Q7" s="116">
        <f t="shared" ref="Q7:Q21" si="1">SUM(P7/12)</f>
        <v>809.76666666666677</v>
      </c>
      <c r="R7" s="116">
        <f t="shared" ref="R7:R21" si="2">SUM(P7/365)</f>
        <v>26.62246575342466</v>
      </c>
      <c r="S7" s="38"/>
    </row>
    <row r="8" spans="1:19" x14ac:dyDescent="0.25">
      <c r="A8" s="99" t="s">
        <v>29</v>
      </c>
      <c r="B8" s="98" t="s">
        <v>39</v>
      </c>
      <c r="C8" s="183" t="s">
        <v>362</v>
      </c>
      <c r="D8" s="302">
        <f>742600/1000</f>
        <v>742.6</v>
      </c>
      <c r="E8" s="305">
        <f>671880/1000</f>
        <v>671.88</v>
      </c>
      <c r="F8" s="305">
        <f>726340/1000</f>
        <v>726.34</v>
      </c>
      <c r="G8" s="306">
        <f>792670/1000</f>
        <v>792.67</v>
      </c>
      <c r="H8" s="306">
        <f>881690/1000</f>
        <v>881.69</v>
      </c>
      <c r="I8" s="307">
        <f>883220/1000</f>
        <v>883.22</v>
      </c>
      <c r="J8" s="306">
        <f>937630/1000</f>
        <v>937.63</v>
      </c>
      <c r="K8" s="305">
        <f>894540/1000</f>
        <v>894.54</v>
      </c>
      <c r="L8" s="302">
        <f>830990/1000</f>
        <v>830.99</v>
      </c>
      <c r="M8" s="302">
        <f>862560/1000</f>
        <v>862.56</v>
      </c>
      <c r="N8" s="302">
        <f>753910/1000</f>
        <v>753.91</v>
      </c>
      <c r="O8" s="302">
        <f>821450/1000</f>
        <v>821.45</v>
      </c>
      <c r="P8" s="115">
        <f t="shared" si="0"/>
        <v>9799.4800000000014</v>
      </c>
      <c r="Q8" s="116">
        <f t="shared" si="1"/>
        <v>816.62333333333345</v>
      </c>
      <c r="R8" s="116">
        <f t="shared" si="2"/>
        <v>26.847890410958907</v>
      </c>
      <c r="S8" s="38"/>
    </row>
    <row r="9" spans="1:19" x14ac:dyDescent="0.25">
      <c r="A9" s="99" t="s">
        <v>29</v>
      </c>
      <c r="B9" s="98" t="s">
        <v>32</v>
      </c>
      <c r="C9" s="183" t="s">
        <v>362</v>
      </c>
      <c r="D9" s="302">
        <f>366220/1000</f>
        <v>366.22</v>
      </c>
      <c r="E9" s="305">
        <f>319960/1000</f>
        <v>319.95999999999998</v>
      </c>
      <c r="F9" s="305">
        <f>340570/1000</f>
        <v>340.57</v>
      </c>
      <c r="G9" s="306">
        <f>400250/1000</f>
        <v>400.25</v>
      </c>
      <c r="H9" s="306">
        <f>433380/1000</f>
        <v>433.38</v>
      </c>
      <c r="I9" s="307">
        <f>423020/1000</f>
        <v>423.02</v>
      </c>
      <c r="J9" s="306">
        <f>430880/1000</f>
        <v>430.88</v>
      </c>
      <c r="K9" s="305">
        <f>438150/1000</f>
        <v>438.15</v>
      </c>
      <c r="L9" s="302">
        <f>387360/1000</f>
        <v>387.36</v>
      </c>
      <c r="M9" s="302">
        <f>407720/1000</f>
        <v>407.72</v>
      </c>
      <c r="N9" s="302">
        <f>344390/1000</f>
        <v>344.39</v>
      </c>
      <c r="O9" s="302">
        <f>375150/1000</f>
        <v>375.15</v>
      </c>
      <c r="P9" s="115">
        <f t="shared" si="0"/>
        <v>4667.05</v>
      </c>
      <c r="Q9" s="116">
        <f t="shared" si="1"/>
        <v>388.92083333333335</v>
      </c>
      <c r="R9" s="116">
        <f t="shared" si="2"/>
        <v>12.786438356164384</v>
      </c>
      <c r="S9" s="38"/>
    </row>
    <row r="10" spans="1:19" x14ac:dyDescent="0.25">
      <c r="A10" s="99" t="s">
        <v>29</v>
      </c>
      <c r="B10" s="98" t="s">
        <v>38</v>
      </c>
      <c r="C10" s="183" t="s">
        <v>362</v>
      </c>
      <c r="D10" s="302">
        <f>367260/1000</f>
        <v>367.26</v>
      </c>
      <c r="E10" s="305">
        <f>320580/1000</f>
        <v>320.58</v>
      </c>
      <c r="F10" s="305">
        <f>338840/1000</f>
        <v>338.84</v>
      </c>
      <c r="G10" s="306">
        <f>374390/1000</f>
        <v>374.39</v>
      </c>
      <c r="H10" s="306">
        <f>455040/1000</f>
        <v>455.04</v>
      </c>
      <c r="I10" s="307">
        <f>434190/1000</f>
        <v>434.19</v>
      </c>
      <c r="J10" s="306">
        <f>469130/1000</f>
        <v>469.13</v>
      </c>
      <c r="K10" s="305">
        <f>467950/1000</f>
        <v>467.95</v>
      </c>
      <c r="L10" s="302">
        <f>426620/1000</f>
        <v>426.62</v>
      </c>
      <c r="M10" s="302">
        <f>435240/1000</f>
        <v>435.24</v>
      </c>
      <c r="N10" s="302">
        <f>374520/1000</f>
        <v>374.52</v>
      </c>
      <c r="O10" s="302">
        <f>394060/1000</f>
        <v>394.06</v>
      </c>
      <c r="P10" s="115">
        <f t="shared" si="0"/>
        <v>4857.8200000000006</v>
      </c>
      <c r="Q10" s="116">
        <f t="shared" si="1"/>
        <v>404.81833333333338</v>
      </c>
      <c r="R10" s="116">
        <f t="shared" si="2"/>
        <v>13.30909589041096</v>
      </c>
      <c r="S10" s="38"/>
    </row>
    <row r="11" spans="1:19" x14ac:dyDescent="0.25">
      <c r="A11" s="99" t="s">
        <v>29</v>
      </c>
      <c r="B11" s="98" t="s">
        <v>198</v>
      </c>
      <c r="C11" s="183" t="s">
        <v>362</v>
      </c>
      <c r="D11" s="302">
        <f>17990/1000</f>
        <v>17.989999999999998</v>
      </c>
      <c r="E11" s="305">
        <f>17510/1000</f>
        <v>17.510000000000002</v>
      </c>
      <c r="F11" s="305">
        <f>21020/1000</f>
        <v>21.02</v>
      </c>
      <c r="G11" s="306">
        <f>19170/1000</f>
        <v>19.170000000000002</v>
      </c>
      <c r="H11" s="306">
        <f>25760/1000</f>
        <v>25.76</v>
      </c>
      <c r="I11" s="307">
        <f>24890/1000</f>
        <v>24.89</v>
      </c>
      <c r="J11" s="306">
        <f>29570/1000</f>
        <v>29.57</v>
      </c>
      <c r="K11" s="305">
        <f>29750/1000</f>
        <v>29.75</v>
      </c>
      <c r="L11" s="302">
        <f>26650/1000</f>
        <v>26.65</v>
      </c>
      <c r="M11" s="302">
        <f>22770/1000</f>
        <v>22.77</v>
      </c>
      <c r="N11" s="302">
        <f>27270/1000</f>
        <v>27.27</v>
      </c>
      <c r="O11" s="302">
        <f>26210/1000</f>
        <v>26.21</v>
      </c>
      <c r="P11" s="115">
        <f t="shared" si="0"/>
        <v>288.56</v>
      </c>
      <c r="Q11" s="116">
        <f t="shared" si="1"/>
        <v>24.046666666666667</v>
      </c>
      <c r="R11" s="116">
        <f t="shared" si="2"/>
        <v>0.79057534246575345</v>
      </c>
      <c r="S11" s="38"/>
    </row>
    <row r="12" spans="1:19" x14ac:dyDescent="0.25">
      <c r="A12" s="99" t="s">
        <v>29</v>
      </c>
      <c r="B12" s="98" t="s">
        <v>43</v>
      </c>
      <c r="C12" s="183" t="s">
        <v>362</v>
      </c>
      <c r="D12" s="302">
        <f>98450/1000</f>
        <v>98.45</v>
      </c>
      <c r="E12" s="305">
        <f>91350/1000</f>
        <v>91.35</v>
      </c>
      <c r="F12" s="305">
        <f>93880/1000</f>
        <v>93.88</v>
      </c>
      <c r="G12" s="306">
        <f>94840/1000</f>
        <v>94.84</v>
      </c>
      <c r="H12" s="306">
        <f>113530/1000</f>
        <v>113.53</v>
      </c>
      <c r="I12" s="307">
        <f>93470/1000</f>
        <v>93.47</v>
      </c>
      <c r="J12" s="306">
        <f>106350/1000</f>
        <v>106.35</v>
      </c>
      <c r="K12" s="305">
        <f>93370/1000</f>
        <v>93.37</v>
      </c>
      <c r="L12" s="305">
        <f>103650/1000</f>
        <v>103.65</v>
      </c>
      <c r="M12" s="305">
        <f>116180/1000</f>
        <v>116.18</v>
      </c>
      <c r="N12" s="302">
        <f>102330/1000</f>
        <v>102.33</v>
      </c>
      <c r="O12" s="302">
        <f>100490/1000</f>
        <v>100.49</v>
      </c>
      <c r="P12" s="115">
        <f t="shared" si="0"/>
        <v>1207.8899999999999</v>
      </c>
      <c r="Q12" s="116">
        <f t="shared" si="1"/>
        <v>100.65749999999998</v>
      </c>
      <c r="R12" s="116">
        <f t="shared" si="2"/>
        <v>3.3092876712328763</v>
      </c>
      <c r="S12" s="38"/>
    </row>
    <row r="13" spans="1:19" x14ac:dyDescent="0.25">
      <c r="A13" s="99" t="s">
        <v>29</v>
      </c>
      <c r="B13" s="98" t="s">
        <v>31</v>
      </c>
      <c r="C13" s="183" t="s">
        <v>362</v>
      </c>
      <c r="D13" s="302">
        <f>93010/1000</f>
        <v>93.01</v>
      </c>
      <c r="E13" s="305">
        <f>83520/1000</f>
        <v>83.52</v>
      </c>
      <c r="F13" s="305">
        <f>83810/1000</f>
        <v>83.81</v>
      </c>
      <c r="G13" s="306">
        <f>94860/1000</f>
        <v>94.86</v>
      </c>
      <c r="H13" s="306">
        <f>100710/1000</f>
        <v>100.71</v>
      </c>
      <c r="I13" s="307">
        <f>91040/1000</f>
        <v>91.04</v>
      </c>
      <c r="J13" s="306">
        <f>119150/1000</f>
        <v>119.15</v>
      </c>
      <c r="K13" s="305">
        <f>93470/1000</f>
        <v>93.47</v>
      </c>
      <c r="L13" s="305">
        <f>111390/1000</f>
        <v>111.39</v>
      </c>
      <c r="M13" s="305">
        <f>108080/1000</f>
        <v>108.08</v>
      </c>
      <c r="N13" s="302">
        <f>98590/1000</f>
        <v>98.59</v>
      </c>
      <c r="O13" s="302">
        <f>88610/1000</f>
        <v>88.61</v>
      </c>
      <c r="P13" s="115">
        <f t="shared" si="0"/>
        <v>1166.24</v>
      </c>
      <c r="Q13" s="116">
        <f t="shared" si="1"/>
        <v>97.186666666666667</v>
      </c>
      <c r="R13" s="116">
        <f t="shared" si="2"/>
        <v>3.1951780821917808</v>
      </c>
      <c r="S13" s="38"/>
    </row>
    <row r="14" spans="1:19" x14ac:dyDescent="0.25">
      <c r="A14" s="99" t="s">
        <v>29</v>
      </c>
      <c r="B14" s="98" t="s">
        <v>40</v>
      </c>
      <c r="C14" s="183" t="s">
        <v>362</v>
      </c>
      <c r="D14" s="302">
        <f>12860/1000</f>
        <v>12.86</v>
      </c>
      <c r="E14" s="305">
        <f>8840/1000</f>
        <v>8.84</v>
      </c>
      <c r="F14" s="305">
        <f>19120/1000</f>
        <v>19.12</v>
      </c>
      <c r="G14" s="306">
        <f>16230/1000</f>
        <v>16.23</v>
      </c>
      <c r="H14" s="306">
        <f>19090/1000</f>
        <v>19.09</v>
      </c>
      <c r="I14" s="307">
        <f>15780/1000</f>
        <v>15.78</v>
      </c>
      <c r="J14" s="306">
        <f>20030/1000</f>
        <v>20.03</v>
      </c>
      <c r="K14" s="305">
        <f>17800/1000</f>
        <v>17.8</v>
      </c>
      <c r="L14" s="302">
        <f>18210/1000</f>
        <v>18.21</v>
      </c>
      <c r="M14" s="302">
        <f>20130/1000</f>
        <v>20.13</v>
      </c>
      <c r="N14" s="302">
        <f>16660/1000</f>
        <v>16.66</v>
      </c>
      <c r="O14" s="302">
        <f>16300/1000</f>
        <v>16.3</v>
      </c>
      <c r="P14" s="115">
        <f t="shared" si="0"/>
        <v>201.05</v>
      </c>
      <c r="Q14" s="116">
        <f t="shared" si="1"/>
        <v>16.754166666666666</v>
      </c>
      <c r="R14" s="116">
        <f t="shared" si="2"/>
        <v>0.55082191780821921</v>
      </c>
      <c r="S14" s="38"/>
    </row>
    <row r="15" spans="1:19" x14ac:dyDescent="0.25">
      <c r="A15" s="99" t="s">
        <v>29</v>
      </c>
      <c r="B15" s="98" t="s">
        <v>212</v>
      </c>
      <c r="C15" s="183" t="s">
        <v>362</v>
      </c>
      <c r="D15" s="302">
        <f>18700/1000</f>
        <v>18.7</v>
      </c>
      <c r="E15" s="305">
        <f>21690/1000</f>
        <v>21.69</v>
      </c>
      <c r="F15" s="305">
        <f>18680/1000</f>
        <v>18.68</v>
      </c>
      <c r="G15" s="306">
        <f>22700/1000</f>
        <v>22.7</v>
      </c>
      <c r="H15" s="306">
        <f>21680/1000</f>
        <v>21.68</v>
      </c>
      <c r="I15" s="304">
        <f>20840/1000</f>
        <v>20.84</v>
      </c>
      <c r="J15" s="306">
        <f>22100/1000</f>
        <v>22.1</v>
      </c>
      <c r="K15" s="305">
        <f>24930/1000</f>
        <v>24.93</v>
      </c>
      <c r="L15" s="302">
        <f>15690/1000</f>
        <v>15.69</v>
      </c>
      <c r="M15" s="302">
        <f>29170/1000</f>
        <v>29.17</v>
      </c>
      <c r="N15" s="302">
        <f>20470/1000</f>
        <v>20.47</v>
      </c>
      <c r="O15" s="302">
        <f>22640/1000</f>
        <v>22.64</v>
      </c>
      <c r="P15" s="115">
        <f t="shared" si="0"/>
        <v>259.29000000000002</v>
      </c>
      <c r="Q15" s="116">
        <f t="shared" ref="Q15:Q17" si="3">SUM(P15/12)</f>
        <v>21.607500000000002</v>
      </c>
      <c r="R15" s="116">
        <f t="shared" si="2"/>
        <v>0.71038356164383565</v>
      </c>
      <c r="S15" s="38"/>
    </row>
    <row r="16" spans="1:19" x14ac:dyDescent="0.25">
      <c r="A16" s="99" t="s">
        <v>29</v>
      </c>
      <c r="B16" s="98" t="s">
        <v>197</v>
      </c>
      <c r="C16" s="183" t="s">
        <v>362</v>
      </c>
      <c r="D16" s="302">
        <f>17950/1000</f>
        <v>17.95</v>
      </c>
      <c r="E16" s="305">
        <f>14380/1000</f>
        <v>14.38</v>
      </c>
      <c r="F16" s="305">
        <f>10250/1000</f>
        <v>10.25</v>
      </c>
      <c r="G16" s="306">
        <f>17210/1000</f>
        <v>17.21</v>
      </c>
      <c r="H16" s="306">
        <f>14120/1000</f>
        <v>14.12</v>
      </c>
      <c r="I16" s="304">
        <f>18860/1000</f>
        <v>18.86</v>
      </c>
      <c r="J16" s="303">
        <f>12500/1000</f>
        <v>12.5</v>
      </c>
      <c r="K16" s="302">
        <f>14470/1000</f>
        <v>14.47</v>
      </c>
      <c r="L16" s="302">
        <f>15940/1000</f>
        <v>15.94</v>
      </c>
      <c r="M16" s="302">
        <f>23540/1000</f>
        <v>23.54</v>
      </c>
      <c r="N16" s="302">
        <f>13260/1000</f>
        <v>13.26</v>
      </c>
      <c r="O16" s="302">
        <f>16900/1000</f>
        <v>16.899999999999999</v>
      </c>
      <c r="P16" s="115">
        <f t="shared" si="0"/>
        <v>189.38</v>
      </c>
      <c r="Q16" s="116">
        <f t="shared" si="3"/>
        <v>15.781666666666666</v>
      </c>
      <c r="R16" s="116">
        <f t="shared" si="2"/>
        <v>0.51884931506849319</v>
      </c>
      <c r="S16" s="38"/>
    </row>
    <row r="17" spans="1:19" x14ac:dyDescent="0.25">
      <c r="A17" s="99" t="s">
        <v>29</v>
      </c>
      <c r="B17" s="62" t="s">
        <v>42</v>
      </c>
      <c r="C17" s="183" t="s">
        <v>362</v>
      </c>
      <c r="D17" s="302">
        <f>15740/1000</f>
        <v>15.74</v>
      </c>
      <c r="E17" s="305">
        <f>16810/1000</f>
        <v>16.809999999999999</v>
      </c>
      <c r="F17" s="305">
        <f>20210/1000</f>
        <v>20.21</v>
      </c>
      <c r="G17" s="306">
        <f>20460/1000</f>
        <v>20.46</v>
      </c>
      <c r="H17" s="306">
        <f>21360/1000</f>
        <v>21.36</v>
      </c>
      <c r="I17" s="304">
        <f>22570/1000</f>
        <v>22.57</v>
      </c>
      <c r="J17" s="303">
        <f>24510/1000</f>
        <v>24.51</v>
      </c>
      <c r="K17" s="302">
        <f>22840/1000</f>
        <v>22.84</v>
      </c>
      <c r="L17" s="302">
        <f>18860/1000</f>
        <v>18.86</v>
      </c>
      <c r="M17" s="302">
        <f>19280/1000</f>
        <v>19.28</v>
      </c>
      <c r="N17" s="302">
        <f>19190/1000</f>
        <v>19.190000000000001</v>
      </c>
      <c r="O17" s="302">
        <f>17110/1000</f>
        <v>17.11</v>
      </c>
      <c r="P17" s="115">
        <f t="shared" si="0"/>
        <v>238.94</v>
      </c>
      <c r="Q17" s="116">
        <f t="shared" si="3"/>
        <v>19.911666666666665</v>
      </c>
      <c r="R17" s="116">
        <f t="shared" si="2"/>
        <v>0.65463013698630135</v>
      </c>
      <c r="S17" s="38"/>
    </row>
    <row r="18" spans="1:19" x14ac:dyDescent="0.25">
      <c r="A18" s="21" t="s">
        <v>21</v>
      </c>
      <c r="B18" s="62" t="s">
        <v>136</v>
      </c>
      <c r="C18" s="183" t="s">
        <v>362</v>
      </c>
      <c r="D18" s="302">
        <f>96350/1000</f>
        <v>96.35</v>
      </c>
      <c r="E18" s="305">
        <f>77670/1000</f>
        <v>77.67</v>
      </c>
      <c r="F18" s="305">
        <f>93830/1000</f>
        <v>93.83</v>
      </c>
      <c r="G18" s="306">
        <f>92140/1000</f>
        <v>92.14</v>
      </c>
      <c r="H18" s="306">
        <f>102250/1000</f>
        <v>102.25</v>
      </c>
      <c r="I18" s="304">
        <f>118190/1000</f>
        <v>118.19</v>
      </c>
      <c r="J18" s="303">
        <f>118110/1000</f>
        <v>118.11</v>
      </c>
      <c r="K18" s="302">
        <f>119840/1000</f>
        <v>119.84</v>
      </c>
      <c r="L18" s="302">
        <f>92100/1000</f>
        <v>92.1</v>
      </c>
      <c r="M18" s="302">
        <f>110180/1000</f>
        <v>110.18</v>
      </c>
      <c r="N18" s="302">
        <f>93720/1000</f>
        <v>93.72</v>
      </c>
      <c r="O18" s="302">
        <f>82670/1000</f>
        <v>82.67</v>
      </c>
      <c r="P18" s="115">
        <f t="shared" si="0"/>
        <v>1197.0500000000002</v>
      </c>
      <c r="Q18" s="116">
        <f t="shared" si="1"/>
        <v>99.754166666666677</v>
      </c>
      <c r="R18" s="116">
        <f t="shared" si="2"/>
        <v>3.2795890410958908</v>
      </c>
      <c r="S18" s="38"/>
    </row>
    <row r="19" spans="1:19" s="127" customFormat="1" x14ac:dyDescent="0.25">
      <c r="A19" s="21" t="s">
        <v>19</v>
      </c>
      <c r="B19" s="62" t="s">
        <v>445</v>
      </c>
      <c r="C19" s="183"/>
      <c r="D19" s="302"/>
      <c r="E19" s="305"/>
      <c r="F19" s="305">
        <v>10.16</v>
      </c>
      <c r="G19" s="306"/>
      <c r="H19" s="306"/>
      <c r="I19" s="304"/>
      <c r="J19" s="303"/>
      <c r="K19" s="302"/>
      <c r="L19" s="302"/>
      <c r="M19" s="302"/>
      <c r="N19" s="302"/>
      <c r="O19" s="302"/>
      <c r="P19" s="115">
        <v>10.16</v>
      </c>
      <c r="Q19" s="116">
        <f t="shared" si="1"/>
        <v>0.84666666666666668</v>
      </c>
      <c r="R19" s="116">
        <f t="shared" si="2"/>
        <v>2.7835616438356164E-2</v>
      </c>
      <c r="S19" s="38"/>
    </row>
    <row r="20" spans="1:19" x14ac:dyDescent="0.25">
      <c r="A20" s="21"/>
      <c r="B20" s="83" t="s">
        <v>227</v>
      </c>
      <c r="C20" s="183" t="s">
        <v>362</v>
      </c>
      <c r="D20" s="302">
        <f>272880/1000</f>
        <v>272.88</v>
      </c>
      <c r="E20" s="305">
        <f>241215/1000</f>
        <v>241.215</v>
      </c>
      <c r="F20" s="305">
        <f>266000/1000</f>
        <v>266</v>
      </c>
      <c r="G20" s="306">
        <f>378010/1000</f>
        <v>378.01</v>
      </c>
      <c r="H20" s="306">
        <f>434180/1000</f>
        <v>434.18</v>
      </c>
      <c r="I20" s="304">
        <f>604650/1000</f>
        <v>604.65</v>
      </c>
      <c r="J20" s="303">
        <f>772720/1000</f>
        <v>772.72</v>
      </c>
      <c r="K20" s="302">
        <f>1464410/1000</f>
        <v>1464.41</v>
      </c>
      <c r="L20" s="302">
        <f>813780/1000</f>
        <v>813.78</v>
      </c>
      <c r="M20" s="302">
        <f>935230/1000</f>
        <v>935.23</v>
      </c>
      <c r="N20" s="302">
        <f>602460/1000</f>
        <v>602.46</v>
      </c>
      <c r="O20" s="302">
        <f>557790/1000</f>
        <v>557.79</v>
      </c>
      <c r="P20" s="115">
        <f t="shared" si="0"/>
        <v>7343.3249999999989</v>
      </c>
      <c r="Q20" s="116">
        <f t="shared" si="1"/>
        <v>611.94374999999991</v>
      </c>
      <c r="R20" s="116">
        <f t="shared" si="2"/>
        <v>20.118698630136983</v>
      </c>
      <c r="S20" s="38"/>
    </row>
    <row r="21" spans="1:19" s="208" customFormat="1" x14ac:dyDescent="0.25">
      <c r="A21" s="372"/>
      <c r="B21" s="373"/>
      <c r="C21" s="204"/>
      <c r="D21" s="205">
        <f t="shared" ref="D21:P21" si="4">SUM(D6:D20)</f>
        <v>7027.43</v>
      </c>
      <c r="E21" s="205">
        <f t="shared" si="4"/>
        <v>6509.0950000000012</v>
      </c>
      <c r="F21" s="205">
        <f t="shared" si="4"/>
        <v>7157.9000000000005</v>
      </c>
      <c r="G21" s="205">
        <f t="shared" si="4"/>
        <v>7414</v>
      </c>
      <c r="H21" s="205">
        <f t="shared" si="4"/>
        <v>8562.33</v>
      </c>
      <c r="I21" s="205">
        <f t="shared" si="4"/>
        <v>8137.62</v>
      </c>
      <c r="J21" s="205">
        <f t="shared" si="4"/>
        <v>8898.4699999999993</v>
      </c>
      <c r="K21" s="205">
        <f t="shared" si="4"/>
        <v>9535.7000000000007</v>
      </c>
      <c r="L21" s="205">
        <f t="shared" si="4"/>
        <v>8197.9199999999983</v>
      </c>
      <c r="M21" s="205">
        <f t="shared" si="4"/>
        <v>8872.0400000000009</v>
      </c>
      <c r="N21" s="205">
        <f t="shared" si="4"/>
        <v>7564.2400000000016</v>
      </c>
      <c r="O21" s="205">
        <f t="shared" si="4"/>
        <v>7749.3499999999995</v>
      </c>
      <c r="P21" s="205">
        <f t="shared" si="4"/>
        <v>95626.095000000016</v>
      </c>
      <c r="Q21" s="206">
        <f t="shared" si="1"/>
        <v>7968.8412500000013</v>
      </c>
      <c r="R21" s="206">
        <f t="shared" si="2"/>
        <v>261.98930136986303</v>
      </c>
      <c r="S21" s="207"/>
    </row>
    <row r="22" spans="1:19" ht="15.75" x14ac:dyDescent="0.25">
      <c r="R22" s="63"/>
      <c r="S22" s="38"/>
    </row>
  </sheetData>
  <mergeCells count="11">
    <mergeCell ref="A1:R1"/>
    <mergeCell ref="A2:R2"/>
    <mergeCell ref="B3:R3"/>
    <mergeCell ref="A21:B21"/>
    <mergeCell ref="Q4:Q5"/>
    <mergeCell ref="R4:R5"/>
    <mergeCell ref="A4:A5"/>
    <mergeCell ref="B4:B5"/>
    <mergeCell ref="D4:O4"/>
    <mergeCell ref="P4:P5"/>
    <mergeCell ref="C4:C5"/>
  </mergeCells>
  <pageMargins left="0.25" right="0.25" top="0.75" bottom="0.75" header="0.3" footer="0.3"/>
  <pageSetup paperSize="12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workbookViewId="0">
      <selection sqref="A1:XFD2"/>
    </sheetView>
  </sheetViews>
  <sheetFormatPr baseColWidth="10" defaultColWidth="11.42578125" defaultRowHeight="15" x14ac:dyDescent="0.25"/>
  <cols>
    <col min="1" max="1" width="15.7109375" style="112" customWidth="1"/>
    <col min="2" max="2" width="34.140625" style="113" customWidth="1"/>
    <col min="3" max="3" width="14.28515625" style="128" customWidth="1"/>
    <col min="4" max="4" width="11.42578125" style="113" customWidth="1"/>
    <col min="5" max="9" width="11.5703125" style="113" customWidth="1"/>
    <col min="10" max="10" width="10.42578125" style="113" customWidth="1"/>
    <col min="11" max="11" width="10.85546875" style="113" customWidth="1"/>
    <col min="12" max="12" width="10.42578125" style="113" customWidth="1"/>
    <col min="13" max="13" width="10.85546875" style="102" customWidth="1"/>
    <col min="14" max="15" width="10.42578125" style="113" customWidth="1"/>
    <col min="16" max="16" width="14" style="114" customWidth="1"/>
    <col min="17" max="16384" width="11.42578125" style="113"/>
  </cols>
  <sheetData>
    <row r="1" spans="1:20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20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20" s="102" customFormat="1" ht="20.25" customHeight="1" x14ac:dyDescent="0.25">
      <c r="A3" s="51"/>
      <c r="B3" s="374" t="s">
        <v>406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6"/>
      <c r="Q3" s="51"/>
      <c r="R3" s="51"/>
      <c r="S3" s="51"/>
    </row>
    <row r="4" spans="1:20" s="102" customFormat="1" ht="23.25" customHeight="1" x14ac:dyDescent="0.25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52"/>
      <c r="R4" s="52"/>
      <c r="S4" s="52"/>
    </row>
    <row r="5" spans="1:20" s="102" customFormat="1" ht="22.9" customHeight="1" x14ac:dyDescent="0.25">
      <c r="A5" s="365" t="s">
        <v>1</v>
      </c>
      <c r="B5" s="367" t="s">
        <v>2</v>
      </c>
      <c r="C5" s="367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77" t="s">
        <v>3</v>
      </c>
      <c r="Q5" s="377" t="s">
        <v>121</v>
      </c>
      <c r="R5" s="377" t="s">
        <v>184</v>
      </c>
    </row>
    <row r="6" spans="1:20" s="104" customFormat="1" ht="30.75" customHeight="1" x14ac:dyDescent="0.25">
      <c r="A6" s="365"/>
      <c r="B6" s="365"/>
      <c r="C6" s="365"/>
      <c r="D6" s="170" t="s">
        <v>4</v>
      </c>
      <c r="E6" s="170" t="s">
        <v>5</v>
      </c>
      <c r="F6" s="170" t="s">
        <v>6</v>
      </c>
      <c r="G6" s="170" t="s">
        <v>7</v>
      </c>
      <c r="H6" s="170" t="s">
        <v>8</v>
      </c>
      <c r="I6" s="170" t="s">
        <v>9</v>
      </c>
      <c r="J6" s="170" t="s">
        <v>10</v>
      </c>
      <c r="K6" s="170" t="s">
        <v>11</v>
      </c>
      <c r="L6" s="170" t="s">
        <v>12</v>
      </c>
      <c r="M6" s="170" t="s">
        <v>13</v>
      </c>
      <c r="N6" s="170" t="s">
        <v>14</v>
      </c>
      <c r="O6" s="170" t="s">
        <v>15</v>
      </c>
      <c r="P6" s="377"/>
      <c r="Q6" s="377"/>
      <c r="R6" s="377"/>
    </row>
    <row r="7" spans="1:20" s="102" customFormat="1" x14ac:dyDescent="0.25">
      <c r="A7" s="330" t="s">
        <v>35</v>
      </c>
      <c r="B7" s="331" t="s">
        <v>175</v>
      </c>
      <c r="C7" s="330" t="s">
        <v>363</v>
      </c>
      <c r="D7" s="332">
        <v>63.82</v>
      </c>
      <c r="E7" s="332">
        <v>57.36</v>
      </c>
      <c r="F7" s="332">
        <v>65.47</v>
      </c>
      <c r="G7" s="332">
        <v>71.599999999999994</v>
      </c>
      <c r="H7" s="332">
        <v>90.08</v>
      </c>
      <c r="I7" s="332">
        <v>79.760000000000005</v>
      </c>
      <c r="J7" s="332">
        <v>89.17</v>
      </c>
      <c r="K7" s="332">
        <v>90.77</v>
      </c>
      <c r="L7" s="332">
        <v>77.12</v>
      </c>
      <c r="M7" s="332">
        <v>86.41</v>
      </c>
      <c r="N7" s="332">
        <v>76.27</v>
      </c>
      <c r="O7" s="332">
        <v>75.33</v>
      </c>
      <c r="P7" s="106">
        <f t="shared" ref="P7:P37" si="0">+D7+E7+F7+G7+H7+I7+J7+K7+L7+M7+N7+O7</f>
        <v>923.16</v>
      </c>
      <c r="Q7" s="85">
        <f t="shared" ref="Q7:Q37" si="1">SUM(P7/12)</f>
        <v>76.929999999999993</v>
      </c>
      <c r="R7" s="85">
        <f t="shared" ref="R7:R37" si="2">SUM(P7/365)</f>
        <v>2.5292054794520547</v>
      </c>
    </row>
    <row r="8" spans="1:20" s="102" customFormat="1" x14ac:dyDescent="0.25">
      <c r="A8" s="330" t="s">
        <v>35</v>
      </c>
      <c r="B8" s="331" t="s">
        <v>177</v>
      </c>
      <c r="C8" s="330" t="s">
        <v>363</v>
      </c>
      <c r="D8" s="332">
        <v>388.77</v>
      </c>
      <c r="E8" s="332">
        <v>336.76</v>
      </c>
      <c r="F8" s="332">
        <v>367.48</v>
      </c>
      <c r="G8" s="332">
        <v>411.08</v>
      </c>
      <c r="H8" s="332">
        <v>470.51</v>
      </c>
      <c r="I8" s="332">
        <v>443.94</v>
      </c>
      <c r="J8" s="332">
        <v>457.34</v>
      </c>
      <c r="K8" s="332">
        <v>464.3</v>
      </c>
      <c r="L8" s="332">
        <v>429.05</v>
      </c>
      <c r="M8" s="332">
        <v>465.6</v>
      </c>
      <c r="N8" s="332">
        <v>415.87</v>
      </c>
      <c r="O8" s="332">
        <v>411.01</v>
      </c>
      <c r="P8" s="106">
        <f t="shared" si="0"/>
        <v>5061.7100000000009</v>
      </c>
      <c r="Q8" s="85">
        <f t="shared" si="1"/>
        <v>421.80916666666673</v>
      </c>
      <c r="R8" s="85">
        <f t="shared" si="2"/>
        <v>13.867698630136989</v>
      </c>
    </row>
    <row r="9" spans="1:20" s="102" customFormat="1" x14ac:dyDescent="0.25">
      <c r="A9" s="330" t="s">
        <v>35</v>
      </c>
      <c r="B9" s="331" t="s">
        <v>183</v>
      </c>
      <c r="C9" s="330" t="s">
        <v>363</v>
      </c>
      <c r="D9" s="332">
        <v>373.57</v>
      </c>
      <c r="E9" s="332">
        <v>321.77999999999997</v>
      </c>
      <c r="F9" s="332">
        <v>345.12</v>
      </c>
      <c r="G9" s="332">
        <v>398.81</v>
      </c>
      <c r="H9" s="332">
        <v>452.51</v>
      </c>
      <c r="I9" s="332">
        <v>428.6</v>
      </c>
      <c r="J9" s="332">
        <v>468.14</v>
      </c>
      <c r="K9" s="332">
        <v>441.34</v>
      </c>
      <c r="L9" s="332">
        <v>410.87</v>
      </c>
      <c r="M9" s="332">
        <v>456.38</v>
      </c>
      <c r="N9" s="332">
        <v>409.5</v>
      </c>
      <c r="O9" s="332">
        <v>413.24</v>
      </c>
      <c r="P9" s="106">
        <f t="shared" si="0"/>
        <v>4919.8599999999997</v>
      </c>
      <c r="Q9" s="85">
        <f t="shared" si="1"/>
        <v>409.98833333333329</v>
      </c>
      <c r="R9" s="85">
        <f t="shared" si="2"/>
        <v>13.479068493150685</v>
      </c>
    </row>
    <row r="10" spans="1:20" s="102" customFormat="1" x14ac:dyDescent="0.25">
      <c r="A10" s="330" t="s">
        <v>35</v>
      </c>
      <c r="B10" s="330" t="s">
        <v>345</v>
      </c>
      <c r="C10" s="330" t="s">
        <v>363</v>
      </c>
      <c r="D10" s="332">
        <v>16423.27</v>
      </c>
      <c r="E10" s="332">
        <v>14866.42</v>
      </c>
      <c r="F10" s="332">
        <v>16636.939999999999</v>
      </c>
      <c r="G10" s="332">
        <v>16494.11</v>
      </c>
      <c r="H10" s="332">
        <v>19190.900000000001</v>
      </c>
      <c r="I10" s="332">
        <v>13792.91</v>
      </c>
      <c r="J10" s="332">
        <v>0</v>
      </c>
      <c r="K10" s="333">
        <v>0</v>
      </c>
      <c r="L10" s="332">
        <v>0</v>
      </c>
      <c r="M10" s="332">
        <v>0</v>
      </c>
      <c r="N10" s="332">
        <v>0</v>
      </c>
      <c r="O10" s="332">
        <v>0</v>
      </c>
      <c r="P10" s="106">
        <f t="shared" si="0"/>
        <v>97404.550000000017</v>
      </c>
      <c r="Q10" s="85">
        <f t="shared" si="1"/>
        <v>8117.0458333333345</v>
      </c>
      <c r="R10" s="85">
        <f t="shared" si="2"/>
        <v>266.86178082191788</v>
      </c>
      <c r="T10" s="107"/>
    </row>
    <row r="11" spans="1:20" s="102" customFormat="1" x14ac:dyDescent="0.25">
      <c r="A11" s="330" t="s">
        <v>35</v>
      </c>
      <c r="B11" s="330" t="s">
        <v>428</v>
      </c>
      <c r="C11" s="330" t="s">
        <v>363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1343.98</v>
      </c>
      <c r="J11" s="332">
        <v>1439.33</v>
      </c>
      <c r="K11" s="333">
        <v>1386.37</v>
      </c>
      <c r="L11" s="332">
        <v>1178.51</v>
      </c>
      <c r="M11" s="332">
        <v>1354.86</v>
      </c>
      <c r="N11" s="332">
        <v>1241.17</v>
      </c>
      <c r="O11" s="332">
        <v>1276.05</v>
      </c>
      <c r="P11" s="106">
        <f t="shared" si="0"/>
        <v>9220.27</v>
      </c>
      <c r="Q11" s="85">
        <f t="shared" si="1"/>
        <v>768.35583333333341</v>
      </c>
      <c r="R11" s="85">
        <f t="shared" si="2"/>
        <v>25.261013698630137</v>
      </c>
    </row>
    <row r="12" spans="1:20" s="102" customFormat="1" x14ac:dyDescent="0.25">
      <c r="A12" s="330" t="s">
        <v>34</v>
      </c>
      <c r="B12" s="331" t="s">
        <v>226</v>
      </c>
      <c r="C12" s="330" t="s">
        <v>363</v>
      </c>
      <c r="D12" s="332">
        <v>45.41</v>
      </c>
      <c r="E12" s="332">
        <v>40.46</v>
      </c>
      <c r="F12" s="332">
        <v>45.45</v>
      </c>
      <c r="G12" s="332">
        <v>54.76</v>
      </c>
      <c r="H12" s="332">
        <v>61.13</v>
      </c>
      <c r="I12" s="332">
        <v>51.88</v>
      </c>
      <c r="J12" s="332">
        <v>58.93</v>
      </c>
      <c r="K12" s="332">
        <v>56.09</v>
      </c>
      <c r="L12" s="332">
        <v>55.15</v>
      </c>
      <c r="M12" s="332">
        <v>55.11</v>
      </c>
      <c r="N12" s="332">
        <v>47.42</v>
      </c>
      <c r="O12" s="332">
        <v>48.8</v>
      </c>
      <c r="P12" s="106">
        <f t="shared" si="0"/>
        <v>620.58999999999992</v>
      </c>
      <c r="Q12" s="85">
        <f t="shared" si="1"/>
        <v>51.715833333333329</v>
      </c>
      <c r="R12" s="85">
        <f t="shared" si="2"/>
        <v>1.7002465753424656</v>
      </c>
    </row>
    <row r="13" spans="1:20" s="102" customFormat="1" x14ac:dyDescent="0.25">
      <c r="A13" s="330" t="s">
        <v>34</v>
      </c>
      <c r="B13" s="330" t="s">
        <v>228</v>
      </c>
      <c r="C13" s="330" t="s">
        <v>363</v>
      </c>
      <c r="D13" s="332">
        <v>786.47</v>
      </c>
      <c r="E13" s="332">
        <v>707.08</v>
      </c>
      <c r="F13" s="332">
        <v>824.83</v>
      </c>
      <c r="G13" s="332">
        <v>833.93</v>
      </c>
      <c r="H13" s="332">
        <v>916.97</v>
      </c>
      <c r="I13" s="332">
        <v>861.25</v>
      </c>
      <c r="J13" s="332">
        <v>869.65</v>
      </c>
      <c r="K13" s="332">
        <v>872.51</v>
      </c>
      <c r="L13" s="332">
        <v>856.71</v>
      </c>
      <c r="M13" s="332">
        <v>938.56</v>
      </c>
      <c r="N13" s="332">
        <v>830.21</v>
      </c>
      <c r="O13" s="332">
        <v>868.76</v>
      </c>
      <c r="P13" s="106">
        <f t="shared" si="0"/>
        <v>10166.929999999998</v>
      </c>
      <c r="Q13" s="85">
        <f t="shared" si="1"/>
        <v>847.2441666666665</v>
      </c>
      <c r="R13" s="85">
        <f t="shared" si="2"/>
        <v>27.854602739726023</v>
      </c>
    </row>
    <row r="14" spans="1:20" s="102" customFormat="1" x14ac:dyDescent="0.25">
      <c r="A14" s="330" t="s">
        <v>34</v>
      </c>
      <c r="B14" s="331" t="s">
        <v>163</v>
      </c>
      <c r="C14" s="330" t="s">
        <v>363</v>
      </c>
      <c r="D14" s="332">
        <v>218.21</v>
      </c>
      <c r="E14" s="332">
        <v>190.54</v>
      </c>
      <c r="F14" s="332">
        <v>207.87</v>
      </c>
      <c r="G14" s="332">
        <v>234.88</v>
      </c>
      <c r="H14" s="332">
        <v>265.86</v>
      </c>
      <c r="I14" s="332">
        <v>239.94</v>
      </c>
      <c r="J14" s="332">
        <v>252.58</v>
      </c>
      <c r="K14" s="332">
        <v>250.79</v>
      </c>
      <c r="L14" s="332">
        <v>238.09</v>
      </c>
      <c r="M14" s="332">
        <v>255.96</v>
      </c>
      <c r="N14" s="332">
        <v>237.19</v>
      </c>
      <c r="O14" s="332">
        <v>241.47</v>
      </c>
      <c r="P14" s="106">
        <f t="shared" si="0"/>
        <v>2833.38</v>
      </c>
      <c r="Q14" s="85">
        <f t="shared" si="1"/>
        <v>236.11500000000001</v>
      </c>
      <c r="R14" s="85">
        <f t="shared" si="2"/>
        <v>7.7626849315068496</v>
      </c>
    </row>
    <row r="15" spans="1:20" s="102" customFormat="1" x14ac:dyDescent="0.25">
      <c r="A15" s="330" t="s">
        <v>34</v>
      </c>
      <c r="B15" s="331" t="s">
        <v>164</v>
      </c>
      <c r="C15" s="330" t="s">
        <v>363</v>
      </c>
      <c r="D15" s="332">
        <v>195.91</v>
      </c>
      <c r="E15" s="332">
        <v>182.26</v>
      </c>
      <c r="F15" s="332">
        <v>209.42</v>
      </c>
      <c r="G15" s="332">
        <v>227.58</v>
      </c>
      <c r="H15" s="332">
        <v>251.22</v>
      </c>
      <c r="I15" s="332">
        <v>222.84</v>
      </c>
      <c r="J15" s="332">
        <v>258.81</v>
      </c>
      <c r="K15" s="332">
        <v>243.42</v>
      </c>
      <c r="L15" s="332">
        <v>243.78</v>
      </c>
      <c r="M15" s="332">
        <v>265.25</v>
      </c>
      <c r="N15" s="332">
        <v>226.61</v>
      </c>
      <c r="O15" s="332">
        <v>228.26</v>
      </c>
      <c r="P15" s="106">
        <f t="shared" si="0"/>
        <v>2755.3599999999997</v>
      </c>
      <c r="Q15" s="85">
        <f t="shared" si="1"/>
        <v>229.61333333333332</v>
      </c>
      <c r="R15" s="85">
        <f t="shared" si="2"/>
        <v>7.5489315068493141</v>
      </c>
    </row>
    <row r="16" spans="1:20" s="102" customFormat="1" x14ac:dyDescent="0.25">
      <c r="A16" s="330" t="s">
        <v>34</v>
      </c>
      <c r="B16" s="331" t="s">
        <v>165</v>
      </c>
      <c r="C16" s="330" t="s">
        <v>363</v>
      </c>
      <c r="D16" s="332">
        <v>69.959999999999994</v>
      </c>
      <c r="E16" s="332">
        <v>74.959999999999994</v>
      </c>
      <c r="F16" s="332">
        <v>81.08</v>
      </c>
      <c r="G16" s="332">
        <v>88.31</v>
      </c>
      <c r="H16" s="332">
        <v>90.77</v>
      </c>
      <c r="I16" s="332">
        <v>86.55</v>
      </c>
      <c r="J16" s="332">
        <v>79.599999999999994</v>
      </c>
      <c r="K16" s="332">
        <v>83.98</v>
      </c>
      <c r="L16" s="332">
        <v>88.06</v>
      </c>
      <c r="M16" s="332">
        <v>100.02</v>
      </c>
      <c r="N16" s="332">
        <v>90.04</v>
      </c>
      <c r="O16" s="332">
        <v>82.1</v>
      </c>
      <c r="P16" s="106">
        <f t="shared" si="0"/>
        <v>1015.43</v>
      </c>
      <c r="Q16" s="85">
        <f t="shared" si="1"/>
        <v>84.619166666666658</v>
      </c>
      <c r="R16" s="85">
        <f t="shared" si="2"/>
        <v>2.782</v>
      </c>
    </row>
    <row r="17" spans="1:18" s="102" customFormat="1" x14ac:dyDescent="0.25">
      <c r="A17" s="330" t="s">
        <v>34</v>
      </c>
      <c r="B17" s="331" t="s">
        <v>166</v>
      </c>
      <c r="C17" s="330" t="s">
        <v>363</v>
      </c>
      <c r="D17" s="332">
        <v>60.55</v>
      </c>
      <c r="E17" s="332">
        <v>61.65</v>
      </c>
      <c r="F17" s="332">
        <v>57.22</v>
      </c>
      <c r="G17" s="332">
        <v>69.31</v>
      </c>
      <c r="H17" s="332">
        <v>68.63</v>
      </c>
      <c r="I17" s="332">
        <v>73.5</v>
      </c>
      <c r="J17" s="332">
        <v>72.510000000000005</v>
      </c>
      <c r="K17" s="332">
        <v>69.959999999999994</v>
      </c>
      <c r="L17" s="332">
        <v>68.19</v>
      </c>
      <c r="M17" s="332">
        <v>65.66</v>
      </c>
      <c r="N17" s="332">
        <v>63.36</v>
      </c>
      <c r="O17" s="332">
        <v>64.73</v>
      </c>
      <c r="P17" s="106">
        <f t="shared" si="0"/>
        <v>795.27</v>
      </c>
      <c r="Q17" s="85">
        <f t="shared" si="1"/>
        <v>66.272499999999994</v>
      </c>
      <c r="R17" s="85">
        <f t="shared" si="2"/>
        <v>2.1788219178082193</v>
      </c>
    </row>
    <row r="18" spans="1:18" s="102" customFormat="1" x14ac:dyDescent="0.25">
      <c r="A18" s="330" t="s">
        <v>34</v>
      </c>
      <c r="B18" s="331" t="s">
        <v>167</v>
      </c>
      <c r="C18" s="330" t="s">
        <v>363</v>
      </c>
      <c r="D18" s="332">
        <v>136.49</v>
      </c>
      <c r="E18" s="332">
        <v>112.21</v>
      </c>
      <c r="F18" s="332">
        <v>153.66</v>
      </c>
      <c r="G18" s="332">
        <v>153.4</v>
      </c>
      <c r="H18" s="332">
        <v>151.87</v>
      </c>
      <c r="I18" s="332">
        <v>144.97999999999999</v>
      </c>
      <c r="J18" s="332">
        <v>142.32</v>
      </c>
      <c r="K18" s="332">
        <v>162.11000000000001</v>
      </c>
      <c r="L18" s="332">
        <v>150.25</v>
      </c>
      <c r="M18" s="332">
        <v>164.88</v>
      </c>
      <c r="N18" s="332">
        <v>136.37</v>
      </c>
      <c r="O18" s="332">
        <v>132.37</v>
      </c>
      <c r="P18" s="106">
        <f t="shared" si="0"/>
        <v>1740.9099999999999</v>
      </c>
      <c r="Q18" s="85">
        <f t="shared" si="1"/>
        <v>145.07583333333332</v>
      </c>
      <c r="R18" s="85">
        <f t="shared" si="2"/>
        <v>4.7696164383561639</v>
      </c>
    </row>
    <row r="19" spans="1:18" s="102" customFormat="1" x14ac:dyDescent="0.25">
      <c r="A19" s="330" t="s">
        <v>34</v>
      </c>
      <c r="B19" s="331" t="s">
        <v>168</v>
      </c>
      <c r="C19" s="330" t="s">
        <v>363</v>
      </c>
      <c r="D19" s="332">
        <v>217.26</v>
      </c>
      <c r="E19" s="332">
        <v>196.04</v>
      </c>
      <c r="F19" s="332">
        <v>207.79</v>
      </c>
      <c r="G19" s="332">
        <v>223.21</v>
      </c>
      <c r="H19" s="332">
        <v>250.43</v>
      </c>
      <c r="I19" s="332">
        <v>255.5</v>
      </c>
      <c r="J19" s="332">
        <v>268.82</v>
      </c>
      <c r="K19" s="332">
        <v>263.18</v>
      </c>
      <c r="L19" s="332">
        <v>251.14</v>
      </c>
      <c r="M19" s="332">
        <v>278.33999999999997</v>
      </c>
      <c r="N19" s="332">
        <v>233.19</v>
      </c>
      <c r="O19" s="332">
        <v>218.47</v>
      </c>
      <c r="P19" s="106">
        <f t="shared" si="0"/>
        <v>2863.37</v>
      </c>
      <c r="Q19" s="85">
        <f t="shared" si="1"/>
        <v>238.61416666666665</v>
      </c>
      <c r="R19" s="85">
        <f t="shared" si="2"/>
        <v>7.844849315068493</v>
      </c>
    </row>
    <row r="20" spans="1:18" s="102" customFormat="1" x14ac:dyDescent="0.25">
      <c r="A20" s="330" t="s">
        <v>34</v>
      </c>
      <c r="B20" s="331" t="s">
        <v>169</v>
      </c>
      <c r="C20" s="330" t="s">
        <v>363</v>
      </c>
      <c r="D20" s="332">
        <v>265.56</v>
      </c>
      <c r="E20" s="332">
        <v>196.78</v>
      </c>
      <c r="F20" s="332">
        <v>219.95</v>
      </c>
      <c r="G20" s="332">
        <v>271.32</v>
      </c>
      <c r="H20" s="332">
        <v>287.86</v>
      </c>
      <c r="I20" s="332">
        <v>255.06</v>
      </c>
      <c r="J20" s="332">
        <v>265.32</v>
      </c>
      <c r="K20" s="332">
        <v>276.83999999999997</v>
      </c>
      <c r="L20" s="332">
        <v>246.93</v>
      </c>
      <c r="M20" s="332">
        <v>261.02999999999997</v>
      </c>
      <c r="N20" s="332">
        <v>211.73</v>
      </c>
      <c r="O20" s="332">
        <v>229.84</v>
      </c>
      <c r="P20" s="106">
        <f t="shared" si="0"/>
        <v>2988.22</v>
      </c>
      <c r="Q20" s="85">
        <f t="shared" si="1"/>
        <v>249.01833333333332</v>
      </c>
      <c r="R20" s="85">
        <f t="shared" si="2"/>
        <v>8.1869041095890402</v>
      </c>
    </row>
    <row r="21" spans="1:18" s="102" customFormat="1" x14ac:dyDescent="0.25">
      <c r="A21" s="330" t="s">
        <v>34</v>
      </c>
      <c r="B21" s="331" t="s">
        <v>170</v>
      </c>
      <c r="C21" s="330" t="s">
        <v>363</v>
      </c>
      <c r="D21" s="332">
        <v>92.55</v>
      </c>
      <c r="E21" s="332">
        <v>83.54</v>
      </c>
      <c r="F21" s="332">
        <v>98.94</v>
      </c>
      <c r="G21" s="332">
        <v>105.29</v>
      </c>
      <c r="H21" s="332">
        <v>119.44</v>
      </c>
      <c r="I21" s="332">
        <v>100.74</v>
      </c>
      <c r="J21" s="332">
        <v>111.24</v>
      </c>
      <c r="K21" s="332">
        <v>110.13</v>
      </c>
      <c r="L21" s="332">
        <v>108.61</v>
      </c>
      <c r="M21" s="332">
        <v>121.61</v>
      </c>
      <c r="N21" s="332">
        <v>104.16</v>
      </c>
      <c r="O21" s="332">
        <v>103.66</v>
      </c>
      <c r="P21" s="106">
        <f t="shared" si="0"/>
        <v>1259.9100000000001</v>
      </c>
      <c r="Q21" s="85">
        <f t="shared" si="1"/>
        <v>104.99250000000001</v>
      </c>
      <c r="R21" s="85">
        <f t="shared" si="2"/>
        <v>3.4518082191780826</v>
      </c>
    </row>
    <row r="22" spans="1:18" s="102" customFormat="1" x14ac:dyDescent="0.25">
      <c r="A22" s="330" t="s">
        <v>34</v>
      </c>
      <c r="B22" s="331" t="s">
        <v>171</v>
      </c>
      <c r="C22" s="330" t="s">
        <v>363</v>
      </c>
      <c r="D22" s="332">
        <v>119.92</v>
      </c>
      <c r="E22" s="332">
        <v>106.15</v>
      </c>
      <c r="F22" s="332">
        <v>124.42</v>
      </c>
      <c r="G22" s="332">
        <v>137.38</v>
      </c>
      <c r="H22" s="332">
        <v>154.53</v>
      </c>
      <c r="I22" s="332">
        <v>144.85</v>
      </c>
      <c r="J22" s="332">
        <v>153.88</v>
      </c>
      <c r="K22" s="332">
        <v>147.69999999999999</v>
      </c>
      <c r="L22" s="332">
        <v>148.99</v>
      </c>
      <c r="M22" s="332">
        <v>154.22999999999999</v>
      </c>
      <c r="N22" s="332">
        <v>134.47</v>
      </c>
      <c r="O22" s="332">
        <v>148</v>
      </c>
      <c r="P22" s="106">
        <f t="shared" si="0"/>
        <v>1674.52</v>
      </c>
      <c r="Q22" s="85">
        <f t="shared" si="1"/>
        <v>139.54333333333332</v>
      </c>
      <c r="R22" s="85">
        <f t="shared" si="2"/>
        <v>4.5877260273972604</v>
      </c>
    </row>
    <row r="23" spans="1:18" s="102" customFormat="1" x14ac:dyDescent="0.25">
      <c r="A23" s="330" t="s">
        <v>34</v>
      </c>
      <c r="B23" s="331" t="s">
        <v>172</v>
      </c>
      <c r="C23" s="330" t="s">
        <v>363</v>
      </c>
      <c r="D23" s="332">
        <v>32.33</v>
      </c>
      <c r="E23" s="332">
        <v>32.42</v>
      </c>
      <c r="F23" s="332">
        <v>35.51</v>
      </c>
      <c r="G23" s="332">
        <v>37.07</v>
      </c>
      <c r="H23" s="332">
        <v>42.9</v>
      </c>
      <c r="I23" s="332">
        <v>40.47</v>
      </c>
      <c r="J23" s="332">
        <v>41.47</v>
      </c>
      <c r="K23" s="332">
        <v>39.880000000000003</v>
      </c>
      <c r="L23" s="332">
        <v>37.75</v>
      </c>
      <c r="M23" s="332">
        <v>39.090000000000003</v>
      </c>
      <c r="N23" s="332">
        <v>36.65</v>
      </c>
      <c r="O23" s="332">
        <v>39.479999999999997</v>
      </c>
      <c r="P23" s="106">
        <f t="shared" si="0"/>
        <v>455.02</v>
      </c>
      <c r="Q23" s="85">
        <f t="shared" si="1"/>
        <v>37.918333333333329</v>
      </c>
      <c r="R23" s="85">
        <f t="shared" si="2"/>
        <v>1.2466301369863013</v>
      </c>
    </row>
    <row r="24" spans="1:18" s="102" customFormat="1" x14ac:dyDescent="0.25">
      <c r="A24" s="330" t="s">
        <v>34</v>
      </c>
      <c r="B24" s="331" t="s">
        <v>174</v>
      </c>
      <c r="C24" s="330" t="s">
        <v>363</v>
      </c>
      <c r="D24" s="332">
        <v>149.78</v>
      </c>
      <c r="E24" s="332">
        <v>135.26</v>
      </c>
      <c r="F24" s="332">
        <v>155.02000000000001</v>
      </c>
      <c r="G24" s="332">
        <v>158.01</v>
      </c>
      <c r="H24" s="332">
        <v>181.91</v>
      </c>
      <c r="I24" s="332">
        <v>160.25</v>
      </c>
      <c r="J24" s="332">
        <v>180.53</v>
      </c>
      <c r="K24" s="332">
        <v>159.01</v>
      </c>
      <c r="L24" s="332">
        <v>165.35</v>
      </c>
      <c r="M24" s="332">
        <v>177.02</v>
      </c>
      <c r="N24" s="332">
        <v>148.94999999999999</v>
      </c>
      <c r="O24" s="332">
        <v>147.18</v>
      </c>
      <c r="P24" s="106">
        <f t="shared" si="0"/>
        <v>1918.27</v>
      </c>
      <c r="Q24" s="85">
        <f t="shared" si="1"/>
        <v>159.85583333333332</v>
      </c>
      <c r="R24" s="85">
        <f t="shared" si="2"/>
        <v>5.2555342465753423</v>
      </c>
    </row>
    <row r="25" spans="1:18" s="102" customFormat="1" x14ac:dyDescent="0.25">
      <c r="A25" s="330" t="s">
        <v>34</v>
      </c>
      <c r="B25" s="331" t="s">
        <v>178</v>
      </c>
      <c r="C25" s="330" t="s">
        <v>363</v>
      </c>
      <c r="D25" s="332">
        <v>284.99</v>
      </c>
      <c r="E25" s="332">
        <v>246.72</v>
      </c>
      <c r="F25" s="332">
        <v>275.67</v>
      </c>
      <c r="G25" s="332">
        <v>304.39999999999998</v>
      </c>
      <c r="H25" s="332">
        <v>336.34</v>
      </c>
      <c r="I25" s="332">
        <v>308.05</v>
      </c>
      <c r="J25" s="332">
        <v>329.67</v>
      </c>
      <c r="K25" s="334">
        <v>329.37</v>
      </c>
      <c r="L25" s="332">
        <v>298.14</v>
      </c>
      <c r="M25" s="332">
        <v>329.04</v>
      </c>
      <c r="N25" s="332">
        <v>295.77</v>
      </c>
      <c r="O25" s="332">
        <v>312.41000000000003</v>
      </c>
      <c r="P25" s="106">
        <f t="shared" si="0"/>
        <v>3650.5699999999997</v>
      </c>
      <c r="Q25" s="85">
        <f t="shared" si="1"/>
        <v>304.21416666666664</v>
      </c>
      <c r="R25" s="85">
        <f t="shared" si="2"/>
        <v>10.001561643835617</v>
      </c>
    </row>
    <row r="26" spans="1:18" s="102" customFormat="1" x14ac:dyDescent="0.25">
      <c r="A26" s="330" t="s">
        <v>34</v>
      </c>
      <c r="B26" s="330" t="s">
        <v>229</v>
      </c>
      <c r="C26" s="330" t="s">
        <v>363</v>
      </c>
      <c r="D26" s="332">
        <v>34.200000000000003</v>
      </c>
      <c r="E26" s="332">
        <v>29.26</v>
      </c>
      <c r="F26" s="332">
        <v>30.8</v>
      </c>
      <c r="G26" s="332">
        <v>38.03</v>
      </c>
      <c r="H26" s="332">
        <v>45.98</v>
      </c>
      <c r="I26" s="332">
        <v>37.049999999999997</v>
      </c>
      <c r="J26" s="332">
        <v>41.88</v>
      </c>
      <c r="K26" s="332">
        <v>40.630000000000003</v>
      </c>
      <c r="L26" s="332">
        <v>38.520000000000003</v>
      </c>
      <c r="M26" s="332">
        <v>42.31</v>
      </c>
      <c r="N26" s="332">
        <v>35.9</v>
      </c>
      <c r="O26" s="332">
        <v>38.06</v>
      </c>
      <c r="P26" s="106">
        <f t="shared" si="0"/>
        <v>452.61999999999995</v>
      </c>
      <c r="Q26" s="85">
        <f t="shared" si="1"/>
        <v>37.718333333333327</v>
      </c>
      <c r="R26" s="85">
        <f t="shared" si="2"/>
        <v>1.2400547945205478</v>
      </c>
    </row>
    <row r="27" spans="1:18" s="102" customFormat="1" x14ac:dyDescent="0.25">
      <c r="A27" s="330" t="s">
        <v>34</v>
      </c>
      <c r="B27" s="331" t="s">
        <v>180</v>
      </c>
      <c r="C27" s="330" t="s">
        <v>363</v>
      </c>
      <c r="D27" s="127">
        <v>77.63</v>
      </c>
      <c r="E27" s="332">
        <v>64.680000000000007</v>
      </c>
      <c r="F27" s="332">
        <v>79.05</v>
      </c>
      <c r="G27" s="332">
        <v>85.98</v>
      </c>
      <c r="H27" s="332">
        <v>94.79</v>
      </c>
      <c r="I27" s="332">
        <v>78.959999999999994</v>
      </c>
      <c r="J27" s="332">
        <v>84.67</v>
      </c>
      <c r="K27" s="332">
        <v>78.87</v>
      </c>
      <c r="L27" s="332">
        <v>72.239999999999995</v>
      </c>
      <c r="M27" s="332">
        <v>84.54</v>
      </c>
      <c r="N27" s="332">
        <v>70.569999999999993</v>
      </c>
      <c r="O27" s="332">
        <v>76.069999999999993</v>
      </c>
      <c r="P27" s="106">
        <f t="shared" si="0"/>
        <v>948.05</v>
      </c>
      <c r="Q27" s="85">
        <f t="shared" si="1"/>
        <v>79.004166666666663</v>
      </c>
      <c r="R27" s="85">
        <f t="shared" si="2"/>
        <v>2.5973972602739726</v>
      </c>
    </row>
    <row r="28" spans="1:18" s="108" customFormat="1" x14ac:dyDescent="0.25">
      <c r="A28" s="330" t="s">
        <v>34</v>
      </c>
      <c r="B28" s="331" t="s">
        <v>215</v>
      </c>
      <c r="C28" s="330" t="s">
        <v>363</v>
      </c>
      <c r="D28" s="332">
        <v>15.45</v>
      </c>
      <c r="E28" s="332">
        <v>15.59</v>
      </c>
      <c r="F28" s="332">
        <v>18.07</v>
      </c>
      <c r="G28" s="332">
        <v>18.54</v>
      </c>
      <c r="H28" s="332">
        <v>20.59</v>
      </c>
      <c r="I28" s="332">
        <v>18.55</v>
      </c>
      <c r="J28" s="332">
        <v>26.4</v>
      </c>
      <c r="K28" s="332">
        <v>20.28</v>
      </c>
      <c r="L28" s="332">
        <v>23.56</v>
      </c>
      <c r="M28" s="332">
        <v>20.54</v>
      </c>
      <c r="N28" s="332">
        <v>19.11</v>
      </c>
      <c r="O28" s="332">
        <v>17.82</v>
      </c>
      <c r="P28" s="106">
        <f t="shared" si="0"/>
        <v>234.5</v>
      </c>
      <c r="Q28" s="85">
        <f t="shared" si="1"/>
        <v>19.541666666666668</v>
      </c>
      <c r="R28" s="85">
        <f t="shared" si="2"/>
        <v>0.6424657534246575</v>
      </c>
    </row>
    <row r="29" spans="1:18" s="110" customFormat="1" x14ac:dyDescent="0.25">
      <c r="A29" s="330" t="s">
        <v>19</v>
      </c>
      <c r="B29" s="331" t="s">
        <v>161</v>
      </c>
      <c r="C29" s="330" t="s">
        <v>363</v>
      </c>
      <c r="D29" s="332">
        <v>357.55</v>
      </c>
      <c r="E29" s="332">
        <v>305.24</v>
      </c>
      <c r="F29" s="332">
        <v>330.41</v>
      </c>
      <c r="G29" s="332">
        <v>373.02</v>
      </c>
      <c r="H29" s="332">
        <v>414.36</v>
      </c>
      <c r="I29" s="332">
        <v>392.63</v>
      </c>
      <c r="J29" s="332">
        <v>432.35</v>
      </c>
      <c r="K29" s="332">
        <v>405.04</v>
      </c>
      <c r="L29" s="332">
        <v>365.2</v>
      </c>
      <c r="M29" s="332">
        <v>405.72</v>
      </c>
      <c r="N29" s="332">
        <v>356.09</v>
      </c>
      <c r="O29" s="332">
        <v>358.1</v>
      </c>
      <c r="P29" s="106">
        <f t="shared" si="0"/>
        <v>4495.71</v>
      </c>
      <c r="Q29" s="85">
        <f t="shared" si="1"/>
        <v>374.64249999999998</v>
      </c>
      <c r="R29" s="85">
        <f t="shared" si="2"/>
        <v>12.317013698630138</v>
      </c>
    </row>
    <row r="30" spans="1:18" s="110" customFormat="1" ht="17.25" customHeight="1" x14ac:dyDescent="0.25">
      <c r="A30" s="330" t="s">
        <v>19</v>
      </c>
      <c r="B30" s="331" t="s">
        <v>162</v>
      </c>
      <c r="C30" s="330" t="s">
        <v>363</v>
      </c>
      <c r="D30" s="332">
        <v>186.15</v>
      </c>
      <c r="E30" s="332">
        <v>151.94</v>
      </c>
      <c r="F30" s="332">
        <v>190.13</v>
      </c>
      <c r="G30" s="332">
        <v>220.08</v>
      </c>
      <c r="H30" s="332">
        <v>199.06</v>
      </c>
      <c r="I30" s="332">
        <v>196.74</v>
      </c>
      <c r="J30" s="332">
        <v>214.79</v>
      </c>
      <c r="K30" s="332">
        <v>214.46</v>
      </c>
      <c r="L30" s="332">
        <v>182.22</v>
      </c>
      <c r="M30" s="332">
        <v>179.29</v>
      </c>
      <c r="N30" s="332">
        <v>151.6</v>
      </c>
      <c r="O30" s="332">
        <v>194.32</v>
      </c>
      <c r="P30" s="106">
        <f t="shared" si="0"/>
        <v>2280.7800000000002</v>
      </c>
      <c r="Q30" s="85">
        <f t="shared" si="1"/>
        <v>190.06500000000003</v>
      </c>
      <c r="R30" s="85">
        <f t="shared" si="2"/>
        <v>6.248712328767124</v>
      </c>
    </row>
    <row r="31" spans="1:18" s="110" customFormat="1" ht="17.25" customHeight="1" x14ac:dyDescent="0.25">
      <c r="A31" s="330" t="s">
        <v>19</v>
      </c>
      <c r="B31" s="331" t="s">
        <v>173</v>
      </c>
      <c r="C31" s="330" t="s">
        <v>363</v>
      </c>
      <c r="D31" s="332">
        <v>139.99</v>
      </c>
      <c r="E31" s="332">
        <v>124.47</v>
      </c>
      <c r="F31" s="332">
        <v>135.85</v>
      </c>
      <c r="G31" s="332">
        <v>150.03</v>
      </c>
      <c r="H31" s="332">
        <v>173.59</v>
      </c>
      <c r="I31" s="332">
        <v>167.96</v>
      </c>
      <c r="J31" s="332">
        <v>183.74</v>
      </c>
      <c r="K31" s="332">
        <v>174.11</v>
      </c>
      <c r="L31" s="332">
        <v>155.41</v>
      </c>
      <c r="M31" s="332">
        <v>162.75</v>
      </c>
      <c r="N31" s="332">
        <v>158.62</v>
      </c>
      <c r="O31" s="332">
        <v>150.59</v>
      </c>
      <c r="P31" s="106">
        <f t="shared" si="0"/>
        <v>1877.1100000000004</v>
      </c>
      <c r="Q31" s="85">
        <f t="shared" si="1"/>
        <v>156.42583333333337</v>
      </c>
      <c r="R31" s="85">
        <f t="shared" si="2"/>
        <v>5.1427671232876726</v>
      </c>
    </row>
    <row r="32" spans="1:18" s="110" customFormat="1" ht="17.25" customHeight="1" x14ac:dyDescent="0.25">
      <c r="A32" s="330" t="s">
        <v>19</v>
      </c>
      <c r="B32" s="331" t="s">
        <v>176</v>
      </c>
      <c r="C32" s="330" t="s">
        <v>363</v>
      </c>
      <c r="D32" s="332">
        <v>915.09</v>
      </c>
      <c r="E32" s="332">
        <v>761.31</v>
      </c>
      <c r="F32" s="332">
        <v>901.77</v>
      </c>
      <c r="G32" s="332">
        <v>1015.69</v>
      </c>
      <c r="H32" s="332">
        <v>979.91</v>
      </c>
      <c r="I32" s="332">
        <v>962.07</v>
      </c>
      <c r="J32" s="332">
        <v>1040.74</v>
      </c>
      <c r="K32" s="332">
        <v>1019.48</v>
      </c>
      <c r="L32" s="332">
        <v>956.1</v>
      </c>
      <c r="M32" s="332">
        <v>1052.6400000000001</v>
      </c>
      <c r="N32" s="332">
        <v>915.75</v>
      </c>
      <c r="O32" s="332">
        <v>942.29</v>
      </c>
      <c r="P32" s="106">
        <f t="shared" si="0"/>
        <v>11462.84</v>
      </c>
      <c r="Q32" s="85">
        <f t="shared" si="1"/>
        <v>955.23666666666668</v>
      </c>
      <c r="R32" s="85">
        <f t="shared" si="2"/>
        <v>31.405041095890411</v>
      </c>
    </row>
    <row r="33" spans="1:18" s="109" customFormat="1" ht="17.25" customHeight="1" x14ac:dyDescent="0.25">
      <c r="A33" s="330" t="s">
        <v>19</v>
      </c>
      <c r="B33" s="331" t="s">
        <v>179</v>
      </c>
      <c r="C33" s="330" t="s">
        <v>363</v>
      </c>
      <c r="D33" s="332">
        <v>32.020000000000003</v>
      </c>
      <c r="E33" s="332">
        <v>31.73</v>
      </c>
      <c r="F33" s="332">
        <v>32.119999999999997</v>
      </c>
      <c r="G33" s="332">
        <v>39.130000000000003</v>
      </c>
      <c r="H33" s="332">
        <v>42.18</v>
      </c>
      <c r="I33" s="332">
        <v>35.11</v>
      </c>
      <c r="J33" s="332">
        <v>44.96</v>
      </c>
      <c r="K33" s="332">
        <v>40.909999999999997</v>
      </c>
      <c r="L33" s="332">
        <v>35.25</v>
      </c>
      <c r="M33" s="332">
        <v>36.43</v>
      </c>
      <c r="N33" s="332">
        <v>36.42</v>
      </c>
      <c r="O33" s="332">
        <v>33.94</v>
      </c>
      <c r="P33" s="106">
        <f t="shared" si="0"/>
        <v>440.2</v>
      </c>
      <c r="Q33" s="85">
        <f t="shared" si="1"/>
        <v>36.68333333333333</v>
      </c>
      <c r="R33" s="85">
        <f t="shared" si="2"/>
        <v>1.206027397260274</v>
      </c>
    </row>
    <row r="34" spans="1:18" s="110" customFormat="1" ht="17.25" customHeight="1" x14ac:dyDescent="0.25">
      <c r="A34" s="330" t="s">
        <v>19</v>
      </c>
      <c r="B34" s="331" t="s">
        <v>181</v>
      </c>
      <c r="C34" s="330" t="s">
        <v>363</v>
      </c>
      <c r="D34" s="332">
        <v>55.8</v>
      </c>
      <c r="E34" s="332">
        <v>54.35</v>
      </c>
      <c r="F34" s="332">
        <v>55.63</v>
      </c>
      <c r="G34" s="332">
        <v>60.48</v>
      </c>
      <c r="H34" s="332">
        <v>74.95</v>
      </c>
      <c r="I34" s="332">
        <v>68.45</v>
      </c>
      <c r="J34" s="332">
        <v>80.34</v>
      </c>
      <c r="K34" s="332">
        <v>75.97</v>
      </c>
      <c r="L34" s="332">
        <v>68.14</v>
      </c>
      <c r="M34" s="332">
        <v>78.239999999999995</v>
      </c>
      <c r="N34" s="332">
        <v>56.28</v>
      </c>
      <c r="O34" s="332">
        <v>57</v>
      </c>
      <c r="P34" s="106">
        <f t="shared" si="0"/>
        <v>785.63</v>
      </c>
      <c r="Q34" s="85">
        <f t="shared" si="1"/>
        <v>65.469166666666666</v>
      </c>
      <c r="R34" s="85">
        <f t="shared" si="2"/>
        <v>2.1524109589041096</v>
      </c>
    </row>
    <row r="35" spans="1:18" s="110" customFormat="1" ht="17.25" customHeight="1" x14ac:dyDescent="0.25">
      <c r="A35" s="330" t="s">
        <v>19</v>
      </c>
      <c r="B35" s="331" t="s">
        <v>214</v>
      </c>
      <c r="C35" s="330" t="s">
        <v>363</v>
      </c>
      <c r="D35" s="332">
        <v>42.87</v>
      </c>
      <c r="E35" s="332">
        <v>34.29</v>
      </c>
      <c r="F35" s="332">
        <v>43.31</v>
      </c>
      <c r="G35" s="332">
        <v>48.22</v>
      </c>
      <c r="H35" s="332">
        <v>54.53</v>
      </c>
      <c r="I35" s="332">
        <v>47.25</v>
      </c>
      <c r="J35" s="332">
        <v>54.81</v>
      </c>
      <c r="K35" s="332">
        <v>51.73</v>
      </c>
      <c r="L35" s="332">
        <v>51.07</v>
      </c>
      <c r="M35" s="332">
        <v>50.53</v>
      </c>
      <c r="N35" s="332">
        <v>45.77</v>
      </c>
      <c r="O35" s="332">
        <v>49.29</v>
      </c>
      <c r="P35" s="106">
        <f t="shared" si="0"/>
        <v>573.66999999999996</v>
      </c>
      <c r="Q35" s="85">
        <f t="shared" si="1"/>
        <v>47.805833333333332</v>
      </c>
      <c r="R35" s="85">
        <f t="shared" si="2"/>
        <v>1.5716986301369862</v>
      </c>
    </row>
    <row r="36" spans="1:18" s="110" customFormat="1" ht="17.25" customHeight="1" x14ac:dyDescent="0.25">
      <c r="A36" s="330" t="s">
        <v>19</v>
      </c>
      <c r="B36" s="330" t="s">
        <v>230</v>
      </c>
      <c r="C36" s="330" t="s">
        <v>363</v>
      </c>
      <c r="D36" s="332">
        <v>3506.14</v>
      </c>
      <c r="E36" s="332">
        <v>1756.81</v>
      </c>
      <c r="F36" s="332">
        <v>2785.48</v>
      </c>
      <c r="G36" s="332">
        <v>3375.39</v>
      </c>
      <c r="H36" s="332">
        <v>5283.01</v>
      </c>
      <c r="I36" s="332">
        <v>5106.4799999999996</v>
      </c>
      <c r="J36" s="332">
        <v>5356.92</v>
      </c>
      <c r="K36" s="332">
        <v>5158.75</v>
      </c>
      <c r="L36" s="332">
        <v>4514.53</v>
      </c>
      <c r="M36" s="332">
        <v>4850.87</v>
      </c>
      <c r="N36" s="332">
        <v>4540.71</v>
      </c>
      <c r="O36" s="332">
        <v>4823.3500000000004</v>
      </c>
      <c r="P36" s="106">
        <f t="shared" si="0"/>
        <v>51058.44</v>
      </c>
      <c r="Q36" s="85">
        <f t="shared" si="1"/>
        <v>4254.87</v>
      </c>
      <c r="R36" s="85">
        <f t="shared" si="2"/>
        <v>139.88613698630138</v>
      </c>
    </row>
    <row r="37" spans="1:18" s="110" customFormat="1" ht="17.25" customHeight="1" x14ac:dyDescent="0.25">
      <c r="A37" s="330" t="s">
        <v>19</v>
      </c>
      <c r="B37" s="335" t="s">
        <v>211</v>
      </c>
      <c r="C37" s="330" t="s">
        <v>363</v>
      </c>
      <c r="D37" s="332">
        <v>66.7</v>
      </c>
      <c r="E37" s="332">
        <v>55.5</v>
      </c>
      <c r="F37" s="332">
        <v>68.760000000000005</v>
      </c>
      <c r="G37" s="332">
        <v>78.239999999999995</v>
      </c>
      <c r="H37" s="332">
        <v>81.239999999999995</v>
      </c>
      <c r="I37" s="332">
        <v>69.290000000000006</v>
      </c>
      <c r="J37" s="332">
        <v>85.08</v>
      </c>
      <c r="K37" s="332">
        <v>82.35</v>
      </c>
      <c r="L37" s="332">
        <v>73.45</v>
      </c>
      <c r="M37" s="332">
        <v>74.290000000000006</v>
      </c>
      <c r="N37" s="332">
        <v>67.97</v>
      </c>
      <c r="O37" s="332">
        <v>76.069999999999993</v>
      </c>
      <c r="P37" s="106">
        <f t="shared" si="0"/>
        <v>878.94</v>
      </c>
      <c r="Q37" s="85">
        <f t="shared" si="1"/>
        <v>73.245000000000005</v>
      </c>
      <c r="R37" s="85">
        <f t="shared" si="2"/>
        <v>2.4080547945205479</v>
      </c>
    </row>
    <row r="38" spans="1:18" s="185" customFormat="1" ht="17.25" customHeight="1" x14ac:dyDescent="0.25">
      <c r="A38" s="336" t="s">
        <v>19</v>
      </c>
      <c r="B38" s="336" t="s">
        <v>354</v>
      </c>
      <c r="C38" s="336" t="s">
        <v>363</v>
      </c>
      <c r="D38" s="336"/>
      <c r="E38" s="337"/>
      <c r="F38" s="337"/>
      <c r="G38" s="337"/>
      <c r="H38" s="337"/>
      <c r="I38" s="337"/>
      <c r="J38" s="337"/>
      <c r="K38" s="337"/>
      <c r="L38" s="338"/>
      <c r="M38" s="337"/>
      <c r="N38" s="337"/>
      <c r="O38" s="337"/>
      <c r="P38" s="184">
        <f t="shared" ref="P38" si="3">SUM(P7:P37)</f>
        <v>227755.78999999995</v>
      </c>
      <c r="Q38" s="184">
        <f>SUM(Q7:Q37)</f>
        <v>18979.649166666662</v>
      </c>
      <c r="R38" s="184">
        <f t="shared" ref="R38" si="4">SUM(R7:R37)</f>
        <v>623.98846575342475</v>
      </c>
    </row>
    <row r="39" spans="1:18" s="110" customFormat="1" ht="17.25" customHeight="1" x14ac:dyDescent="0.25">
      <c r="A39" s="339"/>
      <c r="B39" s="340" t="s">
        <v>119</v>
      </c>
      <c r="C39" s="340"/>
      <c r="D39" s="341">
        <f>SUM(D7:D38)</f>
        <v>25354.410000000003</v>
      </c>
      <c r="E39" s="341">
        <f t="shared" ref="E39:O39" si="5">SUM(E7:E38)</f>
        <v>21333.559999999998</v>
      </c>
      <c r="F39" s="341">
        <f t="shared" si="5"/>
        <v>24783.219999999994</v>
      </c>
      <c r="G39" s="341">
        <f t="shared" si="5"/>
        <v>25777.28000000001</v>
      </c>
      <c r="H39" s="341">
        <f t="shared" si="5"/>
        <v>30848.050000000007</v>
      </c>
      <c r="I39" s="341">
        <f t="shared" si="5"/>
        <v>26215.59</v>
      </c>
      <c r="J39" s="341">
        <f t="shared" si="5"/>
        <v>13185.99</v>
      </c>
      <c r="K39" s="341">
        <f t="shared" si="5"/>
        <v>12810.33</v>
      </c>
      <c r="L39" s="341">
        <f t="shared" si="5"/>
        <v>11588.380000000001</v>
      </c>
      <c r="M39" s="341">
        <f t="shared" si="5"/>
        <v>12607.2</v>
      </c>
      <c r="N39" s="341">
        <f t="shared" si="5"/>
        <v>11393.72</v>
      </c>
      <c r="O39" s="341">
        <f t="shared" si="5"/>
        <v>11858.059999999998</v>
      </c>
      <c r="P39" s="106">
        <f t="shared" ref="P39:P74" si="6">+D39+E39+F39+G39+H39+I39+J39+K39+L39+M39+N39+O39</f>
        <v>227755.79</v>
      </c>
      <c r="Q39" s="85">
        <f t="shared" ref="Q39:Q74" si="7">SUM(P39/12)</f>
        <v>18979.649166666666</v>
      </c>
      <c r="R39" s="85">
        <f t="shared" ref="R39:R74" si="8">SUM(P39/365)</f>
        <v>623.98846575342463</v>
      </c>
    </row>
    <row r="40" spans="1:18" s="110" customFormat="1" ht="17.25" customHeight="1" x14ac:dyDescent="0.25">
      <c r="A40" s="342" t="s">
        <v>353</v>
      </c>
      <c r="B40" s="342" t="s">
        <v>355</v>
      </c>
      <c r="C40" s="342" t="s">
        <v>363</v>
      </c>
      <c r="D40" s="343">
        <v>21.01</v>
      </c>
      <c r="E40" s="343">
        <v>19.66</v>
      </c>
      <c r="F40" s="343">
        <v>62.66</v>
      </c>
      <c r="G40" s="343">
        <v>43.85</v>
      </c>
      <c r="H40" s="343">
        <v>44.59</v>
      </c>
      <c r="I40" s="343">
        <v>48.96</v>
      </c>
      <c r="J40" s="343">
        <v>97.12</v>
      </c>
      <c r="K40" s="344">
        <v>79.34</v>
      </c>
      <c r="L40" s="343">
        <v>85.36</v>
      </c>
      <c r="M40" s="343">
        <v>100.81</v>
      </c>
      <c r="N40" s="343">
        <v>118.76</v>
      </c>
      <c r="O40" s="343">
        <v>106.14</v>
      </c>
      <c r="P40" s="106">
        <f t="shared" si="6"/>
        <v>828.2600000000001</v>
      </c>
      <c r="Q40" s="85">
        <f t="shared" si="7"/>
        <v>69.021666666666675</v>
      </c>
      <c r="R40" s="85">
        <f t="shared" si="8"/>
        <v>2.2692054794520549</v>
      </c>
    </row>
    <row r="41" spans="1:18" s="110" customFormat="1" ht="17.25" customHeight="1" x14ac:dyDescent="0.25">
      <c r="A41" s="330" t="s">
        <v>353</v>
      </c>
      <c r="B41" s="330" t="s">
        <v>429</v>
      </c>
      <c r="C41" s="330" t="s">
        <v>363</v>
      </c>
      <c r="D41" s="332">
        <v>107.54</v>
      </c>
      <c r="E41" s="332">
        <v>120.98</v>
      </c>
      <c r="F41" s="332">
        <v>101.18</v>
      </c>
      <c r="G41" s="332">
        <v>92.78</v>
      </c>
      <c r="H41" s="332">
        <v>126.41</v>
      </c>
      <c r="I41" s="332">
        <v>123.19</v>
      </c>
      <c r="J41" s="332">
        <v>166.13</v>
      </c>
      <c r="K41" s="333">
        <v>161.87</v>
      </c>
      <c r="L41" s="332">
        <v>179.7</v>
      </c>
      <c r="M41" s="332">
        <v>194.2</v>
      </c>
      <c r="N41" s="332">
        <v>134.80000000000001</v>
      </c>
      <c r="O41" s="332">
        <v>80.8</v>
      </c>
      <c r="P41" s="106">
        <f t="shared" si="6"/>
        <v>1589.58</v>
      </c>
      <c r="Q41" s="85">
        <f t="shared" si="7"/>
        <v>132.465</v>
      </c>
      <c r="R41" s="85">
        <f t="shared" si="8"/>
        <v>4.3550136986301364</v>
      </c>
    </row>
    <row r="42" spans="1:18" s="110" customFormat="1" ht="17.25" customHeight="1" x14ac:dyDescent="0.25">
      <c r="A42" s="330" t="s">
        <v>353</v>
      </c>
      <c r="B42" s="330" t="s">
        <v>430</v>
      </c>
      <c r="C42" s="330" t="s">
        <v>363</v>
      </c>
      <c r="D42" s="332">
        <v>0</v>
      </c>
      <c r="E42" s="332">
        <v>0</v>
      </c>
      <c r="F42" s="332">
        <v>0</v>
      </c>
      <c r="G42" s="332">
        <v>0</v>
      </c>
      <c r="H42" s="332">
        <v>1.57</v>
      </c>
      <c r="I42" s="332">
        <v>0</v>
      </c>
      <c r="J42" s="332">
        <v>0</v>
      </c>
      <c r="K42" s="333">
        <v>0</v>
      </c>
      <c r="L42" s="332">
        <v>0</v>
      </c>
      <c r="M42" s="332">
        <v>0</v>
      </c>
      <c r="N42" s="332">
        <v>0</v>
      </c>
      <c r="O42" s="332">
        <v>0</v>
      </c>
      <c r="P42" s="106">
        <f t="shared" si="6"/>
        <v>1.57</v>
      </c>
      <c r="Q42" s="85">
        <f t="shared" si="7"/>
        <v>0.13083333333333333</v>
      </c>
      <c r="R42" s="85">
        <f t="shared" si="8"/>
        <v>4.3013698630136989E-3</v>
      </c>
    </row>
    <row r="43" spans="1:18" s="110" customFormat="1" ht="17.25" customHeight="1" x14ac:dyDescent="0.25">
      <c r="A43" s="330" t="s">
        <v>346</v>
      </c>
      <c r="B43" s="330" t="s">
        <v>431</v>
      </c>
      <c r="C43" s="330" t="s">
        <v>363</v>
      </c>
      <c r="D43" s="332">
        <v>0</v>
      </c>
      <c r="E43" s="332">
        <v>0</v>
      </c>
      <c r="F43" s="332">
        <v>0</v>
      </c>
      <c r="G43" s="332">
        <v>0</v>
      </c>
      <c r="H43" s="332">
        <v>0</v>
      </c>
      <c r="I43" s="332">
        <v>0</v>
      </c>
      <c r="J43" s="332">
        <v>0</v>
      </c>
      <c r="K43" s="332">
        <v>46.3</v>
      </c>
      <c r="L43" s="332">
        <v>0</v>
      </c>
      <c r="M43" s="332">
        <v>0</v>
      </c>
      <c r="N43" s="332">
        <v>0</v>
      </c>
      <c r="O43" s="332">
        <v>0</v>
      </c>
      <c r="P43" s="106">
        <f t="shared" si="6"/>
        <v>46.3</v>
      </c>
      <c r="Q43" s="85">
        <f t="shared" si="7"/>
        <v>3.8583333333333329</v>
      </c>
      <c r="R43" s="85">
        <f t="shared" si="8"/>
        <v>0.12684931506849315</v>
      </c>
    </row>
    <row r="44" spans="1:18" s="110" customFormat="1" ht="17.25" customHeight="1" x14ac:dyDescent="0.25">
      <c r="A44" s="330" t="s">
        <v>346</v>
      </c>
      <c r="B44" s="330" t="s">
        <v>432</v>
      </c>
      <c r="C44" s="330" t="s">
        <v>363</v>
      </c>
      <c r="D44" s="332">
        <v>0</v>
      </c>
      <c r="E44" s="332">
        <v>0</v>
      </c>
      <c r="F44" s="332">
        <v>0</v>
      </c>
      <c r="G44" s="332">
        <v>0</v>
      </c>
      <c r="H44" s="332">
        <v>0</v>
      </c>
      <c r="I44" s="332">
        <v>0</v>
      </c>
      <c r="J44" s="332">
        <v>0</v>
      </c>
      <c r="K44" s="332">
        <v>0.35</v>
      </c>
      <c r="L44" s="332">
        <v>25.89</v>
      </c>
      <c r="M44" s="332">
        <v>0</v>
      </c>
      <c r="N44" s="332">
        <v>0</v>
      </c>
      <c r="O44" s="332">
        <v>0</v>
      </c>
      <c r="P44" s="106">
        <f t="shared" si="6"/>
        <v>26.240000000000002</v>
      </c>
      <c r="Q44" s="85">
        <f t="shared" si="7"/>
        <v>2.186666666666667</v>
      </c>
      <c r="R44" s="85">
        <f t="shared" si="8"/>
        <v>7.1890410958904111E-2</v>
      </c>
    </row>
    <row r="45" spans="1:18" s="110" customFormat="1" ht="17.25" customHeight="1" x14ac:dyDescent="0.25">
      <c r="A45" s="330" t="s">
        <v>346</v>
      </c>
      <c r="B45" s="331" t="s">
        <v>216</v>
      </c>
      <c r="C45" s="330" t="s">
        <v>363</v>
      </c>
      <c r="D45" s="332">
        <v>2.9</v>
      </c>
      <c r="E45" s="332">
        <v>6.08</v>
      </c>
      <c r="F45" s="332">
        <v>9.24</v>
      </c>
      <c r="G45" s="332">
        <v>5.7</v>
      </c>
      <c r="H45" s="332">
        <v>6.71</v>
      </c>
      <c r="I45" s="332">
        <v>6</v>
      </c>
      <c r="J45" s="332">
        <v>6.04</v>
      </c>
      <c r="K45" s="332">
        <v>5.69</v>
      </c>
      <c r="L45" s="332">
        <v>8.82</v>
      </c>
      <c r="M45" s="332">
        <v>6.83</v>
      </c>
      <c r="N45" s="332">
        <v>6.92</v>
      </c>
      <c r="O45" s="332">
        <v>6.96</v>
      </c>
      <c r="P45" s="106">
        <f t="shared" si="6"/>
        <v>77.889999999999986</v>
      </c>
      <c r="Q45" s="85">
        <f t="shared" si="7"/>
        <v>6.4908333333333319</v>
      </c>
      <c r="R45" s="85">
        <f t="shared" si="8"/>
        <v>0.21339726027397257</v>
      </c>
    </row>
    <row r="46" spans="1:18" s="110" customFormat="1" ht="17.25" customHeight="1" x14ac:dyDescent="0.25">
      <c r="A46" s="330" t="s">
        <v>346</v>
      </c>
      <c r="B46" s="331" t="s">
        <v>224</v>
      </c>
      <c r="C46" s="330" t="s">
        <v>363</v>
      </c>
      <c r="D46" s="332">
        <v>19.75</v>
      </c>
      <c r="E46" s="332">
        <v>15</v>
      </c>
      <c r="F46" s="332">
        <v>28.77</v>
      </c>
      <c r="G46" s="332">
        <v>14.95</v>
      </c>
      <c r="H46" s="332">
        <v>19.899999999999999</v>
      </c>
      <c r="I46" s="332">
        <v>10.39</v>
      </c>
      <c r="J46" s="332">
        <v>18.02</v>
      </c>
      <c r="K46" s="332">
        <v>7.82</v>
      </c>
      <c r="L46" s="332">
        <v>10.54</v>
      </c>
      <c r="M46" s="332">
        <v>12.37</v>
      </c>
      <c r="N46" s="332">
        <v>8.7100000000000009</v>
      </c>
      <c r="O46" s="332">
        <v>2.82</v>
      </c>
      <c r="P46" s="106">
        <f t="shared" si="6"/>
        <v>169.04</v>
      </c>
      <c r="Q46" s="85">
        <f t="shared" si="7"/>
        <v>14.086666666666666</v>
      </c>
      <c r="R46" s="85">
        <f t="shared" si="8"/>
        <v>0.46312328767123284</v>
      </c>
    </row>
    <row r="47" spans="1:18" s="110" customFormat="1" ht="17.25" customHeight="1" x14ac:dyDescent="0.25">
      <c r="A47" s="330" t="s">
        <v>346</v>
      </c>
      <c r="B47" s="331" t="s">
        <v>225</v>
      </c>
      <c r="C47" s="330" t="s">
        <v>363</v>
      </c>
      <c r="D47" s="332">
        <v>251.97</v>
      </c>
      <c r="E47" s="332">
        <v>246.26</v>
      </c>
      <c r="F47" s="332">
        <v>252.8</v>
      </c>
      <c r="G47" s="332">
        <v>242.36</v>
      </c>
      <c r="H47" s="332">
        <v>250.84</v>
      </c>
      <c r="I47" s="332">
        <v>228.93</v>
      </c>
      <c r="J47" s="332">
        <v>246.87</v>
      </c>
      <c r="K47" s="332">
        <v>257.92</v>
      </c>
      <c r="L47" s="332">
        <v>230.46</v>
      </c>
      <c r="M47" s="332">
        <v>239.58</v>
      </c>
      <c r="N47" s="332">
        <v>216.4</v>
      </c>
      <c r="O47" s="332">
        <v>235.96</v>
      </c>
      <c r="P47" s="106">
        <f t="shared" si="6"/>
        <v>2900.3500000000004</v>
      </c>
      <c r="Q47" s="85">
        <f t="shared" si="7"/>
        <v>241.69583333333335</v>
      </c>
      <c r="R47" s="85">
        <f t="shared" si="8"/>
        <v>7.9461643835616451</v>
      </c>
    </row>
    <row r="48" spans="1:18" s="110" customFormat="1" ht="17.25" customHeight="1" x14ac:dyDescent="0.25">
      <c r="A48" s="330" t="s">
        <v>346</v>
      </c>
      <c r="B48" s="330" t="s">
        <v>182</v>
      </c>
      <c r="C48" s="330" t="s">
        <v>363</v>
      </c>
      <c r="D48" s="332">
        <v>0</v>
      </c>
      <c r="E48" s="332">
        <v>2.94</v>
      </c>
      <c r="F48" s="332">
        <v>1.22</v>
      </c>
      <c r="G48" s="332">
        <v>4.08</v>
      </c>
      <c r="H48" s="332">
        <v>2.06</v>
      </c>
      <c r="I48" s="332">
        <v>2.0099999999999998</v>
      </c>
      <c r="J48" s="332">
        <v>2.81</v>
      </c>
      <c r="K48" s="332">
        <v>0</v>
      </c>
      <c r="L48" s="332">
        <v>2.4</v>
      </c>
      <c r="M48" s="332">
        <v>3.13</v>
      </c>
      <c r="N48" s="332">
        <v>2.4900000000000002</v>
      </c>
      <c r="O48" s="332">
        <v>8.07</v>
      </c>
      <c r="P48" s="111">
        <f t="shared" si="6"/>
        <v>31.21</v>
      </c>
      <c r="Q48" s="85">
        <f t="shared" si="7"/>
        <v>2.6008333333333336</v>
      </c>
      <c r="R48" s="85">
        <f t="shared" si="8"/>
        <v>8.5506849315068495E-2</v>
      </c>
    </row>
    <row r="49" spans="1:18" s="102" customFormat="1" x14ac:dyDescent="0.25">
      <c r="A49" s="330" t="s">
        <v>346</v>
      </c>
      <c r="B49" s="330" t="s">
        <v>433</v>
      </c>
      <c r="C49" s="330" t="s">
        <v>363</v>
      </c>
      <c r="D49" s="332">
        <v>0</v>
      </c>
      <c r="E49" s="332">
        <v>0</v>
      </c>
      <c r="F49" s="332">
        <v>25</v>
      </c>
      <c r="G49" s="332">
        <v>25.37</v>
      </c>
      <c r="H49" s="332">
        <v>0.26</v>
      </c>
      <c r="I49" s="332">
        <v>0</v>
      </c>
      <c r="J49" s="332">
        <v>21.98</v>
      </c>
      <c r="K49" s="332">
        <v>22.63</v>
      </c>
      <c r="L49" s="332">
        <v>0</v>
      </c>
      <c r="M49" s="332">
        <v>35.26</v>
      </c>
      <c r="N49" s="332">
        <v>28.04</v>
      </c>
      <c r="O49" s="332">
        <v>0</v>
      </c>
      <c r="P49" s="105">
        <f t="shared" si="6"/>
        <v>158.54</v>
      </c>
      <c r="Q49" s="85">
        <f t="shared" si="7"/>
        <v>13.211666666666666</v>
      </c>
      <c r="R49" s="85">
        <f t="shared" si="8"/>
        <v>0.43435616438356162</v>
      </c>
    </row>
    <row r="50" spans="1:18" s="102" customFormat="1" x14ac:dyDescent="0.25">
      <c r="A50" s="330" t="s">
        <v>346</v>
      </c>
      <c r="B50" s="330" t="s">
        <v>347</v>
      </c>
      <c r="C50" s="330" t="s">
        <v>363</v>
      </c>
      <c r="D50" s="332">
        <v>593.45000000000005</v>
      </c>
      <c r="E50" s="332">
        <v>0</v>
      </c>
      <c r="F50" s="332">
        <v>0</v>
      </c>
      <c r="G50" s="332">
        <v>0</v>
      </c>
      <c r="H50" s="332">
        <v>0</v>
      </c>
      <c r="I50" s="332">
        <v>0</v>
      </c>
      <c r="J50" s="332">
        <v>0</v>
      </c>
      <c r="K50" s="332">
        <v>0</v>
      </c>
      <c r="L50" s="332">
        <v>0</v>
      </c>
      <c r="M50" s="332">
        <v>0</v>
      </c>
      <c r="N50" s="332">
        <v>85.33</v>
      </c>
      <c r="O50" s="332">
        <v>8.26</v>
      </c>
      <c r="P50" s="105">
        <f t="shared" si="6"/>
        <v>687.04000000000008</v>
      </c>
      <c r="Q50" s="85">
        <f t="shared" si="7"/>
        <v>57.253333333333337</v>
      </c>
      <c r="R50" s="85">
        <f t="shared" si="8"/>
        <v>1.882301369863014</v>
      </c>
    </row>
    <row r="51" spans="1:18" s="102" customFormat="1" x14ac:dyDescent="0.25">
      <c r="A51" s="330" t="s">
        <v>346</v>
      </c>
      <c r="B51" s="330" t="s">
        <v>231</v>
      </c>
      <c r="C51" s="330" t="s">
        <v>363</v>
      </c>
      <c r="D51" s="332">
        <v>75.5</v>
      </c>
      <c r="E51" s="332">
        <v>72.03</v>
      </c>
      <c r="F51" s="332">
        <v>77.319999999999993</v>
      </c>
      <c r="G51" s="332">
        <v>62.71</v>
      </c>
      <c r="H51" s="332">
        <v>68.94</v>
      </c>
      <c r="I51" s="332">
        <v>62.85</v>
      </c>
      <c r="J51" s="332">
        <v>72.099999999999994</v>
      </c>
      <c r="K51" s="332">
        <v>62.01</v>
      </c>
      <c r="L51" s="332">
        <v>74.55</v>
      </c>
      <c r="M51" s="332">
        <v>73.459999999999994</v>
      </c>
      <c r="N51" s="332">
        <v>86.09</v>
      </c>
      <c r="O51" s="332">
        <v>36.700000000000003</v>
      </c>
      <c r="P51" s="105">
        <f t="shared" si="6"/>
        <v>824.2600000000001</v>
      </c>
      <c r="Q51" s="85">
        <f t="shared" si="7"/>
        <v>68.688333333333347</v>
      </c>
      <c r="R51" s="85">
        <f t="shared" si="8"/>
        <v>2.2582465753424659</v>
      </c>
    </row>
    <row r="52" spans="1:18" s="102" customFormat="1" x14ac:dyDescent="0.25">
      <c r="A52" s="330" t="s">
        <v>346</v>
      </c>
      <c r="B52" s="330" t="s">
        <v>348</v>
      </c>
      <c r="C52" s="330" t="s">
        <v>363</v>
      </c>
      <c r="D52" s="332">
        <v>0</v>
      </c>
      <c r="E52" s="332">
        <v>0</v>
      </c>
      <c r="F52" s="332">
        <v>0</v>
      </c>
      <c r="G52" s="332">
        <v>0</v>
      </c>
      <c r="H52" s="332">
        <v>0</v>
      </c>
      <c r="I52" s="332">
        <v>0</v>
      </c>
      <c r="J52" s="332">
        <v>0</v>
      </c>
      <c r="K52" s="332">
        <v>3.08</v>
      </c>
      <c r="L52" s="332">
        <v>1.18</v>
      </c>
      <c r="M52" s="332">
        <v>7.98</v>
      </c>
      <c r="N52" s="332">
        <v>5.08</v>
      </c>
      <c r="O52" s="332">
        <v>4.1500000000000004</v>
      </c>
      <c r="P52" s="105">
        <f t="shared" si="6"/>
        <v>21.47</v>
      </c>
      <c r="Q52" s="85">
        <f t="shared" si="7"/>
        <v>1.7891666666666666</v>
      </c>
      <c r="R52" s="85">
        <f t="shared" si="8"/>
        <v>5.8821917808219173E-2</v>
      </c>
    </row>
    <row r="53" spans="1:18" s="102" customFormat="1" x14ac:dyDescent="0.25">
      <c r="A53" s="330" t="s">
        <v>346</v>
      </c>
      <c r="B53" s="330" t="s">
        <v>434</v>
      </c>
      <c r="C53" s="330" t="s">
        <v>363</v>
      </c>
      <c r="D53" s="332">
        <v>0</v>
      </c>
      <c r="E53" s="332">
        <v>0</v>
      </c>
      <c r="F53" s="332">
        <v>0</v>
      </c>
      <c r="G53" s="332">
        <v>0</v>
      </c>
      <c r="H53" s="332">
        <v>0</v>
      </c>
      <c r="I53" s="332">
        <v>3.75</v>
      </c>
      <c r="J53" s="332">
        <v>0</v>
      </c>
      <c r="K53" s="332">
        <v>0</v>
      </c>
      <c r="L53" s="332">
        <v>0</v>
      </c>
      <c r="M53" s="332">
        <v>0</v>
      </c>
      <c r="N53" s="332">
        <v>0</v>
      </c>
      <c r="O53" s="332">
        <v>0</v>
      </c>
      <c r="P53" s="105">
        <f t="shared" si="6"/>
        <v>3.75</v>
      </c>
      <c r="Q53" s="85">
        <f t="shared" si="7"/>
        <v>0.3125</v>
      </c>
      <c r="R53" s="85">
        <f t="shared" si="8"/>
        <v>1.0273972602739725E-2</v>
      </c>
    </row>
    <row r="54" spans="1:18" s="102" customFormat="1" x14ac:dyDescent="0.25">
      <c r="A54" s="330" t="s">
        <v>346</v>
      </c>
      <c r="B54" s="330" t="s">
        <v>435</v>
      </c>
      <c r="C54" s="330" t="s">
        <v>363</v>
      </c>
      <c r="D54" s="332">
        <v>24.91</v>
      </c>
      <c r="E54" s="332">
        <v>42.5</v>
      </c>
      <c r="F54" s="332">
        <v>54.84</v>
      </c>
      <c r="G54" s="332">
        <v>48.24</v>
      </c>
      <c r="H54" s="332">
        <v>80.790000000000006</v>
      </c>
      <c r="I54" s="332">
        <v>61.35</v>
      </c>
      <c r="J54" s="332">
        <v>47.95</v>
      </c>
      <c r="K54" s="332">
        <v>51.73</v>
      </c>
      <c r="L54" s="332">
        <v>64.37</v>
      </c>
      <c r="M54" s="332">
        <v>98.03</v>
      </c>
      <c r="N54" s="332">
        <v>51.95</v>
      </c>
      <c r="O54" s="332">
        <v>31.4</v>
      </c>
      <c r="P54" s="106">
        <f t="shared" si="6"/>
        <v>658.06000000000006</v>
      </c>
      <c r="Q54" s="85">
        <f t="shared" si="7"/>
        <v>54.838333333333338</v>
      </c>
      <c r="R54" s="85">
        <f t="shared" si="8"/>
        <v>1.8029041095890412</v>
      </c>
    </row>
    <row r="55" spans="1:18" s="102" customFormat="1" x14ac:dyDescent="0.25">
      <c r="A55" s="330" t="s">
        <v>346</v>
      </c>
      <c r="B55" s="331" t="s">
        <v>159</v>
      </c>
      <c r="C55" s="330" t="s">
        <v>363</v>
      </c>
      <c r="D55" s="332">
        <v>57.39</v>
      </c>
      <c r="E55" s="332">
        <v>50.98</v>
      </c>
      <c r="F55" s="332">
        <v>52.85</v>
      </c>
      <c r="G55" s="332">
        <v>45.58</v>
      </c>
      <c r="H55" s="332">
        <v>60.12</v>
      </c>
      <c r="I55" s="332">
        <v>51.42</v>
      </c>
      <c r="J55" s="332">
        <v>61.55</v>
      </c>
      <c r="K55" s="332">
        <v>57.08</v>
      </c>
      <c r="L55" s="332">
        <v>52.78</v>
      </c>
      <c r="M55" s="332">
        <v>63.75</v>
      </c>
      <c r="N55" s="332">
        <v>62.52</v>
      </c>
      <c r="O55" s="332">
        <v>50.64</v>
      </c>
      <c r="P55" s="106">
        <f t="shared" si="6"/>
        <v>666.66</v>
      </c>
      <c r="Q55" s="85">
        <f t="shared" si="7"/>
        <v>55.555</v>
      </c>
      <c r="R55" s="85">
        <f t="shared" si="8"/>
        <v>1.8264657534246576</v>
      </c>
    </row>
    <row r="56" spans="1:18" s="102" customFormat="1" x14ac:dyDescent="0.25">
      <c r="A56" s="330" t="s">
        <v>346</v>
      </c>
      <c r="B56" s="331" t="s">
        <v>160</v>
      </c>
      <c r="C56" s="330" t="s">
        <v>363</v>
      </c>
      <c r="D56" s="332">
        <v>64.099999999999994</v>
      </c>
      <c r="E56" s="332">
        <v>27.36</v>
      </c>
      <c r="F56" s="332">
        <v>30.68</v>
      </c>
      <c r="G56" s="332">
        <v>28.6</v>
      </c>
      <c r="H56" s="332">
        <v>28.15</v>
      </c>
      <c r="I56" s="332">
        <v>19.2</v>
      </c>
      <c r="J56" s="332">
        <v>20.38</v>
      </c>
      <c r="K56" s="332">
        <v>29.29</v>
      </c>
      <c r="L56" s="332">
        <v>72.03</v>
      </c>
      <c r="M56" s="332">
        <v>76.849999999999994</v>
      </c>
      <c r="N56" s="332">
        <v>22.46</v>
      </c>
      <c r="O56" s="332">
        <v>17.989999999999998</v>
      </c>
      <c r="P56" s="106">
        <f t="shared" si="6"/>
        <v>437.09</v>
      </c>
      <c r="Q56" s="85">
        <f t="shared" si="7"/>
        <v>36.424166666666665</v>
      </c>
      <c r="R56" s="85">
        <f t="shared" si="8"/>
        <v>1.1975068493150685</v>
      </c>
    </row>
    <row r="57" spans="1:18" s="53" customFormat="1" ht="16.5" customHeight="1" x14ac:dyDescent="0.25">
      <c r="A57" s="330" t="s">
        <v>346</v>
      </c>
      <c r="B57" s="331" t="s">
        <v>222</v>
      </c>
      <c r="C57" s="330" t="s">
        <v>363</v>
      </c>
      <c r="D57" s="332">
        <v>30.02</v>
      </c>
      <c r="E57" s="332">
        <v>27.13</v>
      </c>
      <c r="F57" s="332">
        <v>28.5</v>
      </c>
      <c r="G57" s="332">
        <v>10.02</v>
      </c>
      <c r="H57" s="332">
        <v>0</v>
      </c>
      <c r="I57" s="332">
        <v>2.64</v>
      </c>
      <c r="J57" s="332">
        <v>10.17</v>
      </c>
      <c r="K57" s="333">
        <v>29.16</v>
      </c>
      <c r="L57" s="332">
        <v>41.06</v>
      </c>
      <c r="M57" s="332">
        <v>66</v>
      </c>
      <c r="N57" s="332">
        <v>48.87</v>
      </c>
      <c r="O57" s="332">
        <v>26.82</v>
      </c>
      <c r="P57" s="106">
        <f t="shared" si="6"/>
        <v>320.39</v>
      </c>
      <c r="Q57" s="85">
        <f t="shared" si="7"/>
        <v>26.699166666666667</v>
      </c>
      <c r="R57" s="85">
        <f t="shared" si="8"/>
        <v>0.87778082191780815</v>
      </c>
    </row>
    <row r="58" spans="1:18" s="102" customFormat="1" ht="15.75" customHeight="1" x14ac:dyDescent="0.25">
      <c r="A58" s="330" t="s">
        <v>346</v>
      </c>
      <c r="B58" s="331" t="s">
        <v>223</v>
      </c>
      <c r="C58" s="330" t="s">
        <v>363</v>
      </c>
      <c r="D58" s="332">
        <v>15.13</v>
      </c>
      <c r="E58" s="332">
        <v>9.99</v>
      </c>
      <c r="F58" s="332">
        <v>11.91</v>
      </c>
      <c r="G58" s="332">
        <v>18.04</v>
      </c>
      <c r="H58" s="332">
        <v>12.13</v>
      </c>
      <c r="I58" s="332">
        <v>12.63</v>
      </c>
      <c r="J58" s="332">
        <v>14.14</v>
      </c>
      <c r="K58" s="332">
        <v>18.649999999999999</v>
      </c>
      <c r="L58" s="332">
        <v>12.87</v>
      </c>
      <c r="M58" s="332">
        <v>10.66</v>
      </c>
      <c r="N58" s="332">
        <v>12.61</v>
      </c>
      <c r="O58" s="332">
        <v>16.149999999999999</v>
      </c>
      <c r="P58" s="106">
        <f t="shared" si="6"/>
        <v>164.91</v>
      </c>
      <c r="Q58" s="85">
        <f t="shared" si="7"/>
        <v>13.7425</v>
      </c>
      <c r="R58" s="85">
        <f t="shared" si="8"/>
        <v>0.45180821917808217</v>
      </c>
    </row>
    <row r="59" spans="1:18" s="102" customFormat="1" ht="15.75" customHeight="1" x14ac:dyDescent="0.25">
      <c r="A59" s="330" t="s">
        <v>346</v>
      </c>
      <c r="B59" s="330" t="s">
        <v>436</v>
      </c>
      <c r="C59" s="330" t="s">
        <v>363</v>
      </c>
      <c r="D59" s="332">
        <v>122.51</v>
      </c>
      <c r="E59" s="332">
        <v>93.34</v>
      </c>
      <c r="F59" s="332">
        <v>79.05</v>
      </c>
      <c r="G59" s="332">
        <v>0</v>
      </c>
      <c r="H59" s="332">
        <v>0</v>
      </c>
      <c r="I59" s="332">
        <v>0</v>
      </c>
      <c r="J59" s="332">
        <v>0</v>
      </c>
      <c r="K59" s="333">
        <v>0</v>
      </c>
      <c r="L59" s="332">
        <v>0</v>
      </c>
      <c r="M59" s="332">
        <v>0</v>
      </c>
      <c r="N59" s="332">
        <v>0</v>
      </c>
      <c r="O59" s="332">
        <v>0</v>
      </c>
      <c r="P59" s="106">
        <f t="shared" si="6"/>
        <v>294.90000000000003</v>
      </c>
      <c r="Q59" s="85">
        <f t="shared" si="7"/>
        <v>24.575000000000003</v>
      </c>
      <c r="R59" s="85">
        <f t="shared" si="8"/>
        <v>0.80794520547945214</v>
      </c>
    </row>
    <row r="60" spans="1:18" s="102" customFormat="1" x14ac:dyDescent="0.25">
      <c r="A60" s="330" t="s">
        <v>346</v>
      </c>
      <c r="B60" s="330" t="s">
        <v>349</v>
      </c>
      <c r="C60" s="330" t="s">
        <v>363</v>
      </c>
      <c r="D60" s="332">
        <v>0.67</v>
      </c>
      <c r="E60" s="332">
        <v>0.19</v>
      </c>
      <c r="F60" s="332">
        <v>0.75</v>
      </c>
      <c r="G60" s="332">
        <v>0.47</v>
      </c>
      <c r="H60" s="332">
        <v>0.49</v>
      </c>
      <c r="I60" s="332">
        <v>0</v>
      </c>
      <c r="J60" s="332">
        <v>0.87</v>
      </c>
      <c r="K60" s="333">
        <v>0.35</v>
      </c>
      <c r="L60" s="332">
        <v>0.59</v>
      </c>
      <c r="M60" s="332">
        <v>0.6</v>
      </c>
      <c r="N60" s="332">
        <v>0.51</v>
      </c>
      <c r="O60" s="332">
        <v>0.15</v>
      </c>
      <c r="P60" s="106">
        <f t="shared" si="6"/>
        <v>5.6400000000000006</v>
      </c>
      <c r="Q60" s="85">
        <f t="shared" si="7"/>
        <v>0.47000000000000003</v>
      </c>
      <c r="R60" s="85">
        <f t="shared" si="8"/>
        <v>1.545205479452055E-2</v>
      </c>
    </row>
    <row r="61" spans="1:18" s="102" customFormat="1" x14ac:dyDescent="0.25">
      <c r="A61" s="330" t="s">
        <v>346</v>
      </c>
      <c r="B61" s="330" t="s">
        <v>437</v>
      </c>
      <c r="C61" s="330" t="s">
        <v>363</v>
      </c>
      <c r="D61" s="332">
        <v>0</v>
      </c>
      <c r="E61" s="332">
        <v>0</v>
      </c>
      <c r="F61" s="332">
        <v>0</v>
      </c>
      <c r="G61" s="332">
        <v>0</v>
      </c>
      <c r="H61" s="332">
        <v>5.53</v>
      </c>
      <c r="I61" s="332">
        <v>0</v>
      </c>
      <c r="J61" s="333">
        <v>0</v>
      </c>
      <c r="K61" s="333">
        <v>0</v>
      </c>
      <c r="L61" s="332">
        <v>0</v>
      </c>
      <c r="M61" s="332">
        <v>4.24</v>
      </c>
      <c r="N61" s="332">
        <v>0</v>
      </c>
      <c r="O61" s="332">
        <v>0</v>
      </c>
      <c r="P61" s="106">
        <f t="shared" si="6"/>
        <v>9.77</v>
      </c>
      <c r="Q61" s="85">
        <f t="shared" si="7"/>
        <v>0.81416666666666659</v>
      </c>
      <c r="R61" s="85">
        <f t="shared" si="8"/>
        <v>2.6767123287671231E-2</v>
      </c>
    </row>
    <row r="62" spans="1:18" s="102" customFormat="1" x14ac:dyDescent="0.25">
      <c r="A62" s="330" t="s">
        <v>346</v>
      </c>
      <c r="B62" s="330" t="s">
        <v>350</v>
      </c>
      <c r="C62" s="330" t="s">
        <v>363</v>
      </c>
      <c r="D62" s="332">
        <v>54</v>
      </c>
      <c r="E62" s="332">
        <v>53.58</v>
      </c>
      <c r="F62" s="332">
        <v>60.54</v>
      </c>
      <c r="G62" s="332">
        <v>87.34</v>
      </c>
      <c r="H62" s="332">
        <v>63.38</v>
      </c>
      <c r="I62" s="332">
        <v>50.95</v>
      </c>
      <c r="J62" s="332">
        <v>60.51</v>
      </c>
      <c r="K62" s="333">
        <v>62.44</v>
      </c>
      <c r="L62" s="332">
        <v>67.77</v>
      </c>
      <c r="M62" s="332">
        <v>59.62</v>
      </c>
      <c r="N62" s="332">
        <v>103.02</v>
      </c>
      <c r="O62" s="332">
        <v>65.739999999999995</v>
      </c>
      <c r="P62" s="106">
        <f t="shared" si="6"/>
        <v>788.89</v>
      </c>
      <c r="Q62" s="85">
        <f t="shared" si="7"/>
        <v>65.740833333333327</v>
      </c>
      <c r="R62" s="85">
        <f t="shared" si="8"/>
        <v>2.1613424657534246</v>
      </c>
    </row>
    <row r="63" spans="1:18" s="102" customFormat="1" x14ac:dyDescent="0.25">
      <c r="A63" s="330" t="s">
        <v>346</v>
      </c>
      <c r="B63" s="330" t="s">
        <v>351</v>
      </c>
      <c r="C63" s="330" t="s">
        <v>363</v>
      </c>
      <c r="D63" s="332">
        <v>1.07</v>
      </c>
      <c r="E63" s="332">
        <v>1.07</v>
      </c>
      <c r="F63" s="332">
        <v>0</v>
      </c>
      <c r="G63" s="332">
        <v>1.1200000000000001</v>
      </c>
      <c r="H63" s="332">
        <v>0</v>
      </c>
      <c r="I63" s="332">
        <v>0.99</v>
      </c>
      <c r="J63" s="332">
        <v>0.96</v>
      </c>
      <c r="K63" s="333">
        <v>0.88</v>
      </c>
      <c r="L63" s="332">
        <v>0</v>
      </c>
      <c r="M63" s="332">
        <v>1.1499999999999999</v>
      </c>
      <c r="N63" s="332">
        <v>0</v>
      </c>
      <c r="O63" s="332">
        <v>0.96</v>
      </c>
      <c r="P63" s="106">
        <f t="shared" si="6"/>
        <v>8.1999999999999993</v>
      </c>
      <c r="Q63" s="85">
        <f t="shared" si="7"/>
        <v>0.68333333333333324</v>
      </c>
      <c r="R63" s="85">
        <f t="shared" si="8"/>
        <v>2.2465753424657533E-2</v>
      </c>
    </row>
    <row r="64" spans="1:18" s="102" customFormat="1" x14ac:dyDescent="0.25">
      <c r="A64" s="330" t="s">
        <v>346</v>
      </c>
      <c r="B64" s="330" t="s">
        <v>352</v>
      </c>
      <c r="C64" s="330" t="s">
        <v>363</v>
      </c>
      <c r="D64" s="332">
        <v>0</v>
      </c>
      <c r="E64" s="332">
        <v>2.7</v>
      </c>
      <c r="F64" s="332">
        <v>0</v>
      </c>
      <c r="G64" s="332">
        <v>0</v>
      </c>
      <c r="H64" s="332">
        <v>0</v>
      </c>
      <c r="I64" s="332">
        <v>0</v>
      </c>
      <c r="J64" s="332">
        <v>0</v>
      </c>
      <c r="K64" s="333">
        <v>159.65</v>
      </c>
      <c r="L64" s="332">
        <v>0</v>
      </c>
      <c r="M64" s="332">
        <v>0</v>
      </c>
      <c r="N64" s="332">
        <v>125.13</v>
      </c>
      <c r="O64" s="332">
        <v>0</v>
      </c>
      <c r="P64" s="106">
        <f t="shared" si="6"/>
        <v>287.48</v>
      </c>
      <c r="Q64" s="85">
        <f t="shared" si="7"/>
        <v>23.956666666666667</v>
      </c>
      <c r="R64" s="85">
        <f t="shared" si="8"/>
        <v>0.78761643835616446</v>
      </c>
    </row>
    <row r="65" spans="1:18" s="102" customFormat="1" x14ac:dyDescent="0.25">
      <c r="A65" s="330" t="s">
        <v>346</v>
      </c>
      <c r="B65" s="330" t="s">
        <v>438</v>
      </c>
      <c r="C65" s="330" t="s">
        <v>363</v>
      </c>
      <c r="D65" s="332">
        <v>0</v>
      </c>
      <c r="E65" s="332">
        <v>0</v>
      </c>
      <c r="F65" s="332">
        <v>0</v>
      </c>
      <c r="G65" s="332">
        <v>75.010000000000005</v>
      </c>
      <c r="H65" s="332">
        <v>0</v>
      </c>
      <c r="I65" s="332">
        <v>0</v>
      </c>
      <c r="J65" s="332">
        <v>0</v>
      </c>
      <c r="K65" s="333">
        <v>0</v>
      </c>
      <c r="L65" s="332">
        <v>0</v>
      </c>
      <c r="M65" s="332">
        <v>0</v>
      </c>
      <c r="N65" s="332">
        <v>0</v>
      </c>
      <c r="O65" s="332">
        <v>0</v>
      </c>
      <c r="P65" s="106">
        <f t="shared" si="6"/>
        <v>75.010000000000005</v>
      </c>
      <c r="Q65" s="85">
        <f t="shared" si="7"/>
        <v>6.2508333333333335</v>
      </c>
      <c r="R65" s="85">
        <f t="shared" si="8"/>
        <v>0.20550684931506852</v>
      </c>
    </row>
    <row r="66" spans="1:18" s="102" customFormat="1" x14ac:dyDescent="0.25">
      <c r="A66" s="330" t="s">
        <v>346</v>
      </c>
      <c r="B66" s="330" t="s">
        <v>439</v>
      </c>
      <c r="C66" s="330" t="s">
        <v>363</v>
      </c>
      <c r="D66" s="332">
        <v>0</v>
      </c>
      <c r="E66" s="332">
        <v>0</v>
      </c>
      <c r="F66" s="332">
        <v>0</v>
      </c>
      <c r="G66" s="332">
        <v>0</v>
      </c>
      <c r="H66" s="332">
        <v>0</v>
      </c>
      <c r="I66" s="332">
        <v>0.02</v>
      </c>
      <c r="J66" s="332">
        <v>0</v>
      </c>
      <c r="K66" s="333">
        <v>0</v>
      </c>
      <c r="L66" s="332">
        <v>0</v>
      </c>
      <c r="M66" s="332">
        <v>0</v>
      </c>
      <c r="N66" s="332">
        <v>0</v>
      </c>
      <c r="O66" s="332">
        <v>0</v>
      </c>
      <c r="P66" s="106">
        <f t="shared" si="6"/>
        <v>0.02</v>
      </c>
      <c r="Q66" s="85">
        <f t="shared" si="7"/>
        <v>1.6666666666666668E-3</v>
      </c>
      <c r="R66" s="85">
        <f t="shared" si="8"/>
        <v>5.4794520547945207E-5</v>
      </c>
    </row>
    <row r="67" spans="1:18" s="102" customFormat="1" x14ac:dyDescent="0.25">
      <c r="A67" s="330" t="s">
        <v>346</v>
      </c>
      <c r="B67" s="330" t="s">
        <v>440</v>
      </c>
      <c r="C67" s="330" t="s">
        <v>363</v>
      </c>
      <c r="D67" s="332">
        <v>0</v>
      </c>
      <c r="E67" s="332">
        <v>0</v>
      </c>
      <c r="F67" s="332">
        <v>0</v>
      </c>
      <c r="G67" s="332">
        <v>73.33</v>
      </c>
      <c r="H67" s="332">
        <v>93.94</v>
      </c>
      <c r="I67" s="332">
        <v>84.65</v>
      </c>
      <c r="J67" s="332">
        <v>94.26</v>
      </c>
      <c r="K67" s="333">
        <v>84.44</v>
      </c>
      <c r="L67" s="332">
        <v>86.09</v>
      </c>
      <c r="M67" s="332">
        <v>83.69</v>
      </c>
      <c r="N67" s="332">
        <v>79.61</v>
      </c>
      <c r="O67" s="332">
        <v>46.68</v>
      </c>
      <c r="P67" s="106">
        <f t="shared" si="6"/>
        <v>726.69</v>
      </c>
      <c r="Q67" s="85">
        <f t="shared" si="7"/>
        <v>60.557500000000005</v>
      </c>
      <c r="R67" s="85">
        <f t="shared" si="8"/>
        <v>1.9909315068493152</v>
      </c>
    </row>
    <row r="68" spans="1:18" s="102" customFormat="1" x14ac:dyDescent="0.25">
      <c r="A68" s="330" t="s">
        <v>346</v>
      </c>
      <c r="B68" s="330" t="s">
        <v>441</v>
      </c>
      <c r="C68" s="330" t="s">
        <v>363</v>
      </c>
      <c r="D68" s="332">
        <v>0</v>
      </c>
      <c r="E68" s="332">
        <v>49.55</v>
      </c>
      <c r="F68" s="332">
        <v>18.8</v>
      </c>
      <c r="G68" s="332">
        <v>14</v>
      </c>
      <c r="H68" s="332">
        <v>69.599999999999994</v>
      </c>
      <c r="I68" s="332">
        <v>81.48</v>
      </c>
      <c r="J68" s="332">
        <v>61.87</v>
      </c>
      <c r="K68" s="333">
        <v>100.6</v>
      </c>
      <c r="L68" s="332">
        <v>34.83</v>
      </c>
      <c r="M68" s="332">
        <v>33.58</v>
      </c>
      <c r="N68" s="332">
        <v>30.76</v>
      </c>
      <c r="O68" s="332">
        <v>9.23</v>
      </c>
      <c r="P68" s="106">
        <f t="shared" si="6"/>
        <v>504.29999999999995</v>
      </c>
      <c r="Q68" s="85">
        <f t="shared" si="7"/>
        <v>42.024999999999999</v>
      </c>
      <c r="R68" s="85">
        <f t="shared" si="8"/>
        <v>1.3816438356164382</v>
      </c>
    </row>
    <row r="69" spans="1:18" s="102" customFormat="1" x14ac:dyDescent="0.25">
      <c r="A69" s="330" t="s">
        <v>346</v>
      </c>
      <c r="B69" s="330" t="s">
        <v>442</v>
      </c>
      <c r="C69" s="330" t="s">
        <v>363</v>
      </c>
      <c r="D69" s="332">
        <v>0</v>
      </c>
      <c r="E69" s="332">
        <v>0</v>
      </c>
      <c r="F69" s="332">
        <v>0</v>
      </c>
      <c r="G69" s="332">
        <v>0</v>
      </c>
      <c r="H69" s="332">
        <v>0</v>
      </c>
      <c r="I69" s="332">
        <v>0</v>
      </c>
      <c r="J69" s="332">
        <v>0</v>
      </c>
      <c r="K69" s="333">
        <v>0</v>
      </c>
      <c r="L69" s="332">
        <v>0</v>
      </c>
      <c r="M69" s="332">
        <v>2.5299999999999998</v>
      </c>
      <c r="N69" s="332">
        <v>0.27</v>
      </c>
      <c r="O69" s="332">
        <v>0</v>
      </c>
      <c r="P69" s="106">
        <f t="shared" si="6"/>
        <v>2.8</v>
      </c>
      <c r="Q69" s="85">
        <f t="shared" si="7"/>
        <v>0.23333333333333331</v>
      </c>
      <c r="R69" s="85">
        <f t="shared" si="8"/>
        <v>7.6712328767123287E-3</v>
      </c>
    </row>
    <row r="70" spans="1:18" s="102" customFormat="1" x14ac:dyDescent="0.25">
      <c r="A70" s="330" t="s">
        <v>346</v>
      </c>
      <c r="B70" s="330" t="s">
        <v>443</v>
      </c>
      <c r="C70" s="330" t="s">
        <v>363</v>
      </c>
      <c r="D70" s="332">
        <v>0</v>
      </c>
      <c r="E70" s="332">
        <v>0</v>
      </c>
      <c r="F70" s="332">
        <v>0</v>
      </c>
      <c r="G70" s="332">
        <v>0.65</v>
      </c>
      <c r="H70" s="332">
        <v>0</v>
      </c>
      <c r="I70" s="332">
        <v>0</v>
      </c>
      <c r="J70" s="332">
        <v>0</v>
      </c>
      <c r="K70" s="333">
        <v>0</v>
      </c>
      <c r="L70" s="332">
        <v>0</v>
      </c>
      <c r="M70" s="332">
        <v>0</v>
      </c>
      <c r="N70" s="332">
        <v>0</v>
      </c>
      <c r="O70" s="332">
        <v>0</v>
      </c>
      <c r="P70" s="106">
        <f t="shared" si="6"/>
        <v>0.65</v>
      </c>
      <c r="Q70" s="85">
        <f t="shared" si="7"/>
        <v>5.4166666666666669E-2</v>
      </c>
      <c r="R70" s="85">
        <f t="shared" si="8"/>
        <v>1.7808219178082193E-3</v>
      </c>
    </row>
    <row r="71" spans="1:18" s="102" customFormat="1" x14ac:dyDescent="0.25">
      <c r="A71" s="330" t="s">
        <v>346</v>
      </c>
      <c r="B71" s="330" t="s">
        <v>444</v>
      </c>
      <c r="C71" s="330" t="s">
        <v>363</v>
      </c>
      <c r="D71" s="332">
        <v>0</v>
      </c>
      <c r="E71" s="332">
        <v>0</v>
      </c>
      <c r="F71" s="332">
        <v>0</v>
      </c>
      <c r="G71" s="332">
        <v>0</v>
      </c>
      <c r="H71" s="332">
        <v>0.28000000000000003</v>
      </c>
      <c r="I71" s="332">
        <v>0</v>
      </c>
      <c r="J71" s="332">
        <v>0</v>
      </c>
      <c r="K71" s="333">
        <v>0</v>
      </c>
      <c r="L71" s="332">
        <v>0</v>
      </c>
      <c r="M71" s="332">
        <v>0</v>
      </c>
      <c r="N71" s="332">
        <v>0</v>
      </c>
      <c r="O71" s="332">
        <v>0</v>
      </c>
      <c r="P71" s="106">
        <f t="shared" si="6"/>
        <v>0.28000000000000003</v>
      </c>
      <c r="Q71" s="85">
        <f t="shared" si="7"/>
        <v>2.3333333333333334E-2</v>
      </c>
      <c r="R71" s="85">
        <f t="shared" si="8"/>
        <v>7.6712328767123295E-4</v>
      </c>
    </row>
    <row r="72" spans="1:18" s="102" customFormat="1" x14ac:dyDescent="0.25">
      <c r="A72" s="345"/>
      <c r="B72" s="345" t="s">
        <v>399</v>
      </c>
      <c r="C72" s="345" t="s">
        <v>363</v>
      </c>
      <c r="D72" s="125">
        <f>SUM(D40:D71)</f>
        <v>1441.9200000000003</v>
      </c>
      <c r="E72" s="125">
        <f t="shared" ref="E72:O72" si="9">SUM(E40:E71)</f>
        <v>841.34000000000026</v>
      </c>
      <c r="F72" s="125">
        <f t="shared" si="9"/>
        <v>896.1099999999999</v>
      </c>
      <c r="G72" s="125">
        <f t="shared" si="9"/>
        <v>894.2</v>
      </c>
      <c r="H72" s="125">
        <f t="shared" si="9"/>
        <v>935.68999999999994</v>
      </c>
      <c r="I72" s="125">
        <f t="shared" si="9"/>
        <v>851.41000000000008</v>
      </c>
      <c r="J72" s="125">
        <f t="shared" si="9"/>
        <v>1003.73</v>
      </c>
      <c r="K72" s="125">
        <f t="shared" si="9"/>
        <v>1241.28</v>
      </c>
      <c r="L72" s="125">
        <f t="shared" si="9"/>
        <v>1051.29</v>
      </c>
      <c r="M72" s="125">
        <f t="shared" si="9"/>
        <v>1174.32</v>
      </c>
      <c r="N72" s="125">
        <f t="shared" si="9"/>
        <v>1230.33</v>
      </c>
      <c r="O72" s="125">
        <f t="shared" si="9"/>
        <v>755.62</v>
      </c>
      <c r="P72" s="106">
        <f t="shared" si="6"/>
        <v>12317.24</v>
      </c>
      <c r="Q72" s="85">
        <f t="shared" si="7"/>
        <v>1026.4366666666667</v>
      </c>
      <c r="R72" s="85">
        <f t="shared" si="8"/>
        <v>33.745863013698632</v>
      </c>
    </row>
    <row r="73" spans="1:18" s="102" customFormat="1" x14ac:dyDescent="0.25">
      <c r="A73" s="346"/>
      <c r="B73" s="346"/>
      <c r="C73" s="346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06">
        <f t="shared" si="6"/>
        <v>0</v>
      </c>
      <c r="Q73" s="85">
        <f t="shared" si="7"/>
        <v>0</v>
      </c>
      <c r="R73" s="85">
        <f t="shared" si="8"/>
        <v>0</v>
      </c>
    </row>
    <row r="74" spans="1:18" s="102" customFormat="1" x14ac:dyDescent="0.25">
      <c r="A74" s="346"/>
      <c r="B74" s="17" t="s">
        <v>364</v>
      </c>
      <c r="C74" s="17"/>
      <c r="D74" s="347">
        <f t="shared" ref="D74:O74" si="10">D72+D39</f>
        <v>26796.330000000005</v>
      </c>
      <c r="E74" s="347">
        <f t="shared" si="10"/>
        <v>22174.899999999998</v>
      </c>
      <c r="F74" s="347">
        <f t="shared" si="10"/>
        <v>25679.329999999994</v>
      </c>
      <c r="G74" s="347">
        <f t="shared" si="10"/>
        <v>26671.48000000001</v>
      </c>
      <c r="H74" s="347">
        <f t="shared" si="10"/>
        <v>31783.740000000005</v>
      </c>
      <c r="I74" s="347">
        <f t="shared" si="10"/>
        <v>27067</v>
      </c>
      <c r="J74" s="347">
        <f t="shared" si="10"/>
        <v>14189.72</v>
      </c>
      <c r="K74" s="347">
        <f t="shared" si="10"/>
        <v>14051.61</v>
      </c>
      <c r="L74" s="347">
        <f t="shared" si="10"/>
        <v>12639.670000000002</v>
      </c>
      <c r="M74" s="347">
        <f t="shared" si="10"/>
        <v>13781.52</v>
      </c>
      <c r="N74" s="347">
        <f t="shared" si="10"/>
        <v>12624.05</v>
      </c>
      <c r="O74" s="347">
        <f t="shared" si="10"/>
        <v>12613.679999999998</v>
      </c>
      <c r="P74" s="106">
        <f t="shared" si="6"/>
        <v>240073.03000000003</v>
      </c>
      <c r="Q74" s="85">
        <f t="shared" si="7"/>
        <v>20006.085833333334</v>
      </c>
      <c r="R74" s="85">
        <f t="shared" si="8"/>
        <v>657.73432876712332</v>
      </c>
    </row>
    <row r="75" spans="1:18" s="102" customFormat="1" x14ac:dyDescent="0.25">
      <c r="A75" s="103"/>
      <c r="P75" s="107"/>
    </row>
    <row r="76" spans="1:18" s="102" customFormat="1" x14ac:dyDescent="0.25">
      <c r="A76" s="103"/>
      <c r="P76" s="107"/>
    </row>
    <row r="77" spans="1:18" s="102" customFormat="1" x14ac:dyDescent="0.25">
      <c r="A77" s="103"/>
      <c r="P77" s="107"/>
    </row>
    <row r="78" spans="1:18" s="102" customFormat="1" x14ac:dyDescent="0.25">
      <c r="A78" s="103"/>
      <c r="P78" s="107"/>
    </row>
    <row r="79" spans="1:18" s="102" customFormat="1" x14ac:dyDescent="0.25">
      <c r="A79" s="103"/>
      <c r="P79" s="107"/>
    </row>
    <row r="80" spans="1:18" s="102" customFormat="1" x14ac:dyDescent="0.25">
      <c r="A80" s="103"/>
      <c r="P80" s="107"/>
    </row>
    <row r="81" spans="1:16" s="102" customFormat="1" x14ac:dyDescent="0.25">
      <c r="A81" s="103"/>
      <c r="P81" s="107"/>
    </row>
    <row r="82" spans="1:16" s="102" customFormat="1" x14ac:dyDescent="0.25">
      <c r="A82" s="103"/>
      <c r="P82" s="107"/>
    </row>
    <row r="83" spans="1:16" s="102" customFormat="1" x14ac:dyDescent="0.25">
      <c r="A83" s="103"/>
      <c r="P83" s="107"/>
    </row>
    <row r="84" spans="1:16" s="102" customFormat="1" x14ac:dyDescent="0.25">
      <c r="A84" s="103"/>
      <c r="P84" s="107"/>
    </row>
    <row r="85" spans="1:16" s="102" customFormat="1" x14ac:dyDescent="0.25">
      <c r="A85" s="103"/>
      <c r="P85" s="107"/>
    </row>
    <row r="86" spans="1:16" s="102" customFormat="1" x14ac:dyDescent="0.25">
      <c r="A86" s="103"/>
      <c r="P86" s="107"/>
    </row>
  </sheetData>
  <sortState ref="A8:R74">
    <sortCondition descending="1" ref="A8"/>
  </sortState>
  <mergeCells count="11">
    <mergeCell ref="A1:R1"/>
    <mergeCell ref="A2:R2"/>
    <mergeCell ref="B3:P3"/>
    <mergeCell ref="Q5:Q6"/>
    <mergeCell ref="R5:R6"/>
    <mergeCell ref="P5:P6"/>
    <mergeCell ref="A4:P4"/>
    <mergeCell ref="B5:B6"/>
    <mergeCell ref="A5:A6"/>
    <mergeCell ref="C5:C6"/>
    <mergeCell ref="D5:O5"/>
  </mergeCells>
  <printOptions horizontalCentered="1"/>
  <pageMargins left="0.51181102362204722" right="0.51181102362204722" top="0.55118110236220474" bottom="0.55118110236220474" header="0.31496062992125984" footer="0.31496062992125984"/>
  <pageSetup scale="48" fitToHeight="0" orientation="landscape" r:id="rId1"/>
  <headerFooter>
    <oddFooter>&amp;L&amp;D&amp;RPág. 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sqref="A1:XFD2"/>
    </sheetView>
  </sheetViews>
  <sheetFormatPr baseColWidth="10" defaultColWidth="11.5703125" defaultRowHeight="15" x14ac:dyDescent="0.25"/>
  <cols>
    <col min="1" max="1" width="16.42578125" style="22" bestFit="1" customWidth="1"/>
    <col min="2" max="2" width="23.140625" style="22" bestFit="1" customWidth="1"/>
    <col min="3" max="3" width="11.42578125" style="22"/>
    <col min="4" max="5" width="15.28515625" style="22" customWidth="1"/>
    <col min="6" max="7" width="12.28515625" style="22" customWidth="1"/>
    <col min="8" max="9" width="13.140625" style="22" customWidth="1"/>
    <col min="10" max="11" width="15" style="22" customWidth="1"/>
    <col min="12" max="13" width="14" style="22" customWidth="1"/>
    <col min="14" max="15" width="13" style="22" customWidth="1"/>
    <col min="16" max="16" width="13.42578125" style="22" customWidth="1"/>
    <col min="17" max="16384" width="11.5703125" style="22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s="97" customFormat="1" x14ac:dyDescent="0.25"/>
    <row r="4" spans="1:18" s="97" customFormat="1" x14ac:dyDescent="0.25">
      <c r="A4" s="17"/>
      <c r="B4" s="374" t="s">
        <v>26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6"/>
    </row>
    <row r="5" spans="1:18" x14ac:dyDescent="0.25">
      <c r="A5" s="17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x14ac:dyDescent="0.25">
      <c r="A6" s="365" t="s">
        <v>1</v>
      </c>
      <c r="B6" s="379" t="s">
        <v>2</v>
      </c>
      <c r="C6" s="365" t="s">
        <v>402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57" t="s">
        <v>3</v>
      </c>
      <c r="P6" s="357" t="s">
        <v>121</v>
      </c>
      <c r="Q6" s="357" t="s">
        <v>184</v>
      </c>
    </row>
    <row r="7" spans="1:18" x14ac:dyDescent="0.25">
      <c r="A7" s="365"/>
      <c r="B7" s="365"/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  <c r="L7" s="31" t="s">
        <v>13</v>
      </c>
      <c r="M7" s="31" t="s">
        <v>14</v>
      </c>
      <c r="N7" s="31" t="s">
        <v>15</v>
      </c>
      <c r="O7" s="358"/>
      <c r="P7" s="358"/>
      <c r="Q7" s="358"/>
    </row>
    <row r="8" spans="1:18" x14ac:dyDescent="0.25">
      <c r="A8" s="18" t="s">
        <v>27</v>
      </c>
      <c r="B8" s="19" t="s">
        <v>28</v>
      </c>
      <c r="C8" s="308">
        <v>113</v>
      </c>
      <c r="D8" s="308">
        <v>85</v>
      </c>
      <c r="E8" s="308">
        <v>92</v>
      </c>
      <c r="F8" s="308">
        <v>96</v>
      </c>
      <c r="G8" s="308">
        <v>98</v>
      </c>
      <c r="H8" s="308">
        <v>88</v>
      </c>
      <c r="I8" s="308">
        <v>111</v>
      </c>
      <c r="J8" s="308">
        <v>118</v>
      </c>
      <c r="K8" s="308">
        <v>116</v>
      </c>
      <c r="L8" s="308">
        <v>117</v>
      </c>
      <c r="M8" s="308">
        <v>92</v>
      </c>
      <c r="N8" s="308">
        <v>114</v>
      </c>
      <c r="O8" s="12">
        <f>SUM(C8:N8)</f>
        <v>1240</v>
      </c>
      <c r="P8" s="74">
        <f>SUM(O8/12)</f>
        <v>103.33333333333333</v>
      </c>
      <c r="Q8" s="74">
        <f>SUM(O8/365)</f>
        <v>3.3972602739726026</v>
      </c>
    </row>
    <row r="9" spans="1:18" x14ac:dyDescent="0.25">
      <c r="A9" s="368" t="s">
        <v>25</v>
      </c>
      <c r="B9" s="369"/>
      <c r="O9" s="95"/>
      <c r="P9" s="54"/>
      <c r="Q9" s="54"/>
    </row>
    <row r="10" spans="1:18" x14ac:dyDescent="0.25">
      <c r="P10" s="23"/>
    </row>
    <row r="11" spans="1:18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</sheetData>
  <mergeCells count="10">
    <mergeCell ref="A1:R1"/>
    <mergeCell ref="A2:R2"/>
    <mergeCell ref="Q6:Q7"/>
    <mergeCell ref="A9:B9"/>
    <mergeCell ref="B4:P4"/>
    <mergeCell ref="A6:A7"/>
    <mergeCell ref="B6:B7"/>
    <mergeCell ref="C6:N6"/>
    <mergeCell ref="O6:O7"/>
    <mergeCell ref="P6:P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80" zoomScaleNormal="80" workbookViewId="0">
      <pane xSplit="2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sqref="A1:XFD2"/>
    </sheetView>
  </sheetViews>
  <sheetFormatPr baseColWidth="10" defaultColWidth="11.5703125" defaultRowHeight="15" x14ac:dyDescent="0.25"/>
  <cols>
    <col min="1" max="1" width="15.85546875" style="97" customWidth="1"/>
    <col min="2" max="2" width="33.5703125" style="97" customWidth="1"/>
    <col min="3" max="3" width="17.7109375" style="97" hidden="1" customWidth="1"/>
    <col min="4" max="11" width="11.5703125" style="97"/>
    <col min="12" max="12" width="13" style="97" customWidth="1"/>
    <col min="13" max="13" width="11.5703125" style="97"/>
    <col min="14" max="14" width="12.140625" style="97" customWidth="1"/>
    <col min="15" max="15" width="11.5703125" style="97"/>
    <col min="16" max="16" width="13.28515625" style="97" customWidth="1"/>
    <col min="17" max="17" width="13.5703125" style="97" bestFit="1" customWidth="1"/>
    <col min="18" max="18" width="12.42578125" style="97" bestFit="1" customWidth="1"/>
    <col min="19" max="16384" width="11.5703125" style="97"/>
  </cols>
  <sheetData>
    <row r="1" spans="1:2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2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28" x14ac:dyDescent="0.25">
      <c r="A3" s="382" t="s">
        <v>403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3"/>
    </row>
    <row r="4" spans="1:28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4"/>
    </row>
    <row r="5" spans="1:28" x14ac:dyDescent="0.25">
      <c r="A5" s="384" t="s">
        <v>1</v>
      </c>
      <c r="B5" s="379" t="s">
        <v>2</v>
      </c>
      <c r="C5" s="178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57" t="s">
        <v>3</v>
      </c>
      <c r="Q5" s="357" t="s">
        <v>121</v>
      </c>
      <c r="R5" s="357" t="s">
        <v>184</v>
      </c>
    </row>
    <row r="6" spans="1:28" x14ac:dyDescent="0.25">
      <c r="A6" s="385"/>
      <c r="B6" s="384"/>
      <c r="C6" s="179"/>
      <c r="D6" s="119" t="s">
        <v>4</v>
      </c>
      <c r="E6" s="119" t="s">
        <v>5</v>
      </c>
      <c r="F6" s="119" t="s">
        <v>6</v>
      </c>
      <c r="G6" s="119" t="s">
        <v>7</v>
      </c>
      <c r="H6" s="119" t="s">
        <v>8</v>
      </c>
      <c r="I6" s="119" t="s">
        <v>9</v>
      </c>
      <c r="J6" s="119" t="s">
        <v>10</v>
      </c>
      <c r="K6" s="119" t="s">
        <v>11</v>
      </c>
      <c r="L6" s="119" t="s">
        <v>12</v>
      </c>
      <c r="M6" s="119" t="s">
        <v>13</v>
      </c>
      <c r="N6" s="119" t="s">
        <v>14</v>
      </c>
      <c r="O6" s="119" t="s">
        <v>15</v>
      </c>
      <c r="P6" s="358"/>
      <c r="Q6" s="358"/>
      <c r="R6" s="358"/>
    </row>
    <row r="7" spans="1:28" x14ac:dyDescent="0.25">
      <c r="A7" s="67" t="s">
        <v>27</v>
      </c>
      <c r="B7" s="3" t="s">
        <v>316</v>
      </c>
      <c r="C7" s="3" t="s">
        <v>366</v>
      </c>
      <c r="D7" s="3">
        <v>436.54</v>
      </c>
      <c r="E7" s="3">
        <v>384.02</v>
      </c>
      <c r="F7" s="3">
        <v>470.16</v>
      </c>
      <c r="G7" s="3">
        <v>572.29</v>
      </c>
      <c r="H7" s="3">
        <v>636.17999999999995</v>
      </c>
      <c r="I7" s="3">
        <v>522.34</v>
      </c>
      <c r="J7" s="3">
        <v>575.32000000000005</v>
      </c>
      <c r="K7" s="3">
        <v>543.09</v>
      </c>
      <c r="L7" s="3">
        <v>516.09</v>
      </c>
      <c r="M7" s="55">
        <v>577.99</v>
      </c>
      <c r="N7" s="55">
        <v>451.71</v>
      </c>
      <c r="O7" s="55">
        <v>442.75</v>
      </c>
      <c r="P7" s="117">
        <f t="shared" ref="P7:P15" si="0">SUM(D7:O7)</f>
        <v>6128.4800000000005</v>
      </c>
      <c r="Q7" s="55">
        <f t="shared" ref="Q7:Q14" si="1">SUM(P7/12)</f>
        <v>510.70666666666671</v>
      </c>
      <c r="R7" s="55">
        <f t="shared" ref="R7:R14" si="2">SUM(P7/365)</f>
        <v>16.790356164383564</v>
      </c>
    </row>
    <row r="8" spans="1:28" x14ac:dyDescent="0.25">
      <c r="A8" s="67" t="s">
        <v>203</v>
      </c>
      <c r="B8" s="3" t="s">
        <v>318</v>
      </c>
      <c r="C8" s="3" t="s">
        <v>366</v>
      </c>
      <c r="D8" s="3">
        <v>117.46</v>
      </c>
      <c r="E8" s="3">
        <v>100.83</v>
      </c>
      <c r="F8" s="3">
        <v>105.69</v>
      </c>
      <c r="G8" s="3">
        <v>122.75</v>
      </c>
      <c r="H8" s="3">
        <v>124.26</v>
      </c>
      <c r="I8" s="3">
        <v>125.1</v>
      </c>
      <c r="J8" s="73">
        <v>144.04</v>
      </c>
      <c r="K8" s="73">
        <v>145.53</v>
      </c>
      <c r="L8" s="73">
        <v>134.80000000000001</v>
      </c>
      <c r="M8" s="73">
        <v>135.51</v>
      </c>
      <c r="N8" s="73">
        <v>122.42</v>
      </c>
      <c r="O8" s="73">
        <v>117.63</v>
      </c>
      <c r="P8" s="217">
        <f t="shared" si="0"/>
        <v>1496.02</v>
      </c>
      <c r="Q8" s="55">
        <f t="shared" si="1"/>
        <v>124.66833333333334</v>
      </c>
      <c r="R8" s="55">
        <f t="shared" si="2"/>
        <v>4.098684931506849</v>
      </c>
    </row>
    <row r="9" spans="1:28" x14ac:dyDescent="0.25">
      <c r="A9" s="67" t="s">
        <v>203</v>
      </c>
      <c r="B9" s="73" t="s">
        <v>322</v>
      </c>
      <c r="C9" s="3" t="s">
        <v>366</v>
      </c>
      <c r="D9" s="73">
        <v>42.22</v>
      </c>
      <c r="E9" s="73">
        <v>41.72</v>
      </c>
      <c r="F9" s="73">
        <v>46.19</v>
      </c>
      <c r="G9" s="73">
        <v>50.34</v>
      </c>
      <c r="H9" s="73">
        <v>49.8</v>
      </c>
      <c r="I9" s="73">
        <v>47.8</v>
      </c>
      <c r="J9" s="73">
        <v>54.01</v>
      </c>
      <c r="K9" s="73">
        <v>55.15</v>
      </c>
      <c r="L9" s="73">
        <v>48.36</v>
      </c>
      <c r="M9" s="73">
        <v>50.2</v>
      </c>
      <c r="N9" s="73">
        <v>53.41</v>
      </c>
      <c r="O9" s="73">
        <v>44.64</v>
      </c>
      <c r="P9" s="348">
        <f t="shared" si="0"/>
        <v>583.83999999999992</v>
      </c>
      <c r="Q9" s="73">
        <f t="shared" si="1"/>
        <v>48.653333333333329</v>
      </c>
      <c r="R9" s="55">
        <f t="shared" si="2"/>
        <v>1.5995616438356162</v>
      </c>
    </row>
    <row r="10" spans="1:28" x14ac:dyDescent="0.25">
      <c r="A10" s="67" t="s">
        <v>203</v>
      </c>
      <c r="B10" s="73" t="s">
        <v>326</v>
      </c>
      <c r="C10" s="3" t="s">
        <v>366</v>
      </c>
      <c r="D10" s="73">
        <v>89.44</v>
      </c>
      <c r="E10" s="73">
        <v>80.900000000000006</v>
      </c>
      <c r="F10" s="73">
        <v>97.53</v>
      </c>
      <c r="G10" s="73">
        <v>115.43</v>
      </c>
      <c r="H10" s="73">
        <v>111.77</v>
      </c>
      <c r="I10" s="73">
        <v>94.63</v>
      </c>
      <c r="J10" s="73">
        <v>120.18</v>
      </c>
      <c r="K10" s="73">
        <v>118.33</v>
      </c>
      <c r="L10" s="73">
        <v>101.28</v>
      </c>
      <c r="M10" s="123">
        <v>112.89</v>
      </c>
      <c r="N10" s="123">
        <v>104.43</v>
      </c>
      <c r="O10" s="73">
        <v>95.2</v>
      </c>
      <c r="P10" s="219">
        <f t="shared" si="0"/>
        <v>1242.0100000000002</v>
      </c>
      <c r="Q10" s="73">
        <f t="shared" si="1"/>
        <v>103.50083333333335</v>
      </c>
      <c r="R10" s="55">
        <f t="shared" si="2"/>
        <v>3.4027671232876719</v>
      </c>
    </row>
    <row r="11" spans="1:28" x14ac:dyDescent="0.25">
      <c r="A11" s="186" t="s">
        <v>203</v>
      </c>
      <c r="B11" s="73" t="s">
        <v>332</v>
      </c>
      <c r="C11" s="3" t="s">
        <v>366</v>
      </c>
      <c r="D11" s="73">
        <v>27.02</v>
      </c>
      <c r="E11" s="73">
        <v>34.64</v>
      </c>
      <c r="F11" s="73">
        <v>26.05</v>
      </c>
      <c r="G11" s="73">
        <v>23.99</v>
      </c>
      <c r="H11" s="73">
        <v>27.86</v>
      </c>
      <c r="I11" s="73">
        <v>29.29</v>
      </c>
      <c r="J11" s="73">
        <v>36.76</v>
      </c>
      <c r="K11" s="73">
        <v>43.03</v>
      </c>
      <c r="L11" s="73">
        <v>42.55</v>
      </c>
      <c r="M11" s="123">
        <v>33.840000000000003</v>
      </c>
      <c r="N11" s="123">
        <v>18.760000000000002</v>
      </c>
      <c r="O11" s="73">
        <v>24</v>
      </c>
      <c r="P11" s="218">
        <f t="shared" si="0"/>
        <v>367.78999999999996</v>
      </c>
      <c r="Q11" s="73">
        <f t="shared" si="1"/>
        <v>30.649166666666662</v>
      </c>
      <c r="R11" s="55">
        <f t="shared" si="2"/>
        <v>1.0076438356164383</v>
      </c>
    </row>
    <row r="12" spans="1:28" x14ac:dyDescent="0.25">
      <c r="A12" s="186" t="s">
        <v>203</v>
      </c>
      <c r="B12" s="73" t="s">
        <v>335</v>
      </c>
      <c r="C12" s="3" t="s">
        <v>366</v>
      </c>
      <c r="D12" s="73">
        <v>70.5</v>
      </c>
      <c r="E12" s="73">
        <v>63.24</v>
      </c>
      <c r="F12" s="73">
        <v>68.19</v>
      </c>
      <c r="G12" s="73">
        <v>75.819999999999993</v>
      </c>
      <c r="H12" s="73">
        <v>84.4</v>
      </c>
      <c r="I12" s="73">
        <v>71.25</v>
      </c>
      <c r="J12" s="73">
        <v>82.55</v>
      </c>
      <c r="K12" s="73">
        <v>95.37</v>
      </c>
      <c r="L12" s="73">
        <v>76.23</v>
      </c>
      <c r="M12" s="73">
        <v>83.66</v>
      </c>
      <c r="N12" s="73">
        <v>76</v>
      </c>
      <c r="O12" s="73">
        <v>68.75</v>
      </c>
      <c r="P12" s="218">
        <f t="shared" si="0"/>
        <v>915.95999999999992</v>
      </c>
      <c r="Q12" s="73">
        <f t="shared" si="1"/>
        <v>76.33</v>
      </c>
      <c r="R12" s="55">
        <f t="shared" si="2"/>
        <v>2.5094794520547943</v>
      </c>
    </row>
    <row r="13" spans="1:28" x14ac:dyDescent="0.25">
      <c r="A13" s="186" t="s">
        <v>19</v>
      </c>
      <c r="B13" s="73" t="s">
        <v>337</v>
      </c>
      <c r="C13" s="3" t="s">
        <v>366</v>
      </c>
      <c r="D13" s="73">
        <v>41.84</v>
      </c>
      <c r="E13" s="73">
        <v>36.57</v>
      </c>
      <c r="F13" s="73">
        <v>42.73</v>
      </c>
      <c r="G13" s="73">
        <v>49.66</v>
      </c>
      <c r="H13" s="73">
        <v>48.51</v>
      </c>
      <c r="I13" s="73">
        <v>41.79</v>
      </c>
      <c r="J13" s="73">
        <v>55.58</v>
      </c>
      <c r="K13" s="73">
        <v>53.26</v>
      </c>
      <c r="L13" s="73">
        <v>48.89</v>
      </c>
      <c r="M13" s="73">
        <v>46.9</v>
      </c>
      <c r="N13" s="73">
        <v>44.81</v>
      </c>
      <c r="O13" s="73">
        <v>46.28</v>
      </c>
      <c r="P13" s="219">
        <f t="shared" si="0"/>
        <v>556.81999999999994</v>
      </c>
      <c r="Q13" s="73">
        <f t="shared" si="1"/>
        <v>46.401666666666664</v>
      </c>
      <c r="R13" s="55">
        <f t="shared" si="2"/>
        <v>1.5255342465753423</v>
      </c>
    </row>
    <row r="14" spans="1:28" x14ac:dyDescent="0.25">
      <c r="A14" s="67" t="s">
        <v>29</v>
      </c>
      <c r="B14" s="73" t="s">
        <v>393</v>
      </c>
      <c r="C14" s="3" t="s">
        <v>366</v>
      </c>
      <c r="D14" s="80">
        <v>2.89</v>
      </c>
      <c r="E14" s="80">
        <v>1.85</v>
      </c>
      <c r="F14" s="79">
        <v>2.2000000000000002</v>
      </c>
      <c r="G14" s="80">
        <v>1.94</v>
      </c>
      <c r="H14" s="80">
        <v>1.44</v>
      </c>
      <c r="I14" s="79">
        <v>2</v>
      </c>
      <c r="J14" s="80">
        <v>1.41</v>
      </c>
      <c r="K14" s="80">
        <v>1.72</v>
      </c>
      <c r="L14" s="309">
        <v>1.81</v>
      </c>
      <c r="M14" s="79">
        <v>1.57</v>
      </c>
      <c r="N14" s="79">
        <v>1.63</v>
      </c>
      <c r="O14" s="79">
        <v>2.62</v>
      </c>
      <c r="P14" s="117">
        <f t="shared" si="0"/>
        <v>23.080000000000002</v>
      </c>
      <c r="Q14" s="55">
        <f t="shared" si="1"/>
        <v>1.9233333333333336</v>
      </c>
      <c r="R14" s="55">
        <f t="shared" si="2"/>
        <v>6.3232876712328773E-2</v>
      </c>
    </row>
    <row r="15" spans="1:28" x14ac:dyDescent="0.25">
      <c r="A15" s="186" t="s">
        <v>29</v>
      </c>
      <c r="B15" s="73" t="s">
        <v>394</v>
      </c>
      <c r="C15" s="3" t="s">
        <v>366</v>
      </c>
      <c r="D15" s="79">
        <v>16.8</v>
      </c>
      <c r="E15" s="79">
        <v>19.829999999999998</v>
      </c>
      <c r="F15" s="79">
        <v>22.24</v>
      </c>
      <c r="G15" s="79"/>
      <c r="H15" s="79"/>
      <c r="I15" s="310"/>
      <c r="J15" s="311"/>
      <c r="K15" s="79"/>
      <c r="L15" s="79"/>
      <c r="M15" s="79"/>
      <c r="N15" s="79"/>
      <c r="O15" s="79"/>
      <c r="P15" s="117">
        <f t="shared" si="0"/>
        <v>58.86999999999999</v>
      </c>
      <c r="Q15" s="55">
        <f t="shared" ref="Q15" si="3">SUM(P15/12)</f>
        <v>4.9058333333333328</v>
      </c>
      <c r="R15" s="55">
        <f t="shared" ref="R15" si="4">SUM(P15/365)</f>
        <v>0.16128767123287668</v>
      </c>
      <c r="S15" s="120"/>
      <c r="T15" s="121"/>
      <c r="U15" s="121"/>
      <c r="V15" s="121"/>
      <c r="W15" s="121"/>
      <c r="X15" s="122"/>
      <c r="Y15" s="122"/>
      <c r="Z15" s="122"/>
      <c r="AA15" s="122"/>
      <c r="AB15" s="122"/>
    </row>
    <row r="16" spans="1:28" x14ac:dyDescent="0.25">
      <c r="A16" s="67" t="s">
        <v>27</v>
      </c>
      <c r="B16" s="73" t="s">
        <v>395</v>
      </c>
      <c r="C16" s="3" t="s">
        <v>366</v>
      </c>
      <c r="D16" s="3">
        <v>1.88</v>
      </c>
      <c r="E16" s="40">
        <v>2.4500000000000002</v>
      </c>
      <c r="F16" s="40">
        <v>2.4900000000000002</v>
      </c>
      <c r="G16" s="40">
        <v>3.08</v>
      </c>
      <c r="H16" s="40">
        <v>3.36</v>
      </c>
      <c r="I16" s="40">
        <v>2.5299999999999998</v>
      </c>
      <c r="J16" s="40">
        <v>3.52</v>
      </c>
      <c r="K16" s="40">
        <v>2.3199999999999998</v>
      </c>
      <c r="L16" s="40">
        <v>2.14</v>
      </c>
      <c r="M16" s="40">
        <v>2.0499999999999998</v>
      </c>
      <c r="N16" s="40">
        <v>2.25</v>
      </c>
      <c r="O16" s="40">
        <v>3.7</v>
      </c>
      <c r="P16" s="220">
        <f t="shared" ref="P16:P26" si="5">SUM(D16:O16)</f>
        <v>31.77</v>
      </c>
      <c r="Q16" s="55">
        <f t="shared" ref="Q16:Q26" si="6">SUM(P16/12)</f>
        <v>2.6475</v>
      </c>
      <c r="R16" s="55">
        <f t="shared" ref="R16:R26" si="7">SUM(P16/365)</f>
        <v>8.7041095890410952E-2</v>
      </c>
    </row>
    <row r="17" spans="1:18" x14ac:dyDescent="0.25">
      <c r="A17" s="67" t="s">
        <v>27</v>
      </c>
      <c r="B17" s="73" t="s">
        <v>321</v>
      </c>
      <c r="C17" s="3" t="s">
        <v>366</v>
      </c>
      <c r="D17" s="73">
        <v>41.16</v>
      </c>
      <c r="E17" s="73">
        <v>39.96</v>
      </c>
      <c r="F17" s="73">
        <v>47.37</v>
      </c>
      <c r="G17" s="73">
        <v>52.41</v>
      </c>
      <c r="H17" s="73">
        <v>47.45</v>
      </c>
      <c r="I17" s="73">
        <v>46.04</v>
      </c>
      <c r="J17" s="73">
        <v>61.68</v>
      </c>
      <c r="K17" s="73">
        <v>49.09</v>
      </c>
      <c r="L17" s="73">
        <v>42.55</v>
      </c>
      <c r="M17" s="73">
        <v>45.63</v>
      </c>
      <c r="N17" s="73">
        <v>46.81</v>
      </c>
      <c r="O17" s="73">
        <v>42.9</v>
      </c>
      <c r="P17" s="218">
        <f t="shared" si="5"/>
        <v>563.05000000000007</v>
      </c>
      <c r="Q17" s="73">
        <f t="shared" si="6"/>
        <v>46.920833333333341</v>
      </c>
      <c r="R17" s="55">
        <f t="shared" si="7"/>
        <v>1.5426027397260276</v>
      </c>
    </row>
    <row r="18" spans="1:18" x14ac:dyDescent="0.25">
      <c r="A18" s="67" t="s">
        <v>27</v>
      </c>
      <c r="B18" s="73" t="s">
        <v>323</v>
      </c>
      <c r="C18" s="3" t="s">
        <v>366</v>
      </c>
      <c r="D18" s="73">
        <v>104.62</v>
      </c>
      <c r="E18" s="73">
        <v>97.21</v>
      </c>
      <c r="F18" s="73">
        <v>158.61000000000001</v>
      </c>
      <c r="G18" s="73">
        <v>180.21</v>
      </c>
      <c r="H18" s="73">
        <v>181.92</v>
      </c>
      <c r="I18" s="73">
        <v>157.4</v>
      </c>
      <c r="J18" s="73">
        <v>524.85</v>
      </c>
      <c r="K18" s="73">
        <v>105.38</v>
      </c>
      <c r="L18" s="73">
        <v>115.38</v>
      </c>
      <c r="M18" s="73">
        <v>121.84</v>
      </c>
      <c r="N18" s="73">
        <v>135.91999999999999</v>
      </c>
      <c r="O18" s="73">
        <v>103.68</v>
      </c>
      <c r="P18" s="218">
        <f t="shared" si="5"/>
        <v>1987.02</v>
      </c>
      <c r="Q18" s="73">
        <f t="shared" si="6"/>
        <v>165.58500000000001</v>
      </c>
      <c r="R18" s="55">
        <f t="shared" si="7"/>
        <v>5.4438904109589039</v>
      </c>
    </row>
    <row r="19" spans="1:18" x14ac:dyDescent="0.25">
      <c r="A19" s="187" t="s">
        <v>27</v>
      </c>
      <c r="B19" s="73" t="s">
        <v>325</v>
      </c>
      <c r="C19" s="3" t="s">
        <v>366</v>
      </c>
      <c r="D19" s="73">
        <v>330.35</v>
      </c>
      <c r="E19" s="73">
        <v>259.83999999999997</v>
      </c>
      <c r="F19" s="73">
        <v>293.13</v>
      </c>
      <c r="G19" s="73">
        <v>336.93</v>
      </c>
      <c r="H19" s="73">
        <v>352.27</v>
      </c>
      <c r="I19" s="73">
        <v>322.04000000000002</v>
      </c>
      <c r="J19" s="123">
        <v>386.22</v>
      </c>
      <c r="K19" s="73">
        <v>381.1</v>
      </c>
      <c r="L19" s="73">
        <v>326.27</v>
      </c>
      <c r="M19" s="73">
        <v>320.06</v>
      </c>
      <c r="N19" s="73">
        <v>281.18</v>
      </c>
      <c r="O19" s="73">
        <v>292.8</v>
      </c>
      <c r="P19" s="219">
        <f t="shared" si="5"/>
        <v>3882.1899999999996</v>
      </c>
      <c r="Q19" s="73">
        <f t="shared" si="6"/>
        <v>323.51583333333332</v>
      </c>
      <c r="R19" s="55">
        <f t="shared" si="7"/>
        <v>10.636136986301368</v>
      </c>
    </row>
    <row r="20" spans="1:18" x14ac:dyDescent="0.25">
      <c r="A20" s="187" t="s">
        <v>27</v>
      </c>
      <c r="B20" s="73" t="s">
        <v>327</v>
      </c>
      <c r="C20" s="3" t="s">
        <v>366</v>
      </c>
      <c r="D20" s="73">
        <v>292.87</v>
      </c>
      <c r="E20" s="73">
        <v>262.08</v>
      </c>
      <c r="F20" s="73">
        <v>305.29000000000002</v>
      </c>
      <c r="G20" s="73">
        <v>366.41</v>
      </c>
      <c r="H20" s="73">
        <v>379.48</v>
      </c>
      <c r="I20" s="73">
        <v>355.32</v>
      </c>
      <c r="J20" s="73">
        <v>385.75</v>
      </c>
      <c r="K20" s="73">
        <v>374.73</v>
      </c>
      <c r="L20" s="73">
        <v>315.29000000000002</v>
      </c>
      <c r="M20" s="73">
        <v>356.42</v>
      </c>
      <c r="N20" s="73">
        <v>332.69</v>
      </c>
      <c r="O20" s="73">
        <v>327.31</v>
      </c>
      <c r="P20" s="219">
        <f t="shared" si="5"/>
        <v>4053.64</v>
      </c>
      <c r="Q20" s="73">
        <f t="shared" si="6"/>
        <v>337.80333333333334</v>
      </c>
      <c r="R20" s="55">
        <f t="shared" si="7"/>
        <v>11.105863013698629</v>
      </c>
    </row>
    <row r="21" spans="1:18" x14ac:dyDescent="0.25">
      <c r="A21" s="187" t="s">
        <v>27</v>
      </c>
      <c r="B21" s="73" t="s">
        <v>396</v>
      </c>
      <c r="C21" s="3" t="s">
        <v>366</v>
      </c>
      <c r="D21" s="73">
        <v>103.77</v>
      </c>
      <c r="E21" s="73">
        <v>79.989999999999995</v>
      </c>
      <c r="F21" s="73">
        <v>92.28</v>
      </c>
      <c r="G21" s="73">
        <v>100.6</v>
      </c>
      <c r="H21" s="73">
        <v>127.26</v>
      </c>
      <c r="I21" s="73">
        <v>109.83</v>
      </c>
      <c r="J21" s="73">
        <v>133.68</v>
      </c>
      <c r="K21" s="73">
        <v>114.71</v>
      </c>
      <c r="L21" s="73">
        <v>101.39</v>
      </c>
      <c r="M21" s="73">
        <v>112.8</v>
      </c>
      <c r="N21" s="123">
        <v>89.78</v>
      </c>
      <c r="O21" s="73">
        <v>89.5</v>
      </c>
      <c r="P21" s="219">
        <f t="shared" si="5"/>
        <v>1255.5900000000001</v>
      </c>
      <c r="Q21" s="73">
        <f t="shared" si="6"/>
        <v>104.63250000000001</v>
      </c>
      <c r="R21" s="55">
        <f t="shared" si="7"/>
        <v>3.4399726027397266</v>
      </c>
    </row>
    <row r="22" spans="1:18" x14ac:dyDescent="0.25">
      <c r="A22" s="68" t="s">
        <v>27</v>
      </c>
      <c r="B22" s="73" t="s">
        <v>329</v>
      </c>
      <c r="C22" s="3" t="s">
        <v>366</v>
      </c>
      <c r="D22" s="73">
        <v>86.98</v>
      </c>
      <c r="E22" s="73">
        <v>67.650000000000006</v>
      </c>
      <c r="F22" s="73">
        <v>76.72</v>
      </c>
      <c r="G22" s="73">
        <v>95.45</v>
      </c>
      <c r="H22" s="73">
        <v>98.11</v>
      </c>
      <c r="I22" s="73">
        <v>89.68</v>
      </c>
      <c r="J22" s="73">
        <v>106.94</v>
      </c>
      <c r="K22" s="73">
        <v>104.48</v>
      </c>
      <c r="L22" s="73">
        <v>86</v>
      </c>
      <c r="M22" s="73">
        <v>90.27</v>
      </c>
      <c r="N22" s="73">
        <v>81.459999999999994</v>
      </c>
      <c r="O22" s="73">
        <v>82.73</v>
      </c>
      <c r="P22" s="219">
        <f t="shared" si="5"/>
        <v>1066.47</v>
      </c>
      <c r="Q22" s="73">
        <f t="shared" si="6"/>
        <v>88.872500000000002</v>
      </c>
      <c r="R22" s="55">
        <f t="shared" si="7"/>
        <v>2.9218356164383561</v>
      </c>
    </row>
    <row r="23" spans="1:18" x14ac:dyDescent="0.25">
      <c r="A23" s="68" t="s">
        <v>27</v>
      </c>
      <c r="B23" s="73" t="s">
        <v>397</v>
      </c>
      <c r="C23" s="3" t="s">
        <v>366</v>
      </c>
      <c r="D23" s="73">
        <v>299.95</v>
      </c>
      <c r="E23" s="73">
        <v>261.64999999999998</v>
      </c>
      <c r="F23" s="73">
        <v>302.99</v>
      </c>
      <c r="G23" s="73">
        <v>322.35000000000002</v>
      </c>
      <c r="H23" s="73">
        <v>365.14</v>
      </c>
      <c r="I23" s="73">
        <v>341.72</v>
      </c>
      <c r="J23" s="123">
        <v>365.18</v>
      </c>
      <c r="K23" s="73">
        <v>364.28</v>
      </c>
      <c r="L23" s="73">
        <v>310.87</v>
      </c>
      <c r="M23" s="73">
        <v>344.27</v>
      </c>
      <c r="N23" s="73">
        <v>316.72000000000003</v>
      </c>
      <c r="O23" s="73">
        <v>327.52</v>
      </c>
      <c r="P23" s="219">
        <f t="shared" si="5"/>
        <v>3922.64</v>
      </c>
      <c r="Q23" s="73">
        <f t="shared" si="6"/>
        <v>326.88666666666666</v>
      </c>
      <c r="R23" s="55">
        <f t="shared" si="7"/>
        <v>10.746958904109588</v>
      </c>
    </row>
    <row r="24" spans="1:18" x14ac:dyDescent="0.25">
      <c r="A24" s="66" t="s">
        <v>27</v>
      </c>
      <c r="B24" s="73" t="s">
        <v>333</v>
      </c>
      <c r="C24" s="3" t="s">
        <v>366</v>
      </c>
      <c r="D24" s="73">
        <v>74.95</v>
      </c>
      <c r="E24" s="73">
        <v>71.7</v>
      </c>
      <c r="F24" s="73">
        <v>78.3</v>
      </c>
      <c r="G24" s="73">
        <v>96.48</v>
      </c>
      <c r="H24" s="73">
        <v>88.39</v>
      </c>
      <c r="I24" s="73">
        <v>96.33</v>
      </c>
      <c r="J24" s="73">
        <v>121</v>
      </c>
      <c r="K24" s="73">
        <v>100.83</v>
      </c>
      <c r="L24" s="73">
        <v>77.88</v>
      </c>
      <c r="M24" s="73">
        <v>80.3</v>
      </c>
      <c r="N24" s="73">
        <v>87.12</v>
      </c>
      <c r="O24" s="73">
        <v>75</v>
      </c>
      <c r="P24" s="219">
        <f t="shared" si="5"/>
        <v>1048.28</v>
      </c>
      <c r="Q24" s="73">
        <f t="shared" si="6"/>
        <v>87.356666666666669</v>
      </c>
      <c r="R24" s="55">
        <f t="shared" si="7"/>
        <v>2.8719999999999999</v>
      </c>
    </row>
    <row r="25" spans="1:18" x14ac:dyDescent="0.25">
      <c r="A25" s="66" t="s">
        <v>27</v>
      </c>
      <c r="B25" s="73" t="s">
        <v>398</v>
      </c>
      <c r="C25" s="3" t="s">
        <v>366</v>
      </c>
      <c r="D25" s="73">
        <v>30.61</v>
      </c>
      <c r="E25" s="73">
        <v>28.3</v>
      </c>
      <c r="F25" s="73">
        <v>28.17</v>
      </c>
      <c r="G25" s="73">
        <v>36.92</v>
      </c>
      <c r="H25" s="73">
        <v>36.99</v>
      </c>
      <c r="I25" s="73">
        <v>23.47</v>
      </c>
      <c r="J25" s="73">
        <v>46.26</v>
      </c>
      <c r="K25" s="73">
        <v>38.25</v>
      </c>
      <c r="L25" s="73">
        <v>25.04</v>
      </c>
      <c r="M25" s="73">
        <v>38.9</v>
      </c>
      <c r="N25" s="73">
        <v>35.07</v>
      </c>
      <c r="O25" s="73">
        <v>21.44</v>
      </c>
      <c r="P25" s="218">
        <f t="shared" si="5"/>
        <v>389.42</v>
      </c>
      <c r="Q25" s="73">
        <f t="shared" si="6"/>
        <v>32.451666666666668</v>
      </c>
      <c r="R25" s="55">
        <f t="shared" si="7"/>
        <v>1.0669041095890412</v>
      </c>
    </row>
    <row r="26" spans="1:18" x14ac:dyDescent="0.25">
      <c r="A26" s="66" t="s">
        <v>27</v>
      </c>
      <c r="B26" s="312" t="s">
        <v>27</v>
      </c>
      <c r="C26" s="3" t="s">
        <v>366</v>
      </c>
      <c r="D26" s="73">
        <v>1622.14</v>
      </c>
      <c r="E26" s="73">
        <v>1408.25</v>
      </c>
      <c r="F26" s="73">
        <v>1654.47</v>
      </c>
      <c r="G26" s="73">
        <v>1703.24</v>
      </c>
      <c r="H26" s="73">
        <v>1941.62</v>
      </c>
      <c r="I26" s="73">
        <v>1791.22</v>
      </c>
      <c r="J26" s="73">
        <v>1925.5</v>
      </c>
      <c r="K26" s="73">
        <v>1851.18</v>
      </c>
      <c r="L26" s="73">
        <v>1748.31</v>
      </c>
      <c r="M26" s="73">
        <v>1860.14</v>
      </c>
      <c r="N26" s="73">
        <v>1654.32</v>
      </c>
      <c r="O26" s="73">
        <v>1737.4</v>
      </c>
      <c r="P26" s="219">
        <f t="shared" si="5"/>
        <v>20897.79</v>
      </c>
      <c r="Q26" s="73">
        <f t="shared" si="6"/>
        <v>1741.4825000000001</v>
      </c>
      <c r="R26" s="55">
        <f t="shared" si="7"/>
        <v>57.254219178082195</v>
      </c>
    </row>
    <row r="27" spans="1:18" x14ac:dyDescent="0.25">
      <c r="A27" s="66" t="s">
        <v>27</v>
      </c>
      <c r="B27" s="313" t="s">
        <v>334</v>
      </c>
      <c r="C27" s="3" t="s">
        <v>366</v>
      </c>
      <c r="D27" s="73">
        <v>556.91999999999996</v>
      </c>
      <c r="E27" s="73">
        <v>497.21</v>
      </c>
      <c r="F27" s="73">
        <v>573.26</v>
      </c>
      <c r="G27" s="73">
        <v>604.61</v>
      </c>
      <c r="H27" s="73">
        <v>724.46</v>
      </c>
      <c r="I27" s="73">
        <v>663.8</v>
      </c>
      <c r="J27" s="73">
        <v>717.98</v>
      </c>
      <c r="K27" s="73">
        <v>703.03</v>
      </c>
      <c r="L27" s="73">
        <v>603.70000000000005</v>
      </c>
      <c r="M27" s="73">
        <v>671.84</v>
      </c>
      <c r="N27" s="73">
        <v>596.63</v>
      </c>
      <c r="O27" s="73">
        <v>608.30999999999995</v>
      </c>
      <c r="P27" s="218">
        <f>SUM(D27:O27)</f>
        <v>7521.75</v>
      </c>
      <c r="Q27" s="73">
        <f>SUM(P27/12)</f>
        <v>626.8125</v>
      </c>
      <c r="R27" s="55">
        <f>SUM(P27/365)</f>
        <v>20.607534246575341</v>
      </c>
    </row>
    <row r="28" spans="1:18" x14ac:dyDescent="0.25">
      <c r="A28" s="66" t="s">
        <v>19</v>
      </c>
      <c r="B28" s="314" t="s">
        <v>317</v>
      </c>
      <c r="C28" s="3" t="s">
        <v>366</v>
      </c>
      <c r="D28" s="3">
        <v>2245.11</v>
      </c>
      <c r="E28" s="73">
        <v>2022.41</v>
      </c>
      <c r="F28" s="73">
        <v>2175.02</v>
      </c>
      <c r="G28" s="73">
        <v>2191.79</v>
      </c>
      <c r="H28" s="73">
        <v>2543.7199999999998</v>
      </c>
      <c r="I28" s="73">
        <v>2405.14</v>
      </c>
      <c r="J28" s="73">
        <v>2550.54</v>
      </c>
      <c r="K28" s="73">
        <v>2370.41</v>
      </c>
      <c r="L28" s="73">
        <v>2321.56</v>
      </c>
      <c r="M28" s="73">
        <v>2452.7399999999998</v>
      </c>
      <c r="N28" s="73">
        <v>2229.41</v>
      </c>
      <c r="O28" s="73">
        <v>2357.8000000000002</v>
      </c>
      <c r="P28" s="219">
        <f t="shared" ref="P28:P39" si="8">SUM(D28:O28)</f>
        <v>27865.65</v>
      </c>
      <c r="Q28" s="73">
        <f t="shared" ref="Q28:Q39" si="9">SUM(P28/12)</f>
        <v>2322.1375000000003</v>
      </c>
      <c r="R28" s="55">
        <f t="shared" ref="R28:R39" si="10">SUM(P28/365)</f>
        <v>76.344246575342467</v>
      </c>
    </row>
    <row r="29" spans="1:18" x14ac:dyDescent="0.25">
      <c r="A29" s="66" t="s">
        <v>27</v>
      </c>
      <c r="B29" s="73" t="s">
        <v>319</v>
      </c>
      <c r="C29" s="3" t="s">
        <v>366</v>
      </c>
      <c r="D29" s="73">
        <v>411.31</v>
      </c>
      <c r="E29" s="73">
        <v>368.24</v>
      </c>
      <c r="F29" s="73">
        <v>391.87</v>
      </c>
      <c r="G29" s="73">
        <v>436.87</v>
      </c>
      <c r="H29" s="73">
        <v>486.61</v>
      </c>
      <c r="I29" s="73">
        <v>444.75</v>
      </c>
      <c r="J29" s="73">
        <v>483.72</v>
      </c>
      <c r="K29" s="73">
        <v>477.43</v>
      </c>
      <c r="L29" s="73">
        <v>412.03</v>
      </c>
      <c r="M29" s="73">
        <v>470.75</v>
      </c>
      <c r="N29" s="73">
        <v>418.55</v>
      </c>
      <c r="O29" s="73">
        <v>441.14</v>
      </c>
      <c r="P29" s="219">
        <f t="shared" si="8"/>
        <v>5243.27</v>
      </c>
      <c r="Q29" s="73">
        <f t="shared" si="9"/>
        <v>436.93916666666672</v>
      </c>
      <c r="R29" s="55">
        <f t="shared" si="10"/>
        <v>14.365123287671235</v>
      </c>
    </row>
    <row r="30" spans="1:18" x14ac:dyDescent="0.25">
      <c r="A30" s="66" t="s">
        <v>27</v>
      </c>
      <c r="B30" s="313" t="s">
        <v>320</v>
      </c>
      <c r="C30" s="3" t="s">
        <v>366</v>
      </c>
      <c r="D30" s="73">
        <v>57.74</v>
      </c>
      <c r="E30" s="73">
        <v>51.74</v>
      </c>
      <c r="F30" s="73">
        <v>61.8</v>
      </c>
      <c r="G30" s="73">
        <v>69.5</v>
      </c>
      <c r="H30" s="73">
        <v>73.12</v>
      </c>
      <c r="I30" s="73">
        <v>58.38</v>
      </c>
      <c r="J30" s="73">
        <v>70.88</v>
      </c>
      <c r="K30" s="73">
        <v>67.83</v>
      </c>
      <c r="L30" s="73">
        <v>65.260000000000005</v>
      </c>
      <c r="M30" s="73">
        <v>63.31</v>
      </c>
      <c r="N30" s="73">
        <v>64.66</v>
      </c>
      <c r="O30" s="73">
        <v>65.41</v>
      </c>
      <c r="P30" s="219">
        <f t="shared" si="8"/>
        <v>769.62999999999988</v>
      </c>
      <c r="Q30" s="73">
        <f t="shared" si="9"/>
        <v>64.135833333333323</v>
      </c>
      <c r="R30" s="55">
        <f t="shared" si="10"/>
        <v>2.1085753424657532</v>
      </c>
    </row>
    <row r="31" spans="1:18" x14ac:dyDescent="0.25">
      <c r="A31" s="66" t="s">
        <v>19</v>
      </c>
      <c r="B31" s="73" t="s">
        <v>391</v>
      </c>
      <c r="C31" s="3" t="s">
        <v>366</v>
      </c>
      <c r="D31" s="73">
        <v>2530.17</v>
      </c>
      <c r="E31" s="73">
        <v>2180.6</v>
      </c>
      <c r="F31" s="73">
        <v>2309.2600000000002</v>
      </c>
      <c r="G31" s="73">
        <v>2584.85</v>
      </c>
      <c r="H31" s="73">
        <v>3033.7</v>
      </c>
      <c r="I31" s="73">
        <v>2789.6</v>
      </c>
      <c r="J31" s="73">
        <v>3096.96</v>
      </c>
      <c r="K31" s="73">
        <v>2746.99</v>
      </c>
      <c r="L31" s="73">
        <v>2665.26</v>
      </c>
      <c r="M31" s="73">
        <v>2881.96</v>
      </c>
      <c r="N31" s="73">
        <v>2434.12</v>
      </c>
      <c r="O31" s="73">
        <v>2547.42</v>
      </c>
      <c r="P31" s="219">
        <f t="shared" si="8"/>
        <v>31800.890000000007</v>
      </c>
      <c r="Q31" s="73">
        <f t="shared" si="9"/>
        <v>2650.0741666666672</v>
      </c>
      <c r="R31" s="55">
        <f t="shared" si="10"/>
        <v>87.125726027397278</v>
      </c>
    </row>
    <row r="32" spans="1:18" x14ac:dyDescent="0.25">
      <c r="A32" s="66" t="s">
        <v>27</v>
      </c>
      <c r="B32" s="73" t="s">
        <v>323</v>
      </c>
      <c r="C32" s="3" t="s">
        <v>366</v>
      </c>
      <c r="D32" s="73">
        <v>478.23</v>
      </c>
      <c r="E32" s="73">
        <v>409.35</v>
      </c>
      <c r="F32" s="123">
        <v>438.92</v>
      </c>
      <c r="G32" s="73">
        <v>445.92</v>
      </c>
      <c r="H32" s="73">
        <v>481.36</v>
      </c>
      <c r="I32" s="73">
        <v>459.14</v>
      </c>
      <c r="J32" s="73">
        <v>169.07</v>
      </c>
      <c r="K32" s="73">
        <v>510.87</v>
      </c>
      <c r="L32" s="73">
        <v>445.1</v>
      </c>
      <c r="M32" s="73">
        <v>487.91</v>
      </c>
      <c r="N32" s="73">
        <v>451.65</v>
      </c>
      <c r="O32" s="73">
        <v>467.24</v>
      </c>
      <c r="P32" s="219">
        <f t="shared" si="8"/>
        <v>5244.7599999999993</v>
      </c>
      <c r="Q32" s="73">
        <f t="shared" si="9"/>
        <v>437.06333333333328</v>
      </c>
      <c r="R32" s="55">
        <f t="shared" si="10"/>
        <v>14.369205479452052</v>
      </c>
    </row>
    <row r="33" spans="1:18" x14ac:dyDescent="0.25">
      <c r="A33" s="66" t="s">
        <v>19</v>
      </c>
      <c r="B33" s="79" t="s">
        <v>324</v>
      </c>
      <c r="C33" s="3" t="s">
        <v>366</v>
      </c>
      <c r="D33" s="73">
        <v>122.79</v>
      </c>
      <c r="E33" s="73">
        <v>106.9</v>
      </c>
      <c r="F33" s="73">
        <v>116.76</v>
      </c>
      <c r="G33" s="73">
        <v>131.9</v>
      </c>
      <c r="H33" s="73">
        <v>159.47999999999999</v>
      </c>
      <c r="I33" s="73">
        <v>142.59</v>
      </c>
      <c r="J33" s="73">
        <v>151.76</v>
      </c>
      <c r="K33" s="73">
        <v>153.63</v>
      </c>
      <c r="L33" s="73">
        <v>131.69999999999999</v>
      </c>
      <c r="M33" s="73">
        <v>147.75</v>
      </c>
      <c r="N33" s="73">
        <v>120.16</v>
      </c>
      <c r="O33" s="73">
        <v>121.69</v>
      </c>
      <c r="P33" s="219">
        <f t="shared" si="8"/>
        <v>1607.1100000000001</v>
      </c>
      <c r="Q33" s="73">
        <f t="shared" si="9"/>
        <v>133.92583333333334</v>
      </c>
      <c r="R33" s="55">
        <f t="shared" si="10"/>
        <v>4.4030410958904111</v>
      </c>
    </row>
    <row r="34" spans="1:18" x14ac:dyDescent="0.25">
      <c r="A34" s="66" t="s">
        <v>19</v>
      </c>
      <c r="B34" s="73" t="s">
        <v>392</v>
      </c>
      <c r="C34" s="3" t="s">
        <v>366</v>
      </c>
      <c r="D34" s="73">
        <v>308.79000000000002</v>
      </c>
      <c r="E34" s="73">
        <v>268.02</v>
      </c>
      <c r="F34" s="73">
        <v>295.76</v>
      </c>
      <c r="G34" s="73">
        <v>301.32</v>
      </c>
      <c r="H34" s="73">
        <v>380.68</v>
      </c>
      <c r="I34" s="73">
        <v>355.54</v>
      </c>
      <c r="J34" s="73">
        <v>372.69</v>
      </c>
      <c r="K34" s="73">
        <v>367.75</v>
      </c>
      <c r="L34" s="73">
        <v>343.29</v>
      </c>
      <c r="M34" s="73">
        <v>368.53</v>
      </c>
      <c r="N34" s="73">
        <v>321.10000000000002</v>
      </c>
      <c r="O34" s="73">
        <v>322.3</v>
      </c>
      <c r="P34" s="219">
        <f t="shared" si="8"/>
        <v>4005.77</v>
      </c>
      <c r="Q34" s="73">
        <f t="shared" si="9"/>
        <v>333.81416666666667</v>
      </c>
      <c r="R34" s="55">
        <f t="shared" si="10"/>
        <v>10.974712328767124</v>
      </c>
    </row>
    <row r="35" spans="1:18" x14ac:dyDescent="0.25">
      <c r="A35" s="66" t="s">
        <v>19</v>
      </c>
      <c r="B35" s="73" t="s">
        <v>328</v>
      </c>
      <c r="C35" s="3" t="s">
        <v>366</v>
      </c>
      <c r="D35" s="73">
        <v>222.79</v>
      </c>
      <c r="E35" s="73">
        <v>201.73</v>
      </c>
      <c r="F35" s="73">
        <v>215.13</v>
      </c>
      <c r="G35" s="73">
        <v>242.78</v>
      </c>
      <c r="H35" s="73">
        <v>297.37</v>
      </c>
      <c r="I35" s="73">
        <v>262.20999999999998</v>
      </c>
      <c r="J35" s="73">
        <v>289.2</v>
      </c>
      <c r="K35" s="73">
        <v>274.11</v>
      </c>
      <c r="L35" s="73">
        <v>238.91</v>
      </c>
      <c r="M35" s="73">
        <v>269.01</v>
      </c>
      <c r="N35" s="73">
        <v>223.79</v>
      </c>
      <c r="O35" s="73">
        <v>219.28</v>
      </c>
      <c r="P35" s="219">
        <f t="shared" si="8"/>
        <v>2956.31</v>
      </c>
      <c r="Q35" s="73">
        <f t="shared" si="9"/>
        <v>246.35916666666665</v>
      </c>
      <c r="R35" s="55">
        <f t="shared" si="10"/>
        <v>8.0994794520547941</v>
      </c>
    </row>
    <row r="36" spans="1:18" x14ac:dyDescent="0.25">
      <c r="A36" s="66" t="s">
        <v>19</v>
      </c>
      <c r="B36" s="73" t="s">
        <v>330</v>
      </c>
      <c r="C36" s="3" t="s">
        <v>366</v>
      </c>
      <c r="D36" s="73">
        <v>646.66</v>
      </c>
      <c r="E36" s="73">
        <v>597.45000000000005</v>
      </c>
      <c r="F36" s="73">
        <v>633.80999999999995</v>
      </c>
      <c r="G36" s="73">
        <v>682.04</v>
      </c>
      <c r="H36" s="73">
        <v>857.36</v>
      </c>
      <c r="I36" s="73">
        <v>830.72</v>
      </c>
      <c r="J36" s="73">
        <v>822.79</v>
      </c>
      <c r="K36" s="73">
        <v>828.39</v>
      </c>
      <c r="L36" s="73">
        <v>751.11</v>
      </c>
      <c r="M36" s="73">
        <v>856.56</v>
      </c>
      <c r="N36" s="73">
        <v>703.65</v>
      </c>
      <c r="O36" s="73">
        <v>677.74</v>
      </c>
      <c r="P36" s="219">
        <f t="shared" si="8"/>
        <v>8888.2799999999988</v>
      </c>
      <c r="Q36" s="73">
        <f t="shared" si="9"/>
        <v>740.68999999999994</v>
      </c>
      <c r="R36" s="55">
        <f t="shared" si="10"/>
        <v>24.351452054794517</v>
      </c>
    </row>
    <row r="37" spans="1:18" x14ac:dyDescent="0.25">
      <c r="A37" s="66" t="s">
        <v>27</v>
      </c>
      <c r="B37" s="73" t="s">
        <v>331</v>
      </c>
      <c r="C37" s="3" t="s">
        <v>366</v>
      </c>
      <c r="D37" s="73">
        <v>163.29</v>
      </c>
      <c r="E37" s="73">
        <v>141.97999999999999</v>
      </c>
      <c r="F37" s="73">
        <v>151.07</v>
      </c>
      <c r="G37" s="73">
        <v>172.89</v>
      </c>
      <c r="H37" s="73">
        <v>191.66</v>
      </c>
      <c r="I37" s="73">
        <v>191.78</v>
      </c>
      <c r="J37" s="73">
        <v>220.21</v>
      </c>
      <c r="K37" s="73">
        <v>197.16</v>
      </c>
      <c r="L37" s="73">
        <v>176.37</v>
      </c>
      <c r="M37" s="73">
        <v>207.82</v>
      </c>
      <c r="N37" s="73">
        <v>165.8</v>
      </c>
      <c r="O37" s="73">
        <v>172.59</v>
      </c>
      <c r="P37" s="219">
        <f t="shared" si="8"/>
        <v>2152.62</v>
      </c>
      <c r="Q37" s="73">
        <f t="shared" si="9"/>
        <v>179.38499999999999</v>
      </c>
      <c r="R37" s="55">
        <f t="shared" si="10"/>
        <v>5.8975890410958902</v>
      </c>
    </row>
    <row r="38" spans="1:18" x14ac:dyDescent="0.25">
      <c r="A38" s="66" t="s">
        <v>19</v>
      </c>
      <c r="B38" s="73" t="s">
        <v>336</v>
      </c>
      <c r="C38" s="3" t="s">
        <v>366</v>
      </c>
      <c r="D38" s="73"/>
      <c r="E38" s="73"/>
      <c r="F38" s="73">
        <v>80.25</v>
      </c>
      <c r="G38" s="73">
        <v>197.56</v>
      </c>
      <c r="H38" s="73">
        <v>17.760000000000002</v>
      </c>
      <c r="I38" s="73">
        <v>17.489999999999998</v>
      </c>
      <c r="J38" s="73">
        <v>29.22</v>
      </c>
      <c r="K38" s="73">
        <v>15.32</v>
      </c>
      <c r="L38" s="73">
        <v>30.21</v>
      </c>
      <c r="M38" s="73">
        <v>4.7</v>
      </c>
      <c r="N38" s="73"/>
      <c r="O38" s="73">
        <v>6.41</v>
      </c>
      <c r="P38" s="219">
        <f t="shared" si="8"/>
        <v>398.91999999999996</v>
      </c>
      <c r="Q38" s="73">
        <f t="shared" si="9"/>
        <v>33.243333333333332</v>
      </c>
      <c r="R38" s="55">
        <f t="shared" si="10"/>
        <v>1.0929315068493151</v>
      </c>
    </row>
    <row r="39" spans="1:18" x14ac:dyDescent="0.25">
      <c r="A39" s="66" t="s">
        <v>19</v>
      </c>
      <c r="B39" s="73" t="s">
        <v>338</v>
      </c>
      <c r="C39" s="3" t="s">
        <v>366</v>
      </c>
      <c r="D39" s="317">
        <v>93.92</v>
      </c>
      <c r="E39" s="317">
        <v>80.78</v>
      </c>
      <c r="F39" s="317">
        <v>85.02</v>
      </c>
      <c r="G39" s="317">
        <v>96.91</v>
      </c>
      <c r="H39" s="317">
        <v>117.27</v>
      </c>
      <c r="I39" s="317">
        <v>105.14</v>
      </c>
      <c r="J39" s="317">
        <v>115.92</v>
      </c>
      <c r="K39" s="317">
        <v>105.43</v>
      </c>
      <c r="L39" s="317">
        <v>97.83</v>
      </c>
      <c r="M39" s="123">
        <v>95.37</v>
      </c>
      <c r="N39" s="317">
        <v>91.94</v>
      </c>
      <c r="O39" s="317">
        <v>95.22</v>
      </c>
      <c r="P39" s="318">
        <f t="shared" si="8"/>
        <v>1180.75</v>
      </c>
      <c r="Q39" s="317">
        <f t="shared" si="9"/>
        <v>98.395833333333329</v>
      </c>
      <c r="R39" s="319">
        <f t="shared" si="10"/>
        <v>3.234931506849315</v>
      </c>
    </row>
    <row r="40" spans="1:18" s="17" customFormat="1" x14ac:dyDescent="0.25">
      <c r="A40" s="315"/>
      <c r="B40" s="188" t="s">
        <v>367</v>
      </c>
      <c r="C40" s="188"/>
      <c r="D40" s="10">
        <f t="shared" ref="D40:R40" si="11">SUM(D7:D39)</f>
        <v>11671.710000000005</v>
      </c>
      <c r="E40" s="10">
        <f t="shared" si="11"/>
        <v>10269.09</v>
      </c>
      <c r="F40" s="10">
        <f t="shared" si="11"/>
        <v>11448.73</v>
      </c>
      <c r="G40" s="10">
        <f t="shared" si="11"/>
        <v>12465.24</v>
      </c>
      <c r="H40" s="10">
        <f t="shared" si="11"/>
        <v>14070.760000000002</v>
      </c>
      <c r="I40" s="10">
        <f t="shared" si="11"/>
        <v>12996.059999999998</v>
      </c>
      <c r="J40" s="10">
        <f t="shared" si="11"/>
        <v>14221.369999999999</v>
      </c>
      <c r="K40" s="10">
        <f t="shared" si="11"/>
        <v>13360.18</v>
      </c>
      <c r="L40" s="10">
        <f t="shared" si="11"/>
        <v>12403.460000000001</v>
      </c>
      <c r="M40" s="10">
        <f t="shared" si="11"/>
        <v>13393.490000000002</v>
      </c>
      <c r="N40" s="10">
        <f t="shared" si="11"/>
        <v>11757.95</v>
      </c>
      <c r="O40" s="10">
        <f t="shared" si="11"/>
        <v>12048.4</v>
      </c>
      <c r="P40" s="10">
        <f t="shared" si="11"/>
        <v>150106.44</v>
      </c>
      <c r="Q40" s="10">
        <f t="shared" si="11"/>
        <v>12508.870000000004</v>
      </c>
      <c r="R40" s="72">
        <f t="shared" si="11"/>
        <v>411.25052054794514</v>
      </c>
    </row>
    <row r="41" spans="1:18" s="17" customFormat="1" x14ac:dyDescent="0.25">
      <c r="A41" s="380"/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</row>
    <row r="42" spans="1:18" x14ac:dyDescent="0.25">
      <c r="A42" s="316" t="s">
        <v>365</v>
      </c>
      <c r="B42" s="3" t="s">
        <v>424</v>
      </c>
      <c r="C42" s="3" t="s">
        <v>366</v>
      </c>
      <c r="D42" s="3">
        <v>375.39</v>
      </c>
      <c r="E42" s="3">
        <v>320.35000000000002</v>
      </c>
      <c r="F42" s="3">
        <v>310.86</v>
      </c>
      <c r="G42" s="3">
        <v>344.03</v>
      </c>
      <c r="H42" s="3">
        <v>403.32</v>
      </c>
      <c r="I42" s="3">
        <v>371.51</v>
      </c>
      <c r="J42" s="3">
        <v>413.08</v>
      </c>
      <c r="K42" s="40">
        <v>369.1</v>
      </c>
      <c r="L42" s="3">
        <v>311.57</v>
      </c>
      <c r="M42" s="3">
        <v>320.20999999999998</v>
      </c>
      <c r="N42" s="3">
        <v>388.39</v>
      </c>
      <c r="O42" s="40">
        <v>420.9</v>
      </c>
      <c r="P42" s="318">
        <f t="shared" ref="P42" si="12">SUM(D42:O42)</f>
        <v>4348.71</v>
      </c>
      <c r="Q42" s="70">
        <f t="shared" ref="Q42" si="13">SUM(P42/12)</f>
        <v>362.39249999999998</v>
      </c>
      <c r="R42" s="9">
        <f t="shared" ref="R42" si="14">SUM(P42/365)</f>
        <v>11.914273972602739</v>
      </c>
    </row>
    <row r="43" spans="1:18" s="17" customFormat="1" x14ac:dyDescent="0.25">
      <c r="A43" s="127"/>
      <c r="B43" s="124" t="s">
        <v>425</v>
      </c>
      <c r="C43" s="3"/>
      <c r="D43" s="320">
        <v>403.93</v>
      </c>
      <c r="E43" s="320">
        <v>413.08</v>
      </c>
      <c r="F43" s="320">
        <v>368.21</v>
      </c>
      <c r="G43" s="320">
        <v>912.33</v>
      </c>
      <c r="H43" s="320">
        <v>132.16</v>
      </c>
      <c r="I43" s="320">
        <v>314.02</v>
      </c>
      <c r="J43" s="320">
        <v>668.58</v>
      </c>
      <c r="K43" s="320">
        <v>831.98</v>
      </c>
      <c r="L43" s="349">
        <v>587.79999999999995</v>
      </c>
      <c r="M43" s="320">
        <v>588.69000000000005</v>
      </c>
      <c r="N43" s="320">
        <v>349.29</v>
      </c>
      <c r="O43" s="320">
        <v>7.84</v>
      </c>
      <c r="P43" s="10">
        <f>SUM(P42)</f>
        <v>4348.71</v>
      </c>
      <c r="Q43" s="10">
        <f t="shared" ref="Q43:R43" si="15">SUM(Q42)</f>
        <v>362.39249999999998</v>
      </c>
      <c r="R43" s="10">
        <f t="shared" si="15"/>
        <v>11.914273972602739</v>
      </c>
    </row>
    <row r="44" spans="1:18" x14ac:dyDescent="0.25">
      <c r="P44" s="24"/>
    </row>
    <row r="46" spans="1:18" x14ac:dyDescent="0.25">
      <c r="M46" s="381" t="s">
        <v>426</v>
      </c>
      <c r="N46" s="381"/>
      <c r="O46" s="381"/>
      <c r="P46" s="321">
        <f>P40+P42+P43</f>
        <v>158803.85999999999</v>
      </c>
      <c r="Q46" s="70">
        <f t="shared" ref="Q46" si="16">SUM(P46/12)</f>
        <v>13233.654999999999</v>
      </c>
      <c r="R46" s="9">
        <f t="shared" ref="R46" si="17">SUM(P46/365)</f>
        <v>435.07906849315066</v>
      </c>
    </row>
    <row r="47" spans="1:18" x14ac:dyDescent="0.25">
      <c r="P47" s="30"/>
    </row>
    <row r="48" spans="1:18" x14ac:dyDescent="0.25">
      <c r="P48" s="30"/>
    </row>
    <row r="50" spans="8:8" x14ac:dyDescent="0.25">
      <c r="H50" s="30"/>
    </row>
  </sheetData>
  <sortState ref="A3:R40">
    <sortCondition ref="A28"/>
  </sortState>
  <mergeCells count="11">
    <mergeCell ref="A1:R1"/>
    <mergeCell ref="A2:R2"/>
    <mergeCell ref="A41:R41"/>
    <mergeCell ref="M46:O46"/>
    <mergeCell ref="Q5:Q6"/>
    <mergeCell ref="R5:R6"/>
    <mergeCell ref="A3:Q3"/>
    <mergeCell ref="A5:A6"/>
    <mergeCell ref="B5:B6"/>
    <mergeCell ref="D5:O5"/>
    <mergeCell ref="P5:P6"/>
  </mergeCells>
  <pageMargins left="0.25" right="0.25" top="0.75" bottom="0.75" header="0.3" footer="0.3"/>
  <pageSetup paperSize="12" scale="70" orientation="landscape" r:id="rId1"/>
  <headerFooter>
    <oddFooter>&amp;C&amp;P&amp;R&amp;A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zoomScale="89" zoomScaleNormal="89" workbookViewId="0">
      <pane xSplit="2" ySplit="3" topLeftCell="C4" activePane="bottomRight" state="frozen"/>
      <selection activeCell="O13" sqref="O13"/>
      <selection pane="topRight" activeCell="O13" sqref="O13"/>
      <selection pane="bottomLeft" activeCell="O13" sqref="O13"/>
      <selection pane="bottomRight" sqref="A1:XFD2"/>
    </sheetView>
  </sheetViews>
  <sheetFormatPr baseColWidth="10" defaultColWidth="11.42578125" defaultRowHeight="15" x14ac:dyDescent="0.25"/>
  <cols>
    <col min="1" max="1" width="16.28515625" style="16" customWidth="1"/>
    <col min="2" max="2" width="25.85546875" style="16" customWidth="1"/>
    <col min="3" max="3" width="10.42578125" style="127" customWidth="1"/>
    <col min="4" max="6" width="11.42578125" style="16" customWidth="1"/>
    <col min="7" max="7" width="11.5703125" style="16" customWidth="1"/>
    <col min="8" max="11" width="11.42578125" style="16" customWidth="1"/>
    <col min="12" max="12" width="13" style="16" customWidth="1"/>
    <col min="13" max="13" width="11.42578125" style="16" customWidth="1"/>
    <col min="14" max="14" width="12.140625" style="16" customWidth="1"/>
    <col min="15" max="15" width="11.5703125" style="16" customWidth="1"/>
    <col min="16" max="16" width="13.7109375" style="16" customWidth="1"/>
    <col min="17" max="17" width="12.5703125" style="16" customWidth="1"/>
    <col min="18" max="16384" width="11.42578125" style="16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8" x14ac:dyDescent="0.25">
      <c r="A3" s="386" t="s">
        <v>37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7"/>
    </row>
    <row r="4" spans="1:18" x14ac:dyDescent="0.25">
      <c r="A4" s="17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x14ac:dyDescent="0.25">
      <c r="A5" s="365" t="s">
        <v>1</v>
      </c>
      <c r="B5" s="379" t="s">
        <v>2</v>
      </c>
      <c r="C5" s="178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88" t="s">
        <v>3</v>
      </c>
      <c r="Q5" s="357" t="s">
        <v>121</v>
      </c>
      <c r="R5" s="357" t="s">
        <v>184</v>
      </c>
    </row>
    <row r="6" spans="1:18" x14ac:dyDescent="0.25">
      <c r="A6" s="384"/>
      <c r="B6" s="384"/>
      <c r="C6" s="179"/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14</v>
      </c>
      <c r="O6" s="45" t="s">
        <v>15</v>
      </c>
      <c r="P6" s="389"/>
      <c r="Q6" s="357"/>
      <c r="R6" s="357"/>
    </row>
    <row r="7" spans="1:18" x14ac:dyDescent="0.25">
      <c r="A7" s="101" t="s">
        <v>203</v>
      </c>
      <c r="B7" s="64" t="s">
        <v>22</v>
      </c>
      <c r="C7" s="80" t="s">
        <v>359</v>
      </c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5">
        <f t="shared" ref="P7:P40" si="0">SUM(D7:O7)</f>
        <v>0</v>
      </c>
      <c r="Q7" s="55">
        <f>SUM(P7/12)</f>
        <v>0</v>
      </c>
      <c r="R7" s="55">
        <f>SUM(P7/365)</f>
        <v>0</v>
      </c>
    </row>
    <row r="8" spans="1:18" x14ac:dyDescent="0.25">
      <c r="A8" s="101" t="s">
        <v>203</v>
      </c>
      <c r="B8" s="64" t="s">
        <v>16</v>
      </c>
      <c r="C8" s="80" t="s">
        <v>359</v>
      </c>
      <c r="D8" s="139">
        <v>1281.3699999999999</v>
      </c>
      <c r="E8" s="139">
        <v>1124.2</v>
      </c>
      <c r="F8" s="139">
        <v>1152.31</v>
      </c>
      <c r="G8" s="139">
        <v>1205.78</v>
      </c>
      <c r="H8" s="139">
        <v>1523.18</v>
      </c>
      <c r="I8" s="139">
        <v>1497.37</v>
      </c>
      <c r="J8" s="139">
        <v>1634.61</v>
      </c>
      <c r="K8" s="139">
        <v>1610.17</v>
      </c>
      <c r="L8" s="139">
        <v>1513.28</v>
      </c>
      <c r="M8" s="139">
        <v>1659.53</v>
      </c>
      <c r="N8" s="139">
        <v>1293.8699999999999</v>
      </c>
      <c r="O8" s="139">
        <v>1218.72</v>
      </c>
      <c r="P8" s="285">
        <f>SUM(D8:O8)</f>
        <v>16714.390000000003</v>
      </c>
      <c r="Q8" s="55">
        <f t="shared" ref="Q8:Q66" si="1">SUM(P8/12)</f>
        <v>1392.8658333333335</v>
      </c>
      <c r="R8" s="55">
        <f t="shared" ref="R8:R66" si="2">SUM(P8/365)</f>
        <v>45.792849315068501</v>
      </c>
    </row>
    <row r="9" spans="1:18" x14ac:dyDescent="0.25">
      <c r="A9" s="101" t="s">
        <v>29</v>
      </c>
      <c r="B9" s="64" t="s">
        <v>42</v>
      </c>
      <c r="C9" s="80" t="s">
        <v>359</v>
      </c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6"/>
      <c r="P9" s="285">
        <f t="shared" si="0"/>
        <v>0</v>
      </c>
      <c r="Q9" s="55">
        <f t="shared" si="1"/>
        <v>0</v>
      </c>
      <c r="R9" s="55">
        <f t="shared" si="2"/>
        <v>0</v>
      </c>
    </row>
    <row r="10" spans="1:18" x14ac:dyDescent="0.25">
      <c r="A10" s="101" t="s">
        <v>35</v>
      </c>
      <c r="B10" s="64" t="s">
        <v>47</v>
      </c>
      <c r="C10" s="80" t="s">
        <v>359</v>
      </c>
      <c r="D10">
        <v>1406.4770000000001</v>
      </c>
      <c r="E10">
        <v>1222.326</v>
      </c>
      <c r="F10">
        <v>1369.463</v>
      </c>
      <c r="G10">
        <v>1474.163</v>
      </c>
      <c r="H10">
        <v>1746.067</v>
      </c>
      <c r="I10">
        <v>1554.749</v>
      </c>
      <c r="J10">
        <v>1615.721</v>
      </c>
      <c r="K10">
        <v>1572.902</v>
      </c>
      <c r="L10">
        <v>1505.0070000000001</v>
      </c>
      <c r="M10">
        <v>1541.712</v>
      </c>
      <c r="N10">
        <v>1420.883</v>
      </c>
      <c r="O10">
        <v>1403.6189999999999</v>
      </c>
      <c r="P10" s="287">
        <f t="shared" si="0"/>
        <v>17833.089</v>
      </c>
      <c r="Q10" s="55">
        <f t="shared" si="1"/>
        <v>1486.0907500000001</v>
      </c>
      <c r="R10" s="55">
        <f t="shared" si="2"/>
        <v>48.857778082191778</v>
      </c>
    </row>
    <row r="11" spans="1:18" x14ac:dyDescent="0.25">
      <c r="A11" s="101" t="s">
        <v>35</v>
      </c>
      <c r="B11" s="64" t="s">
        <v>35</v>
      </c>
      <c r="C11" s="80" t="s">
        <v>359</v>
      </c>
      <c r="D11">
        <v>363.476</v>
      </c>
      <c r="E11">
        <v>177.59200000000001</v>
      </c>
      <c r="F11">
        <v>45.113999999999997</v>
      </c>
      <c r="G11" s="284"/>
      <c r="H11" s="284"/>
      <c r="I11">
        <v>4251.1109999999999</v>
      </c>
      <c r="J11">
        <v>19200.207999999999</v>
      </c>
      <c r="K11">
        <v>18216.483</v>
      </c>
      <c r="L11">
        <v>18222.679</v>
      </c>
      <c r="M11">
        <v>19577.71</v>
      </c>
      <c r="N11">
        <v>17745.241000000002</v>
      </c>
      <c r="O11">
        <v>18056.518</v>
      </c>
      <c r="P11" s="285">
        <f t="shared" si="0"/>
        <v>115856.132</v>
      </c>
      <c r="Q11" s="55">
        <f t="shared" si="1"/>
        <v>9654.6776666666665</v>
      </c>
      <c r="R11" s="55">
        <f t="shared" si="2"/>
        <v>317.41406027397261</v>
      </c>
    </row>
    <row r="12" spans="1:18" x14ac:dyDescent="0.25">
      <c r="A12" s="101" t="s">
        <v>35</v>
      </c>
      <c r="B12" s="64" t="s">
        <v>44</v>
      </c>
      <c r="C12" s="80" t="s">
        <v>359</v>
      </c>
      <c r="D12">
        <v>5221.5910000000003</v>
      </c>
      <c r="E12">
        <v>4442.5739999999996</v>
      </c>
      <c r="F12">
        <v>4951.2740000000003</v>
      </c>
      <c r="G12">
        <v>5176.585</v>
      </c>
      <c r="H12">
        <v>6067.6040000000003</v>
      </c>
      <c r="I12">
        <v>5614.9589999999998</v>
      </c>
      <c r="J12">
        <v>5883.3249999999998</v>
      </c>
      <c r="K12">
        <v>5731.8689999999997</v>
      </c>
      <c r="L12">
        <v>5528.0320000000002</v>
      </c>
      <c r="M12">
        <v>5958.3050000000003</v>
      </c>
      <c r="N12">
        <v>5426.6260000000002</v>
      </c>
      <c r="O12">
        <v>5664.6729999999998</v>
      </c>
      <c r="P12" s="285">
        <f t="shared" si="0"/>
        <v>65667.416999999987</v>
      </c>
      <c r="Q12" s="55">
        <f t="shared" si="1"/>
        <v>5472.2847499999989</v>
      </c>
      <c r="R12" s="55">
        <f t="shared" si="2"/>
        <v>179.91073150684929</v>
      </c>
    </row>
    <row r="13" spans="1:18" x14ac:dyDescent="0.25">
      <c r="A13" s="101" t="s">
        <v>35</v>
      </c>
      <c r="B13" s="80" t="s">
        <v>53</v>
      </c>
      <c r="C13" s="80" t="s">
        <v>359</v>
      </c>
      <c r="D13">
        <v>1123.441</v>
      </c>
      <c r="E13">
        <v>965.61699999999996</v>
      </c>
      <c r="F13">
        <v>1061.4259999999999</v>
      </c>
      <c r="G13">
        <v>1130.046</v>
      </c>
      <c r="H13">
        <v>1276.9480000000001</v>
      </c>
      <c r="I13">
        <v>1167.068</v>
      </c>
      <c r="J13">
        <v>1238.7550000000001</v>
      </c>
      <c r="K13">
        <v>1205.0889999999999</v>
      </c>
      <c r="L13">
        <v>1185.0309999999999</v>
      </c>
      <c r="M13">
        <v>1226.9159999999999</v>
      </c>
      <c r="N13">
        <v>1097.3050000000001</v>
      </c>
      <c r="O13">
        <v>1148.2170000000001</v>
      </c>
      <c r="P13" s="285">
        <f t="shared" si="0"/>
        <v>13825.858999999999</v>
      </c>
      <c r="Q13" s="55">
        <f t="shared" si="1"/>
        <v>1152.1549166666666</v>
      </c>
      <c r="R13" s="55">
        <f t="shared" si="2"/>
        <v>37.879065753424655</v>
      </c>
    </row>
    <row r="14" spans="1:18" x14ac:dyDescent="0.25">
      <c r="A14" s="101" t="s">
        <v>35</v>
      </c>
      <c r="B14" s="64" t="s">
        <v>48</v>
      </c>
      <c r="C14" s="80" t="s">
        <v>359</v>
      </c>
      <c r="D14" s="284">
        <v>2309.0259999999998</v>
      </c>
      <c r="E14" s="284">
        <v>2001.6420000000001</v>
      </c>
      <c r="F14" s="284">
        <v>2147.9540000000002</v>
      </c>
      <c r="G14">
        <v>2167.8939999999998</v>
      </c>
      <c r="H14">
        <v>2659.6109999999999</v>
      </c>
      <c r="I14">
        <v>2396.96</v>
      </c>
      <c r="J14">
        <v>2674.8429999999998</v>
      </c>
      <c r="K14">
        <v>2419.9580000000001</v>
      </c>
      <c r="L14">
        <v>2390.9369999999999</v>
      </c>
      <c r="M14">
        <v>2508.4</v>
      </c>
      <c r="N14">
        <v>2195.0920000000001</v>
      </c>
      <c r="O14">
        <v>2405.96</v>
      </c>
      <c r="P14" s="285">
        <f t="shared" si="0"/>
        <v>28278.276999999998</v>
      </c>
      <c r="Q14" s="55">
        <f t="shared" si="1"/>
        <v>2356.523083333333</v>
      </c>
      <c r="R14" s="55">
        <f t="shared" si="2"/>
        <v>77.474731506849309</v>
      </c>
    </row>
    <row r="15" spans="1:18" x14ac:dyDescent="0.25">
      <c r="A15" s="101" t="s">
        <v>35</v>
      </c>
      <c r="B15" s="64" t="s">
        <v>49</v>
      </c>
      <c r="C15" s="80" t="s">
        <v>359</v>
      </c>
      <c r="D15">
        <v>604.08199999999999</v>
      </c>
      <c r="E15">
        <v>519.94899999999996</v>
      </c>
      <c r="F15">
        <v>556.20899999999995</v>
      </c>
      <c r="G15">
        <v>595.51800000000003</v>
      </c>
      <c r="H15">
        <v>685.21199999999999</v>
      </c>
      <c r="I15">
        <v>621.60900000000004</v>
      </c>
      <c r="J15">
        <v>675.44200000000001</v>
      </c>
      <c r="K15">
        <v>635.38</v>
      </c>
      <c r="L15">
        <v>606.14099999999996</v>
      </c>
      <c r="M15">
        <v>641.05899999999997</v>
      </c>
      <c r="N15">
        <v>588.36</v>
      </c>
      <c r="O15">
        <v>625.33699999999999</v>
      </c>
      <c r="P15" s="285">
        <f>SUM(D15:O15)</f>
        <v>7354.2979999999989</v>
      </c>
      <c r="Q15" s="55">
        <f t="shared" si="1"/>
        <v>612.85816666666653</v>
      </c>
      <c r="R15" s="55">
        <f t="shared" si="2"/>
        <v>20.148761643835613</v>
      </c>
    </row>
    <row r="16" spans="1:18" x14ac:dyDescent="0.25">
      <c r="A16" s="101" t="s">
        <v>35</v>
      </c>
      <c r="B16" s="64" t="s">
        <v>50</v>
      </c>
      <c r="C16" s="80" t="s">
        <v>359</v>
      </c>
      <c r="D16">
        <v>89.412999999999997</v>
      </c>
      <c r="E16">
        <v>84.522999999999996</v>
      </c>
      <c r="F16">
        <v>92.433999999999997</v>
      </c>
      <c r="G16">
        <v>100.489</v>
      </c>
      <c r="H16">
        <v>146.529</v>
      </c>
      <c r="I16">
        <v>125.029</v>
      </c>
      <c r="J16">
        <v>139.21700000000001</v>
      </c>
      <c r="K16">
        <v>137.566</v>
      </c>
      <c r="L16">
        <v>127.41500000000001</v>
      </c>
      <c r="M16">
        <v>156.291</v>
      </c>
      <c r="N16">
        <v>122.081</v>
      </c>
      <c r="O16">
        <v>105.37</v>
      </c>
      <c r="P16" s="285">
        <f t="shared" si="0"/>
        <v>1426.357</v>
      </c>
      <c r="Q16" s="55">
        <f t="shared" si="1"/>
        <v>118.86308333333334</v>
      </c>
      <c r="R16" s="55">
        <f t="shared" si="2"/>
        <v>3.9078273972602737</v>
      </c>
    </row>
    <row r="17" spans="1:18" x14ac:dyDescent="0.25">
      <c r="A17" s="101" t="s">
        <v>35</v>
      </c>
      <c r="B17" s="64" t="s">
        <v>54</v>
      </c>
      <c r="C17" s="80" t="s">
        <v>359</v>
      </c>
      <c r="D17">
        <v>161.63999999999999</v>
      </c>
      <c r="E17" s="284">
        <v>129.72</v>
      </c>
      <c r="F17">
        <v>166.48</v>
      </c>
      <c r="G17" s="284">
        <v>169.56</v>
      </c>
      <c r="H17" s="284">
        <v>213.15</v>
      </c>
      <c r="I17">
        <v>173.11</v>
      </c>
      <c r="J17" s="284">
        <v>192.37</v>
      </c>
      <c r="K17" s="284">
        <v>186.58</v>
      </c>
      <c r="L17">
        <v>180.83</v>
      </c>
      <c r="M17" s="284">
        <v>182.14</v>
      </c>
      <c r="N17" s="284">
        <v>175.61</v>
      </c>
      <c r="O17" s="284">
        <v>164.25</v>
      </c>
      <c r="P17" s="287">
        <f t="shared" si="0"/>
        <v>2095.44</v>
      </c>
      <c r="Q17" s="55">
        <f t="shared" si="1"/>
        <v>174.62</v>
      </c>
      <c r="R17" s="55">
        <f t="shared" si="2"/>
        <v>5.7409315068493152</v>
      </c>
    </row>
    <row r="18" spans="1:18" x14ac:dyDescent="0.25">
      <c r="A18" s="101" t="s">
        <v>35</v>
      </c>
      <c r="B18" s="64" t="s">
        <v>45</v>
      </c>
      <c r="C18" s="80" t="s">
        <v>359</v>
      </c>
      <c r="D18">
        <v>2003.2560000000001</v>
      </c>
      <c r="E18">
        <v>1667.6849999999999</v>
      </c>
      <c r="F18">
        <v>1863.2940000000001</v>
      </c>
      <c r="G18">
        <v>1833.9190000000001</v>
      </c>
      <c r="H18">
        <v>2245.2049999999999</v>
      </c>
      <c r="I18">
        <v>1968.4649999999999</v>
      </c>
      <c r="J18">
        <v>2095.944</v>
      </c>
      <c r="K18">
        <v>2021.146</v>
      </c>
      <c r="L18">
        <v>2050.748</v>
      </c>
      <c r="M18">
        <v>2168.3020000000001</v>
      </c>
      <c r="N18">
        <v>1892.6780000000001</v>
      </c>
      <c r="O18">
        <v>1730.127</v>
      </c>
      <c r="P18" s="287">
        <f t="shared" si="0"/>
        <v>23540.769</v>
      </c>
      <c r="Q18" s="55">
        <f t="shared" si="1"/>
        <v>1961.7307499999999</v>
      </c>
      <c r="R18" s="55">
        <f t="shared" si="2"/>
        <v>64.495257534246576</v>
      </c>
    </row>
    <row r="19" spans="1:18" x14ac:dyDescent="0.25">
      <c r="A19" s="101" t="s">
        <v>35</v>
      </c>
      <c r="B19" s="64" t="s">
        <v>46</v>
      </c>
      <c r="C19" s="80" t="s">
        <v>359</v>
      </c>
      <c r="D19">
        <v>2865.3719999999998</v>
      </c>
      <c r="E19">
        <v>2508.0740000000001</v>
      </c>
      <c r="F19">
        <v>2719.8040000000001</v>
      </c>
      <c r="G19">
        <v>2775.1610000000001</v>
      </c>
      <c r="H19">
        <v>3258.4229999999998</v>
      </c>
      <c r="I19">
        <v>2912.6550000000002</v>
      </c>
      <c r="J19">
        <v>3201.9679999999998</v>
      </c>
      <c r="K19">
        <v>3090.2379999999998</v>
      </c>
      <c r="L19">
        <v>3003.6015000000002</v>
      </c>
      <c r="M19">
        <v>3274.7890000000002</v>
      </c>
      <c r="N19">
        <v>2952.6260000000002</v>
      </c>
      <c r="O19">
        <v>3081.9459999999999</v>
      </c>
      <c r="P19" s="287">
        <f>SUM(D19:O19)</f>
        <v>35644.657500000001</v>
      </c>
      <c r="Q19" s="55">
        <f t="shared" si="1"/>
        <v>2970.3881249999999</v>
      </c>
      <c r="R19" s="55">
        <f t="shared" si="2"/>
        <v>97.656595890410955</v>
      </c>
    </row>
    <row r="20" spans="1:18" x14ac:dyDescent="0.25">
      <c r="A20" s="101" t="s">
        <v>35</v>
      </c>
      <c r="B20" s="64" t="s">
        <v>143</v>
      </c>
      <c r="C20" s="80" t="s">
        <v>359</v>
      </c>
      <c r="D20">
        <v>473.89</v>
      </c>
      <c r="E20">
        <v>424.476</v>
      </c>
      <c r="F20">
        <v>463.38499999999999</v>
      </c>
      <c r="G20">
        <v>479.07100000000003</v>
      </c>
      <c r="H20">
        <v>600.02700000000004</v>
      </c>
      <c r="I20">
        <v>507.63799999999998</v>
      </c>
      <c r="J20">
        <v>547.16499999999996</v>
      </c>
      <c r="K20">
        <v>559.83799999999997</v>
      </c>
      <c r="L20">
        <v>524.21299999999997</v>
      </c>
      <c r="M20">
        <v>542.85500000000002</v>
      </c>
      <c r="N20">
        <v>490.33800000000002</v>
      </c>
      <c r="O20">
        <v>493.81200000000001</v>
      </c>
      <c r="P20" s="287">
        <f t="shared" si="0"/>
        <v>6106.7079999999987</v>
      </c>
      <c r="Q20" s="55">
        <f t="shared" si="1"/>
        <v>508.89233333333323</v>
      </c>
      <c r="R20" s="55">
        <f t="shared" si="2"/>
        <v>16.730706849315066</v>
      </c>
    </row>
    <row r="21" spans="1:18" x14ac:dyDescent="0.25">
      <c r="A21" s="101" t="s">
        <v>35</v>
      </c>
      <c r="B21" s="64" t="s">
        <v>208</v>
      </c>
      <c r="C21" s="80" t="s">
        <v>359</v>
      </c>
      <c r="D21">
        <v>1221.3910000000001</v>
      </c>
      <c r="E21">
        <v>1056.336</v>
      </c>
      <c r="F21">
        <v>1187.8610000000001</v>
      </c>
      <c r="G21">
        <v>1286.5550000000001</v>
      </c>
      <c r="H21">
        <v>1470.008</v>
      </c>
      <c r="I21" s="284"/>
      <c r="J21" s="284"/>
      <c r="K21" s="284"/>
      <c r="L21" s="284"/>
      <c r="M21" s="284"/>
      <c r="N21" s="284"/>
      <c r="O21" s="284"/>
      <c r="P21" s="287">
        <f t="shared" si="0"/>
        <v>6222.1509999999998</v>
      </c>
      <c r="Q21" s="55">
        <f t="shared" si="1"/>
        <v>518.51258333333328</v>
      </c>
      <c r="R21" s="55">
        <f t="shared" si="2"/>
        <v>17.046989041095891</v>
      </c>
    </row>
    <row r="22" spans="1:18" x14ac:dyDescent="0.25">
      <c r="A22" s="101" t="s">
        <v>35</v>
      </c>
      <c r="B22" s="64" t="s">
        <v>55</v>
      </c>
      <c r="C22" s="80" t="s">
        <v>359</v>
      </c>
      <c r="D22">
        <v>1285.838</v>
      </c>
      <c r="E22">
        <v>1099.0650000000001</v>
      </c>
      <c r="F22">
        <v>1265.5530000000001</v>
      </c>
      <c r="G22">
        <v>1335.1079999999999</v>
      </c>
      <c r="H22">
        <v>1656.182</v>
      </c>
      <c r="I22">
        <v>1532.0419999999999</v>
      </c>
      <c r="J22">
        <v>1524.902</v>
      </c>
      <c r="K22">
        <v>1466.597</v>
      </c>
      <c r="L22">
        <v>1521.2280000000001</v>
      </c>
      <c r="M22">
        <v>1505.3430000000001</v>
      </c>
      <c r="N22">
        <v>1325.31</v>
      </c>
      <c r="O22">
        <v>1437.058</v>
      </c>
      <c r="P22" s="287">
        <f t="shared" si="0"/>
        <v>16954.225999999999</v>
      </c>
      <c r="Q22" s="55">
        <f t="shared" si="1"/>
        <v>1412.8521666666666</v>
      </c>
      <c r="R22" s="55">
        <f t="shared" si="2"/>
        <v>46.449934246575339</v>
      </c>
    </row>
    <row r="23" spans="1:18" x14ac:dyDescent="0.25">
      <c r="A23" s="101" t="s">
        <v>35</v>
      </c>
      <c r="B23" s="64" t="s">
        <v>51</v>
      </c>
      <c r="C23" s="80" t="s">
        <v>359</v>
      </c>
      <c r="D23">
        <v>1202.912</v>
      </c>
      <c r="E23">
        <v>1051.7460000000001</v>
      </c>
      <c r="F23">
        <v>1133.6110000000001</v>
      </c>
      <c r="G23">
        <v>1173.854</v>
      </c>
      <c r="H23">
        <v>1414.7139999999999</v>
      </c>
      <c r="I23">
        <v>1293.5129999999999</v>
      </c>
      <c r="J23">
        <v>1355.7470000000001</v>
      </c>
      <c r="K23">
        <v>1335.2619999999999</v>
      </c>
      <c r="L23">
        <v>1302.1679999999999</v>
      </c>
      <c r="M23">
        <v>1363.58</v>
      </c>
      <c r="N23">
        <v>1280.9939999999999</v>
      </c>
      <c r="O23">
        <v>1188.886</v>
      </c>
      <c r="P23" s="287">
        <f t="shared" si="0"/>
        <v>15096.987000000001</v>
      </c>
      <c r="Q23" s="55">
        <f t="shared" si="1"/>
        <v>1258.0822500000002</v>
      </c>
      <c r="R23" s="55">
        <f t="shared" si="2"/>
        <v>41.361608219178088</v>
      </c>
    </row>
    <row r="24" spans="1:18" x14ac:dyDescent="0.25">
      <c r="A24" s="101" t="s">
        <v>35</v>
      </c>
      <c r="B24" s="64" t="s">
        <v>52</v>
      </c>
      <c r="C24" s="80" t="s">
        <v>359</v>
      </c>
      <c r="D24">
        <v>498.53</v>
      </c>
      <c r="E24">
        <v>383.97</v>
      </c>
      <c r="F24">
        <v>428.68</v>
      </c>
      <c r="G24">
        <v>441.78</v>
      </c>
      <c r="H24">
        <v>541.64</v>
      </c>
      <c r="I24">
        <v>490.22</v>
      </c>
      <c r="J24">
        <v>537.07000000000005</v>
      </c>
      <c r="K24">
        <v>546.61</v>
      </c>
      <c r="L24">
        <v>481.3</v>
      </c>
      <c r="M24">
        <v>569.73</v>
      </c>
      <c r="N24">
        <v>472.07</v>
      </c>
      <c r="O24">
        <v>504.62</v>
      </c>
      <c r="P24" s="285">
        <f>SUM(D24:O24)</f>
        <v>5896.22</v>
      </c>
      <c r="Q24" s="55">
        <f t="shared" si="1"/>
        <v>491.35166666666669</v>
      </c>
      <c r="R24" s="55">
        <f t="shared" si="2"/>
        <v>16.154027397260275</v>
      </c>
    </row>
    <row r="25" spans="1:18" x14ac:dyDescent="0.25">
      <c r="A25" s="101" t="s">
        <v>19</v>
      </c>
      <c r="B25" s="64" t="s">
        <v>56</v>
      </c>
      <c r="C25" s="80" t="s">
        <v>359</v>
      </c>
      <c r="D25">
        <v>1024.222</v>
      </c>
      <c r="E25">
        <v>2274.9969999999998</v>
      </c>
      <c r="F25">
        <v>1693.268</v>
      </c>
      <c r="G25">
        <v>1113.635</v>
      </c>
      <c r="H25" s="284"/>
      <c r="I25" s="284"/>
      <c r="J25" s="284"/>
      <c r="K25" s="284"/>
      <c r="L25" s="284"/>
      <c r="M25" s="284"/>
      <c r="N25" s="284"/>
      <c r="O25" s="284"/>
      <c r="P25" s="287">
        <f t="shared" si="0"/>
        <v>6106.1220000000003</v>
      </c>
      <c r="Q25" s="55">
        <f t="shared" si="1"/>
        <v>508.84350000000001</v>
      </c>
      <c r="R25" s="55">
        <f t="shared" si="2"/>
        <v>16.729101369863013</v>
      </c>
    </row>
    <row r="26" spans="1:18" x14ac:dyDescent="0.25">
      <c r="A26" s="101" t="s">
        <v>19</v>
      </c>
      <c r="B26" s="64" t="s">
        <v>57</v>
      </c>
      <c r="C26" s="80" t="s">
        <v>359</v>
      </c>
      <c r="D26">
        <v>911.7</v>
      </c>
      <c r="E26">
        <v>765.82</v>
      </c>
      <c r="F26">
        <v>831.85</v>
      </c>
      <c r="G26">
        <v>847.28</v>
      </c>
      <c r="H26" s="139">
        <v>1043.54</v>
      </c>
      <c r="I26">
        <v>960.89</v>
      </c>
      <c r="J26" s="139">
        <v>1024.74</v>
      </c>
      <c r="K26" s="139">
        <v>1037.56</v>
      </c>
      <c r="L26">
        <v>970.5</v>
      </c>
      <c r="M26" s="139">
        <v>1082.67</v>
      </c>
      <c r="N26">
        <v>964.91</v>
      </c>
      <c r="O26">
        <v>956.69</v>
      </c>
      <c r="P26" s="287">
        <f t="shared" si="0"/>
        <v>11398.15</v>
      </c>
      <c r="Q26" s="55">
        <f t="shared" si="1"/>
        <v>949.8458333333333</v>
      </c>
      <c r="R26" s="55">
        <f t="shared" si="2"/>
        <v>31.22780821917808</v>
      </c>
    </row>
    <row r="27" spans="1:18" x14ac:dyDescent="0.25">
      <c r="A27" s="101" t="s">
        <v>19</v>
      </c>
      <c r="B27" s="64" t="s">
        <v>33</v>
      </c>
      <c r="C27" s="80" t="s">
        <v>359</v>
      </c>
      <c r="D27">
        <v>405.40600000000001</v>
      </c>
      <c r="E27">
        <v>347.15499999999997</v>
      </c>
      <c r="F27">
        <v>356.92599999999999</v>
      </c>
      <c r="G27">
        <v>391.19099999999997</v>
      </c>
      <c r="H27">
        <v>452.11799999999999</v>
      </c>
      <c r="I27">
        <v>417.81700000000001</v>
      </c>
      <c r="J27">
        <v>456.48099999999999</v>
      </c>
      <c r="K27">
        <v>478.25400000000002</v>
      </c>
      <c r="L27">
        <v>445.53199999999998</v>
      </c>
      <c r="M27">
        <v>501.73200000000003</v>
      </c>
      <c r="N27">
        <v>426.916</v>
      </c>
      <c r="O27">
        <v>438.07400000000001</v>
      </c>
      <c r="P27" s="285">
        <f>SUM(D27:O27)</f>
        <v>5117.6019999999999</v>
      </c>
      <c r="Q27" s="55">
        <f t="shared" si="1"/>
        <v>426.46683333333334</v>
      </c>
      <c r="R27" s="55">
        <f t="shared" si="2"/>
        <v>14.020827397260273</v>
      </c>
    </row>
    <row r="28" spans="1:18" x14ac:dyDescent="0.25">
      <c r="A28" s="101" t="s">
        <v>19</v>
      </c>
      <c r="B28" s="64" t="s">
        <v>58</v>
      </c>
      <c r="C28" s="80" t="s">
        <v>359</v>
      </c>
      <c r="D28">
        <v>28.41</v>
      </c>
      <c r="E28" s="284">
        <v>30.06</v>
      </c>
      <c r="F28" s="284">
        <v>34.369999999999997</v>
      </c>
      <c r="G28" s="284">
        <v>32.89</v>
      </c>
      <c r="H28">
        <v>41.05</v>
      </c>
      <c r="I28" s="284">
        <v>33.75</v>
      </c>
      <c r="J28" s="284">
        <v>35.81</v>
      </c>
      <c r="K28" s="284">
        <v>35.270000000000003</v>
      </c>
      <c r="L28" s="284">
        <v>36.17</v>
      </c>
      <c r="M28">
        <v>37.29</v>
      </c>
      <c r="N28" s="284">
        <v>34.99</v>
      </c>
      <c r="O28" s="284">
        <v>30.76</v>
      </c>
      <c r="P28" s="287">
        <f>SUM(D28:O28)</f>
        <v>410.82000000000005</v>
      </c>
      <c r="Q28" s="55">
        <f t="shared" si="1"/>
        <v>34.235000000000007</v>
      </c>
      <c r="R28" s="55">
        <f t="shared" si="2"/>
        <v>1.1255342465753426</v>
      </c>
    </row>
    <row r="29" spans="1:18" x14ac:dyDescent="0.25">
      <c r="A29" s="101" t="s">
        <v>19</v>
      </c>
      <c r="B29" s="64" t="s">
        <v>59</v>
      </c>
      <c r="C29" s="80" t="s">
        <v>359</v>
      </c>
      <c r="D29">
        <v>135.51</v>
      </c>
      <c r="E29" s="284">
        <v>130.99</v>
      </c>
      <c r="F29" s="284">
        <v>137.12</v>
      </c>
      <c r="G29">
        <v>151.47999999999999</v>
      </c>
      <c r="H29" s="284">
        <v>198.42</v>
      </c>
      <c r="I29" s="284">
        <v>162.75</v>
      </c>
      <c r="J29" s="284">
        <v>185.31</v>
      </c>
      <c r="K29">
        <v>162.03</v>
      </c>
      <c r="L29">
        <v>162.61000000000001</v>
      </c>
      <c r="M29" s="284">
        <v>200.31</v>
      </c>
      <c r="N29" s="284">
        <v>155.02000000000001</v>
      </c>
      <c r="O29" s="284">
        <v>89.96</v>
      </c>
      <c r="P29" s="287">
        <f t="shared" si="0"/>
        <v>1871.5099999999998</v>
      </c>
      <c r="Q29" s="55">
        <f t="shared" si="1"/>
        <v>155.95916666666665</v>
      </c>
      <c r="R29" s="55">
        <f t="shared" si="2"/>
        <v>5.1274246575342461</v>
      </c>
    </row>
    <row r="30" spans="1:18" x14ac:dyDescent="0.25">
      <c r="A30" s="101" t="s">
        <v>60</v>
      </c>
      <c r="B30" s="64" t="s">
        <v>60</v>
      </c>
      <c r="C30" s="80" t="s">
        <v>359</v>
      </c>
      <c r="D30">
        <v>475.84</v>
      </c>
      <c r="E30">
        <v>403.5</v>
      </c>
      <c r="F30">
        <v>445.6</v>
      </c>
      <c r="G30">
        <v>460.29</v>
      </c>
      <c r="H30">
        <v>482.4</v>
      </c>
      <c r="I30">
        <v>465.38</v>
      </c>
      <c r="J30">
        <v>544.14</v>
      </c>
      <c r="K30">
        <v>502.94</v>
      </c>
      <c r="L30">
        <v>516.01</v>
      </c>
      <c r="M30">
        <v>505.09</v>
      </c>
      <c r="N30">
        <v>421.09</v>
      </c>
      <c r="O30">
        <v>504.47</v>
      </c>
      <c r="P30" s="285">
        <f>SUM(D30:O30)</f>
        <v>5726.7500000000009</v>
      </c>
      <c r="Q30" s="55">
        <f t="shared" si="1"/>
        <v>477.22916666666674</v>
      </c>
      <c r="R30" s="55">
        <f t="shared" si="2"/>
        <v>15.689726027397263</v>
      </c>
    </row>
    <row r="31" spans="1:18" x14ac:dyDescent="0.25">
      <c r="A31" s="101" t="s">
        <v>60</v>
      </c>
      <c r="B31" s="64" t="s">
        <v>209</v>
      </c>
      <c r="C31" s="80" t="s">
        <v>359</v>
      </c>
      <c r="D31">
        <v>37.158000000000001</v>
      </c>
      <c r="E31">
        <v>40.134</v>
      </c>
      <c r="F31">
        <v>38.591999999999999</v>
      </c>
      <c r="G31">
        <v>42.892000000000003</v>
      </c>
      <c r="H31">
        <v>44.96</v>
      </c>
      <c r="I31">
        <v>39.462000000000003</v>
      </c>
      <c r="J31">
        <v>42.338000000000001</v>
      </c>
      <c r="K31">
        <v>47.408999999999999</v>
      </c>
      <c r="L31">
        <v>44.488</v>
      </c>
      <c r="M31">
        <v>38.173999999999999</v>
      </c>
      <c r="N31">
        <v>41.793999999999997</v>
      </c>
      <c r="O31">
        <v>46.783000000000001</v>
      </c>
      <c r="P31" s="285">
        <f>SUM(D31:I31)</f>
        <v>243.19800000000004</v>
      </c>
      <c r="Q31" s="55">
        <f t="shared" si="1"/>
        <v>20.266500000000004</v>
      </c>
      <c r="R31" s="55">
        <f t="shared" si="2"/>
        <v>0.66629589041095905</v>
      </c>
    </row>
    <row r="32" spans="1:18" x14ac:dyDescent="0.25">
      <c r="A32" s="101" t="s">
        <v>60</v>
      </c>
      <c r="B32" s="64" t="s">
        <v>61</v>
      </c>
      <c r="C32" s="80" t="s">
        <v>359</v>
      </c>
      <c r="D32">
        <v>278.10899999999998</v>
      </c>
      <c r="E32">
        <v>260.76299999999998</v>
      </c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7">
        <f t="shared" si="0"/>
        <v>538.87199999999996</v>
      </c>
      <c r="Q32" s="55">
        <f t="shared" si="1"/>
        <v>44.905999999999999</v>
      </c>
      <c r="R32" s="55">
        <f t="shared" si="2"/>
        <v>1.4763616438356164</v>
      </c>
    </row>
    <row r="33" spans="1:18" x14ac:dyDescent="0.25">
      <c r="A33" s="101" t="s">
        <v>60</v>
      </c>
      <c r="B33" s="64" t="s">
        <v>64</v>
      </c>
      <c r="C33" s="80" t="s">
        <v>359</v>
      </c>
      <c r="D33">
        <v>129.77000000000001</v>
      </c>
      <c r="E33" s="284">
        <v>107.87</v>
      </c>
      <c r="F33" s="284">
        <v>120.22</v>
      </c>
      <c r="G33">
        <v>127.55</v>
      </c>
      <c r="H33" s="284">
        <v>141.69</v>
      </c>
      <c r="I33" s="284">
        <v>135.29</v>
      </c>
      <c r="J33" s="284">
        <v>143.66999999999999</v>
      </c>
      <c r="K33">
        <v>130.44999999999999</v>
      </c>
      <c r="L33" s="284">
        <v>125.56</v>
      </c>
      <c r="M33" s="284">
        <v>145.88</v>
      </c>
      <c r="N33" s="284">
        <v>108.54</v>
      </c>
      <c r="O33" s="284">
        <v>116.62</v>
      </c>
      <c r="P33" s="287">
        <f t="shared" ref="P33" si="3">SUM(D33:O33)</f>
        <v>1533.1099999999997</v>
      </c>
      <c r="Q33" s="55">
        <f t="shared" ref="Q33" si="4">SUM(P33/12)</f>
        <v>127.75916666666664</v>
      </c>
      <c r="R33" s="55">
        <f t="shared" ref="R33" si="5">SUM(P33/365)</f>
        <v>4.2003013698630127</v>
      </c>
    </row>
    <row r="34" spans="1:18" x14ac:dyDescent="0.25">
      <c r="A34" s="101" t="s">
        <v>60</v>
      </c>
      <c r="B34" s="64" t="s">
        <v>65</v>
      </c>
      <c r="C34" s="80" t="s">
        <v>359</v>
      </c>
      <c r="D34">
        <v>60.283000000000001</v>
      </c>
      <c r="E34">
        <v>53.206000000000003</v>
      </c>
      <c r="F34">
        <v>60.999000000000002</v>
      </c>
      <c r="G34">
        <v>65.825999999999993</v>
      </c>
      <c r="H34">
        <v>68.22</v>
      </c>
      <c r="I34">
        <v>57.679000000000002</v>
      </c>
      <c r="J34">
        <v>66.515000000000001</v>
      </c>
      <c r="K34">
        <v>68.555999999999997</v>
      </c>
      <c r="L34">
        <v>61.29</v>
      </c>
      <c r="M34">
        <v>70.760999999999996</v>
      </c>
      <c r="N34">
        <v>61.77</v>
      </c>
      <c r="O34">
        <v>60.981000000000002</v>
      </c>
      <c r="P34" s="287">
        <f t="shared" si="0"/>
        <v>756.0859999999999</v>
      </c>
      <c r="Q34" s="55">
        <f t="shared" si="1"/>
        <v>63.007166666666656</v>
      </c>
      <c r="R34" s="55">
        <f t="shared" si="2"/>
        <v>2.0714684931506846</v>
      </c>
    </row>
    <row r="35" spans="1:18" x14ac:dyDescent="0.25">
      <c r="A35" s="101" t="s">
        <v>60</v>
      </c>
      <c r="B35" s="64" t="s">
        <v>66</v>
      </c>
      <c r="C35" s="80" t="s">
        <v>359</v>
      </c>
      <c r="D35">
        <v>56.27</v>
      </c>
      <c r="E35" s="284">
        <v>44.1</v>
      </c>
      <c r="F35" s="284">
        <v>51.45</v>
      </c>
      <c r="G35">
        <v>47.2</v>
      </c>
      <c r="H35" s="284">
        <v>55.39</v>
      </c>
      <c r="I35" s="284">
        <v>50.78</v>
      </c>
      <c r="J35" s="284">
        <v>54.01</v>
      </c>
      <c r="K35" s="284">
        <v>56.4</v>
      </c>
      <c r="L35">
        <v>49.31</v>
      </c>
      <c r="M35" s="284">
        <v>49.42</v>
      </c>
      <c r="N35" s="284">
        <v>50.41</v>
      </c>
      <c r="O35" s="284">
        <v>49.7</v>
      </c>
      <c r="P35" s="285">
        <f>SUM(D35:O35)</f>
        <v>614.43999999999994</v>
      </c>
      <c r="Q35" s="55">
        <f t="shared" si="1"/>
        <v>51.203333333333326</v>
      </c>
      <c r="R35" s="55">
        <f t="shared" si="2"/>
        <v>1.6833972602739724</v>
      </c>
    </row>
    <row r="36" spans="1:18" x14ac:dyDescent="0.25">
      <c r="A36" s="101" t="s">
        <v>60</v>
      </c>
      <c r="B36" s="64" t="s">
        <v>68</v>
      </c>
      <c r="C36" s="80" t="s">
        <v>359</v>
      </c>
      <c r="D36">
        <v>50.7</v>
      </c>
      <c r="E36" s="284">
        <v>44.1</v>
      </c>
      <c r="F36" s="284">
        <v>59.18</v>
      </c>
      <c r="G36">
        <v>53.17</v>
      </c>
      <c r="H36" s="284">
        <v>68.14</v>
      </c>
      <c r="I36" s="284">
        <v>56.1</v>
      </c>
      <c r="J36" s="284">
        <v>59.28</v>
      </c>
      <c r="K36" s="284">
        <v>50.82</v>
      </c>
      <c r="L36">
        <v>59.46</v>
      </c>
      <c r="M36" s="284">
        <v>53.57</v>
      </c>
      <c r="N36" s="284">
        <v>56.26</v>
      </c>
      <c r="O36" s="284">
        <v>59.46</v>
      </c>
      <c r="P36" s="287">
        <f t="shared" si="0"/>
        <v>670.24000000000012</v>
      </c>
      <c r="Q36" s="55">
        <f t="shared" si="1"/>
        <v>55.853333333333346</v>
      </c>
      <c r="R36" s="55">
        <f t="shared" si="2"/>
        <v>1.8362739726027402</v>
      </c>
    </row>
    <row r="37" spans="1:18" x14ac:dyDescent="0.25">
      <c r="A37" s="101" t="s">
        <v>60</v>
      </c>
      <c r="B37" s="64" t="s">
        <v>210</v>
      </c>
      <c r="C37" s="80" t="s">
        <v>359</v>
      </c>
      <c r="D37">
        <v>59.13</v>
      </c>
      <c r="E37" s="284">
        <v>45.11</v>
      </c>
      <c r="F37" s="284">
        <v>56.68</v>
      </c>
      <c r="G37" s="284">
        <v>62.69</v>
      </c>
      <c r="H37">
        <v>59.85</v>
      </c>
      <c r="I37" s="284">
        <v>49.11</v>
      </c>
      <c r="J37" s="284">
        <v>52.61</v>
      </c>
      <c r="K37" s="284">
        <v>59.03</v>
      </c>
      <c r="L37" s="284">
        <v>60.55</v>
      </c>
      <c r="M37">
        <v>54.27</v>
      </c>
      <c r="N37" s="286">
        <v>55.62</v>
      </c>
      <c r="O37" s="284">
        <v>65.23</v>
      </c>
      <c r="P37" s="285">
        <f>SUM(D37:O37)</f>
        <v>679.88000000000011</v>
      </c>
      <c r="Q37" s="55">
        <f t="shared" si="1"/>
        <v>56.656666666666673</v>
      </c>
      <c r="R37" s="55">
        <f t="shared" si="2"/>
        <v>1.8626849315068497</v>
      </c>
    </row>
    <row r="38" spans="1:18" x14ac:dyDescent="0.25">
      <c r="A38" s="101" t="s">
        <v>60</v>
      </c>
      <c r="B38" s="64" t="s">
        <v>70</v>
      </c>
      <c r="C38" s="80" t="s">
        <v>359</v>
      </c>
      <c r="D38">
        <v>19.309999999999999</v>
      </c>
      <c r="E38" s="284">
        <v>17.41</v>
      </c>
      <c r="F38" s="284">
        <v>18.93</v>
      </c>
      <c r="G38" s="284">
        <v>23.26</v>
      </c>
      <c r="H38">
        <v>15.45</v>
      </c>
      <c r="I38" s="284">
        <v>27.81</v>
      </c>
      <c r="J38" s="284">
        <v>21.68</v>
      </c>
      <c r="K38" s="284">
        <v>24.41</v>
      </c>
      <c r="L38" s="284">
        <v>21.86</v>
      </c>
      <c r="M38" s="284">
        <v>26.71</v>
      </c>
      <c r="N38">
        <v>22.09</v>
      </c>
      <c r="O38" s="284">
        <v>20.81</v>
      </c>
      <c r="P38" s="285">
        <f>SUM(D38:O38)</f>
        <v>259.73</v>
      </c>
      <c r="Q38" s="55">
        <f t="shared" si="1"/>
        <v>21.644166666666667</v>
      </c>
      <c r="R38" s="55">
        <f t="shared" si="2"/>
        <v>0.7115890410958905</v>
      </c>
    </row>
    <row r="39" spans="1:18" x14ac:dyDescent="0.25">
      <c r="A39" s="101" t="s">
        <v>60</v>
      </c>
      <c r="B39" s="64" t="s">
        <v>72</v>
      </c>
      <c r="C39" s="80" t="s">
        <v>359</v>
      </c>
      <c r="D39">
        <v>20.51</v>
      </c>
      <c r="E39" s="284">
        <v>16.21</v>
      </c>
      <c r="F39" s="284">
        <v>17.89</v>
      </c>
      <c r="G39">
        <v>16.760000000000002</v>
      </c>
      <c r="H39" s="284">
        <v>21.61</v>
      </c>
      <c r="I39" s="284">
        <v>22.75</v>
      </c>
      <c r="J39" s="284">
        <v>23.21</v>
      </c>
      <c r="K39" s="284">
        <v>27.56</v>
      </c>
      <c r="L39">
        <v>18.62</v>
      </c>
      <c r="M39" s="284">
        <v>28.21</v>
      </c>
      <c r="N39" s="284">
        <v>18.420000000000002</v>
      </c>
      <c r="O39" s="284">
        <v>16.09</v>
      </c>
      <c r="P39" s="287">
        <f>SUM(D39:O39)</f>
        <v>247.84</v>
      </c>
      <c r="Q39" s="55">
        <f t="shared" si="1"/>
        <v>20.653333333333332</v>
      </c>
      <c r="R39" s="55">
        <f t="shared" si="2"/>
        <v>0.67901369863013694</v>
      </c>
    </row>
    <row r="40" spans="1:18" x14ac:dyDescent="0.25">
      <c r="A40" s="101" t="s">
        <v>60</v>
      </c>
      <c r="B40" s="64" t="s">
        <v>78</v>
      </c>
      <c r="C40" s="80" t="s">
        <v>359</v>
      </c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7">
        <f t="shared" si="0"/>
        <v>0</v>
      </c>
      <c r="Q40" s="55">
        <f t="shared" si="1"/>
        <v>0</v>
      </c>
      <c r="R40" s="55">
        <f t="shared" si="2"/>
        <v>0</v>
      </c>
    </row>
    <row r="41" spans="1:18" x14ac:dyDescent="0.25">
      <c r="A41" s="101" t="s">
        <v>60</v>
      </c>
      <c r="B41" s="64" t="s">
        <v>232</v>
      </c>
      <c r="C41" s="80" t="s">
        <v>359</v>
      </c>
      <c r="D41">
        <v>19.05</v>
      </c>
      <c r="E41" s="284">
        <v>14.53</v>
      </c>
      <c r="F41" s="284">
        <v>15.67</v>
      </c>
      <c r="G41" s="284">
        <v>17.73</v>
      </c>
      <c r="H41">
        <v>21.57</v>
      </c>
      <c r="I41" s="284">
        <v>17.86</v>
      </c>
      <c r="J41" s="284">
        <v>20.7</v>
      </c>
      <c r="K41" s="284">
        <v>20.67</v>
      </c>
      <c r="L41" s="284">
        <v>20.94</v>
      </c>
      <c r="M41" s="284">
        <v>20.59</v>
      </c>
      <c r="N41" s="284">
        <v>19.29</v>
      </c>
      <c r="O41" s="284">
        <v>24.36</v>
      </c>
      <c r="P41" s="287">
        <f t="shared" ref="P41:P47" si="6">SUM(D41:O41)</f>
        <v>232.96000000000004</v>
      </c>
      <c r="Q41" s="55">
        <f t="shared" ref="Q41:Q47" si="7">SUM(P41/12)</f>
        <v>19.413333333333338</v>
      </c>
      <c r="R41" s="55">
        <f t="shared" ref="R41:R47" si="8">SUM(P41/365)</f>
        <v>0.63824657534246587</v>
      </c>
    </row>
    <row r="42" spans="1:18" s="127" customFormat="1" x14ac:dyDescent="0.25">
      <c r="A42" s="101" t="s">
        <v>60</v>
      </c>
      <c r="B42" s="64" t="s">
        <v>421</v>
      </c>
      <c r="C42" s="80" t="s">
        <v>359</v>
      </c>
      <c r="D42" s="284"/>
      <c r="E42" s="284"/>
      <c r="F42" s="284"/>
      <c r="G42" s="284"/>
      <c r="H42" s="284"/>
      <c r="I42">
        <v>18.45</v>
      </c>
      <c r="J42" s="284">
        <v>24.84</v>
      </c>
      <c r="K42" s="284">
        <v>19.190000000000001</v>
      </c>
      <c r="L42" s="284">
        <v>19.87</v>
      </c>
      <c r="M42" s="284">
        <v>21.3</v>
      </c>
      <c r="N42" s="284">
        <v>18.170000000000002</v>
      </c>
      <c r="O42">
        <v>20.99</v>
      </c>
      <c r="P42" s="287">
        <f t="shared" si="6"/>
        <v>142.81</v>
      </c>
      <c r="Q42" s="55">
        <f t="shared" si="7"/>
        <v>11.900833333333333</v>
      </c>
      <c r="R42" s="55">
        <f t="shared" si="8"/>
        <v>0.39126027397260277</v>
      </c>
    </row>
    <row r="43" spans="1:18" x14ac:dyDescent="0.25">
      <c r="A43" s="101" t="s">
        <v>60</v>
      </c>
      <c r="B43" s="64" t="s">
        <v>77</v>
      </c>
      <c r="C43" s="80" t="s">
        <v>359</v>
      </c>
      <c r="D43">
        <v>7.01</v>
      </c>
      <c r="E43" s="284">
        <v>5.05</v>
      </c>
      <c r="F43" s="284">
        <v>6.39</v>
      </c>
      <c r="G43" s="284">
        <v>6.1</v>
      </c>
      <c r="H43">
        <v>7.97</v>
      </c>
      <c r="I43" s="284">
        <v>5.39</v>
      </c>
      <c r="J43" s="284">
        <v>6.06</v>
      </c>
      <c r="K43" s="284">
        <v>7.58</v>
      </c>
      <c r="L43" s="284">
        <v>5.68</v>
      </c>
      <c r="M43" s="284">
        <v>5.88</v>
      </c>
      <c r="N43" s="284">
        <v>7.41</v>
      </c>
      <c r="O43" s="286">
        <v>5.3</v>
      </c>
      <c r="P43" s="287">
        <f t="shared" si="6"/>
        <v>75.819999999999993</v>
      </c>
      <c r="Q43" s="55">
        <f t="shared" si="7"/>
        <v>6.3183333333333325</v>
      </c>
      <c r="R43" s="55">
        <f t="shared" si="8"/>
        <v>0.20772602739726026</v>
      </c>
    </row>
    <row r="44" spans="1:18" x14ac:dyDescent="0.25">
      <c r="A44" s="69" t="s">
        <v>34</v>
      </c>
      <c r="B44" s="64" t="s">
        <v>79</v>
      </c>
      <c r="C44" s="80" t="s">
        <v>359</v>
      </c>
      <c r="D44">
        <v>18.61</v>
      </c>
      <c r="E44" s="284">
        <v>11.59</v>
      </c>
      <c r="F44" s="284">
        <v>14.05</v>
      </c>
      <c r="G44" s="284">
        <v>15.3</v>
      </c>
      <c r="H44" s="284">
        <v>17.170000000000002</v>
      </c>
      <c r="I44" s="284"/>
      <c r="J44" s="284"/>
      <c r="K44" s="284">
        <v>17.190000000000001</v>
      </c>
      <c r="L44" s="284">
        <v>13.75</v>
      </c>
      <c r="M44" s="284">
        <v>17.190000000000001</v>
      </c>
      <c r="N44" s="284">
        <v>13.75</v>
      </c>
      <c r="O44" s="284">
        <v>20.63</v>
      </c>
      <c r="P44" s="287">
        <f t="shared" si="6"/>
        <v>159.22999999999999</v>
      </c>
      <c r="Q44" s="55">
        <f t="shared" si="7"/>
        <v>13.269166666666665</v>
      </c>
      <c r="R44" s="55">
        <f t="shared" si="8"/>
        <v>0.43624657534246575</v>
      </c>
    </row>
    <row r="45" spans="1:18" x14ac:dyDescent="0.25">
      <c r="A45" s="69" t="s">
        <v>34</v>
      </c>
      <c r="B45" s="64" t="s">
        <v>80</v>
      </c>
      <c r="C45" s="80" t="s">
        <v>359</v>
      </c>
      <c r="D45">
        <v>11.4215</v>
      </c>
      <c r="E45">
        <v>10.186999999999999</v>
      </c>
      <c r="F45">
        <v>9.0079999999999991</v>
      </c>
      <c r="G45">
        <v>10.250999999999999</v>
      </c>
      <c r="H45">
        <v>13.988</v>
      </c>
      <c r="I45">
        <v>18.942</v>
      </c>
      <c r="J45">
        <v>16.03</v>
      </c>
      <c r="K45">
        <v>7.5110000000000001</v>
      </c>
      <c r="L45">
        <v>12.41</v>
      </c>
      <c r="M45">
        <v>13.925000000000001</v>
      </c>
      <c r="N45">
        <v>10.949</v>
      </c>
      <c r="O45">
        <v>15.231</v>
      </c>
      <c r="P45" s="287">
        <f t="shared" si="6"/>
        <v>149.8535</v>
      </c>
      <c r="Q45" s="55">
        <f t="shared" si="7"/>
        <v>12.487791666666666</v>
      </c>
      <c r="R45" s="55">
        <f t="shared" si="8"/>
        <v>0.41055753424657532</v>
      </c>
    </row>
    <row r="46" spans="1:18" x14ac:dyDescent="0.25">
      <c r="A46" s="69" t="s">
        <v>34</v>
      </c>
      <c r="B46" s="64" t="s">
        <v>81</v>
      </c>
      <c r="C46" s="80" t="s">
        <v>359</v>
      </c>
      <c r="D46">
        <v>1.19</v>
      </c>
      <c r="E46" s="284">
        <v>6.11</v>
      </c>
      <c r="F46" s="284">
        <v>7.43</v>
      </c>
      <c r="G46" s="284">
        <v>6.26</v>
      </c>
      <c r="H46">
        <v>8.1199999999999992</v>
      </c>
      <c r="I46" s="284">
        <v>5.77</v>
      </c>
      <c r="J46" s="284">
        <v>12.21</v>
      </c>
      <c r="K46" s="284">
        <v>7.21</v>
      </c>
      <c r="L46" s="284">
        <v>5.73</v>
      </c>
      <c r="M46" s="286">
        <v>5.73</v>
      </c>
      <c r="N46">
        <v>7.17</v>
      </c>
      <c r="O46" s="284">
        <v>5.73</v>
      </c>
      <c r="P46" s="287">
        <f t="shared" si="6"/>
        <v>78.660000000000011</v>
      </c>
      <c r="Q46" s="55">
        <f t="shared" si="7"/>
        <v>6.5550000000000006</v>
      </c>
      <c r="R46" s="55">
        <f t="shared" si="8"/>
        <v>0.21550684931506853</v>
      </c>
    </row>
    <row r="47" spans="1:18" x14ac:dyDescent="0.25">
      <c r="A47" s="69" t="s">
        <v>34</v>
      </c>
      <c r="B47" s="64" t="s">
        <v>82</v>
      </c>
      <c r="C47" s="80" t="s">
        <v>359</v>
      </c>
      <c r="D47">
        <v>7.15</v>
      </c>
      <c r="E47" s="284">
        <v>7.34</v>
      </c>
      <c r="F47" s="284">
        <v>8.6199999999999992</v>
      </c>
      <c r="G47" s="284">
        <v>6.59</v>
      </c>
      <c r="H47">
        <v>8.16</v>
      </c>
      <c r="I47" s="284">
        <v>7.5</v>
      </c>
      <c r="J47" s="284">
        <v>5.76</v>
      </c>
      <c r="K47" s="284">
        <v>8.16</v>
      </c>
      <c r="L47" s="284">
        <v>7.46</v>
      </c>
      <c r="M47" s="284">
        <v>5.79</v>
      </c>
      <c r="N47" s="284">
        <v>8.16</v>
      </c>
      <c r="O47" s="284">
        <v>6.53</v>
      </c>
      <c r="P47" s="287">
        <f t="shared" si="6"/>
        <v>87.22</v>
      </c>
      <c r="Q47" s="55">
        <f t="shared" si="7"/>
        <v>7.2683333333333335</v>
      </c>
      <c r="R47" s="55">
        <f t="shared" si="8"/>
        <v>0.23895890410958903</v>
      </c>
    </row>
    <row r="48" spans="1:18" x14ac:dyDescent="0.25">
      <c r="A48" s="69" t="s">
        <v>83</v>
      </c>
      <c r="B48" s="64" t="s">
        <v>84</v>
      </c>
      <c r="C48" s="80" t="s">
        <v>359</v>
      </c>
      <c r="D48" s="139">
        <v>1127.51</v>
      </c>
      <c r="E48" s="139">
        <v>1007.3</v>
      </c>
      <c r="F48" s="139">
        <v>1059.03</v>
      </c>
      <c r="G48" s="139">
        <v>1106.1199999999999</v>
      </c>
      <c r="H48" s="139">
        <v>1092.6400000000001</v>
      </c>
      <c r="I48" s="139">
        <v>1028.71</v>
      </c>
      <c r="J48" s="139">
        <v>1023.32</v>
      </c>
      <c r="K48" s="139">
        <v>1060.31</v>
      </c>
      <c r="L48" s="139">
        <v>1026.3699999999999</v>
      </c>
      <c r="M48" s="139">
        <v>1180.96</v>
      </c>
      <c r="N48" s="139">
        <v>1103.82</v>
      </c>
      <c r="O48" s="139">
        <v>1257.03</v>
      </c>
      <c r="P48" s="287">
        <f>SUM(D48:O48)</f>
        <v>13073.12</v>
      </c>
      <c r="Q48" s="55">
        <f t="shared" si="1"/>
        <v>1089.4266666666667</v>
      </c>
      <c r="R48" s="55">
        <f t="shared" si="2"/>
        <v>35.816767123287676</v>
      </c>
    </row>
    <row r="49" spans="1:18" x14ac:dyDescent="0.25">
      <c r="A49" s="69" t="s">
        <v>83</v>
      </c>
      <c r="B49" s="64" t="s">
        <v>85</v>
      </c>
      <c r="C49" s="80" t="s">
        <v>359</v>
      </c>
      <c r="D49">
        <v>21.55</v>
      </c>
      <c r="E49" s="284">
        <v>20.11</v>
      </c>
      <c r="F49" s="284">
        <v>22.04</v>
      </c>
      <c r="G49">
        <v>25.36</v>
      </c>
      <c r="H49" s="284">
        <v>31.15</v>
      </c>
      <c r="I49" s="284">
        <v>23.88</v>
      </c>
      <c r="J49" s="284">
        <v>29.28</v>
      </c>
      <c r="K49" s="284">
        <v>27.29</v>
      </c>
      <c r="L49" s="284">
        <v>28.76</v>
      </c>
      <c r="M49">
        <v>27.58</v>
      </c>
      <c r="N49" s="284">
        <v>26.72</v>
      </c>
      <c r="O49" s="284">
        <v>24.78</v>
      </c>
      <c r="P49" s="287">
        <f>SUM(D49:O49)</f>
        <v>308.5</v>
      </c>
      <c r="Q49" s="55">
        <f t="shared" si="1"/>
        <v>25.708333333333332</v>
      </c>
      <c r="R49" s="55">
        <f t="shared" si="2"/>
        <v>0.84520547945205482</v>
      </c>
    </row>
    <row r="50" spans="1:18" x14ac:dyDescent="0.25">
      <c r="A50" s="69" t="s">
        <v>83</v>
      </c>
      <c r="B50" s="64" t="s">
        <v>86</v>
      </c>
      <c r="C50" s="80" t="s">
        <v>359</v>
      </c>
      <c r="D50">
        <v>17.009</v>
      </c>
      <c r="E50">
        <v>12.238</v>
      </c>
      <c r="F50">
        <v>14.143000000000001</v>
      </c>
      <c r="G50">
        <v>15.095000000000001</v>
      </c>
      <c r="H50">
        <v>17.553999999999998</v>
      </c>
      <c r="I50">
        <v>16.157</v>
      </c>
      <c r="J50">
        <v>17.408999999999999</v>
      </c>
      <c r="K50">
        <v>20.212</v>
      </c>
      <c r="L50">
        <v>18.561</v>
      </c>
      <c r="M50">
        <v>28.893999999999998</v>
      </c>
      <c r="N50">
        <v>14.678000000000001</v>
      </c>
      <c r="O50">
        <v>14.605</v>
      </c>
      <c r="P50" s="287">
        <f>SUM(D50:O50)</f>
        <v>206.55499999999998</v>
      </c>
      <c r="Q50" s="55">
        <f t="shared" si="1"/>
        <v>17.212916666666665</v>
      </c>
      <c r="R50" s="55">
        <f t="shared" si="2"/>
        <v>0.56590410958904103</v>
      </c>
    </row>
    <row r="51" spans="1:18" x14ac:dyDescent="0.25">
      <c r="A51" s="69" t="s">
        <v>83</v>
      </c>
      <c r="B51" s="64" t="s">
        <v>87</v>
      </c>
      <c r="C51" s="80" t="s">
        <v>359</v>
      </c>
      <c r="D51">
        <v>12.845000000000001</v>
      </c>
      <c r="E51">
        <v>11.683999999999999</v>
      </c>
      <c r="F51">
        <v>12.972</v>
      </c>
      <c r="G51">
        <v>14.351000000000001</v>
      </c>
      <c r="H51">
        <v>17.309000000000001</v>
      </c>
      <c r="I51">
        <v>13.426</v>
      </c>
      <c r="J51">
        <v>25.637</v>
      </c>
      <c r="K51">
        <v>16.356000000000002</v>
      </c>
      <c r="L51">
        <v>19.332000000000001</v>
      </c>
      <c r="M51">
        <v>15.848000000000001</v>
      </c>
      <c r="N51">
        <v>11.8025</v>
      </c>
      <c r="O51">
        <v>10.45</v>
      </c>
      <c r="P51" s="287">
        <f t="shared" ref="P51:P77" si="9">SUM(D51:O51)</f>
        <v>182.01250000000002</v>
      </c>
      <c r="Q51" s="55">
        <f t="shared" si="1"/>
        <v>15.167708333333335</v>
      </c>
      <c r="R51" s="55">
        <f t="shared" si="2"/>
        <v>0.49866438356164389</v>
      </c>
    </row>
    <row r="52" spans="1:18" x14ac:dyDescent="0.25">
      <c r="A52" s="69" t="s">
        <v>83</v>
      </c>
      <c r="B52" s="64" t="s">
        <v>88</v>
      </c>
      <c r="C52" s="80" t="s">
        <v>359</v>
      </c>
      <c r="D52">
        <v>12.637</v>
      </c>
      <c r="E52">
        <v>11.847</v>
      </c>
      <c r="F52">
        <v>14.832000000000001</v>
      </c>
      <c r="G52">
        <v>11.929</v>
      </c>
      <c r="H52">
        <v>18.606000000000002</v>
      </c>
      <c r="I52">
        <v>14.305999999999999</v>
      </c>
      <c r="J52">
        <v>15.086</v>
      </c>
      <c r="K52">
        <v>19.123000000000001</v>
      </c>
      <c r="L52">
        <v>14.025</v>
      </c>
      <c r="M52">
        <v>14.56</v>
      </c>
      <c r="N52">
        <v>17.064</v>
      </c>
      <c r="O52">
        <v>13.97</v>
      </c>
      <c r="P52" s="287">
        <f>SUM(D52:O52)</f>
        <v>177.98499999999999</v>
      </c>
      <c r="Q52" s="55">
        <f t="shared" si="1"/>
        <v>14.832083333333332</v>
      </c>
      <c r="R52" s="55">
        <f t="shared" si="2"/>
        <v>0.48763013698630131</v>
      </c>
    </row>
    <row r="53" spans="1:18" x14ac:dyDescent="0.25">
      <c r="A53" s="69" t="s">
        <v>83</v>
      </c>
      <c r="B53" s="64" t="s">
        <v>89</v>
      </c>
      <c r="C53" s="80" t="s">
        <v>359</v>
      </c>
      <c r="D53">
        <v>72.111999999999995</v>
      </c>
      <c r="E53">
        <v>58.975999999999999</v>
      </c>
      <c r="F53">
        <v>62.323999999999998</v>
      </c>
      <c r="G53">
        <v>68.510999999999996</v>
      </c>
      <c r="H53">
        <v>79.86</v>
      </c>
      <c r="I53">
        <v>69.799000000000007</v>
      </c>
      <c r="J53">
        <v>75.486999999999995</v>
      </c>
      <c r="K53">
        <v>77.900000000000006</v>
      </c>
      <c r="L53">
        <v>73.626999999999995</v>
      </c>
      <c r="M53">
        <v>71.777000000000001</v>
      </c>
      <c r="N53">
        <v>71.042000000000002</v>
      </c>
      <c r="O53">
        <v>76.512</v>
      </c>
      <c r="P53" s="287">
        <f t="shared" si="9"/>
        <v>857.92699999999991</v>
      </c>
      <c r="Q53" s="55">
        <f t="shared" si="1"/>
        <v>71.493916666666664</v>
      </c>
      <c r="R53" s="55">
        <f t="shared" si="2"/>
        <v>2.3504849315068492</v>
      </c>
    </row>
    <row r="54" spans="1:18" x14ac:dyDescent="0.25">
      <c r="A54" s="69" t="s">
        <v>83</v>
      </c>
      <c r="B54" s="64" t="s">
        <v>90</v>
      </c>
      <c r="C54" s="80" t="s">
        <v>359</v>
      </c>
      <c r="D54">
        <v>12.646000000000001</v>
      </c>
      <c r="E54">
        <v>10.051</v>
      </c>
      <c r="F54">
        <v>12.337</v>
      </c>
      <c r="G54">
        <v>12.002000000000001</v>
      </c>
      <c r="H54">
        <v>16.021000000000001</v>
      </c>
      <c r="I54">
        <v>12.455</v>
      </c>
      <c r="J54">
        <v>16.111000000000001</v>
      </c>
      <c r="K54">
        <v>13.87</v>
      </c>
      <c r="L54">
        <v>14.27</v>
      </c>
      <c r="M54">
        <v>14.143000000000001</v>
      </c>
      <c r="N54">
        <v>15.295</v>
      </c>
      <c r="O54">
        <v>13.843</v>
      </c>
      <c r="P54" s="287">
        <f t="shared" si="9"/>
        <v>163.04399999999998</v>
      </c>
      <c r="Q54" s="55">
        <f t="shared" si="1"/>
        <v>13.586999999999998</v>
      </c>
      <c r="R54" s="55">
        <f t="shared" si="2"/>
        <v>0.44669589041095886</v>
      </c>
    </row>
    <row r="55" spans="1:18" x14ac:dyDescent="0.25">
      <c r="A55" s="69" t="s">
        <v>83</v>
      </c>
      <c r="B55" s="64" t="s">
        <v>91</v>
      </c>
      <c r="C55" s="80" t="s">
        <v>359</v>
      </c>
      <c r="D55">
        <v>97.141999999999996</v>
      </c>
      <c r="E55">
        <v>88.56</v>
      </c>
      <c r="F55">
        <v>87.897999999999996</v>
      </c>
      <c r="G55">
        <v>93.313000000000002</v>
      </c>
      <c r="H55">
        <v>114.152</v>
      </c>
      <c r="I55">
        <v>102.685</v>
      </c>
      <c r="J55">
        <v>106.504</v>
      </c>
      <c r="K55">
        <v>109.13500000000001</v>
      </c>
      <c r="L55">
        <v>100.30800000000001</v>
      </c>
      <c r="M55">
        <v>104.04600000000001</v>
      </c>
      <c r="N55">
        <v>91.88</v>
      </c>
      <c r="O55">
        <v>94.111999999999995</v>
      </c>
      <c r="P55" s="287">
        <f t="shared" si="9"/>
        <v>1189.7350000000001</v>
      </c>
      <c r="Q55" s="55">
        <f t="shared" si="1"/>
        <v>99.144583333333344</v>
      </c>
      <c r="R55" s="55">
        <f t="shared" si="2"/>
        <v>3.2595479452054796</v>
      </c>
    </row>
    <row r="56" spans="1:18" x14ac:dyDescent="0.25">
      <c r="A56" s="69" t="s">
        <v>83</v>
      </c>
      <c r="B56" s="64" t="s">
        <v>92</v>
      </c>
      <c r="C56" s="80" t="s">
        <v>359</v>
      </c>
      <c r="D56">
        <v>68.709999999999994</v>
      </c>
      <c r="E56">
        <v>67.231999999999999</v>
      </c>
      <c r="F56">
        <v>65.617000000000004</v>
      </c>
      <c r="G56">
        <v>76.040999999999997</v>
      </c>
      <c r="H56">
        <v>94.873999999999995</v>
      </c>
      <c r="I56">
        <v>79.850999999999999</v>
      </c>
      <c r="J56">
        <v>90.346999999999994</v>
      </c>
      <c r="K56">
        <v>84.876999999999995</v>
      </c>
      <c r="L56">
        <v>89.286000000000001</v>
      </c>
      <c r="M56">
        <v>89.013800000000003</v>
      </c>
      <c r="N56">
        <v>79.134</v>
      </c>
      <c r="O56">
        <v>77.391999999999996</v>
      </c>
      <c r="P56" s="287">
        <f>SUM(D56:O56)</f>
        <v>962.37480000000005</v>
      </c>
      <c r="Q56" s="55">
        <f t="shared" si="1"/>
        <v>80.197900000000004</v>
      </c>
      <c r="R56" s="55">
        <f t="shared" si="2"/>
        <v>2.6366432876712329</v>
      </c>
    </row>
    <row r="57" spans="1:18" x14ac:dyDescent="0.25">
      <c r="A57" s="69" t="s">
        <v>83</v>
      </c>
      <c r="B57" s="80" t="s">
        <v>153</v>
      </c>
      <c r="C57" s="80" t="s">
        <v>359</v>
      </c>
      <c r="D57">
        <v>90.945999999999998</v>
      </c>
      <c r="E57">
        <v>70.888000000000005</v>
      </c>
      <c r="F57">
        <v>65.027000000000001</v>
      </c>
      <c r="G57">
        <v>76.494</v>
      </c>
      <c r="H57">
        <v>66.796000000000006</v>
      </c>
      <c r="I57">
        <v>54.085999999999999</v>
      </c>
      <c r="J57">
        <v>129.22900000000001</v>
      </c>
      <c r="K57">
        <v>122.90600000000001</v>
      </c>
      <c r="L57">
        <v>79.379400000000004</v>
      </c>
      <c r="M57">
        <v>100.934</v>
      </c>
      <c r="N57">
        <v>43.862000000000002</v>
      </c>
      <c r="O57">
        <v>112.873</v>
      </c>
      <c r="P57" s="287">
        <f>SUM(D57:O57)</f>
        <v>1013.4204000000001</v>
      </c>
      <c r="Q57" s="55">
        <f t="shared" si="1"/>
        <v>84.451700000000002</v>
      </c>
      <c r="R57" s="55">
        <f t="shared" si="2"/>
        <v>2.7764942465753428</v>
      </c>
    </row>
    <row r="58" spans="1:18" x14ac:dyDescent="0.25">
      <c r="A58" s="69" t="s">
        <v>83</v>
      </c>
      <c r="B58" s="64" t="s">
        <v>93</v>
      </c>
      <c r="C58" s="80" t="s">
        <v>359</v>
      </c>
      <c r="D58">
        <v>121.754</v>
      </c>
      <c r="E58">
        <v>108.681</v>
      </c>
      <c r="F58">
        <v>123.596</v>
      </c>
      <c r="G58">
        <v>127.315</v>
      </c>
      <c r="H58">
        <v>139.68</v>
      </c>
      <c r="I58">
        <v>134.38200000000001</v>
      </c>
      <c r="J58">
        <v>143.45400000000001</v>
      </c>
      <c r="K58">
        <v>139.23599999999999</v>
      </c>
      <c r="L58">
        <v>139.952</v>
      </c>
      <c r="M58">
        <v>155.64699999999999</v>
      </c>
      <c r="N58">
        <v>131.97800000000001</v>
      </c>
      <c r="O58">
        <v>130.971</v>
      </c>
      <c r="P58" s="287">
        <f t="shared" si="9"/>
        <v>1596.646</v>
      </c>
      <c r="Q58" s="55">
        <f t="shared" si="1"/>
        <v>133.05383333333333</v>
      </c>
      <c r="R58" s="55">
        <f t="shared" si="2"/>
        <v>4.3743726027397258</v>
      </c>
    </row>
    <row r="59" spans="1:18" x14ac:dyDescent="0.25">
      <c r="A59" s="69" t="s">
        <v>94</v>
      </c>
      <c r="B59" s="64" t="s">
        <v>95</v>
      </c>
      <c r="C59" s="80" t="s">
        <v>359</v>
      </c>
      <c r="D59">
        <v>419.71</v>
      </c>
      <c r="E59">
        <v>378.12</v>
      </c>
      <c r="F59">
        <v>436.4</v>
      </c>
      <c r="G59">
        <v>427.82</v>
      </c>
      <c r="H59">
        <v>463.35</v>
      </c>
      <c r="I59">
        <v>428.54</v>
      </c>
      <c r="J59">
        <v>460.18</v>
      </c>
      <c r="K59">
        <v>445.29</v>
      </c>
      <c r="L59">
        <v>451.4</v>
      </c>
      <c r="M59">
        <v>445.17</v>
      </c>
      <c r="N59">
        <v>450.01</v>
      </c>
      <c r="O59">
        <v>506.46</v>
      </c>
      <c r="P59" s="287">
        <f t="shared" si="9"/>
        <v>5312.45</v>
      </c>
      <c r="Q59" s="55">
        <f t="shared" si="1"/>
        <v>442.70416666666665</v>
      </c>
      <c r="R59" s="55">
        <f t="shared" si="2"/>
        <v>14.554657534246575</v>
      </c>
    </row>
    <row r="60" spans="1:18" x14ac:dyDescent="0.25">
      <c r="A60" s="69" t="s">
        <v>94</v>
      </c>
      <c r="B60" s="64" t="s">
        <v>96</v>
      </c>
      <c r="C60" s="80" t="s">
        <v>359</v>
      </c>
      <c r="D60">
        <v>582.84</v>
      </c>
      <c r="E60">
        <v>547.28</v>
      </c>
      <c r="F60">
        <v>580.66999999999996</v>
      </c>
      <c r="G60">
        <v>620.26</v>
      </c>
      <c r="H60">
        <v>718.5</v>
      </c>
      <c r="I60">
        <v>666.28</v>
      </c>
      <c r="J60" s="127">
        <v>701.6</v>
      </c>
      <c r="K60" s="127">
        <v>686.04</v>
      </c>
      <c r="L60" s="127">
        <v>662.63</v>
      </c>
      <c r="M60" s="127">
        <v>720.88</v>
      </c>
      <c r="N60" s="127">
        <v>640.47</v>
      </c>
      <c r="O60" s="127">
        <v>668.66</v>
      </c>
      <c r="P60" s="287">
        <f t="shared" si="9"/>
        <v>7796.1100000000006</v>
      </c>
      <c r="Q60" s="55">
        <f t="shared" si="1"/>
        <v>649.67583333333334</v>
      </c>
      <c r="R60" s="55">
        <f t="shared" si="2"/>
        <v>21.359205479452058</v>
      </c>
    </row>
    <row r="61" spans="1:18" x14ac:dyDescent="0.25">
      <c r="A61" s="69" t="s">
        <v>94</v>
      </c>
      <c r="B61" s="64" t="s">
        <v>97</v>
      </c>
      <c r="C61" s="80" t="s">
        <v>359</v>
      </c>
      <c r="D61">
        <v>55.34</v>
      </c>
      <c r="E61" s="284">
        <v>57.35</v>
      </c>
      <c r="F61" s="284">
        <v>61.64</v>
      </c>
      <c r="G61">
        <v>65.73</v>
      </c>
      <c r="H61" s="284">
        <v>79.78</v>
      </c>
      <c r="I61" s="284">
        <v>58.54</v>
      </c>
      <c r="J61" s="284">
        <v>72.98</v>
      </c>
      <c r="K61">
        <v>69.03</v>
      </c>
      <c r="L61" s="284">
        <v>61.86</v>
      </c>
      <c r="M61" s="284">
        <v>55.3</v>
      </c>
      <c r="N61" s="284">
        <v>68.599999999999994</v>
      </c>
      <c r="O61">
        <v>59.56</v>
      </c>
      <c r="P61" s="285">
        <f>SUM(D61:O61)</f>
        <v>765.71</v>
      </c>
      <c r="Q61" s="55">
        <f t="shared" si="1"/>
        <v>63.80916666666667</v>
      </c>
      <c r="R61" s="55">
        <f t="shared" si="2"/>
        <v>2.0978356164383563</v>
      </c>
    </row>
    <row r="62" spans="1:18" x14ac:dyDescent="0.25">
      <c r="A62" s="69" t="s">
        <v>94</v>
      </c>
      <c r="B62" s="64" t="s">
        <v>98</v>
      </c>
      <c r="C62" s="80" t="s">
        <v>359</v>
      </c>
      <c r="D62">
        <v>44.14</v>
      </c>
      <c r="E62" s="284">
        <v>39.74</v>
      </c>
      <c r="F62" s="284">
        <v>50.49</v>
      </c>
      <c r="G62">
        <v>37.26</v>
      </c>
      <c r="H62" s="284">
        <v>39.33</v>
      </c>
      <c r="I62" s="284">
        <v>39.619999999999997</v>
      </c>
      <c r="J62" s="284">
        <v>50.39</v>
      </c>
      <c r="K62" s="284">
        <v>43.12</v>
      </c>
      <c r="L62" s="284">
        <v>49.75</v>
      </c>
      <c r="M62">
        <v>57.03</v>
      </c>
      <c r="N62" s="284">
        <v>52.34</v>
      </c>
      <c r="O62" s="284">
        <v>48.57</v>
      </c>
      <c r="P62" s="287">
        <f>SUM(D62:O62)</f>
        <v>551.78000000000009</v>
      </c>
      <c r="Q62" s="55">
        <f t="shared" si="1"/>
        <v>45.981666666666676</v>
      </c>
      <c r="R62" s="55">
        <f t="shared" si="2"/>
        <v>1.5117260273972606</v>
      </c>
    </row>
    <row r="63" spans="1:18" x14ac:dyDescent="0.25">
      <c r="A63" s="69" t="s">
        <v>94</v>
      </c>
      <c r="B63" s="64" t="s">
        <v>99</v>
      </c>
      <c r="C63" s="80" t="s">
        <v>359</v>
      </c>
      <c r="D63">
        <v>56.66</v>
      </c>
      <c r="E63">
        <v>54.67</v>
      </c>
      <c r="F63">
        <v>60.13</v>
      </c>
      <c r="G63">
        <v>77.709999999999994</v>
      </c>
      <c r="H63">
        <v>77.64</v>
      </c>
      <c r="I63">
        <v>53.94</v>
      </c>
      <c r="J63">
        <v>58.1</v>
      </c>
      <c r="K63">
        <v>58.32</v>
      </c>
      <c r="L63">
        <v>58.05</v>
      </c>
      <c r="M63">
        <v>58.17</v>
      </c>
      <c r="N63">
        <v>58.32</v>
      </c>
      <c r="O63">
        <v>71.37</v>
      </c>
      <c r="P63" s="287">
        <f t="shared" si="9"/>
        <v>743.08</v>
      </c>
      <c r="Q63" s="55">
        <f t="shared" si="1"/>
        <v>61.923333333333339</v>
      </c>
      <c r="R63" s="55">
        <f t="shared" si="2"/>
        <v>2.0358356164383564</v>
      </c>
    </row>
    <row r="64" spans="1:18" x14ac:dyDescent="0.25">
      <c r="A64" s="69" t="s">
        <v>94</v>
      </c>
      <c r="B64" s="64" t="s">
        <v>100</v>
      </c>
      <c r="C64" s="80" t="s">
        <v>359</v>
      </c>
      <c r="D64">
        <v>18.190000000000001</v>
      </c>
      <c r="E64" s="284">
        <v>17.7</v>
      </c>
      <c r="F64" s="284">
        <v>20.170000000000002</v>
      </c>
      <c r="G64" s="284">
        <v>19.940000000000001</v>
      </c>
      <c r="H64">
        <v>18.37</v>
      </c>
      <c r="I64" s="284">
        <v>16.079999999999998</v>
      </c>
      <c r="J64" s="284">
        <v>20.77</v>
      </c>
      <c r="K64" s="284">
        <v>20.7</v>
      </c>
      <c r="L64" s="284">
        <v>16.600000000000001</v>
      </c>
      <c r="M64" s="284">
        <v>18.73</v>
      </c>
      <c r="N64">
        <v>18.68</v>
      </c>
      <c r="O64" s="284">
        <v>18.670000000000002</v>
      </c>
      <c r="P64" s="285">
        <f>SUM(D64:O64)</f>
        <v>224.59999999999997</v>
      </c>
      <c r="Q64" s="55">
        <f t="shared" si="1"/>
        <v>18.716666666666665</v>
      </c>
      <c r="R64" s="55">
        <f t="shared" si="2"/>
        <v>0.61534246575342455</v>
      </c>
    </row>
    <row r="65" spans="1:18" x14ac:dyDescent="0.25">
      <c r="A65" s="101" t="s">
        <v>23</v>
      </c>
      <c r="B65" s="64" t="s">
        <v>101</v>
      </c>
      <c r="C65" s="80" t="s">
        <v>359</v>
      </c>
      <c r="D65">
        <v>166.2</v>
      </c>
      <c r="E65">
        <v>149.91</v>
      </c>
      <c r="F65">
        <v>154.15</v>
      </c>
      <c r="G65">
        <v>139.77000000000001</v>
      </c>
      <c r="H65">
        <v>139.66</v>
      </c>
      <c r="I65" s="284">
        <v>157.47999999999999</v>
      </c>
      <c r="J65" s="284">
        <v>174.42</v>
      </c>
      <c r="K65">
        <v>193.45</v>
      </c>
      <c r="L65" s="284">
        <v>150.19</v>
      </c>
      <c r="M65" s="284">
        <v>99.38</v>
      </c>
      <c r="N65">
        <v>118.07</v>
      </c>
      <c r="O65" s="284">
        <v>179.35</v>
      </c>
      <c r="P65" s="287">
        <f t="shared" si="9"/>
        <v>1822.03</v>
      </c>
      <c r="Q65" s="55">
        <f t="shared" si="1"/>
        <v>151.83583333333334</v>
      </c>
      <c r="R65" s="55">
        <f t="shared" si="2"/>
        <v>4.9918630136986302</v>
      </c>
    </row>
    <row r="66" spans="1:18" x14ac:dyDescent="0.25">
      <c r="A66" s="101" t="s">
        <v>23</v>
      </c>
      <c r="B66" s="64" t="s">
        <v>102</v>
      </c>
      <c r="C66" s="80" t="s">
        <v>359</v>
      </c>
      <c r="D66">
        <v>102.08</v>
      </c>
      <c r="E66" s="284">
        <v>105.13</v>
      </c>
      <c r="F66">
        <v>128.47</v>
      </c>
      <c r="G66" s="284">
        <v>148.65</v>
      </c>
      <c r="H66" s="284">
        <v>187.16</v>
      </c>
      <c r="I66">
        <v>169.76</v>
      </c>
      <c r="J66" s="284">
        <v>202.85</v>
      </c>
      <c r="K66" s="284">
        <v>164.95</v>
      </c>
      <c r="L66" s="284">
        <v>108.68</v>
      </c>
      <c r="M66">
        <v>119.54</v>
      </c>
      <c r="N66" s="284">
        <v>113.56</v>
      </c>
      <c r="O66" s="284">
        <v>126.01</v>
      </c>
      <c r="P66" s="287">
        <f t="shared" si="9"/>
        <v>1676.84</v>
      </c>
      <c r="Q66" s="55">
        <f t="shared" si="1"/>
        <v>139.73666666666665</v>
      </c>
      <c r="R66" s="55">
        <f t="shared" si="2"/>
        <v>4.5940821917808217</v>
      </c>
    </row>
    <row r="67" spans="1:18" x14ac:dyDescent="0.25">
      <c r="A67" s="101" t="s">
        <v>23</v>
      </c>
      <c r="B67" s="64" t="s">
        <v>103</v>
      </c>
      <c r="C67" s="80" t="s">
        <v>359</v>
      </c>
      <c r="D67">
        <v>62.423999999999999</v>
      </c>
      <c r="E67">
        <v>57.389000000000003</v>
      </c>
      <c r="F67">
        <v>63.756999999999998</v>
      </c>
      <c r="G67">
        <v>72.203000000000003</v>
      </c>
      <c r="H67">
        <v>75.206000000000003</v>
      </c>
      <c r="I67">
        <v>69.671999999999997</v>
      </c>
      <c r="J67">
        <v>78.953000000000003</v>
      </c>
      <c r="K67">
        <v>80.25</v>
      </c>
      <c r="L67">
        <v>78.363</v>
      </c>
      <c r="M67">
        <v>74.643000000000001</v>
      </c>
      <c r="N67">
        <v>72.149000000000001</v>
      </c>
      <c r="O67">
        <v>76.122</v>
      </c>
      <c r="P67" s="287">
        <f t="shared" si="9"/>
        <v>861.13099999999986</v>
      </c>
      <c r="Q67" s="55">
        <f t="shared" ref="Q67:Q90" si="10">SUM(P67/12)</f>
        <v>71.76091666666666</v>
      </c>
      <c r="R67" s="55">
        <f t="shared" ref="R67:R90" si="11">SUM(P67/365)</f>
        <v>2.3592630136986297</v>
      </c>
    </row>
    <row r="68" spans="1:18" x14ac:dyDescent="0.25">
      <c r="A68" s="101" t="s">
        <v>23</v>
      </c>
      <c r="B68" s="64" t="s">
        <v>104</v>
      </c>
      <c r="C68" s="80" t="s">
        <v>359</v>
      </c>
      <c r="D68">
        <v>38.630000000000003</v>
      </c>
      <c r="E68" s="284">
        <v>29.78</v>
      </c>
      <c r="F68" s="284">
        <v>35.24</v>
      </c>
      <c r="G68" s="284">
        <v>37.58</v>
      </c>
      <c r="H68">
        <v>47.9</v>
      </c>
      <c r="I68" s="284">
        <v>35.090000000000003</v>
      </c>
      <c r="J68" s="284">
        <v>37.17</v>
      </c>
      <c r="K68" s="284">
        <v>28.18</v>
      </c>
      <c r="L68" s="284">
        <v>24.89</v>
      </c>
      <c r="M68" s="284">
        <v>30.08</v>
      </c>
      <c r="N68">
        <v>25.16</v>
      </c>
      <c r="O68" s="284">
        <v>25.34</v>
      </c>
      <c r="P68" s="287">
        <f t="shared" si="9"/>
        <v>395.04</v>
      </c>
      <c r="Q68" s="55">
        <f t="shared" si="10"/>
        <v>32.92</v>
      </c>
      <c r="R68" s="55">
        <f t="shared" si="11"/>
        <v>1.0823013698630137</v>
      </c>
    </row>
    <row r="69" spans="1:18" x14ac:dyDescent="0.25">
      <c r="A69" s="101" t="s">
        <v>23</v>
      </c>
      <c r="B69" s="64" t="s">
        <v>105</v>
      </c>
      <c r="C69" s="80" t="s">
        <v>359</v>
      </c>
      <c r="D69">
        <v>45.06</v>
      </c>
      <c r="E69">
        <v>43.935000000000002</v>
      </c>
      <c r="F69">
        <v>49.151000000000003</v>
      </c>
      <c r="G69">
        <v>51.61</v>
      </c>
      <c r="H69">
        <v>65.771000000000001</v>
      </c>
      <c r="I69">
        <v>54.820999999999998</v>
      </c>
      <c r="J69">
        <v>58.042000000000002</v>
      </c>
      <c r="K69">
        <v>55.411000000000001</v>
      </c>
      <c r="L69">
        <v>53.533000000000001</v>
      </c>
      <c r="M69">
        <v>65.852999999999994</v>
      </c>
      <c r="N69">
        <v>59.991999999999997</v>
      </c>
      <c r="O69">
        <v>67.340999999999994</v>
      </c>
      <c r="P69" s="287">
        <f t="shared" si="9"/>
        <v>670.5200000000001</v>
      </c>
      <c r="Q69" s="55">
        <f t="shared" si="10"/>
        <v>55.876666666666672</v>
      </c>
      <c r="R69" s="55">
        <f t="shared" si="11"/>
        <v>1.8370410958904113</v>
      </c>
    </row>
    <row r="70" spans="1:18" x14ac:dyDescent="0.25">
      <c r="A70" s="101" t="s">
        <v>23</v>
      </c>
      <c r="B70" s="64" t="s">
        <v>106</v>
      </c>
      <c r="C70" s="80" t="s">
        <v>359</v>
      </c>
      <c r="D70">
        <v>19.84</v>
      </c>
      <c r="E70" s="284">
        <v>16.55</v>
      </c>
      <c r="F70" s="284">
        <v>17.55</v>
      </c>
      <c r="G70" s="284">
        <v>17.260000000000002</v>
      </c>
      <c r="H70">
        <v>21.4</v>
      </c>
      <c r="I70" s="284">
        <v>17.18</v>
      </c>
      <c r="J70" s="284">
        <v>17.3</v>
      </c>
      <c r="K70" s="284">
        <v>25.75</v>
      </c>
      <c r="L70" s="284">
        <v>17.16</v>
      </c>
      <c r="M70" s="284">
        <v>21.45</v>
      </c>
      <c r="N70">
        <v>21.45</v>
      </c>
      <c r="O70" s="284">
        <v>17.16</v>
      </c>
      <c r="P70" s="287">
        <f t="shared" si="9"/>
        <v>230.04999999999995</v>
      </c>
      <c r="Q70" s="55">
        <f t="shared" si="10"/>
        <v>19.170833333333331</v>
      </c>
      <c r="R70" s="55">
        <f t="shared" si="11"/>
        <v>0.63027397260273965</v>
      </c>
    </row>
    <row r="71" spans="1:18" x14ac:dyDescent="0.25">
      <c r="A71" s="101" t="s">
        <v>23</v>
      </c>
      <c r="B71" s="64" t="s">
        <v>24</v>
      </c>
      <c r="C71" s="80" t="s">
        <v>359</v>
      </c>
      <c r="D71">
        <v>21.808</v>
      </c>
      <c r="E71">
        <v>20.475000000000001</v>
      </c>
      <c r="F71">
        <v>20.864999999999998</v>
      </c>
      <c r="G71">
        <v>24.149000000000001</v>
      </c>
      <c r="H71">
        <v>25.718</v>
      </c>
      <c r="I71">
        <v>22.952000000000002</v>
      </c>
      <c r="J71">
        <v>32.866999999999997</v>
      </c>
      <c r="K71">
        <v>31.515000000000001</v>
      </c>
      <c r="L71">
        <v>22.707000000000001</v>
      </c>
      <c r="M71">
        <v>31.28</v>
      </c>
      <c r="N71">
        <v>25.7</v>
      </c>
      <c r="O71">
        <v>22.035</v>
      </c>
      <c r="P71" s="287">
        <f t="shared" si="9"/>
        <v>302.07100000000003</v>
      </c>
      <c r="Q71" s="55">
        <f t="shared" si="10"/>
        <v>25.172583333333336</v>
      </c>
      <c r="R71" s="55">
        <f t="shared" si="11"/>
        <v>0.82759178082191787</v>
      </c>
    </row>
    <row r="72" spans="1:18" x14ac:dyDescent="0.25">
      <c r="A72" s="101" t="s">
        <v>23</v>
      </c>
      <c r="B72" s="71" t="s">
        <v>23</v>
      </c>
      <c r="C72" s="80" t="s">
        <v>359</v>
      </c>
      <c r="D72" s="139">
        <v>1018.1</v>
      </c>
      <c r="E72">
        <v>817.06</v>
      </c>
      <c r="F72">
        <v>883.18</v>
      </c>
      <c r="G72">
        <v>925.74</v>
      </c>
      <c r="H72" s="139">
        <v>1069.9100000000001</v>
      </c>
      <c r="I72">
        <v>938.11</v>
      </c>
      <c r="J72" s="139">
        <v>1020.09</v>
      </c>
      <c r="K72">
        <v>964.86</v>
      </c>
      <c r="L72">
        <v>986.89</v>
      </c>
      <c r="M72" s="139">
        <v>1117.32</v>
      </c>
      <c r="N72">
        <v>965.85</v>
      </c>
      <c r="O72">
        <v>983.73</v>
      </c>
      <c r="P72" s="287">
        <f>SUM(D72:O72)</f>
        <v>11690.839999999998</v>
      </c>
      <c r="Q72" s="55">
        <f t="shared" si="10"/>
        <v>974.23666666666657</v>
      </c>
      <c r="R72" s="55">
        <f t="shared" si="11"/>
        <v>32.029698630136984</v>
      </c>
    </row>
    <row r="73" spans="1:18" x14ac:dyDescent="0.25">
      <c r="A73" s="101" t="s">
        <v>23</v>
      </c>
      <c r="B73" s="64" t="s">
        <v>107</v>
      </c>
      <c r="C73" s="80" t="s">
        <v>359</v>
      </c>
      <c r="D73">
        <v>34.57</v>
      </c>
      <c r="E73" s="284">
        <v>24.88</v>
      </c>
      <c r="F73" s="284">
        <v>27.08</v>
      </c>
      <c r="G73" s="284">
        <v>43.04</v>
      </c>
      <c r="H73">
        <v>34.229999999999997</v>
      </c>
      <c r="I73" s="284">
        <v>28.93</v>
      </c>
      <c r="J73" s="284">
        <v>32.700000000000003</v>
      </c>
      <c r="K73" s="284">
        <v>34.130000000000003</v>
      </c>
      <c r="L73" s="284">
        <v>27.86</v>
      </c>
      <c r="M73" s="284">
        <v>28.26</v>
      </c>
      <c r="N73">
        <v>25.28</v>
      </c>
      <c r="O73" s="284">
        <v>30.93</v>
      </c>
      <c r="P73" s="287">
        <f t="shared" si="9"/>
        <v>371.89000000000004</v>
      </c>
      <c r="Q73" s="55">
        <f t="shared" si="10"/>
        <v>30.990833333333338</v>
      </c>
      <c r="R73" s="55">
        <f t="shared" si="11"/>
        <v>1.0188767123287672</v>
      </c>
    </row>
    <row r="74" spans="1:18" x14ac:dyDescent="0.25">
      <c r="A74" s="101" t="s">
        <v>23</v>
      </c>
      <c r="B74" s="64" t="s">
        <v>144</v>
      </c>
      <c r="C74" s="80" t="s">
        <v>359</v>
      </c>
      <c r="D74">
        <v>68.48</v>
      </c>
      <c r="E74" s="284">
        <v>49.09</v>
      </c>
      <c r="F74" s="284">
        <v>61.57</v>
      </c>
      <c r="G74">
        <v>73.84</v>
      </c>
      <c r="H74" s="284">
        <v>53.66</v>
      </c>
      <c r="I74" s="284">
        <v>47.39</v>
      </c>
      <c r="J74" s="284">
        <v>54.93</v>
      </c>
      <c r="K74" s="284">
        <v>54.45</v>
      </c>
      <c r="L74">
        <v>45.46</v>
      </c>
      <c r="M74" s="284">
        <v>56.73</v>
      </c>
      <c r="N74" s="284">
        <v>41.59</v>
      </c>
      <c r="O74" s="284">
        <v>51.36</v>
      </c>
      <c r="P74" s="287">
        <f t="shared" si="9"/>
        <v>658.55</v>
      </c>
      <c r="Q74" s="55">
        <f t="shared" si="10"/>
        <v>54.879166666666663</v>
      </c>
      <c r="R74" s="55">
        <f t="shared" si="11"/>
        <v>1.8042465753424657</v>
      </c>
    </row>
    <row r="75" spans="1:18" x14ac:dyDescent="0.25">
      <c r="A75" s="101" t="s">
        <v>23</v>
      </c>
      <c r="B75" s="64" t="s">
        <v>108</v>
      </c>
      <c r="C75" s="80" t="s">
        <v>359</v>
      </c>
      <c r="D75">
        <v>20.03</v>
      </c>
      <c r="E75">
        <v>15.811999999999999</v>
      </c>
      <c r="F75">
        <v>14.986000000000001</v>
      </c>
      <c r="G75">
        <v>18.324999999999999</v>
      </c>
      <c r="H75">
        <v>22.914999999999999</v>
      </c>
      <c r="I75">
        <v>18.815000000000001</v>
      </c>
      <c r="J75">
        <v>25.61</v>
      </c>
      <c r="K75">
        <v>21.853999999999999</v>
      </c>
      <c r="L75">
        <v>11.122</v>
      </c>
      <c r="M75" s="284"/>
      <c r="N75" s="284"/>
      <c r="O75" s="284"/>
      <c r="P75" s="287">
        <f t="shared" si="9"/>
        <v>169.46899999999999</v>
      </c>
      <c r="Q75" s="55">
        <f t="shared" si="10"/>
        <v>14.122416666666666</v>
      </c>
      <c r="R75" s="55">
        <f t="shared" si="11"/>
        <v>0.4642986301369863</v>
      </c>
    </row>
    <row r="76" spans="1:18" x14ac:dyDescent="0.25">
      <c r="A76" s="101" t="s">
        <v>109</v>
      </c>
      <c r="B76" s="64" t="s">
        <v>110</v>
      </c>
      <c r="C76" s="80" t="s">
        <v>359</v>
      </c>
      <c r="D76">
        <v>21.19</v>
      </c>
      <c r="E76" s="284">
        <v>19.309999999999999</v>
      </c>
      <c r="F76" s="284">
        <v>17.64</v>
      </c>
      <c r="G76" s="284">
        <v>15.55</v>
      </c>
      <c r="H76">
        <v>17.43</v>
      </c>
      <c r="I76" s="284">
        <v>19.61</v>
      </c>
      <c r="J76" s="284">
        <v>24.19</v>
      </c>
      <c r="K76" s="284">
        <v>20.46</v>
      </c>
      <c r="L76" s="284">
        <v>15.88</v>
      </c>
      <c r="M76" s="284">
        <v>20.48</v>
      </c>
      <c r="N76">
        <v>20.47</v>
      </c>
      <c r="O76" s="284">
        <v>18.73</v>
      </c>
      <c r="P76" s="285">
        <f t="shared" si="9"/>
        <v>230.94</v>
      </c>
      <c r="Q76" s="55">
        <f t="shared" si="10"/>
        <v>19.245000000000001</v>
      </c>
      <c r="R76" s="55">
        <f t="shared" si="11"/>
        <v>0.63271232876712324</v>
      </c>
    </row>
    <row r="77" spans="1:18" x14ac:dyDescent="0.25">
      <c r="A77" s="101" t="s">
        <v>109</v>
      </c>
      <c r="B77" s="64" t="s">
        <v>111</v>
      </c>
      <c r="C77" s="80" t="s">
        <v>359</v>
      </c>
      <c r="D77">
        <v>17.63</v>
      </c>
      <c r="E77" s="284">
        <v>15.02</v>
      </c>
      <c r="F77" s="284">
        <v>14.09</v>
      </c>
      <c r="G77" s="284">
        <v>19.66</v>
      </c>
      <c r="H77">
        <v>11.68</v>
      </c>
      <c r="I77" s="284">
        <v>12.99</v>
      </c>
      <c r="J77" s="284">
        <v>21.55</v>
      </c>
      <c r="K77" s="284">
        <v>12.12</v>
      </c>
      <c r="L77" s="284">
        <v>15.36</v>
      </c>
      <c r="M77" s="284">
        <v>16.79</v>
      </c>
      <c r="N77">
        <v>16.37</v>
      </c>
      <c r="O77" s="284">
        <v>21.65</v>
      </c>
      <c r="P77" s="288">
        <f t="shared" si="9"/>
        <v>194.90999999999997</v>
      </c>
      <c r="Q77" s="55">
        <f t="shared" si="10"/>
        <v>16.242499999999996</v>
      </c>
      <c r="R77" s="55">
        <f t="shared" si="11"/>
        <v>0.53399999999999992</v>
      </c>
    </row>
    <row r="78" spans="1:18" x14ac:dyDescent="0.25">
      <c r="A78" s="101" t="s">
        <v>83</v>
      </c>
      <c r="B78" s="81" t="s">
        <v>356</v>
      </c>
      <c r="C78" s="80" t="s">
        <v>359</v>
      </c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8">
        <f t="shared" ref="P78:P89" si="12">SUM(D78:O78)</f>
        <v>0</v>
      </c>
      <c r="Q78" s="55">
        <f t="shared" ref="Q78:Q89" si="13">SUM(P78/12)</f>
        <v>0</v>
      </c>
      <c r="R78" s="55">
        <f t="shared" si="11"/>
        <v>0</v>
      </c>
    </row>
    <row r="79" spans="1:18" s="127" customFormat="1" x14ac:dyDescent="0.25">
      <c r="A79" s="101" t="s">
        <v>83</v>
      </c>
      <c r="B79" s="81" t="s">
        <v>357</v>
      </c>
      <c r="C79" s="80" t="s">
        <v>359</v>
      </c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8">
        <f t="shared" si="12"/>
        <v>0</v>
      </c>
      <c r="Q79" s="55">
        <f t="shared" si="13"/>
        <v>0</v>
      </c>
      <c r="R79" s="55">
        <f t="shared" si="11"/>
        <v>0</v>
      </c>
    </row>
    <row r="80" spans="1:18" s="127" customFormat="1" x14ac:dyDescent="0.25">
      <c r="A80" s="101" t="s">
        <v>83</v>
      </c>
      <c r="B80" s="81" t="s">
        <v>358</v>
      </c>
      <c r="C80" s="80" t="s">
        <v>359</v>
      </c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8">
        <f t="shared" si="12"/>
        <v>0</v>
      </c>
      <c r="Q80" s="55">
        <f t="shared" ref="Q80:Q86" si="14">SUM(P80/12)</f>
        <v>0</v>
      </c>
      <c r="R80" s="55">
        <f t="shared" ref="R80:R86" si="15">SUM(P80/365)</f>
        <v>0</v>
      </c>
    </row>
    <row r="81" spans="1:18" s="127" customFormat="1" x14ac:dyDescent="0.25">
      <c r="A81" s="101" t="s">
        <v>29</v>
      </c>
      <c r="B81" s="81" t="s">
        <v>41</v>
      </c>
      <c r="C81" s="80" t="s">
        <v>359</v>
      </c>
      <c r="D81">
        <v>14.115</v>
      </c>
      <c r="E81">
        <v>13.09</v>
      </c>
      <c r="F81">
        <v>12.256</v>
      </c>
      <c r="G81">
        <v>11.376200000000001</v>
      </c>
      <c r="H81">
        <v>11.683999999999999</v>
      </c>
      <c r="I81">
        <v>13.208</v>
      </c>
      <c r="J81">
        <v>14.36</v>
      </c>
      <c r="K81">
        <v>13.099</v>
      </c>
      <c r="L81">
        <v>13.978999999999999</v>
      </c>
      <c r="M81">
        <v>13.952</v>
      </c>
      <c r="N81">
        <v>14.260999999999999</v>
      </c>
      <c r="O81">
        <v>20.148</v>
      </c>
      <c r="P81" s="288">
        <f t="shared" si="12"/>
        <v>165.5282</v>
      </c>
      <c r="Q81" s="55">
        <f t="shared" si="14"/>
        <v>13.794016666666666</v>
      </c>
      <c r="R81" s="55">
        <f t="shared" si="15"/>
        <v>0.45350191780821919</v>
      </c>
    </row>
    <row r="82" spans="1:18" s="127" customFormat="1" x14ac:dyDescent="0.25">
      <c r="A82" s="101" t="s">
        <v>19</v>
      </c>
      <c r="B82" s="81" t="s">
        <v>328</v>
      </c>
      <c r="C82" s="80" t="s">
        <v>359</v>
      </c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8">
        <f t="shared" si="12"/>
        <v>0</v>
      </c>
      <c r="Q82" s="55">
        <f t="shared" si="14"/>
        <v>0</v>
      </c>
      <c r="R82" s="55">
        <f t="shared" si="15"/>
        <v>0</v>
      </c>
    </row>
    <row r="83" spans="1:18" s="127" customFormat="1" x14ac:dyDescent="0.25">
      <c r="A83" s="101" t="s">
        <v>19</v>
      </c>
      <c r="B83" s="81" t="s">
        <v>338</v>
      </c>
      <c r="C83" s="80" t="s">
        <v>359</v>
      </c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8">
        <f t="shared" si="12"/>
        <v>0</v>
      </c>
      <c r="Q83" s="55">
        <f t="shared" si="14"/>
        <v>0</v>
      </c>
      <c r="R83" s="55">
        <f t="shared" si="15"/>
        <v>0</v>
      </c>
    </row>
    <row r="84" spans="1:18" s="127" customFormat="1" x14ac:dyDescent="0.25">
      <c r="A84" s="101" t="s">
        <v>19</v>
      </c>
      <c r="B84" s="81" t="s">
        <v>324</v>
      </c>
      <c r="C84" s="80" t="s">
        <v>359</v>
      </c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8">
        <f t="shared" si="12"/>
        <v>0</v>
      </c>
      <c r="Q84" s="55">
        <f t="shared" si="14"/>
        <v>0</v>
      </c>
      <c r="R84" s="55">
        <f t="shared" si="15"/>
        <v>0</v>
      </c>
    </row>
    <row r="85" spans="1:18" s="127" customFormat="1" x14ac:dyDescent="0.25">
      <c r="A85" s="101" t="s">
        <v>19</v>
      </c>
      <c r="B85" s="81" t="s">
        <v>330</v>
      </c>
      <c r="C85" s="80" t="s">
        <v>359</v>
      </c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8">
        <f t="shared" si="12"/>
        <v>0</v>
      </c>
      <c r="Q85" s="55">
        <f t="shared" si="14"/>
        <v>0</v>
      </c>
      <c r="R85" s="55">
        <f t="shared" si="15"/>
        <v>0</v>
      </c>
    </row>
    <row r="86" spans="1:18" s="127" customFormat="1" x14ac:dyDescent="0.25">
      <c r="A86" s="101" t="s">
        <v>19</v>
      </c>
      <c r="B86" s="81" t="s">
        <v>317</v>
      </c>
      <c r="C86" s="80" t="s">
        <v>359</v>
      </c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8">
        <f t="shared" si="12"/>
        <v>0</v>
      </c>
      <c r="Q86" s="55">
        <f t="shared" si="14"/>
        <v>0</v>
      </c>
      <c r="R86" s="55">
        <f t="shared" si="15"/>
        <v>0</v>
      </c>
    </row>
    <row r="87" spans="1:18" s="127" customFormat="1" x14ac:dyDescent="0.25">
      <c r="A87" s="101"/>
      <c r="B87" s="81" t="s">
        <v>419</v>
      </c>
      <c r="C87" s="80" t="s">
        <v>359</v>
      </c>
      <c r="D87">
        <v>86.11</v>
      </c>
      <c r="E87">
        <v>74.960999999999999</v>
      </c>
      <c r="F87">
        <v>83.525000000000006</v>
      </c>
      <c r="G87">
        <v>88.768000000000001</v>
      </c>
      <c r="H87">
        <v>112.319</v>
      </c>
      <c r="I87">
        <v>105.134</v>
      </c>
      <c r="J87">
        <v>110.804</v>
      </c>
      <c r="K87">
        <v>129.27500000000001</v>
      </c>
      <c r="L87">
        <v>115.694</v>
      </c>
      <c r="M87">
        <v>129.71899999999999</v>
      </c>
      <c r="N87">
        <v>96.933000000000007</v>
      </c>
      <c r="O87">
        <v>89.902000000000001</v>
      </c>
      <c r="P87" s="288">
        <f t="shared" ref="P87" si="16">SUM(D87:O87)</f>
        <v>1223.144</v>
      </c>
      <c r="Q87" s="55">
        <f t="shared" ref="Q87" si="17">SUM(P87/12)</f>
        <v>101.92866666666667</v>
      </c>
      <c r="R87" s="55">
        <f t="shared" ref="R87" si="18">SUM(P87/365)</f>
        <v>3.3510794520547944</v>
      </c>
    </row>
    <row r="88" spans="1:18" x14ac:dyDescent="0.25">
      <c r="A88" s="64" t="s">
        <v>112</v>
      </c>
      <c r="B88" s="64" t="s">
        <v>220</v>
      </c>
      <c r="C88" s="80" t="s">
        <v>359</v>
      </c>
      <c r="D88" s="139">
        <v>6673.98</v>
      </c>
      <c r="E88" s="284">
        <v>6898.48</v>
      </c>
      <c r="F88" s="284">
        <v>7027.69</v>
      </c>
      <c r="G88" s="284">
        <v>6807.14</v>
      </c>
      <c r="H88" s="284">
        <v>7394.39</v>
      </c>
      <c r="I88" s="284">
        <v>7030.53</v>
      </c>
      <c r="J88" s="284">
        <v>7382.63</v>
      </c>
      <c r="K88" s="139">
        <v>7160.28</v>
      </c>
      <c r="L88" s="284">
        <v>9861.2800000000007</v>
      </c>
      <c r="M88" s="284">
        <v>7935.79</v>
      </c>
      <c r="N88" s="284">
        <v>7648.63</v>
      </c>
      <c r="O88" s="284">
        <v>7187.8</v>
      </c>
      <c r="P88" s="288">
        <f t="shared" si="12"/>
        <v>89008.62</v>
      </c>
      <c r="Q88" s="55">
        <f t="shared" si="13"/>
        <v>7417.3849999999993</v>
      </c>
      <c r="R88" s="55">
        <f t="shared" si="11"/>
        <v>243.85923287671233</v>
      </c>
    </row>
    <row r="89" spans="1:18" x14ac:dyDescent="0.25">
      <c r="A89" s="64" t="s">
        <v>112</v>
      </c>
      <c r="B89" s="64" t="s">
        <v>221</v>
      </c>
      <c r="C89" s="80" t="s">
        <v>359</v>
      </c>
      <c r="D89">
        <v>99.91</v>
      </c>
      <c r="E89" s="284">
        <v>97.21</v>
      </c>
      <c r="F89" s="284">
        <v>105.24</v>
      </c>
      <c r="G89" s="284">
        <v>95.63</v>
      </c>
      <c r="H89" s="284">
        <v>102.22</v>
      </c>
      <c r="I89" s="284">
        <v>95.65</v>
      </c>
      <c r="J89" s="284">
        <v>124.97</v>
      </c>
      <c r="K89" s="284">
        <v>104.7</v>
      </c>
      <c r="L89" s="284">
        <v>107.53</v>
      </c>
      <c r="M89">
        <v>113.28</v>
      </c>
      <c r="N89" s="284">
        <v>103.77</v>
      </c>
      <c r="O89" s="284">
        <v>89.74</v>
      </c>
      <c r="P89" s="288">
        <f t="shared" si="12"/>
        <v>1239.8500000000001</v>
      </c>
      <c r="Q89" s="55">
        <f t="shared" si="13"/>
        <v>103.32083333333334</v>
      </c>
      <c r="R89" s="55">
        <f t="shared" si="11"/>
        <v>3.3968493150684935</v>
      </c>
    </row>
    <row r="90" spans="1:18" ht="45" x14ac:dyDescent="0.25">
      <c r="A90" s="82" t="s">
        <v>36</v>
      </c>
      <c r="B90" s="82"/>
      <c r="C90" s="82"/>
      <c r="D90" s="117">
        <f>SUM(D7:D89)</f>
        <v>37210.362500000003</v>
      </c>
      <c r="E90" s="117">
        <f t="shared" ref="E90:O90" si="19">SUM(E7:E89)</f>
        <v>34506.235999999997</v>
      </c>
      <c r="F90" s="117">
        <f t="shared" si="19"/>
        <v>36054.851000000002</v>
      </c>
      <c r="G90" s="117">
        <f t="shared" si="19"/>
        <v>36309.370199999976</v>
      </c>
      <c r="H90" s="117">
        <f t="shared" si="19"/>
        <v>40753.181000000011</v>
      </c>
      <c r="I90" s="117">
        <f t="shared" si="19"/>
        <v>40310.036999999989</v>
      </c>
      <c r="J90" s="117">
        <f t="shared" si="19"/>
        <v>57762.000999999989</v>
      </c>
      <c r="K90" s="117">
        <f t="shared" si="19"/>
        <v>55612.336999999992</v>
      </c>
      <c r="L90" s="117">
        <f t="shared" si="19"/>
        <v>57361.148900000029</v>
      </c>
      <c r="M90" s="117">
        <f t="shared" si="19"/>
        <v>58794.383799999989</v>
      </c>
      <c r="N90" s="117">
        <f t="shared" si="19"/>
        <v>53246.743499999975</v>
      </c>
      <c r="O90" s="117">
        <f t="shared" si="19"/>
        <v>53990.688000000016</v>
      </c>
      <c r="P90" s="289">
        <f t="shared" ref="P90" si="20">SUM(P7:P89)</f>
        <v>561650.35389999999</v>
      </c>
      <c r="Q90" s="9">
        <f t="shared" si="10"/>
        <v>46804.196158333332</v>
      </c>
      <c r="R90" s="55">
        <f t="shared" si="11"/>
        <v>1538.7680928767122</v>
      </c>
    </row>
  </sheetData>
  <mergeCells count="9">
    <mergeCell ref="A1:R1"/>
    <mergeCell ref="A2:R2"/>
    <mergeCell ref="R5:R6"/>
    <mergeCell ref="A3:Q3"/>
    <mergeCell ref="A5:A6"/>
    <mergeCell ref="B5:B6"/>
    <mergeCell ref="D5:O5"/>
    <mergeCell ref="P5:P6"/>
    <mergeCell ref="Q5:Q6"/>
  </mergeCells>
  <pageMargins left="0.23622047244094491" right="0.23622047244094491" top="0.74803149606299213" bottom="0.74803149606299213" header="0.31496062992125984" footer="0.31496062992125984"/>
  <pageSetup paperSize="12" scale="53" fitToHeight="0" orientation="portrait" r:id="rId1"/>
  <headerFooter>
    <oddFooter>&amp;C&amp;P&amp;R&amp;A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XFD2"/>
    </sheetView>
  </sheetViews>
  <sheetFormatPr baseColWidth="10" defaultRowHeight="15" x14ac:dyDescent="0.25"/>
  <cols>
    <col min="1" max="1" width="16.140625" customWidth="1"/>
    <col min="3" max="3" width="11.42578125" style="127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s="127" customFormat="1" ht="18" x14ac:dyDescent="0.25">
      <c r="A3" s="390" t="s">
        <v>408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1"/>
    </row>
    <row r="4" spans="1:18" s="127" customFormat="1" ht="15.75" thickBot="1" x14ac:dyDescent="0.3"/>
    <row r="5" spans="1:18" ht="15.75" thickBot="1" x14ac:dyDescent="0.3">
      <c r="A5" s="395" t="s">
        <v>1</v>
      </c>
      <c r="B5" s="397" t="s">
        <v>2</v>
      </c>
      <c r="C5" s="221"/>
      <c r="D5" s="399" t="s">
        <v>402</v>
      </c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1"/>
      <c r="P5" s="402" t="s">
        <v>3</v>
      </c>
      <c r="Q5" s="392" t="s">
        <v>121</v>
      </c>
      <c r="R5" s="392" t="s">
        <v>184</v>
      </c>
    </row>
    <row r="6" spans="1:18" x14ac:dyDescent="0.25">
      <c r="A6" s="396"/>
      <c r="B6" s="398"/>
      <c r="C6" s="222"/>
      <c r="D6" s="130" t="s">
        <v>4</v>
      </c>
      <c r="E6" s="130" t="s">
        <v>5</v>
      </c>
      <c r="F6" s="130" t="s">
        <v>6</v>
      </c>
      <c r="G6" s="130" t="s">
        <v>7</v>
      </c>
      <c r="H6" s="130" t="s">
        <v>8</v>
      </c>
      <c r="I6" s="130" t="s">
        <v>9</v>
      </c>
      <c r="J6" s="130" t="s">
        <v>10</v>
      </c>
      <c r="K6" s="130" t="s">
        <v>11</v>
      </c>
      <c r="L6" s="130" t="s">
        <v>12</v>
      </c>
      <c r="M6" s="130" t="s">
        <v>13</v>
      </c>
      <c r="N6" s="130" t="s">
        <v>14</v>
      </c>
      <c r="O6" s="130" t="s">
        <v>15</v>
      </c>
      <c r="P6" s="403"/>
      <c r="Q6" s="393"/>
      <c r="R6" s="393"/>
    </row>
    <row r="7" spans="1:18" ht="15" customHeight="1" x14ac:dyDescent="0.25">
      <c r="A7" s="131" t="s">
        <v>113</v>
      </c>
      <c r="B7" s="131" t="s">
        <v>190</v>
      </c>
      <c r="C7" s="131" t="s">
        <v>400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0">
        <f>SUM(D7:O7)</f>
        <v>0</v>
      </c>
      <c r="Q7" s="129">
        <f>SUM(P7/12)</f>
        <v>0</v>
      </c>
      <c r="R7" s="74">
        <f>SUM(P7/365)</f>
        <v>0</v>
      </c>
    </row>
    <row r="8" spans="1:18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3" t="s">
        <v>237</v>
      </c>
      <c r="Q8" s="127"/>
      <c r="R8" s="127"/>
    </row>
    <row r="9" spans="1:18" x14ac:dyDescent="0.25">
      <c r="A9" s="394" t="s">
        <v>116</v>
      </c>
      <c r="B9" s="394"/>
      <c r="C9" s="2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0">
        <f>SUM(D9:O9)</f>
        <v>0</v>
      </c>
      <c r="Q9" s="127"/>
      <c r="R9" s="127"/>
    </row>
    <row r="10" spans="1:18" x14ac:dyDescent="0.25">
      <c r="A10" s="134"/>
      <c r="B10" s="3"/>
      <c r="C10" s="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00"/>
      <c r="Q10" s="126"/>
      <c r="R10" s="126"/>
    </row>
    <row r="11" spans="1:18" x14ac:dyDescent="0.25">
      <c r="A11" s="127"/>
      <c r="B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</row>
    <row r="12" spans="1:18" x14ac:dyDescent="0.25">
      <c r="A12" s="128"/>
      <c r="B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</row>
  </sheetData>
  <mergeCells count="10">
    <mergeCell ref="A9:B9"/>
    <mergeCell ref="A5:A6"/>
    <mergeCell ref="B5:B6"/>
    <mergeCell ref="D5:O5"/>
    <mergeCell ref="P5:P6"/>
    <mergeCell ref="A1:R1"/>
    <mergeCell ref="A2:R2"/>
    <mergeCell ref="A3:Q3"/>
    <mergeCell ref="Q5:Q6"/>
    <mergeCell ref="R5:R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sqref="A1:XFD2"/>
    </sheetView>
  </sheetViews>
  <sheetFormatPr baseColWidth="10" defaultRowHeight="15" x14ac:dyDescent="0.25"/>
  <cols>
    <col min="1" max="1" width="17.140625" customWidth="1"/>
    <col min="3" max="3" width="11.42578125" style="127"/>
  </cols>
  <sheetData>
    <row r="1" spans="1:18" s="127" customFormat="1" x14ac:dyDescent="0.25">
      <c r="A1" s="356" t="s">
        <v>446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spans="1:18" s="127" customFormat="1" x14ac:dyDescent="0.25">
      <c r="A2" s="356" t="s">
        <v>447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s="127" customFormat="1" ht="18" x14ac:dyDescent="0.25">
      <c r="A3" s="34"/>
      <c r="B3" s="406" t="s">
        <v>117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7"/>
    </row>
    <row r="4" spans="1:18" s="127" customFormat="1" x14ac:dyDescent="0.25">
      <c r="A4" s="17"/>
      <c r="B4" s="17"/>
      <c r="C4" s="1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x14ac:dyDescent="0.25">
      <c r="A5" s="365" t="s">
        <v>1</v>
      </c>
      <c r="B5" s="364" t="s">
        <v>2</v>
      </c>
      <c r="C5" s="175"/>
      <c r="D5" s="365" t="s">
        <v>402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 t="s">
        <v>3</v>
      </c>
      <c r="Q5" s="357" t="s">
        <v>121</v>
      </c>
      <c r="R5" s="357" t="s">
        <v>184</v>
      </c>
    </row>
    <row r="6" spans="1:18" x14ac:dyDescent="0.25">
      <c r="A6" s="365"/>
      <c r="B6" s="365"/>
      <c r="C6" s="176"/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31" t="s">
        <v>10</v>
      </c>
      <c r="K6" s="31" t="s">
        <v>11</v>
      </c>
      <c r="L6" s="31" t="s">
        <v>12</v>
      </c>
      <c r="M6" s="31" t="s">
        <v>13</v>
      </c>
      <c r="N6" s="31" t="s">
        <v>14</v>
      </c>
      <c r="O6" s="31" t="s">
        <v>15</v>
      </c>
      <c r="P6" s="366"/>
      <c r="Q6" s="358"/>
      <c r="R6" s="358"/>
    </row>
    <row r="7" spans="1:18" x14ac:dyDescent="0.25">
      <c r="A7" s="4" t="s">
        <v>113</v>
      </c>
      <c r="B7" s="3" t="s">
        <v>118</v>
      </c>
      <c r="C7" s="296" t="s">
        <v>422</v>
      </c>
      <c r="D7" s="171">
        <v>3.5</v>
      </c>
      <c r="E7" s="171">
        <v>3</v>
      </c>
      <c r="F7" s="171">
        <v>4</v>
      </c>
      <c r="G7" s="171">
        <v>5</v>
      </c>
      <c r="H7" s="171">
        <v>3.5</v>
      </c>
      <c r="I7" s="171">
        <v>4</v>
      </c>
      <c r="J7" s="171">
        <v>4.5</v>
      </c>
      <c r="K7" s="171">
        <v>9</v>
      </c>
      <c r="L7" s="171">
        <v>3.5</v>
      </c>
      <c r="M7" s="171">
        <v>4</v>
      </c>
      <c r="N7" s="171">
        <v>4</v>
      </c>
      <c r="O7" s="171">
        <v>8</v>
      </c>
      <c r="P7" s="172">
        <f>SUM(D7:O7)</f>
        <v>56</v>
      </c>
      <c r="Q7" s="74">
        <f>SUM(P7/12)</f>
        <v>4.666666666666667</v>
      </c>
      <c r="R7" s="74">
        <f>SUM(P7/365)</f>
        <v>0.15342465753424658</v>
      </c>
    </row>
    <row r="8" spans="1:18" s="127" customFormat="1" x14ac:dyDescent="0.25">
      <c r="A8" s="6"/>
      <c r="B8" s="191"/>
      <c r="C8" s="297" t="s">
        <v>423</v>
      </c>
      <c r="D8" s="295">
        <v>10</v>
      </c>
      <c r="E8" s="295">
        <v>10</v>
      </c>
      <c r="F8" s="295">
        <v>10.5</v>
      </c>
      <c r="G8" s="295">
        <v>17</v>
      </c>
      <c r="H8" s="295">
        <v>9.5</v>
      </c>
      <c r="I8" s="295">
        <v>10</v>
      </c>
      <c r="J8" s="295">
        <v>11</v>
      </c>
      <c r="K8" s="295">
        <v>18</v>
      </c>
      <c r="L8" s="295">
        <v>11</v>
      </c>
      <c r="M8" s="295">
        <v>9.5</v>
      </c>
      <c r="N8" s="295">
        <v>11</v>
      </c>
      <c r="O8" s="295">
        <v>16</v>
      </c>
      <c r="P8" s="172">
        <f>SUM(D8:O8)</f>
        <v>143.5</v>
      </c>
      <c r="Q8" s="74">
        <f>SUM(P8/12)</f>
        <v>11.958333333333334</v>
      </c>
      <c r="R8" s="74">
        <f>SUM(P8/365)</f>
        <v>0.39315068493150684</v>
      </c>
    </row>
    <row r="9" spans="1:18" x14ac:dyDescent="0.25">
      <c r="A9" s="404" t="s">
        <v>116</v>
      </c>
      <c r="B9" s="405"/>
      <c r="C9" s="189"/>
      <c r="D9" s="173">
        <f>SUM(D7:D8)</f>
        <v>13.5</v>
      </c>
      <c r="E9" s="173">
        <f t="shared" ref="E9:O9" si="0">SUM(E7:E8)</f>
        <v>13</v>
      </c>
      <c r="F9" s="173">
        <f t="shared" si="0"/>
        <v>14.5</v>
      </c>
      <c r="G9" s="173">
        <f t="shared" si="0"/>
        <v>22</v>
      </c>
      <c r="H9" s="173">
        <f t="shared" si="0"/>
        <v>13</v>
      </c>
      <c r="I9" s="173">
        <f t="shared" si="0"/>
        <v>14</v>
      </c>
      <c r="J9" s="173">
        <f t="shared" si="0"/>
        <v>15.5</v>
      </c>
      <c r="K9" s="173">
        <f t="shared" si="0"/>
        <v>27</v>
      </c>
      <c r="L9" s="173">
        <f t="shared" si="0"/>
        <v>14.5</v>
      </c>
      <c r="M9" s="173">
        <f t="shared" si="0"/>
        <v>13.5</v>
      </c>
      <c r="N9" s="173">
        <f t="shared" si="0"/>
        <v>15</v>
      </c>
      <c r="O9" s="173">
        <f t="shared" si="0"/>
        <v>24</v>
      </c>
      <c r="P9" s="173">
        <f>SUM(P7:P8)</f>
        <v>199.5</v>
      </c>
      <c r="Q9" s="298">
        <f t="shared" ref="Q9:R9" si="1">SUM(Q7:Q8)</f>
        <v>16.625</v>
      </c>
      <c r="R9" s="298">
        <f t="shared" si="1"/>
        <v>0.54657534246575346</v>
      </c>
    </row>
    <row r="14" spans="1:18" x14ac:dyDescent="0.25">
      <c r="D14" s="16"/>
    </row>
  </sheetData>
  <mergeCells count="10">
    <mergeCell ref="A1:R1"/>
    <mergeCell ref="A2:R2"/>
    <mergeCell ref="R5:R6"/>
    <mergeCell ref="A9:B9"/>
    <mergeCell ref="B3:Q3"/>
    <mergeCell ref="A5:A6"/>
    <mergeCell ref="B5:B6"/>
    <mergeCell ref="D5:O5"/>
    <mergeCell ref="P5:P6"/>
    <mergeCell ref="Q5:Q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Sn Fco. Menendez</vt:lpstr>
      <vt:lpstr>Atiquizaya</vt:lpstr>
      <vt:lpstr>SANTA ANA</vt:lpstr>
      <vt:lpstr>LA LIBERTAD</vt:lpstr>
      <vt:lpstr>Ishuatan</vt:lpstr>
      <vt:lpstr>SONSONATE-KALI</vt:lpstr>
      <vt:lpstr>MIDES</vt:lpstr>
      <vt:lpstr>Meanguera</vt:lpstr>
      <vt:lpstr>Perquin</vt:lpstr>
      <vt:lpstr>CORINTO</vt:lpstr>
      <vt:lpstr>SOCINUS</vt:lpstr>
      <vt:lpstr>San Miguel</vt:lpstr>
      <vt:lpstr>SANTA ROSA DE LIMA (ASINORLU)</vt:lpstr>
      <vt:lpstr>Suchitoto</vt:lpstr>
      <vt:lpstr>CINQUERA</vt:lpstr>
      <vt:lpstr>CHALATENANGO</vt:lpstr>
      <vt:lpstr>AMUCHADES</vt:lpstr>
      <vt:lpstr>DESECHOS RELLENOS</vt:lpstr>
      <vt:lpstr>Hoja1</vt:lpstr>
      <vt:lpstr>'LA LIBERTAD'!Área_de_impresión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</dc:creator>
  <cp:lastModifiedBy>Sonia del Carmen Miranda de Aguilar</cp:lastModifiedBy>
  <cp:lastPrinted>2019-10-03T20:20:46Z</cp:lastPrinted>
  <dcterms:created xsi:type="dcterms:W3CDTF">2014-01-27T15:03:26Z</dcterms:created>
  <dcterms:modified xsi:type="dcterms:W3CDTF">2021-11-25T15:16:39Z</dcterms:modified>
</cp:coreProperties>
</file>